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charts/chart3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codeName="ThisWorkbook" hidePivotFieldList="1"/>
  <bookViews>
    <workbookView xWindow="-105" yWindow="-105" windowWidth="21840" windowHeight="12570" tabRatio="907" firstSheet="1" activeTab="7"/>
  </bookViews>
  <sheets>
    <sheet name="Targetwise Plan" sheetId="68" r:id="rId1"/>
    <sheet name="Week (1)" sheetId="66" r:id="rId2"/>
    <sheet name="Week (2)" sheetId="27" r:id="rId3"/>
    <sheet name="Week (3)" sheetId="71" r:id="rId4"/>
    <sheet name="Week (4)" sheetId="77" r:id="rId5"/>
    <sheet name="Week (5)" sheetId="82" r:id="rId6"/>
    <sheet name="Month" sheetId="37" r:id="rId7"/>
    <sheet name="DAY" sheetId="182" r:id="rId8"/>
    <sheet name="MTD Total" sheetId="229" r:id="rId9"/>
    <sheet name="1" sheetId="196" r:id="rId10"/>
    <sheet name="2" sheetId="195" state="hidden" r:id="rId11"/>
    <sheet name="3" sheetId="194" r:id="rId12"/>
    <sheet name="4" sheetId="176" r:id="rId13"/>
    <sheet name="5" sheetId="220" r:id="rId14"/>
    <sheet name="6" sheetId="227" r:id="rId15"/>
    <sheet name="7" sheetId="200" r:id="rId16"/>
    <sheet name="8" sheetId="177" state="hidden" r:id="rId17"/>
    <sheet name="9" sheetId="180" state="hidden" r:id="rId18"/>
    <sheet name="10" sheetId="179" r:id="rId19"/>
    <sheet name="11" sheetId="221" r:id="rId20"/>
    <sheet name="12" sheetId="197" r:id="rId21"/>
    <sheet name="13" sheetId="181" r:id="rId22"/>
    <sheet name="14" sheetId="198" r:id="rId23"/>
    <sheet name="15" sheetId="183" state="hidden" r:id="rId24"/>
    <sheet name="16" sheetId="184" state="hidden" r:id="rId25"/>
    <sheet name="17" sheetId="185" r:id="rId26"/>
    <sheet name="18" sheetId="201" r:id="rId27"/>
    <sheet name="19" sheetId="223" r:id="rId28"/>
    <sheet name="20" sheetId="186" r:id="rId29"/>
    <sheet name="21" sheetId="202" r:id="rId30"/>
    <sheet name="22" sheetId="203" state="hidden" r:id="rId31"/>
    <sheet name="23" sheetId="204" state="hidden" r:id="rId32"/>
    <sheet name="24" sheetId="205" r:id="rId33"/>
    <sheet name="25" sheetId="206" r:id="rId34"/>
    <sheet name="26" sheetId="224" state="hidden" r:id="rId35"/>
    <sheet name="27" sheetId="207" r:id="rId36"/>
    <sheet name="28" sheetId="214" r:id="rId37"/>
    <sheet name="29" sheetId="208" r:id="rId38"/>
    <sheet name="30" sheetId="209" r:id="rId39"/>
    <sheet name="31" sheetId="219" r:id="rId40"/>
    <sheet name="last" sheetId="230" r:id="rId41"/>
    <sheet name="Cumulative_Graph" sheetId="67" state="hidden" r:id="rId42"/>
    <sheet name="RMT" sheetId="193" state="hidden" r:id="rId43"/>
    <sheet name="New format" sheetId="163" state="hidden" r:id="rId44"/>
    <sheet name="New format 2" sheetId="164" state="hidden" r:id="rId45"/>
    <sheet name="Plan Mapping" sheetId="146" state="hidden" r:id="rId46"/>
    <sheet name="Sheet1" sheetId="231" r:id="rId47"/>
    <sheet name="Sheet2" sheetId="232" r:id="rId48"/>
  </sheets>
  <externalReferences>
    <externalReference r:id="rId49"/>
    <externalReference r:id="rId50"/>
  </externalReferences>
  <definedNames>
    <definedName name="_xlnm._FilterDatabase" localSheetId="1" hidden="1">'Week (1)'!$AN$4:$AU$18</definedName>
    <definedName name="_xlnm.Print_Area" localSheetId="9">'1'!#REF!</definedName>
    <definedName name="_xlnm.Print_Area" localSheetId="18">'10'!$H$2:$U$26</definedName>
    <definedName name="_xlnm.Print_Area" localSheetId="19">'11'!$J$44:$T$58</definedName>
    <definedName name="_xlnm.Print_Area" localSheetId="20">'12'!$H$2:$U$26</definedName>
    <definedName name="_xlnm.Print_Area" localSheetId="21">'13'!$H$2:$U$26</definedName>
    <definedName name="_xlnm.Print_Area" localSheetId="22">'14'!$H$2:$U$26</definedName>
    <definedName name="_xlnm.Print_Area" localSheetId="23">'15'!$H$2:$U$26</definedName>
    <definedName name="_xlnm.Print_Area" localSheetId="24">'16'!$H$2:$U$26</definedName>
    <definedName name="_xlnm.Print_Area" localSheetId="25">'17'!$H$2:$U$26</definedName>
    <definedName name="_xlnm.Print_Area" localSheetId="26">'18'!$H$2:$U$26</definedName>
    <definedName name="_xlnm.Print_Area" localSheetId="10">'2'!#REF!</definedName>
    <definedName name="_xlnm.Print_Area" localSheetId="28">'20'!$H$2:$Z$26</definedName>
    <definedName name="_xlnm.Print_Area" localSheetId="29">'21'!$H$2:$U$26</definedName>
    <definedName name="_xlnm.Print_Area" localSheetId="11">'3'!$H$2:$U$26</definedName>
    <definedName name="_xlnm.Print_Area" localSheetId="12">'4'!$H$2:$AI$26</definedName>
    <definedName name="_xlnm.Print_Area" localSheetId="13">'5'!$AD$15</definedName>
    <definedName name="_xlnm.Print_Area" localSheetId="14">'6'!$L$45:$AE$59</definedName>
    <definedName name="_xlnm.Print_Area" localSheetId="15">'7'!$H$2:$U$26</definedName>
    <definedName name="_xlnm.Print_Area" localSheetId="16">'8'!$H$2:$U$26</definedName>
    <definedName name="_xlnm.Print_Area" localSheetId="17">'9'!$H$2:$U$26</definedName>
    <definedName name="_xlnm.Print_Area" localSheetId="6">Month!$C$22:$H$37</definedName>
    <definedName name="_xlnm.Print_Area" localSheetId="8">'MTD Total'!#REF!</definedName>
    <definedName name="_xlnm.Print_Area" localSheetId="43">'New format'!$B$2:$M$20</definedName>
    <definedName name="_xlnm.Print_Area" localSheetId="44">'New format 2'!$B$2:$R$16</definedName>
    <definedName name="_xlnm.Print_Area" localSheetId="1">'Week (1)'!$AX$2:$BR$19</definedName>
    <definedName name="_xlnm.Print_Area" localSheetId="2">'Week (2)'!$AX$21:$BL$37</definedName>
    <definedName name="_xlnm.Print_Area" localSheetId="3">'Week (3)'!$BB$32:$BN$49</definedName>
    <definedName name="_xlnm.Print_Area" localSheetId="4">'Week (4)'!#REF!</definedName>
  </definedName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4" i="214"/>
  <c r="K6"/>
  <c r="R15" i="77" l="1"/>
  <c r="Q15"/>
  <c r="P15"/>
  <c r="O15"/>
  <c r="R14"/>
  <c r="Q14"/>
  <c r="P14"/>
  <c r="O14"/>
  <c r="R13"/>
  <c r="Q13"/>
  <c r="P13"/>
  <c r="O13"/>
  <c r="R12"/>
  <c r="R10"/>
  <c r="Q10"/>
  <c r="P10"/>
  <c r="O10"/>
  <c r="R9"/>
  <c r="Q9"/>
  <c r="P9"/>
  <c r="O9"/>
  <c r="R8"/>
  <c r="Q8"/>
  <c r="P8"/>
  <c r="O8"/>
  <c r="O7"/>
  <c r="R6"/>
  <c r="Q6"/>
  <c r="P6"/>
  <c r="O6"/>
  <c r="R5"/>
  <c r="O5"/>
  <c r="R16"/>
  <c r="O11"/>
  <c r="N15"/>
  <c r="M15"/>
  <c r="L15"/>
  <c r="K15"/>
  <c r="N14"/>
  <c r="M14"/>
  <c r="L14"/>
  <c r="K14"/>
  <c r="N13"/>
  <c r="M13"/>
  <c r="L13"/>
  <c r="K13"/>
  <c r="M12"/>
  <c r="L12"/>
  <c r="K12"/>
  <c r="N10"/>
  <c r="M10"/>
  <c r="L10"/>
  <c r="K10"/>
  <c r="N9"/>
  <c r="M9"/>
  <c r="L9"/>
  <c r="K9"/>
  <c r="N8"/>
  <c r="M8"/>
  <c r="L8"/>
  <c r="K8"/>
  <c r="N7"/>
  <c r="M7"/>
  <c r="L7"/>
  <c r="K7"/>
  <c r="N6"/>
  <c r="M6"/>
  <c r="L6"/>
  <c r="K6"/>
  <c r="N5"/>
  <c r="M5"/>
  <c r="L5"/>
  <c r="K5"/>
  <c r="M16"/>
  <c r="L16"/>
  <c r="K16"/>
  <c r="N11"/>
  <c r="M11"/>
  <c r="L11"/>
  <c r="K11"/>
  <c r="K6" i="207"/>
  <c r="Q6" l="1"/>
  <c r="O6"/>
  <c r="J15" i="77"/>
  <c r="I15"/>
  <c r="G15"/>
  <c r="J14"/>
  <c r="I14"/>
  <c r="H14"/>
  <c r="G14"/>
  <c r="J13"/>
  <c r="I13"/>
  <c r="H13"/>
  <c r="G13"/>
  <c r="J12"/>
  <c r="I12"/>
  <c r="H12"/>
  <c r="G12"/>
  <c r="J10"/>
  <c r="I10"/>
  <c r="H10"/>
  <c r="G10"/>
  <c r="J9"/>
  <c r="I9"/>
  <c r="H9"/>
  <c r="G9"/>
  <c r="J8"/>
  <c r="I8"/>
  <c r="H8"/>
  <c r="G8"/>
  <c r="J7"/>
  <c r="I7"/>
  <c r="H7"/>
  <c r="G7"/>
  <c r="J6"/>
  <c r="I6"/>
  <c r="H6"/>
  <c r="G6"/>
  <c r="J5"/>
  <c r="I5"/>
  <c r="H5"/>
  <c r="G5"/>
  <c r="J16"/>
  <c r="I16"/>
  <c r="G16"/>
  <c r="J11"/>
  <c r="I11"/>
  <c r="H11"/>
  <c r="G11"/>
  <c r="F15"/>
  <c r="E15"/>
  <c r="D15"/>
  <c r="C15"/>
  <c r="F14"/>
  <c r="E14"/>
  <c r="D14"/>
  <c r="C14"/>
  <c r="F13"/>
  <c r="E13"/>
  <c r="D13"/>
  <c r="C13"/>
  <c r="F12"/>
  <c r="E12"/>
  <c r="D12"/>
  <c r="C12"/>
  <c r="F10"/>
  <c r="E10"/>
  <c r="D10"/>
  <c r="C10"/>
  <c r="F9"/>
  <c r="E9"/>
  <c r="D9"/>
  <c r="C9"/>
  <c r="F8"/>
  <c r="E8"/>
  <c r="D8"/>
  <c r="C8"/>
  <c r="F7"/>
  <c r="E7"/>
  <c r="D7"/>
  <c r="C7"/>
  <c r="F6"/>
  <c r="E6"/>
  <c r="D6"/>
  <c r="C6"/>
  <c r="F5"/>
  <c r="E5"/>
  <c r="D5"/>
  <c r="C5"/>
  <c r="F16"/>
  <c r="E16"/>
  <c r="D16"/>
  <c r="C16"/>
  <c r="F11"/>
  <c r="E11"/>
  <c r="D11"/>
  <c r="C11"/>
  <c r="T74" i="206" l="1"/>
  <c r="Q33"/>
  <c r="J24"/>
  <c r="Q34"/>
  <c r="AU6"/>
  <c r="O6"/>
  <c r="BF15" i="77"/>
  <c r="BI38"/>
  <c r="BI36"/>
  <c r="BH36"/>
  <c r="BE36"/>
  <c r="BD36"/>
  <c r="BC36"/>
  <c r="BB36"/>
  <c r="BA36"/>
  <c r="AZ36"/>
  <c r="BF36" s="1"/>
  <c r="BF35"/>
  <c r="BF34"/>
  <c r="BF33"/>
  <c r="BF32"/>
  <c r="BI31"/>
  <c r="BH31"/>
  <c r="BH38" s="1"/>
  <c r="BE31"/>
  <c r="BE38" s="1"/>
  <c r="BD31"/>
  <c r="BD38" s="1"/>
  <c r="BC31"/>
  <c r="BC38" s="1"/>
  <c r="BB31"/>
  <c r="BB38" s="1"/>
  <c r="BA31"/>
  <c r="BA38" s="1"/>
  <c r="AZ31"/>
  <c r="AZ38" s="1"/>
  <c r="BF38" s="1"/>
  <c r="BF39" s="1"/>
  <c r="BF30"/>
  <c r="BF29"/>
  <c r="BF28"/>
  <c r="BF27"/>
  <c r="BF26"/>
  <c r="BF25"/>
  <c r="BF5"/>
  <c r="BF12"/>
  <c r="BF6"/>
  <c r="BF7"/>
  <c r="BF8"/>
  <c r="BF9"/>
  <c r="BF10"/>
  <c r="AM8" i="205"/>
  <c r="BF14" i="77"/>
  <c r="AM20" i="221"/>
  <c r="BF11" i="77" l="1"/>
  <c r="BF31"/>
  <c r="K6" i="205"/>
  <c r="BF13" i="77"/>
  <c r="BE16"/>
  <c r="BE11"/>
  <c r="AM24" i="186" l="1"/>
  <c r="AN24"/>
  <c r="AO24"/>
  <c r="AP24"/>
  <c r="AQ24"/>
  <c r="AR24"/>
  <c r="AS24"/>
  <c r="AT24"/>
  <c r="AU24"/>
  <c r="AV24"/>
  <c r="AW24"/>
  <c r="AL24"/>
  <c r="AL26" s="1"/>
  <c r="O12" i="71" s="1"/>
  <c r="V15"/>
  <c r="U15"/>
  <c r="T15"/>
  <c r="S15"/>
  <c r="T14"/>
  <c r="S14"/>
  <c r="V13"/>
  <c r="U13"/>
  <c r="T13"/>
  <c r="S13"/>
  <c r="V12"/>
  <c r="U12"/>
  <c r="T12"/>
  <c r="S12"/>
  <c r="V10"/>
  <c r="U10"/>
  <c r="T10"/>
  <c r="S10"/>
  <c r="V9"/>
  <c r="U9"/>
  <c r="T9"/>
  <c r="S9"/>
  <c r="V8"/>
  <c r="U8"/>
  <c r="T8"/>
  <c r="S8"/>
  <c r="V7"/>
  <c r="U7"/>
  <c r="T7"/>
  <c r="S7"/>
  <c r="V6"/>
  <c r="U6"/>
  <c r="T6"/>
  <c r="S6"/>
  <c r="V5"/>
  <c r="U5"/>
  <c r="T5"/>
  <c r="S5"/>
  <c r="T16"/>
  <c r="S16"/>
  <c r="V11"/>
  <c r="U11"/>
  <c r="T11"/>
  <c r="S11"/>
  <c r="R15"/>
  <c r="Q15"/>
  <c r="P15"/>
  <c r="O15"/>
  <c r="R10"/>
  <c r="Q10"/>
  <c r="P10"/>
  <c r="O10"/>
  <c r="R9"/>
  <c r="Q9"/>
  <c r="P9"/>
  <c r="O9"/>
  <c r="R8"/>
  <c r="Q8"/>
  <c r="P8"/>
  <c r="O8"/>
  <c r="R7"/>
  <c r="Q7"/>
  <c r="P7"/>
  <c r="O7"/>
  <c r="R6"/>
  <c r="Q6"/>
  <c r="P6"/>
  <c r="O6"/>
  <c r="R5"/>
  <c r="Q5"/>
  <c r="P5"/>
  <c r="O5"/>
  <c r="R11"/>
  <c r="Q11"/>
  <c r="P11"/>
  <c r="O11"/>
  <c r="T74" i="186"/>
  <c r="Q72"/>
  <c r="N15" i="71"/>
  <c r="M15"/>
  <c r="L15"/>
  <c r="K15"/>
  <c r="N14"/>
  <c r="M14"/>
  <c r="L14"/>
  <c r="K14"/>
  <c r="N13"/>
  <c r="M13"/>
  <c r="L13"/>
  <c r="K13"/>
  <c r="N12"/>
  <c r="M12"/>
  <c r="L12"/>
  <c r="K12"/>
  <c r="N10"/>
  <c r="M10"/>
  <c r="L10"/>
  <c r="K10"/>
  <c r="N9"/>
  <c r="M9"/>
  <c r="L9"/>
  <c r="K9"/>
  <c r="N8"/>
  <c r="M8"/>
  <c r="L8"/>
  <c r="K8"/>
  <c r="N7"/>
  <c r="M7"/>
  <c r="L7"/>
  <c r="K7"/>
  <c r="N6"/>
  <c r="M6"/>
  <c r="L6"/>
  <c r="K6"/>
  <c r="N5"/>
  <c r="M5"/>
  <c r="L5"/>
  <c r="K5"/>
  <c r="N16"/>
  <c r="M16"/>
  <c r="L16"/>
  <c r="K16"/>
  <c r="N11"/>
  <c r="M11"/>
  <c r="L11"/>
  <c r="K11"/>
  <c r="J15"/>
  <c r="I15"/>
  <c r="H15"/>
  <c r="G15"/>
  <c r="J14"/>
  <c r="I14"/>
  <c r="H14"/>
  <c r="G14"/>
  <c r="J13"/>
  <c r="I13"/>
  <c r="H13"/>
  <c r="G13"/>
  <c r="J12"/>
  <c r="I12"/>
  <c r="H12"/>
  <c r="G12"/>
  <c r="J10"/>
  <c r="I10"/>
  <c r="H10"/>
  <c r="G10"/>
  <c r="J9"/>
  <c r="I9"/>
  <c r="H9"/>
  <c r="G9"/>
  <c r="J8"/>
  <c r="I8"/>
  <c r="H8"/>
  <c r="G8"/>
  <c r="J7"/>
  <c r="I7"/>
  <c r="H7"/>
  <c r="G7"/>
  <c r="J6"/>
  <c r="I6"/>
  <c r="H6"/>
  <c r="G6"/>
  <c r="J5"/>
  <c r="I5"/>
  <c r="H5"/>
  <c r="G5"/>
  <c r="J16"/>
  <c r="I16"/>
  <c r="H16"/>
  <c r="G16"/>
  <c r="J11"/>
  <c r="I11"/>
  <c r="H11"/>
  <c r="G11"/>
  <c r="K6" i="223"/>
  <c r="T74"/>
  <c r="AM9"/>
  <c r="K9"/>
  <c r="T74" i="201"/>
  <c r="T55"/>
  <c r="J15" i="27"/>
  <c r="I15"/>
  <c r="H15"/>
  <c r="G15"/>
  <c r="J14"/>
  <c r="I14"/>
  <c r="H14"/>
  <c r="G14"/>
  <c r="J13"/>
  <c r="I13"/>
  <c r="H13"/>
  <c r="G13"/>
  <c r="J12"/>
  <c r="I12"/>
  <c r="H12"/>
  <c r="G12"/>
  <c r="J10"/>
  <c r="I10"/>
  <c r="H10"/>
  <c r="G10"/>
  <c r="J9"/>
  <c r="I9"/>
  <c r="H9"/>
  <c r="G9"/>
  <c r="J8"/>
  <c r="I8"/>
  <c r="H8"/>
  <c r="G8"/>
  <c r="J7"/>
  <c r="I7"/>
  <c r="H7"/>
  <c r="G7"/>
  <c r="J6"/>
  <c r="I6"/>
  <c r="H6"/>
  <c r="G6"/>
  <c r="J5"/>
  <c r="I5"/>
  <c r="H5"/>
  <c r="G5"/>
  <c r="J16"/>
  <c r="I16"/>
  <c r="H16"/>
  <c r="G16"/>
  <c r="J11"/>
  <c r="I11"/>
  <c r="H11"/>
  <c r="G11"/>
  <c r="F15" i="71"/>
  <c r="E15"/>
  <c r="D15"/>
  <c r="C15"/>
  <c r="F14"/>
  <c r="E14"/>
  <c r="D14"/>
  <c r="C14"/>
  <c r="F13"/>
  <c r="E13"/>
  <c r="D13"/>
  <c r="C13"/>
  <c r="F12"/>
  <c r="E12"/>
  <c r="D12"/>
  <c r="C12"/>
  <c r="F10"/>
  <c r="E10"/>
  <c r="D10"/>
  <c r="C10"/>
  <c r="F9"/>
  <c r="E9"/>
  <c r="D9"/>
  <c r="C9"/>
  <c r="F8"/>
  <c r="E8"/>
  <c r="D8"/>
  <c r="C8"/>
  <c r="F7"/>
  <c r="E7"/>
  <c r="D7"/>
  <c r="C7"/>
  <c r="F6"/>
  <c r="E6"/>
  <c r="D6"/>
  <c r="C6"/>
  <c r="F5"/>
  <c r="E5"/>
  <c r="D5"/>
  <c r="C5"/>
  <c r="F16"/>
  <c r="E16"/>
  <c r="D16"/>
  <c r="C16"/>
  <c r="F11"/>
  <c r="E11"/>
  <c r="D11"/>
  <c r="C11"/>
  <c r="BK18"/>
  <c r="BI21"/>
  <c r="L27" i="198" l="1"/>
  <c r="M6"/>
  <c r="BG12" i="71"/>
  <c r="N15" i="27" l="1"/>
  <c r="M15"/>
  <c r="L15"/>
  <c r="K15"/>
  <c r="M14"/>
  <c r="L14"/>
  <c r="K14"/>
  <c r="N13"/>
  <c r="M13"/>
  <c r="L13"/>
  <c r="K13"/>
  <c r="N12"/>
  <c r="M12"/>
  <c r="L12"/>
  <c r="K12"/>
  <c r="N10"/>
  <c r="M10"/>
  <c r="L10"/>
  <c r="K10"/>
  <c r="N9"/>
  <c r="M9"/>
  <c r="L9"/>
  <c r="K9"/>
  <c r="N8"/>
  <c r="M8"/>
  <c r="L8"/>
  <c r="K8"/>
  <c r="N7"/>
  <c r="M7"/>
  <c r="L7"/>
  <c r="K7"/>
  <c r="N6"/>
  <c r="M6"/>
  <c r="L6"/>
  <c r="K6"/>
  <c r="N5"/>
  <c r="M5"/>
  <c r="K5"/>
  <c r="V15"/>
  <c r="U15"/>
  <c r="T15"/>
  <c r="S15"/>
  <c r="V14"/>
  <c r="U14"/>
  <c r="T14"/>
  <c r="S14"/>
  <c r="V13"/>
  <c r="U13"/>
  <c r="T13"/>
  <c r="S13"/>
  <c r="V12"/>
  <c r="U12"/>
  <c r="T12"/>
  <c r="S12"/>
  <c r="V10"/>
  <c r="U10"/>
  <c r="T10"/>
  <c r="S10"/>
  <c r="V9"/>
  <c r="U9"/>
  <c r="T9"/>
  <c r="S9"/>
  <c r="T8"/>
  <c r="S8"/>
  <c r="V7"/>
  <c r="U7"/>
  <c r="T7"/>
  <c r="S7"/>
  <c r="V6"/>
  <c r="U6"/>
  <c r="T6"/>
  <c r="S6"/>
  <c r="V5"/>
  <c r="U5"/>
  <c r="T5"/>
  <c r="S5"/>
  <c r="O6" i="181"/>
  <c r="W6" l="1"/>
  <c r="AU8" i="197"/>
  <c r="K9"/>
  <c r="T74" i="221"/>
  <c r="O9"/>
  <c r="AQ6" i="179" l="1"/>
  <c r="T74"/>
  <c r="N72"/>
  <c r="O72"/>
  <c r="P72"/>
  <c r="Q72"/>
  <c r="R72"/>
  <c r="S72"/>
  <c r="M72"/>
  <c r="K11" i="66" l="1"/>
  <c r="O11"/>
  <c r="S11"/>
  <c r="X16"/>
  <c r="Y16"/>
  <c r="AA16"/>
  <c r="AB16"/>
  <c r="AC16"/>
  <c r="AD16"/>
  <c r="AE16"/>
  <c r="W16"/>
  <c r="X11"/>
  <c r="Z11"/>
  <c r="AA11"/>
  <c r="AB11"/>
  <c r="AC11"/>
  <c r="AD11"/>
  <c r="W11"/>
  <c r="W18" s="1"/>
  <c r="L18"/>
  <c r="M18"/>
  <c r="N18"/>
  <c r="O18"/>
  <c r="P18"/>
  <c r="Q18"/>
  <c r="R18"/>
  <c r="S18"/>
  <c r="T18"/>
  <c r="U18"/>
  <c r="V18"/>
  <c r="X18"/>
  <c r="AB18"/>
  <c r="AD18"/>
  <c r="AE18"/>
  <c r="K18"/>
  <c r="L16"/>
  <c r="M16"/>
  <c r="N16"/>
  <c r="O16"/>
  <c r="P16"/>
  <c r="Q16"/>
  <c r="R16"/>
  <c r="S16"/>
  <c r="T16"/>
  <c r="U16"/>
  <c r="V16"/>
  <c r="AD15"/>
  <c r="AC15"/>
  <c r="AB15"/>
  <c r="AA15"/>
  <c r="AD14"/>
  <c r="AC14"/>
  <c r="AB14"/>
  <c r="AA14"/>
  <c r="AD13"/>
  <c r="AC13"/>
  <c r="AB13"/>
  <c r="AA13"/>
  <c r="AD12"/>
  <c r="AC12"/>
  <c r="AB12"/>
  <c r="AA12"/>
  <c r="AD10"/>
  <c r="AC10"/>
  <c r="AB10"/>
  <c r="AA10"/>
  <c r="AD9"/>
  <c r="AC9"/>
  <c r="AB9"/>
  <c r="AA9"/>
  <c r="AD8"/>
  <c r="AC8"/>
  <c r="AB8"/>
  <c r="AA8"/>
  <c r="AD7"/>
  <c r="AC7"/>
  <c r="AB7"/>
  <c r="AA7"/>
  <c r="AD6"/>
  <c r="AC6"/>
  <c r="AB6"/>
  <c r="AA6"/>
  <c r="AD5"/>
  <c r="AC5"/>
  <c r="AB5"/>
  <c r="AA5"/>
  <c r="Y15"/>
  <c r="X15"/>
  <c r="W15"/>
  <c r="Z14"/>
  <c r="Y14"/>
  <c r="X14"/>
  <c r="W14"/>
  <c r="Z13"/>
  <c r="Y13"/>
  <c r="X13"/>
  <c r="W13"/>
  <c r="Z12"/>
  <c r="Y12"/>
  <c r="X12"/>
  <c r="W12"/>
  <c r="Z10"/>
  <c r="Y10"/>
  <c r="X10"/>
  <c r="W10"/>
  <c r="Z9"/>
  <c r="Y9"/>
  <c r="X9"/>
  <c r="W9"/>
  <c r="Z8"/>
  <c r="Y8"/>
  <c r="X8"/>
  <c r="W8"/>
  <c r="Z7"/>
  <c r="Y7"/>
  <c r="X7"/>
  <c r="W7"/>
  <c r="Z6"/>
  <c r="Y6"/>
  <c r="X6"/>
  <c r="W6"/>
  <c r="Z5"/>
  <c r="X5"/>
  <c r="W5"/>
  <c r="V15"/>
  <c r="U15"/>
  <c r="T15"/>
  <c r="S15"/>
  <c r="V14"/>
  <c r="U14"/>
  <c r="T14"/>
  <c r="S14"/>
  <c r="V13"/>
  <c r="U13"/>
  <c r="T13"/>
  <c r="S13"/>
  <c r="V12"/>
  <c r="U12"/>
  <c r="T12"/>
  <c r="S12"/>
  <c r="V10"/>
  <c r="U10"/>
  <c r="T10"/>
  <c r="S10"/>
  <c r="V9"/>
  <c r="U9"/>
  <c r="T9"/>
  <c r="S9"/>
  <c r="V8"/>
  <c r="U8"/>
  <c r="T8"/>
  <c r="S8"/>
  <c r="V7"/>
  <c r="U7"/>
  <c r="T7"/>
  <c r="S7"/>
  <c r="V6"/>
  <c r="U6"/>
  <c r="T6"/>
  <c r="S6"/>
  <c r="V5"/>
  <c r="U5"/>
  <c r="T5"/>
  <c r="S5"/>
  <c r="V11"/>
  <c r="U11"/>
  <c r="T11"/>
  <c r="S6" i="200"/>
  <c r="U65"/>
  <c r="U63"/>
  <c r="BE31"/>
  <c r="AA18" i="66" l="1"/>
  <c r="AC18"/>
  <c r="T74" i="227" l="1"/>
  <c r="AX6" i="200"/>
  <c r="AM6" i="227"/>
  <c r="AY6"/>
  <c r="AE6"/>
  <c r="K9" i="220" l="1"/>
  <c r="BE40"/>
  <c r="BE39"/>
  <c r="AL8" i="227"/>
  <c r="AY9" i="220"/>
  <c r="BI39" i="66" l="1"/>
  <c r="BH39"/>
  <c r="BG39"/>
  <c r="BF39"/>
  <c r="BD39"/>
  <c r="BC39"/>
  <c r="BB39"/>
  <c r="BA39"/>
  <c r="BJ38"/>
  <c r="BE38"/>
  <c r="BK38" s="1"/>
  <c r="BJ37"/>
  <c r="BE37"/>
  <c r="BJ36"/>
  <c r="BE36"/>
  <c r="BJ35"/>
  <c r="BI34"/>
  <c r="BI40" s="1"/>
  <c r="BH34"/>
  <c r="BH40" s="1"/>
  <c r="BG34"/>
  <c r="BG40" s="1"/>
  <c r="BF34"/>
  <c r="BF40" s="1"/>
  <c r="BD34"/>
  <c r="BD40" s="1"/>
  <c r="BC34"/>
  <c r="BC40" s="1"/>
  <c r="BB34"/>
  <c r="BB40" s="1"/>
  <c r="BA34"/>
  <c r="BA40" s="1"/>
  <c r="BJ33"/>
  <c r="BE33"/>
  <c r="BK33" s="1"/>
  <c r="BJ32"/>
  <c r="BE32"/>
  <c r="BK32" s="1"/>
  <c r="BJ31"/>
  <c r="BE31"/>
  <c r="BK31" s="1"/>
  <c r="BJ30"/>
  <c r="BE30"/>
  <c r="BK30" s="1"/>
  <c r="BJ29"/>
  <c r="BE29"/>
  <c r="BK29" s="1"/>
  <c r="BJ28"/>
  <c r="BJ34" s="1"/>
  <c r="BE28"/>
  <c r="BE34" s="1"/>
  <c r="BJ13"/>
  <c r="BJ14"/>
  <c r="BJ15"/>
  <c r="BJ12"/>
  <c r="BJ6"/>
  <c r="BJ7"/>
  <c r="BJ8"/>
  <c r="BJ9"/>
  <c r="BJ10"/>
  <c r="BJ5"/>
  <c r="BE13"/>
  <c r="BE14"/>
  <c r="BE6"/>
  <c r="BE7"/>
  <c r="BE8"/>
  <c r="BE9"/>
  <c r="BE10"/>
  <c r="BE5"/>
  <c r="BK14" l="1"/>
  <c r="BK13"/>
  <c r="BJ16"/>
  <c r="BK9"/>
  <c r="BK7"/>
  <c r="BE11"/>
  <c r="BJ11"/>
  <c r="BK8"/>
  <c r="BK5"/>
  <c r="BK10"/>
  <c r="BK6"/>
  <c r="BJ39"/>
  <c r="BJ40" s="1"/>
  <c r="BK37"/>
  <c r="AY40"/>
  <c r="BK36"/>
  <c r="AZ40"/>
  <c r="BE35"/>
  <c r="BK28"/>
  <c r="BJ18" l="1"/>
  <c r="BK11"/>
  <c r="BK35"/>
  <c r="BE39"/>
  <c r="BE40" s="1"/>
  <c r="BK40" s="1"/>
  <c r="BK34"/>
  <c r="BK39" l="1"/>
  <c r="BK41" l="1"/>
  <c r="BQ16" l="1"/>
  <c r="BQ11"/>
  <c r="BM11"/>
  <c r="BP6"/>
  <c r="BR6" s="1"/>
  <c r="BP7"/>
  <c r="BR7" s="1"/>
  <c r="BP8"/>
  <c r="BR8" s="1"/>
  <c r="BP9"/>
  <c r="BR9" s="1"/>
  <c r="BP10"/>
  <c r="BR10" s="1"/>
  <c r="BP12"/>
  <c r="BR12" s="1"/>
  <c r="BP13"/>
  <c r="BR13" s="1"/>
  <c r="BP14"/>
  <c r="BR14" s="1"/>
  <c r="BP15"/>
  <c r="BR15" s="1"/>
  <c r="BP17"/>
  <c r="BR17" s="1"/>
  <c r="BP5"/>
  <c r="BR5" s="1"/>
  <c r="BN16"/>
  <c r="BO16"/>
  <c r="BM16"/>
  <c r="BN11"/>
  <c r="BO11"/>
  <c r="BF11"/>
  <c r="BG11"/>
  <c r="BH11"/>
  <c r="BI11"/>
  <c r="BF16"/>
  <c r="BG16"/>
  <c r="BH16"/>
  <c r="BI16"/>
  <c r="AY15"/>
  <c r="BE15" s="1"/>
  <c r="BK15" s="1"/>
  <c r="AZ12"/>
  <c r="BE12" s="1"/>
  <c r="BM18" l="1"/>
  <c r="BE16"/>
  <c r="BE18" s="1"/>
  <c r="BK12"/>
  <c r="BK16" s="1"/>
  <c r="BK19" s="1"/>
  <c r="BO18"/>
  <c r="BQ18"/>
  <c r="BG18"/>
  <c r="BN18"/>
  <c r="BH18"/>
  <c r="BI18"/>
  <c r="BF18"/>
  <c r="BP11"/>
  <c r="BR11" s="1"/>
  <c r="BP16"/>
  <c r="BR16" s="1"/>
  <c r="BB36" i="209"/>
  <c r="BK18" i="66" l="1"/>
  <c r="BL31" s="1"/>
  <c r="BP18"/>
  <c r="BR18" s="1"/>
  <c r="BL37" l="1"/>
  <c r="BL39"/>
  <c r="BL38"/>
  <c r="BL29"/>
  <c r="BL36"/>
  <c r="BL28"/>
  <c r="BL34"/>
  <c r="BL32"/>
  <c r="BL30"/>
  <c r="BL35"/>
  <c r="BL33"/>
  <c r="BE6" i="82" l="1"/>
  <c r="BE7"/>
  <c r="BE8"/>
  <c r="BE9"/>
  <c r="BE10"/>
  <c r="BE5"/>
  <c r="BE13" l="1"/>
  <c r="BE14"/>
  <c r="BD16"/>
  <c r="BC11"/>
  <c r="BD11"/>
  <c r="BD18" s="1"/>
  <c r="BC15" l="1"/>
  <c r="BC12"/>
  <c r="BB15"/>
  <c r="BB12"/>
  <c r="BA12"/>
  <c r="AZ12"/>
  <c r="AY12"/>
  <c r="BC16" l="1"/>
  <c r="BC18" s="1"/>
  <c r="BE12"/>
  <c r="BE15"/>
  <c r="BB16"/>
  <c r="AC67" i="202" l="1"/>
  <c r="L45" i="186"/>
  <c r="BE18" i="77" l="1"/>
  <c r="BB16"/>
  <c r="BA11"/>
  <c r="BB11"/>
  <c r="BC11"/>
  <c r="BD11"/>
  <c r="AZ11"/>
  <c r="AY39" i="184" l="1"/>
  <c r="AY38"/>
  <c r="AY37"/>
  <c r="T74" l="1"/>
  <c r="BH11" i="71" l="1"/>
  <c r="R72" i="183"/>
  <c r="E29" i="182" l="1"/>
  <c r="AD10" i="27" l="1"/>
  <c r="AC10"/>
  <c r="Z15" l="1"/>
  <c r="Y15"/>
  <c r="O18"/>
  <c r="P18"/>
  <c r="Q18"/>
  <c r="R18"/>
  <c r="T74" i="180" l="1"/>
  <c r="K10" i="200" l="1"/>
  <c r="AM24" l="1"/>
  <c r="BK16" i="27" l="1"/>
  <c r="BK11"/>
  <c r="BJ16"/>
  <c r="BJ11"/>
  <c r="BI16"/>
  <c r="BI11"/>
  <c r="BJ18" l="1"/>
  <c r="BK18"/>
  <c r="BI18"/>
  <c r="M33" i="194" l="1"/>
  <c r="Z16" i="77" l="1"/>
  <c r="Y16"/>
  <c r="T72" i="224" l="1"/>
  <c r="M72" i="223" l="1"/>
  <c r="U72"/>
  <c r="T57" i="201" l="1"/>
  <c r="L45" i="185" l="1"/>
  <c r="AB34" i="183" l="1"/>
  <c r="J30" i="179" l="1"/>
  <c r="W33"/>
  <c r="H43" i="182" l="1"/>
  <c r="AA40" i="180"/>
  <c r="AS36" i="227" l="1"/>
  <c r="AS35"/>
  <c r="BF32" i="195" l="1"/>
  <c r="BG33" i="196"/>
  <c r="AD24" i="220"/>
  <c r="N15" i="66" l="1"/>
  <c r="AQ17"/>
  <c r="AQ10" i="195" l="1"/>
  <c r="AY11" i="66" l="1"/>
  <c r="AM10" i="208" l="1"/>
  <c r="AH65" i="206" l="1"/>
  <c r="AH64"/>
  <c r="AX49" i="71" l="1"/>
  <c r="AW45"/>
  <c r="BN43" l="1"/>
  <c r="BN44"/>
  <c r="BN45"/>
  <c r="BN36"/>
  <c r="BN37"/>
  <c r="BN38"/>
  <c r="BN39"/>
  <c r="BN40"/>
  <c r="BI41"/>
  <c r="BI46"/>
  <c r="BG46"/>
  <c r="BK46"/>
  <c r="BM46"/>
  <c r="BK41"/>
  <c r="BM41"/>
  <c r="BG41"/>
  <c r="BC46"/>
  <c r="BC41"/>
  <c r="BM47" l="1"/>
  <c r="BN35"/>
  <c r="BN42"/>
  <c r="BI49"/>
  <c r="BJ47"/>
  <c r="BC47"/>
  <c r="BK47"/>
  <c r="BL47"/>
  <c r="BG47"/>
  <c r="BI47"/>
  <c r="P10" i="186"/>
  <c r="BN46" i="71" l="1"/>
  <c r="BN41"/>
  <c r="R10" i="186"/>
  <c r="W10" i="201"/>
  <c r="BD16" i="71" l="1"/>
  <c r="BE16"/>
  <c r="BF16"/>
  <c r="BG16"/>
  <c r="BH16"/>
  <c r="BD11"/>
  <c r="BE11"/>
  <c r="BF11"/>
  <c r="BG11"/>
  <c r="BC16"/>
  <c r="BC11"/>
  <c r="BC18" l="1"/>
  <c r="BD18"/>
  <c r="BH18"/>
  <c r="BE18"/>
  <c r="BF18"/>
  <c r="BG18"/>
  <c r="BH56" i="27" l="1"/>
  <c r="BF56"/>
  <c r="BD56"/>
  <c r="BB56"/>
  <c r="BH51"/>
  <c r="BH57" s="1"/>
  <c r="BF51"/>
  <c r="BD51"/>
  <c r="BB51"/>
  <c r="AZ52"/>
  <c r="BM52" s="1"/>
  <c r="BM48"/>
  <c r="BD57"/>
  <c r="BM53"/>
  <c r="BM54"/>
  <c r="BM55"/>
  <c r="BM46"/>
  <c r="BM47"/>
  <c r="BM49"/>
  <c r="BM50"/>
  <c r="BM45"/>
  <c r="BG56"/>
  <c r="BG57" s="1"/>
  <c r="BA45"/>
  <c r="BA51" s="1"/>
  <c r="BL53"/>
  <c r="BL54"/>
  <c r="BL55"/>
  <c r="BL52"/>
  <c r="BL46"/>
  <c r="BL47"/>
  <c r="BL48"/>
  <c r="BL49"/>
  <c r="BL50"/>
  <c r="BE56"/>
  <c r="BC56"/>
  <c r="BA56"/>
  <c r="AY56"/>
  <c r="BE51"/>
  <c r="BE57" s="1"/>
  <c r="BC51"/>
  <c r="BC57" s="1"/>
  <c r="AY51"/>
  <c r="BA57" l="1"/>
  <c r="BF57"/>
  <c r="BB57"/>
  <c r="BM51"/>
  <c r="BM56"/>
  <c r="AZ56"/>
  <c r="AZ51"/>
  <c r="AY57"/>
  <c r="BL45"/>
  <c r="BL56"/>
  <c r="BL57" l="1"/>
  <c r="BM57"/>
  <c r="AZ57"/>
  <c r="BL51"/>
  <c r="BN57" l="1"/>
  <c r="BN47"/>
  <c r="BN46"/>
  <c r="BN52"/>
  <c r="BN50"/>
  <c r="BN49"/>
  <c r="BN54"/>
  <c r="BN55"/>
  <c r="BN48"/>
  <c r="BN53"/>
  <c r="BN56"/>
  <c r="BN51"/>
  <c r="BN45"/>
  <c r="W37" i="176" l="1"/>
  <c r="B27" i="37" l="1"/>
  <c r="BE6" i="27" l="1"/>
  <c r="BE7"/>
  <c r="BE8"/>
  <c r="BE9"/>
  <c r="BE10"/>
  <c r="BE5"/>
  <c r="L45" i="196" l="1"/>
  <c r="O58" i="37" l="1"/>
  <c r="O63"/>
  <c r="O64" l="1"/>
  <c r="R72" i="219"/>
  <c r="U54" i="37"/>
  <c r="U61"/>
  <c r="U60"/>
  <c r="U59"/>
  <c r="N58"/>
  <c r="V10" i="219"/>
  <c r="R63" i="37" l="1"/>
  <c r="R64" s="1"/>
  <c r="R58"/>
  <c r="S58"/>
  <c r="S63"/>
  <c r="P63"/>
  <c r="N63"/>
  <c r="P58"/>
  <c r="Q60"/>
  <c r="Q61"/>
  <c r="Q62"/>
  <c r="Q59"/>
  <c r="Q54"/>
  <c r="Q55"/>
  <c r="Q56"/>
  <c r="Q57"/>
  <c r="Q53"/>
  <c r="Q63" l="1"/>
  <c r="P64"/>
  <c r="Q58"/>
  <c r="N64"/>
  <c r="S64"/>
  <c r="AH43" i="207"/>
  <c r="AH42"/>
  <c r="Q64" i="37" l="1"/>
  <c r="BB19" i="180" l="1"/>
  <c r="AC71" i="200" l="1"/>
  <c r="AC70"/>
  <c r="BD25" i="27" l="1"/>
  <c r="BD26"/>
  <c r="BD27"/>
  <c r="BD28"/>
  <c r="BD29"/>
  <c r="BD24"/>
  <c r="AY30"/>
  <c r="AZ30"/>
  <c r="BA30"/>
  <c r="BB30"/>
  <c r="AX35"/>
  <c r="AY35"/>
  <c r="AZ35"/>
  <c r="BA35"/>
  <c r="BB35"/>
  <c r="AY36"/>
  <c r="BC30"/>
  <c r="AZ36" l="1"/>
  <c r="BA36"/>
  <c r="BD36"/>
  <c r="BD30"/>
  <c r="BB36"/>
  <c r="BC36"/>
  <c r="BJ35"/>
  <c r="BK30"/>
  <c r="BL36" l="1"/>
  <c r="L45" i="227" l="1"/>
  <c r="AZ11" i="66" l="1"/>
  <c r="BA11"/>
  <c r="BB11"/>
  <c r="BC11"/>
  <c r="BD11"/>
  <c r="U72" i="219" l="1"/>
  <c r="S72"/>
  <c r="Q72"/>
  <c r="P72"/>
  <c r="O72"/>
  <c r="N72"/>
  <c r="M72"/>
  <c r="T74" s="1"/>
  <c r="T71"/>
  <c r="T70"/>
  <c r="T69"/>
  <c r="T68"/>
  <c r="T67"/>
  <c r="T66"/>
  <c r="T65"/>
  <c r="T64"/>
  <c r="T63"/>
  <c r="T62"/>
  <c r="T72" l="1"/>
  <c r="T73" s="1"/>
  <c r="AV6" i="229"/>
  <c r="U72" i="209" l="1"/>
  <c r="K31" i="37" l="1"/>
  <c r="K36"/>
  <c r="L10" i="208" l="1"/>
  <c r="W33" i="224" l="1"/>
  <c r="J31"/>
  <c r="R72" l="1"/>
  <c r="Q72"/>
  <c r="P72"/>
  <c r="O72"/>
  <c r="N72"/>
  <c r="M72"/>
  <c r="S71"/>
  <c r="S70"/>
  <c r="S69"/>
  <c r="S68"/>
  <c r="S67"/>
  <c r="S66"/>
  <c r="S65"/>
  <c r="S64"/>
  <c r="S63"/>
  <c r="S62"/>
  <c r="S72" l="1"/>
  <c r="W34" i="204" l="1"/>
  <c r="L46" l="1"/>
  <c r="N58"/>
  <c r="AI41" l="1"/>
  <c r="L45" i="203" l="1"/>
  <c r="M33" i="186" l="1"/>
  <c r="S72"/>
  <c r="P72"/>
  <c r="O72"/>
  <c r="N72"/>
  <c r="M72"/>
  <c r="T71"/>
  <c r="T70"/>
  <c r="T69"/>
  <c r="T68"/>
  <c r="T67"/>
  <c r="T66"/>
  <c r="T65"/>
  <c r="T64"/>
  <c r="T63"/>
  <c r="U72"/>
  <c r="T62"/>
  <c r="K10"/>
  <c r="AV10"/>
  <c r="T72" l="1"/>
  <c r="T73" s="1"/>
  <c r="L45" i="223" l="1"/>
  <c r="M33" l="1"/>
  <c r="AH50"/>
  <c r="W33" i="185" l="1"/>
  <c r="L45" i="184" l="1"/>
  <c r="W33" l="1"/>
  <c r="X57"/>
  <c r="Y57"/>
  <c r="Z57"/>
  <c r="AA57"/>
  <c r="AB57"/>
  <c r="AC57"/>
  <c r="W57"/>
  <c r="L45" i="183" l="1"/>
  <c r="L10" i="198" l="1"/>
  <c r="S72" i="181" l="1"/>
  <c r="Q72"/>
  <c r="P72"/>
  <c r="O72"/>
  <c r="N72"/>
  <c r="M72"/>
  <c r="T71"/>
  <c r="T70"/>
  <c r="T69"/>
  <c r="T68"/>
  <c r="T67"/>
  <c r="T66"/>
  <c r="T65"/>
  <c r="T64"/>
  <c r="U72"/>
  <c r="T63"/>
  <c r="T62"/>
  <c r="T74" l="1"/>
  <c r="T72"/>
  <c r="T73" s="1"/>
  <c r="AM10" i="197"/>
  <c r="V81" l="1"/>
  <c r="R72" l="1"/>
  <c r="S72"/>
  <c r="Q72"/>
  <c r="P72"/>
  <c r="O72"/>
  <c r="N72"/>
  <c r="M72"/>
  <c r="T71"/>
  <c r="T70"/>
  <c r="T69"/>
  <c r="T68"/>
  <c r="T67"/>
  <c r="T66"/>
  <c r="T65"/>
  <c r="T64"/>
  <c r="T63"/>
  <c r="U72"/>
  <c r="T62"/>
  <c r="T72" l="1"/>
  <c r="T73" s="1"/>
  <c r="L45" i="180"/>
  <c r="BT8" i="27" l="1"/>
  <c r="AA41" i="227" l="1"/>
  <c r="S72" l="1"/>
  <c r="Q72"/>
  <c r="P72"/>
  <c r="O72"/>
  <c r="N72"/>
  <c r="M72"/>
  <c r="T71"/>
  <c r="T70"/>
  <c r="T69"/>
  <c r="T68"/>
  <c r="T67"/>
  <c r="T66"/>
  <c r="T65"/>
  <c r="T64"/>
  <c r="T63"/>
  <c r="T62"/>
  <c r="T72" l="1"/>
  <c r="L45" i="194" l="1"/>
  <c r="X57" l="1"/>
  <c r="Y57"/>
  <c r="Z57"/>
  <c r="AA57"/>
  <c r="AB57"/>
  <c r="N24" i="196" l="1"/>
  <c r="AL10" i="177"/>
  <c r="AM10"/>
  <c r="AN10"/>
  <c r="AO10"/>
  <c r="AP10"/>
  <c r="AQ10"/>
  <c r="AR10"/>
  <c r="AS10"/>
  <c r="AT10"/>
  <c r="AU10"/>
  <c r="AV10"/>
  <c r="AW10"/>
  <c r="AX10"/>
  <c r="AY10"/>
  <c r="AZ10"/>
  <c r="R72" i="209" l="1"/>
  <c r="S72"/>
  <c r="Q72"/>
  <c r="P72"/>
  <c r="O72"/>
  <c r="N72"/>
  <c r="M72"/>
  <c r="T74" s="1"/>
  <c r="T71"/>
  <c r="T70"/>
  <c r="T69"/>
  <c r="T68"/>
  <c r="T67"/>
  <c r="T66"/>
  <c r="T65"/>
  <c r="T64"/>
  <c r="T63"/>
  <c r="T62"/>
  <c r="T72" l="1"/>
  <c r="T73" s="1"/>
  <c r="AD50" i="208" l="1"/>
  <c r="E62" i="37"/>
  <c r="D62"/>
  <c r="G61"/>
  <c r="F61"/>
  <c r="E61"/>
  <c r="D61"/>
  <c r="G60"/>
  <c r="F60"/>
  <c r="E60"/>
  <c r="D60"/>
  <c r="G59"/>
  <c r="F59"/>
  <c r="E59"/>
  <c r="D59"/>
  <c r="G58"/>
  <c r="F58"/>
  <c r="E58"/>
  <c r="D58"/>
  <c r="G57"/>
  <c r="F57"/>
  <c r="E57"/>
  <c r="D57"/>
  <c r="G56"/>
  <c r="G62" s="1"/>
  <c r="F56"/>
  <c r="H62" s="1"/>
  <c r="I53" s="1"/>
  <c r="E56"/>
  <c r="D56"/>
  <c r="G55"/>
  <c r="F55"/>
  <c r="E55"/>
  <c r="D55"/>
  <c r="G54"/>
  <c r="F54"/>
  <c r="E54"/>
  <c r="D54"/>
  <c r="G53"/>
  <c r="F53"/>
  <c r="E53"/>
  <c r="D53"/>
  <c r="G52"/>
  <c r="F52"/>
  <c r="E52"/>
  <c r="D52"/>
  <c r="G51"/>
  <c r="F51"/>
  <c r="E51"/>
  <c r="D51"/>
  <c r="G50"/>
  <c r="F50"/>
  <c r="E50"/>
  <c r="D50"/>
  <c r="I59" l="1"/>
  <c r="I54"/>
  <c r="I60"/>
  <c r="I55"/>
  <c r="I51"/>
  <c r="I62"/>
  <c r="I57"/>
  <c r="I52"/>
  <c r="I50"/>
  <c r="I58"/>
  <c r="F62"/>
  <c r="AD48" i="208" l="1"/>
  <c r="AD49"/>
  <c r="AD51"/>
  <c r="AD52"/>
  <c r="AD53"/>
  <c r="AD54"/>
  <c r="AD55"/>
  <c r="AD56"/>
  <c r="AD47"/>
  <c r="T63"/>
  <c r="T64"/>
  <c r="T65"/>
  <c r="T66"/>
  <c r="T67"/>
  <c r="T68"/>
  <c r="T69"/>
  <c r="T70"/>
  <c r="T71"/>
  <c r="T62"/>
  <c r="M72" i="206" l="1"/>
  <c r="N72"/>
  <c r="O72"/>
  <c r="P72"/>
  <c r="Q72"/>
  <c r="L45" l="1"/>
  <c r="S72"/>
  <c r="T71"/>
  <c r="T70"/>
  <c r="T69"/>
  <c r="T68"/>
  <c r="T67"/>
  <c r="T66"/>
  <c r="T65"/>
  <c r="T64"/>
  <c r="T63"/>
  <c r="U72"/>
  <c r="T62" l="1"/>
  <c r="T72" s="1"/>
  <c r="T73" s="1"/>
  <c r="N72" i="205" l="1"/>
  <c r="O72"/>
  <c r="P72"/>
  <c r="Q72"/>
  <c r="R72"/>
  <c r="S72"/>
  <c r="M72"/>
  <c r="T74" s="1"/>
  <c r="T71"/>
  <c r="T70"/>
  <c r="T69"/>
  <c r="T68"/>
  <c r="T67"/>
  <c r="T66"/>
  <c r="T65"/>
  <c r="T64"/>
  <c r="T63"/>
  <c r="U72"/>
  <c r="T62"/>
  <c r="T72" l="1"/>
  <c r="T73" s="1"/>
  <c r="S73" i="204" l="1"/>
  <c r="R73"/>
  <c r="Q73"/>
  <c r="P73"/>
  <c r="O73"/>
  <c r="N73"/>
  <c r="M73"/>
  <c r="T72"/>
  <c r="T71"/>
  <c r="T70"/>
  <c r="T69"/>
  <c r="T68"/>
  <c r="T67"/>
  <c r="T66"/>
  <c r="T65"/>
  <c r="T64"/>
  <c r="U73"/>
  <c r="T63"/>
  <c r="M72" i="203"/>
  <c r="T73" i="204" l="1"/>
  <c r="T74" s="1"/>
  <c r="R72" i="203" l="1"/>
  <c r="S72"/>
  <c r="Q72"/>
  <c r="P72"/>
  <c r="O72"/>
  <c r="N72"/>
  <c r="T71"/>
  <c r="T70"/>
  <c r="T69"/>
  <c r="T68"/>
  <c r="T67"/>
  <c r="T66"/>
  <c r="T65"/>
  <c r="T64"/>
  <c r="T63"/>
  <c r="U72"/>
  <c r="T62"/>
  <c r="T72" l="1"/>
  <c r="T73" s="1"/>
  <c r="N33" i="202" l="1"/>
  <c r="N34"/>
  <c r="N35"/>
  <c r="N36"/>
  <c r="N37"/>
  <c r="N39"/>
  <c r="N40"/>
  <c r="N41"/>
  <c r="M37"/>
  <c r="O33"/>
  <c r="O34"/>
  <c r="O35"/>
  <c r="O36"/>
  <c r="O37"/>
  <c r="O38"/>
  <c r="O39"/>
  <c r="O40"/>
  <c r="O41"/>
  <c r="O42"/>
  <c r="P33"/>
  <c r="P34"/>
  <c r="P36"/>
  <c r="P37"/>
  <c r="S71"/>
  <c r="Q71"/>
  <c r="P71"/>
  <c r="O71"/>
  <c r="N71"/>
  <c r="M71"/>
  <c r="T70"/>
  <c r="T69"/>
  <c r="T68"/>
  <c r="T67"/>
  <c r="T66"/>
  <c r="T65"/>
  <c r="T64"/>
  <c r="T63"/>
  <c r="T62"/>
  <c r="U71"/>
  <c r="T61"/>
  <c r="T63" i="223"/>
  <c r="T64"/>
  <c r="T65"/>
  <c r="T66"/>
  <c r="T67"/>
  <c r="T68"/>
  <c r="T69"/>
  <c r="T70"/>
  <c r="T71"/>
  <c r="T62"/>
  <c r="N72"/>
  <c r="O72"/>
  <c r="P72"/>
  <c r="Q72"/>
  <c r="R72"/>
  <c r="S72"/>
  <c r="S72" i="201"/>
  <c r="Q72"/>
  <c r="P72"/>
  <c r="O72"/>
  <c r="N72"/>
  <c r="M72"/>
  <c r="T71"/>
  <c r="T70"/>
  <c r="T69"/>
  <c r="T68"/>
  <c r="T67"/>
  <c r="T66"/>
  <c r="T65"/>
  <c r="T64"/>
  <c r="T63"/>
  <c r="U72"/>
  <c r="T62"/>
  <c r="T71" i="202" l="1"/>
  <c r="T72" s="1"/>
  <c r="T72" i="223"/>
  <c r="T73" s="1"/>
  <c r="T72" i="201"/>
  <c r="T73" s="1"/>
  <c r="N73" i="185"/>
  <c r="O73"/>
  <c r="P73"/>
  <c r="Q73"/>
  <c r="R73"/>
  <c r="S73"/>
  <c r="M73"/>
  <c r="U73"/>
  <c r="T72"/>
  <c r="T71"/>
  <c r="T70"/>
  <c r="T69"/>
  <c r="T68"/>
  <c r="T67"/>
  <c r="T66"/>
  <c r="T65"/>
  <c r="T64"/>
  <c r="T63"/>
  <c r="T73" l="1"/>
  <c r="T74" s="1"/>
  <c r="N72" i="184" l="1"/>
  <c r="O72"/>
  <c r="P72"/>
  <c r="Q72"/>
  <c r="R72"/>
  <c r="S72"/>
  <c r="U72"/>
  <c r="M72"/>
  <c r="T71"/>
  <c r="T70"/>
  <c r="T69"/>
  <c r="T68"/>
  <c r="T67"/>
  <c r="T66"/>
  <c r="T65"/>
  <c r="T64"/>
  <c r="T63"/>
  <c r="T62"/>
  <c r="T72" l="1"/>
  <c r="AA38" i="198" l="1"/>
  <c r="S72" i="183" l="1"/>
  <c r="Q72"/>
  <c r="P72"/>
  <c r="O72"/>
  <c r="N72"/>
  <c r="M72"/>
  <c r="T71"/>
  <c r="T70"/>
  <c r="T69"/>
  <c r="T68"/>
  <c r="T67"/>
  <c r="T66"/>
  <c r="T65"/>
  <c r="T64"/>
  <c r="T63"/>
  <c r="U72"/>
  <c r="T62"/>
  <c r="T72" l="1"/>
  <c r="T73" s="1"/>
  <c r="S73" i="198" l="1"/>
  <c r="Q73"/>
  <c r="P73"/>
  <c r="O73"/>
  <c r="N73"/>
  <c r="M73"/>
  <c r="T72"/>
  <c r="T71"/>
  <c r="T70"/>
  <c r="T69"/>
  <c r="T68"/>
  <c r="T67"/>
  <c r="T66"/>
  <c r="T65"/>
  <c r="T64"/>
  <c r="U73"/>
  <c r="T63"/>
  <c r="T73" l="1"/>
  <c r="T74" s="1"/>
  <c r="M72" i="221" l="1"/>
  <c r="S72" l="1"/>
  <c r="Q72"/>
  <c r="P72"/>
  <c r="O72"/>
  <c r="N72"/>
  <c r="T71"/>
  <c r="T70"/>
  <c r="T69"/>
  <c r="T68"/>
  <c r="T67"/>
  <c r="T66"/>
  <c r="T65"/>
  <c r="T64"/>
  <c r="T63"/>
  <c r="T62"/>
  <c r="T71" i="179"/>
  <c r="T70"/>
  <c r="U72"/>
  <c r="T69"/>
  <c r="T68"/>
  <c r="T67"/>
  <c r="T66"/>
  <c r="T65"/>
  <c r="T64"/>
  <c r="T63"/>
  <c r="T62"/>
  <c r="T72" i="221" l="1"/>
  <c r="T72" i="179"/>
  <c r="T73" s="1"/>
  <c r="U72" i="180" l="1"/>
  <c r="S72"/>
  <c r="Q72"/>
  <c r="P72"/>
  <c r="O72"/>
  <c r="N72"/>
  <c r="M72"/>
  <c r="T71"/>
  <c r="T70"/>
  <c r="T69"/>
  <c r="T68"/>
  <c r="T67"/>
  <c r="T66"/>
  <c r="T65"/>
  <c r="T64"/>
  <c r="T63"/>
  <c r="T62"/>
  <c r="T72" l="1"/>
  <c r="T73" s="1"/>
  <c r="U72" i="177"/>
  <c r="S72"/>
  <c r="Q72"/>
  <c r="P72"/>
  <c r="O72"/>
  <c r="N72"/>
  <c r="M72"/>
  <c r="T74" s="1"/>
  <c r="T71"/>
  <c r="T70"/>
  <c r="T69"/>
  <c r="T68"/>
  <c r="T67"/>
  <c r="T66"/>
  <c r="T65"/>
  <c r="T64"/>
  <c r="T63"/>
  <c r="T62"/>
  <c r="S73" i="200"/>
  <c r="Q73"/>
  <c r="P73"/>
  <c r="O73"/>
  <c r="N73"/>
  <c r="M73"/>
  <c r="T72"/>
  <c r="U73"/>
  <c r="T71"/>
  <c r="T70"/>
  <c r="T69"/>
  <c r="T68"/>
  <c r="T67"/>
  <c r="T66"/>
  <c r="T65"/>
  <c r="T64"/>
  <c r="T63"/>
  <c r="S72" i="220"/>
  <c r="Q72"/>
  <c r="P72"/>
  <c r="O72"/>
  <c r="N72"/>
  <c r="M72"/>
  <c r="T71"/>
  <c r="T70"/>
  <c r="T69"/>
  <c r="T68"/>
  <c r="T67"/>
  <c r="T66"/>
  <c r="T65"/>
  <c r="T64"/>
  <c r="T63"/>
  <c r="U72"/>
  <c r="T62"/>
  <c r="R72" i="176"/>
  <c r="S72"/>
  <c r="Q72"/>
  <c r="P72"/>
  <c r="O72"/>
  <c r="N72"/>
  <c r="M72"/>
  <c r="T71"/>
  <c r="T70"/>
  <c r="T69"/>
  <c r="T68"/>
  <c r="T67"/>
  <c r="T66"/>
  <c r="T65"/>
  <c r="T64"/>
  <c r="T63"/>
  <c r="T62"/>
  <c r="AR17" i="66"/>
  <c r="AS17"/>
  <c r="AT17"/>
  <c r="T72" i="177" l="1"/>
  <c r="T73" s="1"/>
  <c r="T73" i="200"/>
  <c r="T74" s="1"/>
  <c r="T72" i="220"/>
  <c r="T73" s="1"/>
  <c r="T72" i="176"/>
  <c r="Q72" i="194" l="1"/>
  <c r="P72"/>
  <c r="O72"/>
  <c r="N72"/>
  <c r="M72"/>
  <c r="T74" s="1"/>
  <c r="S71"/>
  <c r="S70"/>
  <c r="S69"/>
  <c r="S68"/>
  <c r="S67"/>
  <c r="S66"/>
  <c r="S65"/>
  <c r="S64"/>
  <c r="S63"/>
  <c r="S62"/>
  <c r="S72" i="195"/>
  <c r="Q72"/>
  <c r="P72"/>
  <c r="O72"/>
  <c r="N72"/>
  <c r="M72"/>
  <c r="T71"/>
  <c r="T70"/>
  <c r="T69"/>
  <c r="T68"/>
  <c r="T67"/>
  <c r="T66"/>
  <c r="T65"/>
  <c r="T64"/>
  <c r="T63"/>
  <c r="T62"/>
  <c r="S72" i="194" l="1"/>
  <c r="T72" i="195"/>
  <c r="S72" i="196"/>
  <c r="Q72"/>
  <c r="P72"/>
  <c r="O72"/>
  <c r="N72"/>
  <c r="M72"/>
  <c r="T71"/>
  <c r="T70"/>
  <c r="T69"/>
  <c r="T68"/>
  <c r="T67"/>
  <c r="T66"/>
  <c r="T65"/>
  <c r="T64"/>
  <c r="T63"/>
  <c r="T62"/>
  <c r="T72" l="1"/>
  <c r="U72" i="208"/>
  <c r="T72"/>
  <c r="S72"/>
  <c r="Q72"/>
  <c r="P72"/>
  <c r="O72"/>
  <c r="N72"/>
  <c r="M72"/>
  <c r="T73" l="1"/>
  <c r="R72" i="214" l="1"/>
  <c r="O72"/>
  <c r="M72" l="1"/>
  <c r="Q72"/>
  <c r="T71"/>
  <c r="T70"/>
  <c r="T67"/>
  <c r="T66"/>
  <c r="N72"/>
  <c r="T69"/>
  <c r="T68"/>
  <c r="T65"/>
  <c r="T64"/>
  <c r="P72"/>
  <c r="T63"/>
  <c r="S72"/>
  <c r="T62"/>
  <c r="T72" l="1"/>
  <c r="S72" i="207" l="1"/>
  <c r="Q72"/>
  <c r="P72"/>
  <c r="O72"/>
  <c r="N72"/>
  <c r="M72"/>
  <c r="T74" s="1"/>
  <c r="T71"/>
  <c r="T70"/>
  <c r="T69"/>
  <c r="T68"/>
  <c r="T67"/>
  <c r="T66"/>
  <c r="T65"/>
  <c r="T64"/>
  <c r="T63"/>
  <c r="T62"/>
  <c r="W54" i="206"/>
  <c r="W51"/>
  <c r="W48"/>
  <c r="AA47"/>
  <c r="T72" i="207" l="1"/>
  <c r="T73" s="1"/>
  <c r="AB57" i="223" l="1"/>
  <c r="AH22" i="183" l="1"/>
  <c r="AE52" i="207" l="1"/>
  <c r="L45" i="224" l="1"/>
  <c r="AR10" l="1"/>
  <c r="AB57"/>
  <c r="AC57"/>
  <c r="BC27" i="204" l="1"/>
  <c r="AE48" l="1"/>
  <c r="AB58" l="1"/>
  <c r="AE50" i="203" l="1"/>
  <c r="P10" i="223" l="1"/>
  <c r="AJ9"/>
  <c r="X36"/>
  <c r="X37"/>
  <c r="T57" l="1"/>
  <c r="AL47" i="185" l="1"/>
  <c r="AA34" i="184" l="1"/>
  <c r="AJ9" i="183" l="1"/>
  <c r="BF35" i="27" l="1"/>
  <c r="BE35"/>
  <c r="BD34"/>
  <c r="BD33"/>
  <c r="BD32"/>
  <c r="BD31"/>
  <c r="BG30"/>
  <c r="BF30"/>
  <c r="AY11"/>
  <c r="BC35" l="1"/>
  <c r="BE36" s="1"/>
  <c r="BH36"/>
  <c r="BG36"/>
  <c r="BE30" l="1"/>
  <c r="H19" i="182"/>
  <c r="H6"/>
  <c r="BE24" i="27" l="1"/>
  <c r="BE28"/>
  <c r="BD35"/>
  <c r="BE34"/>
  <c r="BE32"/>
  <c r="BE29"/>
  <c r="BE31"/>
  <c r="BE37"/>
  <c r="BE25"/>
  <c r="BE26"/>
  <c r="BE27"/>
  <c r="BE33"/>
  <c r="J10" i="180"/>
  <c r="BB17" i="200" l="1"/>
  <c r="AY16" i="66" l="1"/>
  <c r="AY18" l="1"/>
  <c r="AT10" i="204"/>
  <c r="AV10"/>
  <c r="AN10"/>
  <c r="AL10"/>
  <c r="AM10"/>
  <c r="AO10"/>
  <c r="AP10"/>
  <c r="AQ10"/>
  <c r="AR10"/>
  <c r="AS10"/>
  <c r="AU10"/>
  <c r="AW10"/>
  <c r="AX10"/>
  <c r="AY10"/>
  <c r="AZ10"/>
  <c r="BA10"/>
  <c r="O7" i="230" l="1"/>
  <c r="O6"/>
  <c r="O5"/>
  <c r="O4"/>
  <c r="O3"/>
  <c r="D9"/>
  <c r="D11"/>
  <c r="D6"/>
  <c r="C9"/>
  <c r="C11"/>
  <c r="C8"/>
  <c r="C6"/>
  <c r="C5"/>
  <c r="L5" s="1"/>
  <c r="C3"/>
  <c r="J13"/>
  <c r="I13"/>
  <c r="H13"/>
  <c r="G13"/>
  <c r="F13"/>
  <c r="E13"/>
  <c r="L12"/>
  <c r="K12"/>
  <c r="K11"/>
  <c r="L10"/>
  <c r="K10"/>
  <c r="K9"/>
  <c r="L8"/>
  <c r="K8"/>
  <c r="L7"/>
  <c r="K7"/>
  <c r="K6"/>
  <c r="L6"/>
  <c r="K5"/>
  <c r="L4"/>
  <c r="K4"/>
  <c r="K3"/>
  <c r="D13" l="1"/>
  <c r="C13"/>
  <c r="K13"/>
  <c r="L11"/>
  <c r="L3"/>
  <c r="L9"/>
  <c r="L13" l="1"/>
  <c r="K14" s="1"/>
  <c r="J53" i="219" l="1"/>
  <c r="M35" l="1"/>
  <c r="N35"/>
  <c r="O35"/>
  <c r="P35"/>
  <c r="Q35"/>
  <c r="N34"/>
  <c r="O34"/>
  <c r="P34"/>
  <c r="N36"/>
  <c r="O36"/>
  <c r="P36"/>
  <c r="Q36"/>
  <c r="Q37"/>
  <c r="R37"/>
  <c r="P37"/>
  <c r="P38"/>
  <c r="O38"/>
  <c r="O39"/>
  <c r="N39"/>
  <c r="N40"/>
  <c r="N41"/>
  <c r="N42"/>
  <c r="M42"/>
  <c r="O42"/>
  <c r="P42"/>
  <c r="Q42"/>
  <c r="R42"/>
  <c r="P40"/>
  <c r="Q40"/>
  <c r="P41"/>
  <c r="Q41"/>
  <c r="R38"/>
  <c r="O40"/>
  <c r="K47" l="1"/>
  <c r="J55"/>
  <c r="J50"/>
  <c r="K53" i="209" l="1"/>
  <c r="AY11" i="82" l="1"/>
  <c r="AZ11"/>
  <c r="BA11"/>
  <c r="BB11"/>
  <c r="BB18" s="1"/>
  <c r="BG11"/>
  <c r="AY16"/>
  <c r="BE16" s="1"/>
  <c r="AZ16"/>
  <c r="BA16"/>
  <c r="BG16"/>
  <c r="BE11" l="1"/>
  <c r="BG18"/>
  <c r="BA18"/>
  <c r="AY18"/>
  <c r="AZ18"/>
  <c r="BE18" l="1"/>
  <c r="BE19" s="1"/>
  <c r="J50" i="209"/>
  <c r="J47"/>
  <c r="BF5" i="82" l="1"/>
  <c r="BF15"/>
  <c r="BF9"/>
  <c r="BF12"/>
  <c r="BF14"/>
  <c r="BF7"/>
  <c r="BF16"/>
  <c r="BF13"/>
  <c r="BF11"/>
  <c r="BF10"/>
  <c r="BF8"/>
  <c r="BF6"/>
  <c r="J55" i="208" l="1"/>
  <c r="K53"/>
  <c r="K55"/>
  <c r="J55" i="224" l="1"/>
  <c r="J54" l="1"/>
  <c r="K47"/>
  <c r="J49"/>
  <c r="AH53" i="206" l="1"/>
  <c r="J55"/>
  <c r="J53"/>
  <c r="J47" l="1"/>
  <c r="AH53" i="205"/>
  <c r="K53"/>
  <c r="J48" i="204" l="1"/>
  <c r="K51"/>
  <c r="K54"/>
  <c r="K56"/>
  <c r="J54"/>
  <c r="AF53" i="203"/>
  <c r="Z10" l="1"/>
  <c r="K47" l="1"/>
  <c r="AZ17" i="71" l="1"/>
  <c r="X61" i="223"/>
  <c r="X68" s="1"/>
  <c r="X62"/>
  <c r="K53" i="201" l="1"/>
  <c r="AJ62" i="185"/>
  <c r="AJ63"/>
  <c r="AJ57" i="184" l="1"/>
  <c r="J55" l="1"/>
  <c r="K53"/>
  <c r="K52"/>
  <c r="K53" i="183"/>
  <c r="K52" l="1"/>
  <c r="J53"/>
  <c r="J52"/>
  <c r="T33" i="37"/>
  <c r="T30" l="1"/>
  <c r="T26"/>
  <c r="T32"/>
  <c r="T34"/>
  <c r="T28"/>
  <c r="T25"/>
  <c r="K53" i="181" l="1"/>
  <c r="K52"/>
  <c r="J55"/>
  <c r="J53"/>
  <c r="J52"/>
  <c r="AD60" i="197"/>
  <c r="J55" l="1"/>
  <c r="J53"/>
  <c r="BC27"/>
  <c r="AI57"/>
  <c r="AH57"/>
  <c r="AG57"/>
  <c r="AF57"/>
  <c r="AC57"/>
  <c r="AA57"/>
  <c r="Z57"/>
  <c r="Y57"/>
  <c r="X57"/>
  <c r="W57"/>
  <c r="R57"/>
  <c r="Q57"/>
  <c r="P57"/>
  <c r="O57"/>
  <c r="N57"/>
  <c r="M57"/>
  <c r="AE56"/>
  <c r="AD56"/>
  <c r="S56"/>
  <c r="AE55"/>
  <c r="AD55"/>
  <c r="S55"/>
  <c r="AE54"/>
  <c r="AD54"/>
  <c r="S54"/>
  <c r="AE53"/>
  <c r="AD53"/>
  <c r="S53"/>
  <c r="K53"/>
  <c r="J57"/>
  <c r="AE52"/>
  <c r="AD52"/>
  <c r="S52"/>
  <c r="K52"/>
  <c r="AE51"/>
  <c r="AD51"/>
  <c r="S51"/>
  <c r="AE50"/>
  <c r="AD50"/>
  <c r="S50"/>
  <c r="AE49"/>
  <c r="AD49"/>
  <c r="S49"/>
  <c r="AE48"/>
  <c r="AD48"/>
  <c r="S48"/>
  <c r="K48"/>
  <c r="AE47"/>
  <c r="AD47"/>
  <c r="S47"/>
  <c r="L45"/>
  <c r="AD42"/>
  <c r="AB42"/>
  <c r="AA42"/>
  <c r="Z42"/>
  <c r="Y42"/>
  <c r="X42"/>
  <c r="W42"/>
  <c r="R42"/>
  <c r="Q42"/>
  <c r="P42"/>
  <c r="O42"/>
  <c r="N42"/>
  <c r="M42"/>
  <c r="AD41"/>
  <c r="AB41"/>
  <c r="AA41"/>
  <c r="Z41"/>
  <c r="Y41"/>
  <c r="X41"/>
  <c r="W41"/>
  <c r="R41"/>
  <c r="Q41"/>
  <c r="P41"/>
  <c r="O41"/>
  <c r="N41"/>
  <c r="M41"/>
  <c r="AD40"/>
  <c r="AB40"/>
  <c r="AA40"/>
  <c r="Z40"/>
  <c r="Y40"/>
  <c r="X40"/>
  <c r="W40"/>
  <c r="R40"/>
  <c r="Q40"/>
  <c r="P40"/>
  <c r="O40"/>
  <c r="N40"/>
  <c r="M40"/>
  <c r="AD39"/>
  <c r="AB39"/>
  <c r="AA39"/>
  <c r="Z39"/>
  <c r="Y39"/>
  <c r="X39"/>
  <c r="W39"/>
  <c r="R39"/>
  <c r="P39"/>
  <c r="O39"/>
  <c r="N39"/>
  <c r="M39"/>
  <c r="AD38"/>
  <c r="AB38"/>
  <c r="AA38"/>
  <c r="Z38"/>
  <c r="Y38"/>
  <c r="X38"/>
  <c r="W38"/>
  <c r="R38"/>
  <c r="Q38"/>
  <c r="P38"/>
  <c r="O38"/>
  <c r="N38"/>
  <c r="M38"/>
  <c r="AD37"/>
  <c r="AB37"/>
  <c r="AA37"/>
  <c r="Z37"/>
  <c r="Y37"/>
  <c r="X37"/>
  <c r="W37"/>
  <c r="R37"/>
  <c r="Q37"/>
  <c r="P37"/>
  <c r="O37"/>
  <c r="N37"/>
  <c r="M37"/>
  <c r="AD36"/>
  <c r="AB36"/>
  <c r="AA36"/>
  <c r="Z36"/>
  <c r="Y36"/>
  <c r="X36"/>
  <c r="W36"/>
  <c r="R36"/>
  <c r="Q36"/>
  <c r="P36"/>
  <c r="O36"/>
  <c r="N36"/>
  <c r="M36"/>
  <c r="AD35"/>
  <c r="AB35"/>
  <c r="AA35"/>
  <c r="Z35"/>
  <c r="Y35"/>
  <c r="X35"/>
  <c r="W35"/>
  <c r="R35"/>
  <c r="Q35"/>
  <c r="P35"/>
  <c r="O35"/>
  <c r="N35"/>
  <c r="M35"/>
  <c r="AD34"/>
  <c r="AB34"/>
  <c r="AA34"/>
  <c r="Z34"/>
  <c r="Y34"/>
  <c r="X34"/>
  <c r="W34"/>
  <c r="R34"/>
  <c r="Q34"/>
  <c r="P34"/>
  <c r="O34"/>
  <c r="N34"/>
  <c r="M34"/>
  <c r="AD33"/>
  <c r="AB33"/>
  <c r="AA33"/>
  <c r="Z33"/>
  <c r="Y33"/>
  <c r="X33"/>
  <c r="W33"/>
  <c r="R33"/>
  <c r="Q33"/>
  <c r="P33"/>
  <c r="O33"/>
  <c r="N33"/>
  <c r="M33"/>
  <c r="BA24"/>
  <c r="AZ24"/>
  <c r="AY24"/>
  <c r="AX24"/>
  <c r="AW24"/>
  <c r="AV24"/>
  <c r="AU24"/>
  <c r="AT24"/>
  <c r="AS24"/>
  <c r="AR24"/>
  <c r="AQ24"/>
  <c r="AP24"/>
  <c r="AO24"/>
  <c r="AN24"/>
  <c r="AM24"/>
  <c r="AL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BE23"/>
  <c r="BD23"/>
  <c r="BC23"/>
  <c r="BB23"/>
  <c r="Q39"/>
  <c r="AK23"/>
  <c r="BI23" s="1"/>
  <c r="AJ23"/>
  <c r="AI23"/>
  <c r="AH23"/>
  <c r="BE22"/>
  <c r="BD22"/>
  <c r="BC22"/>
  <c r="BB22"/>
  <c r="AK22"/>
  <c r="AJ22"/>
  <c r="BH22" s="1"/>
  <c r="AI22"/>
  <c r="AH22"/>
  <c r="BE21"/>
  <c r="BD21"/>
  <c r="BC21"/>
  <c r="BB21"/>
  <c r="AK21"/>
  <c r="AJ21"/>
  <c r="BH21" s="1"/>
  <c r="AI21"/>
  <c r="AH21"/>
  <c r="BE20"/>
  <c r="BD20"/>
  <c r="BC20"/>
  <c r="BB20"/>
  <c r="AK20"/>
  <c r="AJ20"/>
  <c r="BH20" s="1"/>
  <c r="AI20"/>
  <c r="AH20"/>
  <c r="BE19"/>
  <c r="BD19"/>
  <c r="BC19"/>
  <c r="BB19"/>
  <c r="AK19"/>
  <c r="AJ19"/>
  <c r="BH19" s="1"/>
  <c r="AI19"/>
  <c r="AH19"/>
  <c r="BE18"/>
  <c r="BD18"/>
  <c r="BC18"/>
  <c r="BB18"/>
  <c r="AK18"/>
  <c r="AJ18"/>
  <c r="BH18" s="1"/>
  <c r="AI18"/>
  <c r="AH18"/>
  <c r="BE17"/>
  <c r="BD17"/>
  <c r="BC17"/>
  <c r="BB17"/>
  <c r="AK17"/>
  <c r="AJ17"/>
  <c r="BH17" s="1"/>
  <c r="AI17"/>
  <c r="AH17"/>
  <c r="BE16"/>
  <c r="BD16"/>
  <c r="BC16"/>
  <c r="BB16"/>
  <c r="AK16"/>
  <c r="AJ16"/>
  <c r="BH16" s="1"/>
  <c r="AI16"/>
  <c r="AH16"/>
  <c r="BE15"/>
  <c r="BD15"/>
  <c r="BC15"/>
  <c r="BB15"/>
  <c r="AK15"/>
  <c r="AJ15"/>
  <c r="BH15" s="1"/>
  <c r="AI15"/>
  <c r="AH15"/>
  <c r="BA10"/>
  <c r="BA26" s="1"/>
  <c r="AZ10"/>
  <c r="AY10"/>
  <c r="AX10"/>
  <c r="AW10"/>
  <c r="AW26" s="1"/>
  <c r="AV10"/>
  <c r="AU10"/>
  <c r="AT10"/>
  <c r="AS10"/>
  <c r="AS26" s="1"/>
  <c r="AR10"/>
  <c r="AQ10"/>
  <c r="AQ26" s="1"/>
  <c r="AP10"/>
  <c r="AO10"/>
  <c r="AO26" s="1"/>
  <c r="AN10"/>
  <c r="AL10"/>
  <c r="AG10"/>
  <c r="AG26" s="1"/>
  <c r="AF10"/>
  <c r="AE10"/>
  <c r="AE26" s="1"/>
  <c r="AD10"/>
  <c r="AC10"/>
  <c r="AC26" s="1"/>
  <c r="AB10"/>
  <c r="AA10"/>
  <c r="Z10"/>
  <c r="Y10"/>
  <c r="X10"/>
  <c r="W10"/>
  <c r="V10"/>
  <c r="U10"/>
  <c r="U26" s="1"/>
  <c r="T10"/>
  <c r="S10"/>
  <c r="R10"/>
  <c r="Q10"/>
  <c r="P10"/>
  <c r="O10"/>
  <c r="N10"/>
  <c r="M10"/>
  <c r="M26" s="1"/>
  <c r="L10"/>
  <c r="K10"/>
  <c r="J10"/>
  <c r="BE9"/>
  <c r="BD9"/>
  <c r="BC9"/>
  <c r="BB9"/>
  <c r="AK9"/>
  <c r="BI9" s="1"/>
  <c r="AJ9"/>
  <c r="AI9"/>
  <c r="AH9"/>
  <c r="BE8"/>
  <c r="BD8"/>
  <c r="BC8"/>
  <c r="BB8"/>
  <c r="AK8"/>
  <c r="AJ8"/>
  <c r="AI8"/>
  <c r="AH8"/>
  <c r="BE7"/>
  <c r="BD7"/>
  <c r="BC7"/>
  <c r="BB7"/>
  <c r="AK7"/>
  <c r="AJ7"/>
  <c r="AI7"/>
  <c r="AH7"/>
  <c r="BE6"/>
  <c r="BE10" s="1"/>
  <c r="BD6"/>
  <c r="BC6"/>
  <c r="BB6"/>
  <c r="AK6"/>
  <c r="AK10" s="1"/>
  <c r="AJ6"/>
  <c r="AI6"/>
  <c r="AH6"/>
  <c r="J53" i="221"/>
  <c r="J55"/>
  <c r="K52"/>
  <c r="K53"/>
  <c r="K48"/>
  <c r="AK24" i="197" l="1"/>
  <c r="AK26" s="1"/>
  <c r="AI24"/>
  <c r="BE24"/>
  <c r="BE26" s="1"/>
  <c r="BF7"/>
  <c r="BF9"/>
  <c r="BF15"/>
  <c r="BF16"/>
  <c r="BF18"/>
  <c r="BF21"/>
  <c r="BF22"/>
  <c r="AA26"/>
  <c r="BG16"/>
  <c r="BG18"/>
  <c r="BG21"/>
  <c r="BG22"/>
  <c r="BI16"/>
  <c r="BJ16" s="1"/>
  <c r="BI20"/>
  <c r="BJ20" s="1"/>
  <c r="O43"/>
  <c r="S57"/>
  <c r="BI17"/>
  <c r="BI18"/>
  <c r="BJ18" s="1"/>
  <c r="BI19"/>
  <c r="BJ19" s="1"/>
  <c r="BI21"/>
  <c r="BJ21" s="1"/>
  <c r="BI22"/>
  <c r="AB43"/>
  <c r="K57"/>
  <c r="K26"/>
  <c r="BG19"/>
  <c r="BG20"/>
  <c r="BG17"/>
  <c r="AY26"/>
  <c r="BH7"/>
  <c r="W26"/>
  <c r="BG23"/>
  <c r="BC24"/>
  <c r="AM26"/>
  <c r="AU26"/>
  <c r="AC42"/>
  <c r="AE42" s="1"/>
  <c r="S26"/>
  <c r="Y26"/>
  <c r="V8" i="27" s="1"/>
  <c r="BD10" i="197"/>
  <c r="BF19"/>
  <c r="S37"/>
  <c r="BB10"/>
  <c r="BF8"/>
  <c r="BF17"/>
  <c r="BF20"/>
  <c r="S40"/>
  <c r="R43"/>
  <c r="BJ22"/>
  <c r="N43"/>
  <c r="Z43"/>
  <c r="BI7"/>
  <c r="BI8"/>
  <c r="Y43"/>
  <c r="AC40"/>
  <c r="AE40" s="1"/>
  <c r="S42"/>
  <c r="BJ17"/>
  <c r="P43"/>
  <c r="X43"/>
  <c r="S36"/>
  <c r="AB26"/>
  <c r="AC37"/>
  <c r="AE37" s="1"/>
  <c r="S34"/>
  <c r="AC36"/>
  <c r="AE36" s="1"/>
  <c r="S38"/>
  <c r="Q26"/>
  <c r="AC41"/>
  <c r="AE41" s="1"/>
  <c r="BH8"/>
  <c r="BG9"/>
  <c r="BG8"/>
  <c r="AC34"/>
  <c r="AE34" s="1"/>
  <c r="BH9"/>
  <c r="AC39"/>
  <c r="AE39" s="1"/>
  <c r="O26"/>
  <c r="AC38"/>
  <c r="AE38" s="1"/>
  <c r="AJ10"/>
  <c r="AJ24"/>
  <c r="AF26"/>
  <c r="BC10"/>
  <c r="BG7"/>
  <c r="W43"/>
  <c r="P26"/>
  <c r="AC35"/>
  <c r="AE35" s="1"/>
  <c r="AD57"/>
  <c r="AR26"/>
  <c r="X26"/>
  <c r="U8" i="27" s="1"/>
  <c r="AD43" i="197"/>
  <c r="AN26"/>
  <c r="AX26"/>
  <c r="AZ26"/>
  <c r="BB24"/>
  <c r="AL26"/>
  <c r="Z26"/>
  <c r="V26"/>
  <c r="L26"/>
  <c r="AP26"/>
  <c r="AH10"/>
  <c r="AD26"/>
  <c r="AA43"/>
  <c r="T26"/>
  <c r="AI10"/>
  <c r="BD24"/>
  <c r="AV26"/>
  <c r="N26"/>
  <c r="R26"/>
  <c r="S35"/>
  <c r="AH24"/>
  <c r="J26"/>
  <c r="S41"/>
  <c r="AT26"/>
  <c r="M43"/>
  <c r="AE57"/>
  <c r="BI10"/>
  <c r="Q43"/>
  <c r="S39"/>
  <c r="BG6"/>
  <c r="BI6"/>
  <c r="BG15"/>
  <c r="BI15"/>
  <c r="BI24" s="1"/>
  <c r="BF23"/>
  <c r="BH23"/>
  <c r="AC33"/>
  <c r="BF6"/>
  <c r="BH6"/>
  <c r="S33"/>
  <c r="T57"/>
  <c r="S58" l="1"/>
  <c r="AI26"/>
  <c r="BF10"/>
  <c r="BC26"/>
  <c r="BG24"/>
  <c r="BH10"/>
  <c r="BD26"/>
  <c r="AJ26"/>
  <c r="BB26"/>
  <c r="BF24"/>
  <c r="S43"/>
  <c r="BH24"/>
  <c r="BJ23"/>
  <c r="AD59" s="1"/>
  <c r="BJ15"/>
  <c r="BJ6"/>
  <c r="BJ10" s="1"/>
  <c r="BG10"/>
  <c r="AH26"/>
  <c r="AD58"/>
  <c r="AC43"/>
  <c r="AE43" s="1"/>
  <c r="AE33"/>
  <c r="BI26"/>
  <c r="BF26" l="1"/>
  <c r="BG26"/>
  <c r="BH26"/>
  <c r="BH27" s="1"/>
  <c r="BJ24"/>
  <c r="BJ26" s="1"/>
  <c r="J53" i="180"/>
  <c r="J55"/>
  <c r="K55" l="1"/>
  <c r="J47"/>
  <c r="K55" i="177" l="1"/>
  <c r="AJ57" i="227"/>
  <c r="J55" l="1"/>
  <c r="J35" l="1"/>
  <c r="J31"/>
  <c r="J37" s="1"/>
  <c r="J34"/>
  <c r="J33"/>
  <c r="J32"/>
  <c r="K52"/>
  <c r="AJ57" i="220" l="1"/>
  <c r="AE60" i="176" l="1"/>
  <c r="J37" i="220"/>
  <c r="J36"/>
  <c r="J35"/>
  <c r="J34"/>
  <c r="J33"/>
  <c r="J32"/>
  <c r="J38" l="1"/>
  <c r="J53" i="176"/>
  <c r="AF10" i="194" l="1"/>
  <c r="J47" i="176"/>
  <c r="AH53" i="195" l="1"/>
  <c r="AF55"/>
  <c r="K55" l="1"/>
  <c r="J53" i="196" l="1"/>
  <c r="J55"/>
  <c r="J54"/>
  <c r="K53"/>
  <c r="J50"/>
  <c r="J47"/>
  <c r="AI57" i="219" l="1"/>
  <c r="AH57"/>
  <c r="AG57"/>
  <c r="AF57"/>
  <c r="AC57"/>
  <c r="AA57"/>
  <c r="Z57"/>
  <c r="Y57"/>
  <c r="X57"/>
  <c r="R57"/>
  <c r="Q57"/>
  <c r="P57"/>
  <c r="O57"/>
  <c r="N57"/>
  <c r="M57"/>
  <c r="K57"/>
  <c r="J57"/>
  <c r="AE56"/>
  <c r="AD56"/>
  <c r="S56"/>
  <c r="AE55"/>
  <c r="AD55"/>
  <c r="S55"/>
  <c r="AE54"/>
  <c r="S54"/>
  <c r="AE53"/>
  <c r="AD53"/>
  <c r="S53"/>
  <c r="AE52"/>
  <c r="AD52"/>
  <c r="S52"/>
  <c r="AE51"/>
  <c r="AD51"/>
  <c r="S51"/>
  <c r="AE50"/>
  <c r="AD50"/>
  <c r="S50"/>
  <c r="AE49"/>
  <c r="AD49"/>
  <c r="S49"/>
  <c r="AE48"/>
  <c r="S48"/>
  <c r="AE47"/>
  <c r="AD47"/>
  <c r="T57"/>
  <c r="S47"/>
  <c r="L45"/>
  <c r="AD42"/>
  <c r="AB42"/>
  <c r="AA42"/>
  <c r="Z42"/>
  <c r="Y42"/>
  <c r="X42"/>
  <c r="W42"/>
  <c r="S42"/>
  <c r="AD41"/>
  <c r="AB41"/>
  <c r="AA41"/>
  <c r="Z41"/>
  <c r="Y41"/>
  <c r="X41"/>
  <c r="W41"/>
  <c r="R41"/>
  <c r="O41"/>
  <c r="M41"/>
  <c r="AD40"/>
  <c r="AB40"/>
  <c r="AA40"/>
  <c r="Z40"/>
  <c r="Y40"/>
  <c r="X40"/>
  <c r="W40"/>
  <c r="R40"/>
  <c r="M40"/>
  <c r="AD39"/>
  <c r="AB39"/>
  <c r="AA39"/>
  <c r="Z39"/>
  <c r="Y39"/>
  <c r="X39"/>
  <c r="W39"/>
  <c r="R39"/>
  <c r="Q39"/>
  <c r="P39"/>
  <c r="M39"/>
  <c r="AD38"/>
  <c r="AB38"/>
  <c r="AA38"/>
  <c r="Z38"/>
  <c r="Y38"/>
  <c r="X38"/>
  <c r="W38"/>
  <c r="Q38"/>
  <c r="N38"/>
  <c r="M38"/>
  <c r="AD37"/>
  <c r="AB37"/>
  <c r="AA37"/>
  <c r="Z37"/>
  <c r="Y37"/>
  <c r="X37"/>
  <c r="W37"/>
  <c r="O37"/>
  <c r="N37"/>
  <c r="M37"/>
  <c r="AD36"/>
  <c r="AB36"/>
  <c r="AA36"/>
  <c r="Z36"/>
  <c r="Y36"/>
  <c r="X36"/>
  <c r="W36"/>
  <c r="R36"/>
  <c r="M36"/>
  <c r="AD35"/>
  <c r="AB35"/>
  <c r="AA35"/>
  <c r="Z35"/>
  <c r="Y35"/>
  <c r="X35"/>
  <c r="W35"/>
  <c r="R35"/>
  <c r="S35" s="1"/>
  <c r="AD34"/>
  <c r="AB34"/>
  <c r="AA34"/>
  <c r="Z34"/>
  <c r="Y34"/>
  <c r="X34"/>
  <c r="AD48" s="1"/>
  <c r="W34"/>
  <c r="R34"/>
  <c r="Q34"/>
  <c r="M34"/>
  <c r="AD33"/>
  <c r="AB33"/>
  <c r="AA33"/>
  <c r="Z33"/>
  <c r="Y33"/>
  <c r="X33"/>
  <c r="W33"/>
  <c r="R33"/>
  <c r="Q33"/>
  <c r="P33"/>
  <c r="O33"/>
  <c r="N33"/>
  <c r="N43" s="1"/>
  <c r="M33"/>
  <c r="BC27"/>
  <c r="BA24"/>
  <c r="AZ24"/>
  <c r="AY24"/>
  <c r="AX24"/>
  <c r="AW24"/>
  <c r="AV24"/>
  <c r="AU24"/>
  <c r="AT24"/>
  <c r="AS24"/>
  <c r="AR24"/>
  <c r="AQ24"/>
  <c r="AP24"/>
  <c r="AO24"/>
  <c r="AN24"/>
  <c r="AM24"/>
  <c r="AL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BE23"/>
  <c r="BD23"/>
  <c r="BC23"/>
  <c r="BB23"/>
  <c r="AK23"/>
  <c r="AJ23"/>
  <c r="BH23" s="1"/>
  <c r="AI23"/>
  <c r="AH23"/>
  <c r="BE22"/>
  <c r="BD22"/>
  <c r="BC22"/>
  <c r="BB22"/>
  <c r="AK22"/>
  <c r="AJ22"/>
  <c r="BH22" s="1"/>
  <c r="AI22"/>
  <c r="AH22"/>
  <c r="BE21"/>
  <c r="BD21"/>
  <c r="BC21"/>
  <c r="BB21"/>
  <c r="AK21"/>
  <c r="AJ21"/>
  <c r="BH21" s="1"/>
  <c r="AI21"/>
  <c r="AH21"/>
  <c r="BE20"/>
  <c r="BD20"/>
  <c r="BC20"/>
  <c r="BB20"/>
  <c r="AK20"/>
  <c r="AJ20"/>
  <c r="BH20" s="1"/>
  <c r="AI20"/>
  <c r="AH20"/>
  <c r="BE19"/>
  <c r="BD19"/>
  <c r="BC19"/>
  <c r="BB19"/>
  <c r="AK19"/>
  <c r="AJ19"/>
  <c r="BH19" s="1"/>
  <c r="AI19"/>
  <c r="AH19"/>
  <c r="BE18"/>
  <c r="BD18"/>
  <c r="BC18"/>
  <c r="BB18"/>
  <c r="AK18"/>
  <c r="AJ18"/>
  <c r="BH18" s="1"/>
  <c r="AI18"/>
  <c r="AH18"/>
  <c r="BE17"/>
  <c r="BD17"/>
  <c r="BC17"/>
  <c r="BB17"/>
  <c r="AK17"/>
  <c r="AJ17"/>
  <c r="BH17" s="1"/>
  <c r="AI17"/>
  <c r="AH17"/>
  <c r="BE16"/>
  <c r="BD16"/>
  <c r="BC16"/>
  <c r="BB16"/>
  <c r="AK16"/>
  <c r="AJ16"/>
  <c r="BH16" s="1"/>
  <c r="AI16"/>
  <c r="AH16"/>
  <c r="BE15"/>
  <c r="BE24" s="1"/>
  <c r="BD15"/>
  <c r="BD24" s="1"/>
  <c r="BC15"/>
  <c r="BB15"/>
  <c r="BB24" s="1"/>
  <c r="AK15"/>
  <c r="AK24" s="1"/>
  <c r="AJ15"/>
  <c r="AJ24" s="1"/>
  <c r="AI15"/>
  <c r="AH15"/>
  <c r="AH24" s="1"/>
  <c r="BA10"/>
  <c r="BA26" s="1"/>
  <c r="AZ10"/>
  <c r="AZ26" s="1"/>
  <c r="AY10"/>
  <c r="AY26" s="1"/>
  <c r="AX10"/>
  <c r="AX26" s="1"/>
  <c r="AW10"/>
  <c r="AW26" s="1"/>
  <c r="AV10"/>
  <c r="AV26" s="1"/>
  <c r="AU10"/>
  <c r="AT10"/>
  <c r="AT26" s="1"/>
  <c r="AS10"/>
  <c r="AS26" s="1"/>
  <c r="AR10"/>
  <c r="AR26" s="1"/>
  <c r="AQ10"/>
  <c r="AP10"/>
  <c r="AP26" s="1"/>
  <c r="AO10"/>
  <c r="AO26" s="1"/>
  <c r="AN10"/>
  <c r="AN26" s="1"/>
  <c r="AM10"/>
  <c r="AL10"/>
  <c r="AL26" s="1"/>
  <c r="AG10"/>
  <c r="AG26" s="1"/>
  <c r="AF10"/>
  <c r="AF26" s="1"/>
  <c r="AE10"/>
  <c r="AD10"/>
  <c r="AD26" s="1"/>
  <c r="AC10"/>
  <c r="AC26" s="1"/>
  <c r="AB10"/>
  <c r="AB26" s="1"/>
  <c r="AA10"/>
  <c r="AA26" s="1"/>
  <c r="Z10"/>
  <c r="Z26" s="1"/>
  <c r="Y10"/>
  <c r="Y26" s="1"/>
  <c r="X10"/>
  <c r="X26" s="1"/>
  <c r="W10"/>
  <c r="V26"/>
  <c r="U10"/>
  <c r="U26" s="1"/>
  <c r="T10"/>
  <c r="T26" s="1"/>
  <c r="S10"/>
  <c r="R10"/>
  <c r="R26" s="1"/>
  <c r="Q10"/>
  <c r="Q26" s="1"/>
  <c r="P10"/>
  <c r="P26" s="1"/>
  <c r="O10"/>
  <c r="O26" s="1"/>
  <c r="N10"/>
  <c r="N26" s="1"/>
  <c r="M10"/>
  <c r="M26" s="1"/>
  <c r="L10"/>
  <c r="L26" s="1"/>
  <c r="K10"/>
  <c r="J10"/>
  <c r="J26" s="1"/>
  <c r="BE9"/>
  <c r="BD9"/>
  <c r="BC9"/>
  <c r="BB9"/>
  <c r="AK9"/>
  <c r="AJ9"/>
  <c r="BH9" s="1"/>
  <c r="AI9"/>
  <c r="AH9"/>
  <c r="BE8"/>
  <c r="BD8"/>
  <c r="BC8"/>
  <c r="BB8"/>
  <c r="AK8"/>
  <c r="AJ8"/>
  <c r="BH8" s="1"/>
  <c r="AI8"/>
  <c r="AH8"/>
  <c r="BE7"/>
  <c r="BD7"/>
  <c r="BC7"/>
  <c r="BB7"/>
  <c r="AK7"/>
  <c r="AJ7"/>
  <c r="BH7" s="1"/>
  <c r="AI7"/>
  <c r="AH7"/>
  <c r="BE6"/>
  <c r="BE10" s="1"/>
  <c r="BE26" s="1"/>
  <c r="BD6"/>
  <c r="BD10" s="1"/>
  <c r="BD26" s="1"/>
  <c r="BC6"/>
  <c r="BB6"/>
  <c r="BB10" s="1"/>
  <c r="BB26" s="1"/>
  <c r="AK6"/>
  <c r="AK10" s="1"/>
  <c r="AJ6"/>
  <c r="AI6"/>
  <c r="AH6"/>
  <c r="AH10" s="1"/>
  <c r="AH26" s="1"/>
  <c r="AI57" i="209"/>
  <c r="AH57"/>
  <c r="AG57"/>
  <c r="AF57"/>
  <c r="AC57"/>
  <c r="AA57"/>
  <c r="Z57"/>
  <c r="Y57"/>
  <c r="X57"/>
  <c r="R57"/>
  <c r="Q57"/>
  <c r="P57"/>
  <c r="O57"/>
  <c r="N57"/>
  <c r="M57"/>
  <c r="K57"/>
  <c r="J57"/>
  <c r="AE56"/>
  <c r="AD56"/>
  <c r="S56"/>
  <c r="AE55"/>
  <c r="AD55"/>
  <c r="S55"/>
  <c r="AE54"/>
  <c r="S54"/>
  <c r="AE53"/>
  <c r="AD53"/>
  <c r="S53"/>
  <c r="AE52"/>
  <c r="S52"/>
  <c r="AE51"/>
  <c r="AD51"/>
  <c r="S51"/>
  <c r="AE50"/>
  <c r="AD50"/>
  <c r="S50"/>
  <c r="AE49"/>
  <c r="AD49"/>
  <c r="S49"/>
  <c r="AE48"/>
  <c r="S48"/>
  <c r="AE47"/>
  <c r="AD47"/>
  <c r="T57"/>
  <c r="S47"/>
  <c r="L45"/>
  <c r="AD42"/>
  <c r="AB42"/>
  <c r="AA42"/>
  <c r="Z42"/>
  <c r="Y42"/>
  <c r="X42"/>
  <c r="W42"/>
  <c r="R42"/>
  <c r="Q42"/>
  <c r="P42"/>
  <c r="O42"/>
  <c r="N42"/>
  <c r="M42"/>
  <c r="AD41"/>
  <c r="AB41"/>
  <c r="AA41"/>
  <c r="Z41"/>
  <c r="Y41"/>
  <c r="X41"/>
  <c r="W41"/>
  <c r="R41"/>
  <c r="Q41"/>
  <c r="P41"/>
  <c r="O41"/>
  <c r="N41"/>
  <c r="M41"/>
  <c r="AD40"/>
  <c r="AB40"/>
  <c r="AA40"/>
  <c r="Z40"/>
  <c r="Y40"/>
  <c r="X40"/>
  <c r="AD54" s="1"/>
  <c r="W40"/>
  <c r="R40"/>
  <c r="Q40"/>
  <c r="P40"/>
  <c r="O40"/>
  <c r="N40"/>
  <c r="M40"/>
  <c r="AD39"/>
  <c r="AB39"/>
  <c r="AA39"/>
  <c r="Z39"/>
  <c r="Y39"/>
  <c r="X39"/>
  <c r="W39"/>
  <c r="R39"/>
  <c r="Q39"/>
  <c r="P39"/>
  <c r="O39"/>
  <c r="N39"/>
  <c r="M39"/>
  <c r="AD38"/>
  <c r="AB38"/>
  <c r="AA38"/>
  <c r="Z38"/>
  <c r="Y38"/>
  <c r="X38"/>
  <c r="W38"/>
  <c r="R38"/>
  <c r="Q38"/>
  <c r="P38"/>
  <c r="O38"/>
  <c r="N38"/>
  <c r="M38"/>
  <c r="AD37"/>
  <c r="AB37"/>
  <c r="AA37"/>
  <c r="Z37"/>
  <c r="Y37"/>
  <c r="X37"/>
  <c r="W37"/>
  <c r="R37"/>
  <c r="Q37"/>
  <c r="P37"/>
  <c r="O37"/>
  <c r="N37"/>
  <c r="M37"/>
  <c r="AD36"/>
  <c r="AB36"/>
  <c r="AA36"/>
  <c r="Z36"/>
  <c r="Y36"/>
  <c r="X36"/>
  <c r="W36"/>
  <c r="R36"/>
  <c r="Q36"/>
  <c r="P36"/>
  <c r="O36"/>
  <c r="N36"/>
  <c r="M36"/>
  <c r="AD35"/>
  <c r="AB35"/>
  <c r="AA35"/>
  <c r="Z35"/>
  <c r="Y35"/>
  <c r="X35"/>
  <c r="W35"/>
  <c r="R35"/>
  <c r="Q35"/>
  <c r="P35"/>
  <c r="O35"/>
  <c r="N35"/>
  <c r="M35"/>
  <c r="AD34"/>
  <c r="AB34"/>
  <c r="AA34"/>
  <c r="Z34"/>
  <c r="Y34"/>
  <c r="X34"/>
  <c r="W34"/>
  <c r="R34"/>
  <c r="Q34"/>
  <c r="P34"/>
  <c r="O34"/>
  <c r="N34"/>
  <c r="M34"/>
  <c r="AD33"/>
  <c r="AB33"/>
  <c r="AA33"/>
  <c r="Z33"/>
  <c r="Y33"/>
  <c r="X33"/>
  <c r="W33"/>
  <c r="R33"/>
  <c r="Q33"/>
  <c r="P33"/>
  <c r="O33"/>
  <c r="N33"/>
  <c r="M33"/>
  <c r="BC27"/>
  <c r="BA24"/>
  <c r="AZ24"/>
  <c r="AY24"/>
  <c r="AX24"/>
  <c r="AW24"/>
  <c r="AV24"/>
  <c r="AU24"/>
  <c r="AT24"/>
  <c r="AS24"/>
  <c r="AR24"/>
  <c r="AQ24"/>
  <c r="AP24"/>
  <c r="AO24"/>
  <c r="AN24"/>
  <c r="AM24"/>
  <c r="AL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BE23"/>
  <c r="BD23"/>
  <c r="BC23"/>
  <c r="BB23"/>
  <c r="AK23"/>
  <c r="BI23" s="1"/>
  <c r="AJ23"/>
  <c r="BH23" s="1"/>
  <c r="AI23"/>
  <c r="AH23"/>
  <c r="BE22"/>
  <c r="BD22"/>
  <c r="BC22"/>
  <c r="BB22"/>
  <c r="AK22"/>
  <c r="BI22" s="1"/>
  <c r="AJ22"/>
  <c r="BH22" s="1"/>
  <c r="AI22"/>
  <c r="AH22"/>
  <c r="BE21"/>
  <c r="BD21"/>
  <c r="BC21"/>
  <c r="BB21"/>
  <c r="AK21"/>
  <c r="BI21" s="1"/>
  <c r="AJ21"/>
  <c r="BH21" s="1"/>
  <c r="AI21"/>
  <c r="AH21"/>
  <c r="BF21" s="1"/>
  <c r="BE20"/>
  <c r="BD20"/>
  <c r="BC20"/>
  <c r="BB20"/>
  <c r="AK20"/>
  <c r="BI20" s="1"/>
  <c r="AJ20"/>
  <c r="BH20" s="1"/>
  <c r="AI20"/>
  <c r="AH20"/>
  <c r="BF20" s="1"/>
  <c r="BE19"/>
  <c r="BD19"/>
  <c r="BC19"/>
  <c r="BB19"/>
  <c r="AK19"/>
  <c r="BI19" s="1"/>
  <c r="AJ19"/>
  <c r="AI19"/>
  <c r="AH19"/>
  <c r="BF19" s="1"/>
  <c r="BE18"/>
  <c r="BD18"/>
  <c r="BC18"/>
  <c r="BB18"/>
  <c r="AK18"/>
  <c r="BI18" s="1"/>
  <c r="AJ18"/>
  <c r="BH18" s="1"/>
  <c r="AI18"/>
  <c r="AH18"/>
  <c r="BF18" s="1"/>
  <c r="BE17"/>
  <c r="BD17"/>
  <c r="BC17"/>
  <c r="BB17"/>
  <c r="AK17"/>
  <c r="BI17" s="1"/>
  <c r="AJ17"/>
  <c r="BH17" s="1"/>
  <c r="AI17"/>
  <c r="AH17"/>
  <c r="BF17" s="1"/>
  <c r="BE16"/>
  <c r="BD16"/>
  <c r="BC16"/>
  <c r="BB16"/>
  <c r="AK16"/>
  <c r="BI16" s="1"/>
  <c r="AJ16"/>
  <c r="BH16" s="1"/>
  <c r="AI16"/>
  <c r="AH16"/>
  <c r="BF16" s="1"/>
  <c r="BE15"/>
  <c r="BE24" s="1"/>
  <c r="BD15"/>
  <c r="BC15"/>
  <c r="BC24" s="1"/>
  <c r="BB15"/>
  <c r="BB24" s="1"/>
  <c r="AK15"/>
  <c r="AK24" s="1"/>
  <c r="AJ15"/>
  <c r="AJ24" s="1"/>
  <c r="AI15"/>
  <c r="AI24" s="1"/>
  <c r="AH15"/>
  <c r="AH24" s="1"/>
  <c r="BA10"/>
  <c r="BA26" s="1"/>
  <c r="AZ10"/>
  <c r="AZ26" s="1"/>
  <c r="AY10"/>
  <c r="AY26" s="1"/>
  <c r="AX10"/>
  <c r="AX26" s="1"/>
  <c r="AW10"/>
  <c r="AW26" s="1"/>
  <c r="AV10"/>
  <c r="AU10"/>
  <c r="AU26" s="1"/>
  <c r="AT10"/>
  <c r="AT26" s="1"/>
  <c r="AS10"/>
  <c r="AS26" s="1"/>
  <c r="AR10"/>
  <c r="AR26" s="1"/>
  <c r="AQ10"/>
  <c r="AQ26" s="1"/>
  <c r="AP10"/>
  <c r="AP26" s="1"/>
  <c r="AO10"/>
  <c r="AO26" s="1"/>
  <c r="AN10"/>
  <c r="AM10"/>
  <c r="AM26" s="1"/>
  <c r="AL10"/>
  <c r="AL26" s="1"/>
  <c r="AG10"/>
  <c r="AG26" s="1"/>
  <c r="AF10"/>
  <c r="AF26" s="1"/>
  <c r="AE10"/>
  <c r="AE26" s="1"/>
  <c r="AD10"/>
  <c r="AD26" s="1"/>
  <c r="AC10"/>
  <c r="AC26" s="1"/>
  <c r="AB10"/>
  <c r="AB26" s="1"/>
  <c r="AA10"/>
  <c r="AA26" s="1"/>
  <c r="Z10"/>
  <c r="Z26" s="1"/>
  <c r="Y10"/>
  <c r="Y26" s="1"/>
  <c r="X10"/>
  <c r="X26" s="1"/>
  <c r="W10"/>
  <c r="W26" s="1"/>
  <c r="V10"/>
  <c r="V26" s="1"/>
  <c r="U10"/>
  <c r="U26" s="1"/>
  <c r="T10"/>
  <c r="T26" s="1"/>
  <c r="S10"/>
  <c r="S26" s="1"/>
  <c r="R10"/>
  <c r="R26" s="1"/>
  <c r="Q10"/>
  <c r="Q26" s="1"/>
  <c r="P10"/>
  <c r="P26" s="1"/>
  <c r="O10"/>
  <c r="O26" s="1"/>
  <c r="N10"/>
  <c r="N26" s="1"/>
  <c r="M10"/>
  <c r="M26" s="1"/>
  <c r="L10"/>
  <c r="L26" s="1"/>
  <c r="K10"/>
  <c r="K26" s="1"/>
  <c r="J10"/>
  <c r="J26" s="1"/>
  <c r="BE9"/>
  <c r="BD9"/>
  <c r="BC9"/>
  <c r="BB9"/>
  <c r="AK9"/>
  <c r="BI9" s="1"/>
  <c r="AJ9"/>
  <c r="AI9"/>
  <c r="AH9"/>
  <c r="BF9" s="1"/>
  <c r="BE8"/>
  <c r="BD8"/>
  <c r="BC8"/>
  <c r="BB8"/>
  <c r="AK8"/>
  <c r="BI8" s="1"/>
  <c r="AJ8"/>
  <c r="AI8"/>
  <c r="AH8"/>
  <c r="BF8" s="1"/>
  <c r="BE7"/>
  <c r="BD7"/>
  <c r="BC7"/>
  <c r="BB7"/>
  <c r="AK7"/>
  <c r="BI7" s="1"/>
  <c r="AJ7"/>
  <c r="AI7"/>
  <c r="AH7"/>
  <c r="BF7" s="1"/>
  <c r="BE6"/>
  <c r="BE10" s="1"/>
  <c r="BE26" s="1"/>
  <c r="BD6"/>
  <c r="BC6"/>
  <c r="BC10" s="1"/>
  <c r="BC26" s="1"/>
  <c r="BB6"/>
  <c r="BB10" s="1"/>
  <c r="BB26" s="1"/>
  <c r="AK6"/>
  <c r="AK10" s="1"/>
  <c r="AJ6"/>
  <c r="AI6"/>
  <c r="AI10" s="1"/>
  <c r="AI26" s="1"/>
  <c r="AH6"/>
  <c r="AH10" s="1"/>
  <c r="AH26" s="1"/>
  <c r="AI57" i="208"/>
  <c r="AH57"/>
  <c r="AG57"/>
  <c r="AF57"/>
  <c r="AC57"/>
  <c r="AA57"/>
  <c r="Z57"/>
  <c r="Y57"/>
  <c r="X57"/>
  <c r="W57"/>
  <c r="R57"/>
  <c r="Q57"/>
  <c r="P57"/>
  <c r="O57"/>
  <c r="N57"/>
  <c r="M57"/>
  <c r="K57"/>
  <c r="J57"/>
  <c r="AE56"/>
  <c r="S56"/>
  <c r="AE55"/>
  <c r="S55"/>
  <c r="AE54"/>
  <c r="S54"/>
  <c r="AE53"/>
  <c r="S53"/>
  <c r="AE52"/>
  <c r="S52"/>
  <c r="AE51"/>
  <c r="S51"/>
  <c r="AE50"/>
  <c r="S50"/>
  <c r="AE49"/>
  <c r="S49"/>
  <c r="AE48"/>
  <c r="S48"/>
  <c r="AE47"/>
  <c r="T57"/>
  <c r="S47"/>
  <c r="L45"/>
  <c r="AD42"/>
  <c r="AB42"/>
  <c r="AA42"/>
  <c r="Z42"/>
  <c r="Y42"/>
  <c r="X42"/>
  <c r="W42"/>
  <c r="R42"/>
  <c r="Q42"/>
  <c r="P42"/>
  <c r="O42"/>
  <c r="N42"/>
  <c r="M42"/>
  <c r="AD41"/>
  <c r="AB41"/>
  <c r="AA41"/>
  <c r="Z41"/>
  <c r="Y41"/>
  <c r="X41"/>
  <c r="W41"/>
  <c r="R41"/>
  <c r="Q41"/>
  <c r="P41"/>
  <c r="O41"/>
  <c r="N41"/>
  <c r="M41"/>
  <c r="AD40"/>
  <c r="AB40"/>
  <c r="AA40"/>
  <c r="Z40"/>
  <c r="Y40"/>
  <c r="X40"/>
  <c r="W40"/>
  <c r="R40"/>
  <c r="Q40"/>
  <c r="P40"/>
  <c r="O40"/>
  <c r="N40"/>
  <c r="M40"/>
  <c r="AD39"/>
  <c r="AB39"/>
  <c r="AA39"/>
  <c r="Z39"/>
  <c r="Y39"/>
  <c r="X39"/>
  <c r="W39"/>
  <c r="R39"/>
  <c r="Q39"/>
  <c r="P39"/>
  <c r="O39"/>
  <c r="N39"/>
  <c r="M39"/>
  <c r="AD38"/>
  <c r="AB38"/>
  <c r="AA38"/>
  <c r="Z38"/>
  <c r="Y38"/>
  <c r="X38"/>
  <c r="W38"/>
  <c r="R38"/>
  <c r="Q38"/>
  <c r="P38"/>
  <c r="O38"/>
  <c r="N38"/>
  <c r="M38"/>
  <c r="AD37"/>
  <c r="AB37"/>
  <c r="AA37"/>
  <c r="Z37"/>
  <c r="Y37"/>
  <c r="X37"/>
  <c r="W37"/>
  <c r="R37"/>
  <c r="Q37"/>
  <c r="P37"/>
  <c r="O37"/>
  <c r="N37"/>
  <c r="M37"/>
  <c r="AD36"/>
  <c r="AB36"/>
  <c r="AA36"/>
  <c r="Z36"/>
  <c r="Y36"/>
  <c r="X36"/>
  <c r="W36"/>
  <c r="R36"/>
  <c r="Q36"/>
  <c r="P36"/>
  <c r="O36"/>
  <c r="N36"/>
  <c r="M36"/>
  <c r="AD35"/>
  <c r="AB35"/>
  <c r="AA35"/>
  <c r="Z35"/>
  <c r="Y35"/>
  <c r="X35"/>
  <c r="W35"/>
  <c r="R35"/>
  <c r="Q35"/>
  <c r="P35"/>
  <c r="O35"/>
  <c r="N35"/>
  <c r="M35"/>
  <c r="AD34"/>
  <c r="AB34"/>
  <c r="AA34"/>
  <c r="Z34"/>
  <c r="Y34"/>
  <c r="X34"/>
  <c r="W34"/>
  <c r="R34"/>
  <c r="Q34"/>
  <c r="P34"/>
  <c r="O34"/>
  <c r="N34"/>
  <c r="M34"/>
  <c r="AD33"/>
  <c r="AB33"/>
  <c r="AA33"/>
  <c r="Z33"/>
  <c r="Y33"/>
  <c r="X33"/>
  <c r="W33"/>
  <c r="R33"/>
  <c r="Q33"/>
  <c r="P33"/>
  <c r="O33"/>
  <c r="N33"/>
  <c r="M33"/>
  <c r="BC27"/>
  <c r="BA24"/>
  <c r="AZ24"/>
  <c r="AY24"/>
  <c r="AX24"/>
  <c r="AW24"/>
  <c r="AV24"/>
  <c r="AU24"/>
  <c r="AT24"/>
  <c r="AS24"/>
  <c r="AR24"/>
  <c r="AQ24"/>
  <c r="AP24"/>
  <c r="AO24"/>
  <c r="AN24"/>
  <c r="AM24"/>
  <c r="AL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BE23"/>
  <c r="BD23"/>
  <c r="BC23"/>
  <c r="BB23"/>
  <c r="AK23"/>
  <c r="BI23" s="1"/>
  <c r="AJ23"/>
  <c r="AI23"/>
  <c r="AH23"/>
  <c r="BF23" s="1"/>
  <c r="BE22"/>
  <c r="BD22"/>
  <c r="BC22"/>
  <c r="BB22"/>
  <c r="AK22"/>
  <c r="BI22" s="1"/>
  <c r="AJ22"/>
  <c r="AI22"/>
  <c r="AH22"/>
  <c r="BF22" s="1"/>
  <c r="BE21"/>
  <c r="BD21"/>
  <c r="BC21"/>
  <c r="BB21"/>
  <c r="AK21"/>
  <c r="BI21" s="1"/>
  <c r="AJ21"/>
  <c r="AI21"/>
  <c r="AH21"/>
  <c r="BF21" s="1"/>
  <c r="BE20"/>
  <c r="BD20"/>
  <c r="BC20"/>
  <c r="BB20"/>
  <c r="AK20"/>
  <c r="BI20" s="1"/>
  <c r="AJ20"/>
  <c r="AI20"/>
  <c r="AH20"/>
  <c r="BF20" s="1"/>
  <c r="BE19"/>
  <c r="BD19"/>
  <c r="BC19"/>
  <c r="BB19"/>
  <c r="AK19"/>
  <c r="AJ19"/>
  <c r="AI19"/>
  <c r="AH19"/>
  <c r="BF19" s="1"/>
  <c r="BE18"/>
  <c r="BD18"/>
  <c r="BC18"/>
  <c r="BB18"/>
  <c r="AK18"/>
  <c r="AJ18"/>
  <c r="AI18"/>
  <c r="AH18"/>
  <c r="BF18" s="1"/>
  <c r="BE17"/>
  <c r="BD17"/>
  <c r="BC17"/>
  <c r="BB17"/>
  <c r="AK17"/>
  <c r="BI17" s="1"/>
  <c r="AJ17"/>
  <c r="AI17"/>
  <c r="AH17"/>
  <c r="BF17" s="1"/>
  <c r="BE16"/>
  <c r="BD16"/>
  <c r="BC16"/>
  <c r="BB16"/>
  <c r="AK16"/>
  <c r="BI16" s="1"/>
  <c r="AJ16"/>
  <c r="AI16"/>
  <c r="AH16"/>
  <c r="BF16" s="1"/>
  <c r="BE15"/>
  <c r="BD15"/>
  <c r="BD24" s="1"/>
  <c r="BC15"/>
  <c r="BB15"/>
  <c r="BB24" s="1"/>
  <c r="AK15"/>
  <c r="AK24" s="1"/>
  <c r="AJ15"/>
  <c r="AJ24" s="1"/>
  <c r="AI15"/>
  <c r="AH15"/>
  <c r="BA10"/>
  <c r="BA26" s="1"/>
  <c r="AZ10"/>
  <c r="AZ26" s="1"/>
  <c r="AY10"/>
  <c r="AX10"/>
  <c r="AX26" s="1"/>
  <c r="AW10"/>
  <c r="AW26" s="1"/>
  <c r="AV10"/>
  <c r="AV26" s="1"/>
  <c r="AU10"/>
  <c r="AT10"/>
  <c r="AT26" s="1"/>
  <c r="AS10"/>
  <c r="AS26" s="1"/>
  <c r="AR10"/>
  <c r="AR26" s="1"/>
  <c r="AQ10"/>
  <c r="AQ26" s="1"/>
  <c r="AP10"/>
  <c r="AP26" s="1"/>
  <c r="AO10"/>
  <c r="AO26" s="1"/>
  <c r="AN10"/>
  <c r="AN26" s="1"/>
  <c r="AL10"/>
  <c r="AL26" s="1"/>
  <c r="AG10"/>
  <c r="AG26" s="1"/>
  <c r="AF10"/>
  <c r="AE10"/>
  <c r="AD10"/>
  <c r="AD26" s="1"/>
  <c r="AC10"/>
  <c r="AB10"/>
  <c r="AB26" s="1"/>
  <c r="AA10"/>
  <c r="AA26" s="1"/>
  <c r="Z10"/>
  <c r="Z26" s="1"/>
  <c r="Y10"/>
  <c r="Y26" s="1"/>
  <c r="X10"/>
  <c r="X26" s="1"/>
  <c r="W10"/>
  <c r="V10"/>
  <c r="V26" s="1"/>
  <c r="U10"/>
  <c r="U26" s="1"/>
  <c r="T10"/>
  <c r="T26" s="1"/>
  <c r="S10"/>
  <c r="R10"/>
  <c r="R26" s="1"/>
  <c r="Q10"/>
  <c r="Q26" s="1"/>
  <c r="P10"/>
  <c r="P26" s="1"/>
  <c r="O10"/>
  <c r="N10"/>
  <c r="N26" s="1"/>
  <c r="M10"/>
  <c r="L26"/>
  <c r="K10"/>
  <c r="J10"/>
  <c r="J26" s="1"/>
  <c r="BE9"/>
  <c r="BD9"/>
  <c r="BC9"/>
  <c r="BB9"/>
  <c r="AK9"/>
  <c r="BI9" s="1"/>
  <c r="AJ9"/>
  <c r="AI9"/>
  <c r="AH9"/>
  <c r="BE8"/>
  <c r="BD8"/>
  <c r="BC8"/>
  <c r="BB8"/>
  <c r="AK8"/>
  <c r="BI8" s="1"/>
  <c r="AJ8"/>
  <c r="AI8"/>
  <c r="AH8"/>
  <c r="BE7"/>
  <c r="BD7"/>
  <c r="BC7"/>
  <c r="BB7"/>
  <c r="AK7"/>
  <c r="BI7" s="1"/>
  <c r="AJ7"/>
  <c r="AI7"/>
  <c r="AH7"/>
  <c r="BF7" s="1"/>
  <c r="BE6"/>
  <c r="BE10" s="1"/>
  <c r="BD6"/>
  <c r="BC6"/>
  <c r="BB6"/>
  <c r="BB10" s="1"/>
  <c r="AK6"/>
  <c r="AK10" s="1"/>
  <c r="AJ6"/>
  <c r="AJ10" s="1"/>
  <c r="AI6"/>
  <c r="AH6"/>
  <c r="AI57" i="214"/>
  <c r="AH57"/>
  <c r="AG57"/>
  <c r="AF57"/>
  <c r="AC57"/>
  <c r="AA57"/>
  <c r="Z57"/>
  <c r="Y57"/>
  <c r="X57"/>
  <c r="W57"/>
  <c r="R57"/>
  <c r="Q57"/>
  <c r="P57"/>
  <c r="O57"/>
  <c r="N57"/>
  <c r="M57"/>
  <c r="K57"/>
  <c r="J57"/>
  <c r="AE56"/>
  <c r="AD56"/>
  <c r="S56"/>
  <c r="AE55"/>
  <c r="AD55"/>
  <c r="S55"/>
  <c r="AE54"/>
  <c r="AD54"/>
  <c r="S54"/>
  <c r="AE53"/>
  <c r="AD53"/>
  <c r="S53"/>
  <c r="AE52"/>
  <c r="AD52"/>
  <c r="S52"/>
  <c r="AE51"/>
  <c r="AD51"/>
  <c r="S51"/>
  <c r="AE50"/>
  <c r="AD50"/>
  <c r="S50"/>
  <c r="AE49"/>
  <c r="AD49"/>
  <c r="S49"/>
  <c r="AE48"/>
  <c r="AD48"/>
  <c r="S48"/>
  <c r="AE47"/>
  <c r="AD47"/>
  <c r="T57"/>
  <c r="S47"/>
  <c r="L45"/>
  <c r="AD42"/>
  <c r="AB42"/>
  <c r="AA42"/>
  <c r="Z42"/>
  <c r="Y42"/>
  <c r="X42"/>
  <c r="W42"/>
  <c r="R42"/>
  <c r="Q42"/>
  <c r="P42"/>
  <c r="O42"/>
  <c r="N42"/>
  <c r="M42"/>
  <c r="AD41"/>
  <c r="AB41"/>
  <c r="AA41"/>
  <c r="Z41"/>
  <c r="Y41"/>
  <c r="X41"/>
  <c r="W41"/>
  <c r="R41"/>
  <c r="Q41"/>
  <c r="P41"/>
  <c r="O41"/>
  <c r="N41"/>
  <c r="M41"/>
  <c r="AD40"/>
  <c r="AB40"/>
  <c r="AA40"/>
  <c r="Z40"/>
  <c r="Y40"/>
  <c r="X40"/>
  <c r="W40"/>
  <c r="R40"/>
  <c r="Q40"/>
  <c r="P40"/>
  <c r="O40"/>
  <c r="N40"/>
  <c r="M40"/>
  <c r="AD39"/>
  <c r="AB39"/>
  <c r="AA39"/>
  <c r="Z39"/>
  <c r="Y39"/>
  <c r="X39"/>
  <c r="W39"/>
  <c r="R39"/>
  <c r="Q39"/>
  <c r="P39"/>
  <c r="O39"/>
  <c r="N39"/>
  <c r="M39"/>
  <c r="AD38"/>
  <c r="AB38"/>
  <c r="AA38"/>
  <c r="Z38"/>
  <c r="Y38"/>
  <c r="X38"/>
  <c r="W38"/>
  <c r="R38"/>
  <c r="Q38"/>
  <c r="P38"/>
  <c r="O38"/>
  <c r="N38"/>
  <c r="M38"/>
  <c r="AD37"/>
  <c r="AB37"/>
  <c r="AA37"/>
  <c r="Z37"/>
  <c r="Y37"/>
  <c r="X37"/>
  <c r="W37"/>
  <c r="R37"/>
  <c r="Q37"/>
  <c r="P37"/>
  <c r="O37"/>
  <c r="N37"/>
  <c r="M37"/>
  <c r="AD36"/>
  <c r="AB36"/>
  <c r="AA36"/>
  <c r="Z36"/>
  <c r="Y36"/>
  <c r="X36"/>
  <c r="W36"/>
  <c r="R36"/>
  <c r="Q36"/>
  <c r="P36"/>
  <c r="O36"/>
  <c r="N36"/>
  <c r="M36"/>
  <c r="AD35"/>
  <c r="AB35"/>
  <c r="AA35"/>
  <c r="Z35"/>
  <c r="Y35"/>
  <c r="X35"/>
  <c r="W35"/>
  <c r="R35"/>
  <c r="Q35"/>
  <c r="P35"/>
  <c r="O35"/>
  <c r="N35"/>
  <c r="M35"/>
  <c r="AD34"/>
  <c r="AB34"/>
  <c r="AA34"/>
  <c r="Z34"/>
  <c r="Y34"/>
  <c r="X34"/>
  <c r="W34"/>
  <c r="R34"/>
  <c r="Q34"/>
  <c r="P34"/>
  <c r="O34"/>
  <c r="N34"/>
  <c r="M34"/>
  <c r="AD33"/>
  <c r="AB33"/>
  <c r="AA33"/>
  <c r="Z33"/>
  <c r="Y33"/>
  <c r="X33"/>
  <c r="W33"/>
  <c r="R33"/>
  <c r="Q33"/>
  <c r="P33"/>
  <c r="O33"/>
  <c r="N33"/>
  <c r="M33"/>
  <c r="BC27"/>
  <c r="BA24"/>
  <c r="AZ24"/>
  <c r="AY24"/>
  <c r="AX24"/>
  <c r="AW24"/>
  <c r="AV24"/>
  <c r="AU24"/>
  <c r="AT24"/>
  <c r="AS24"/>
  <c r="AR24"/>
  <c r="AQ24"/>
  <c r="AP24"/>
  <c r="AO24"/>
  <c r="AN24"/>
  <c r="AM24"/>
  <c r="AL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BE23"/>
  <c r="BD23"/>
  <c r="BC23"/>
  <c r="BB23"/>
  <c r="AK23"/>
  <c r="BI23" s="1"/>
  <c r="AJ23"/>
  <c r="BH23" s="1"/>
  <c r="AI23"/>
  <c r="AH23"/>
  <c r="BE22"/>
  <c r="BD22"/>
  <c r="BC22"/>
  <c r="BB22"/>
  <c r="AK22"/>
  <c r="BI22" s="1"/>
  <c r="AJ22"/>
  <c r="BH22" s="1"/>
  <c r="AI22"/>
  <c r="AH22"/>
  <c r="BF22" s="1"/>
  <c r="BE21"/>
  <c r="BD21"/>
  <c r="BC21"/>
  <c r="BB21"/>
  <c r="AK21"/>
  <c r="BI21" s="1"/>
  <c r="AJ21"/>
  <c r="BH21" s="1"/>
  <c r="AI21"/>
  <c r="AH21"/>
  <c r="BF21" s="1"/>
  <c r="BE20"/>
  <c r="BD20"/>
  <c r="BC20"/>
  <c r="BB20"/>
  <c r="AK20"/>
  <c r="BI20" s="1"/>
  <c r="AJ20"/>
  <c r="BH20" s="1"/>
  <c r="AI20"/>
  <c r="AH20"/>
  <c r="BF20" s="1"/>
  <c r="BE19"/>
  <c r="BD19"/>
  <c r="BC19"/>
  <c r="BB19"/>
  <c r="AK19"/>
  <c r="BI19" s="1"/>
  <c r="AJ19"/>
  <c r="AI19"/>
  <c r="AH19"/>
  <c r="BF19" s="1"/>
  <c r="BE18"/>
  <c r="BD18"/>
  <c r="BC18"/>
  <c r="BB18"/>
  <c r="AK18"/>
  <c r="BI18" s="1"/>
  <c r="AJ18"/>
  <c r="BH18" s="1"/>
  <c r="AI18"/>
  <c r="AH18"/>
  <c r="BF18" s="1"/>
  <c r="BE17"/>
  <c r="BD17"/>
  <c r="BC17"/>
  <c r="BB17"/>
  <c r="AK17"/>
  <c r="BI17" s="1"/>
  <c r="AJ17"/>
  <c r="BH17" s="1"/>
  <c r="AI17"/>
  <c r="AH17"/>
  <c r="BE16"/>
  <c r="BD16"/>
  <c r="BC16"/>
  <c r="BB16"/>
  <c r="AK16"/>
  <c r="BI16" s="1"/>
  <c r="AJ16"/>
  <c r="BH16" s="1"/>
  <c r="AI16"/>
  <c r="AH16"/>
  <c r="BF16" s="1"/>
  <c r="BE15"/>
  <c r="BE24" s="1"/>
  <c r="BD15"/>
  <c r="BD24" s="1"/>
  <c r="BC15"/>
  <c r="BB15"/>
  <c r="BB24" s="1"/>
  <c r="AK15"/>
  <c r="AK24" s="1"/>
  <c r="AJ15"/>
  <c r="AJ24" s="1"/>
  <c r="AI15"/>
  <c r="AH15"/>
  <c r="BA10"/>
  <c r="BA26" s="1"/>
  <c r="AZ10"/>
  <c r="AY10"/>
  <c r="AY26" s="1"/>
  <c r="AX10"/>
  <c r="AX26" s="1"/>
  <c r="AW10"/>
  <c r="AW26" s="1"/>
  <c r="AV10"/>
  <c r="AV26" s="1"/>
  <c r="AU10"/>
  <c r="AT10"/>
  <c r="AT26" s="1"/>
  <c r="AS10"/>
  <c r="AS26" s="1"/>
  <c r="AR10"/>
  <c r="AR26" s="1"/>
  <c r="AQ10"/>
  <c r="AP10"/>
  <c r="AP26" s="1"/>
  <c r="AO10"/>
  <c r="AO26" s="1"/>
  <c r="AN10"/>
  <c r="AN26" s="1"/>
  <c r="Q12" i="77" s="1"/>
  <c r="Q16" s="1"/>
  <c r="AM10" i="214"/>
  <c r="AL10"/>
  <c r="AL26" s="1"/>
  <c r="O12" i="77" s="1"/>
  <c r="O16" s="1"/>
  <c r="AG10" i="214"/>
  <c r="AG26" s="1"/>
  <c r="AF10"/>
  <c r="AF26" s="1"/>
  <c r="AE10"/>
  <c r="AE26" s="1"/>
  <c r="AD10"/>
  <c r="AC10"/>
  <c r="AC26" s="1"/>
  <c r="AB10"/>
  <c r="AB26" s="1"/>
  <c r="AA10"/>
  <c r="AA26" s="1"/>
  <c r="Z10"/>
  <c r="Z26" s="1"/>
  <c r="Y10"/>
  <c r="Y26" s="1"/>
  <c r="X10"/>
  <c r="X26" s="1"/>
  <c r="W10"/>
  <c r="W26" s="1"/>
  <c r="V10"/>
  <c r="V26" s="1"/>
  <c r="U10"/>
  <c r="U26" s="1"/>
  <c r="R7" i="77" s="1"/>
  <c r="R11" s="1"/>
  <c r="T10" i="214"/>
  <c r="T26" s="1"/>
  <c r="Q7" i="77" s="1"/>
  <c r="S10" i="214"/>
  <c r="S26" s="1"/>
  <c r="P7" i="77" s="1"/>
  <c r="R10" i="214"/>
  <c r="R26" s="1"/>
  <c r="Q10"/>
  <c r="Q26" s="1"/>
  <c r="P10"/>
  <c r="P26" s="1"/>
  <c r="O10"/>
  <c r="O26" s="1"/>
  <c r="N10"/>
  <c r="N26" s="1"/>
  <c r="M10"/>
  <c r="M26" s="1"/>
  <c r="L10"/>
  <c r="L26" s="1"/>
  <c r="Q5" i="77" s="1"/>
  <c r="Q11" s="1"/>
  <c r="K10" i="214"/>
  <c r="K26" s="1"/>
  <c r="P5" i="77" s="1"/>
  <c r="J10" i="214"/>
  <c r="J26" s="1"/>
  <c r="BE9"/>
  <c r="BD9"/>
  <c r="BC9"/>
  <c r="BB9"/>
  <c r="AK9"/>
  <c r="BI9" s="1"/>
  <c r="AJ9"/>
  <c r="BH9" s="1"/>
  <c r="AI9"/>
  <c r="AH9"/>
  <c r="BF9" s="1"/>
  <c r="BE8"/>
  <c r="BD8"/>
  <c r="BC8"/>
  <c r="BB8"/>
  <c r="AK8"/>
  <c r="BI8" s="1"/>
  <c r="AJ8"/>
  <c r="AI8"/>
  <c r="AH8"/>
  <c r="BF8" s="1"/>
  <c r="BE7"/>
  <c r="BD7"/>
  <c r="BC7"/>
  <c r="BB7"/>
  <c r="AK7"/>
  <c r="BI7" s="1"/>
  <c r="AJ7"/>
  <c r="AI7"/>
  <c r="AH7"/>
  <c r="BF7" s="1"/>
  <c r="BE6"/>
  <c r="BE10" s="1"/>
  <c r="BE26" s="1"/>
  <c r="BD6"/>
  <c r="BC6"/>
  <c r="BB6"/>
  <c r="BB10" s="1"/>
  <c r="BB26" s="1"/>
  <c r="AK6"/>
  <c r="AJ6"/>
  <c r="BH6" s="1"/>
  <c r="AI6"/>
  <c r="AH6"/>
  <c r="AH10" s="1"/>
  <c r="AI57" i="207"/>
  <c r="AH57"/>
  <c r="AG57"/>
  <c r="AF57"/>
  <c r="AC57"/>
  <c r="AA57"/>
  <c r="Z57"/>
  <c r="Y57"/>
  <c r="X57"/>
  <c r="W57"/>
  <c r="R57"/>
  <c r="Q57"/>
  <c r="P57"/>
  <c r="O57"/>
  <c r="N57"/>
  <c r="M57"/>
  <c r="K57"/>
  <c r="J57"/>
  <c r="AE56"/>
  <c r="AD56"/>
  <c r="S56"/>
  <c r="AE55"/>
  <c r="AD55"/>
  <c r="S55"/>
  <c r="AE54"/>
  <c r="AD54"/>
  <c r="T57"/>
  <c r="S54"/>
  <c r="AE53"/>
  <c r="AD53"/>
  <c r="S53"/>
  <c r="AD52"/>
  <c r="S52"/>
  <c r="AE51"/>
  <c r="AD51"/>
  <c r="S51"/>
  <c r="AE50"/>
  <c r="AD50"/>
  <c r="S50"/>
  <c r="AE49"/>
  <c r="AD49"/>
  <c r="S49"/>
  <c r="AE48"/>
  <c r="AD48"/>
  <c r="S48"/>
  <c r="AE47"/>
  <c r="AD47"/>
  <c r="S47"/>
  <c r="L45"/>
  <c r="AD42"/>
  <c r="AB42"/>
  <c r="AA42"/>
  <c r="Z42"/>
  <c r="Y42"/>
  <c r="X42"/>
  <c r="W42"/>
  <c r="R42"/>
  <c r="Q42"/>
  <c r="P42"/>
  <c r="O42"/>
  <c r="N42"/>
  <c r="M42"/>
  <c r="AD41"/>
  <c r="AB41"/>
  <c r="AA41"/>
  <c r="Z41"/>
  <c r="Y41"/>
  <c r="X41"/>
  <c r="W41"/>
  <c r="R41"/>
  <c r="Q41"/>
  <c r="P41"/>
  <c r="O41"/>
  <c r="N41"/>
  <c r="M41"/>
  <c r="AD40"/>
  <c r="AB40"/>
  <c r="AA40"/>
  <c r="Z40"/>
  <c r="Y40"/>
  <c r="X40"/>
  <c r="W40"/>
  <c r="R40"/>
  <c r="Q40"/>
  <c r="P40"/>
  <c r="O40"/>
  <c r="N40"/>
  <c r="M40"/>
  <c r="AD39"/>
  <c r="AB39"/>
  <c r="AA39"/>
  <c r="Z39"/>
  <c r="Y39"/>
  <c r="X39"/>
  <c r="W39"/>
  <c r="R39"/>
  <c r="Q39"/>
  <c r="P39"/>
  <c r="O39"/>
  <c r="N39"/>
  <c r="M39"/>
  <c r="AD38"/>
  <c r="AB38"/>
  <c r="AA38"/>
  <c r="Z38"/>
  <c r="Y38"/>
  <c r="X38"/>
  <c r="W38"/>
  <c r="R38"/>
  <c r="Q38"/>
  <c r="P38"/>
  <c r="O38"/>
  <c r="N38"/>
  <c r="M38"/>
  <c r="AD37"/>
  <c r="AB37"/>
  <c r="AA37"/>
  <c r="Z37"/>
  <c r="Y37"/>
  <c r="X37"/>
  <c r="W37"/>
  <c r="R37"/>
  <c r="Q37"/>
  <c r="P37"/>
  <c r="O37"/>
  <c r="N37"/>
  <c r="M37"/>
  <c r="AD36"/>
  <c r="AB36"/>
  <c r="AA36"/>
  <c r="Z36"/>
  <c r="Y36"/>
  <c r="X36"/>
  <c r="W36"/>
  <c r="R36"/>
  <c r="Q36"/>
  <c r="P36"/>
  <c r="O36"/>
  <c r="N36"/>
  <c r="M36"/>
  <c r="AD35"/>
  <c r="AB35"/>
  <c r="AA35"/>
  <c r="Z35"/>
  <c r="Y35"/>
  <c r="X35"/>
  <c r="W35"/>
  <c r="R35"/>
  <c r="Q35"/>
  <c r="P35"/>
  <c r="O35"/>
  <c r="N35"/>
  <c r="M35"/>
  <c r="AD34"/>
  <c r="AB34"/>
  <c r="AA34"/>
  <c r="Z34"/>
  <c r="Y34"/>
  <c r="X34"/>
  <c r="W34"/>
  <c r="R34"/>
  <c r="Q34"/>
  <c r="P34"/>
  <c r="O34"/>
  <c r="N34"/>
  <c r="M34"/>
  <c r="AD33"/>
  <c r="AB33"/>
  <c r="AA33"/>
  <c r="Z33"/>
  <c r="Y33"/>
  <c r="X33"/>
  <c r="W33"/>
  <c r="R33"/>
  <c r="Q33"/>
  <c r="P33"/>
  <c r="O33"/>
  <c r="N33"/>
  <c r="M33"/>
  <c r="BC27"/>
  <c r="BA24"/>
  <c r="AZ24"/>
  <c r="AY24"/>
  <c r="AX24"/>
  <c r="AW24"/>
  <c r="AV24"/>
  <c r="AU24"/>
  <c r="AT24"/>
  <c r="AS24"/>
  <c r="AR24"/>
  <c r="AQ24"/>
  <c r="AP24"/>
  <c r="AO24"/>
  <c r="AN24"/>
  <c r="AM24"/>
  <c r="AL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BE23"/>
  <c r="BD23"/>
  <c r="BC23"/>
  <c r="BB23"/>
  <c r="AK23"/>
  <c r="AJ23"/>
  <c r="AI23"/>
  <c r="AH23"/>
  <c r="BE22"/>
  <c r="BD22"/>
  <c r="BC22"/>
  <c r="BB22"/>
  <c r="AK22"/>
  <c r="AJ22"/>
  <c r="AI22"/>
  <c r="AH22"/>
  <c r="BE21"/>
  <c r="BD21"/>
  <c r="BC21"/>
  <c r="BB21"/>
  <c r="AK21"/>
  <c r="AJ21"/>
  <c r="AI21"/>
  <c r="AH21"/>
  <c r="BE20"/>
  <c r="BD20"/>
  <c r="BC20"/>
  <c r="BB20"/>
  <c r="AK20"/>
  <c r="AJ20"/>
  <c r="AI20"/>
  <c r="AH20"/>
  <c r="BE19"/>
  <c r="BD19"/>
  <c r="BC19"/>
  <c r="BB19"/>
  <c r="AK19"/>
  <c r="AJ19"/>
  <c r="AI19"/>
  <c r="AH19"/>
  <c r="BE18"/>
  <c r="BD18"/>
  <c r="BC18"/>
  <c r="BB18"/>
  <c r="AK18"/>
  <c r="AJ18"/>
  <c r="AI18"/>
  <c r="AH18"/>
  <c r="BE17"/>
  <c r="BD17"/>
  <c r="BC17"/>
  <c r="BB17"/>
  <c r="AK17"/>
  <c r="AJ17"/>
  <c r="AI17"/>
  <c r="AH17"/>
  <c r="BE16"/>
  <c r="BD16"/>
  <c r="BC16"/>
  <c r="BB16"/>
  <c r="AK16"/>
  <c r="AJ16"/>
  <c r="AI16"/>
  <c r="AH16"/>
  <c r="BE15"/>
  <c r="BE24" s="1"/>
  <c r="BD15"/>
  <c r="BC15"/>
  <c r="BB15"/>
  <c r="BB24" s="1"/>
  <c r="AK15"/>
  <c r="AK24" s="1"/>
  <c r="AJ15"/>
  <c r="AJ24" s="1"/>
  <c r="AI15"/>
  <c r="AH15"/>
  <c r="AH24" s="1"/>
  <c r="BA10"/>
  <c r="BA26" s="1"/>
  <c r="AZ10"/>
  <c r="AZ26" s="1"/>
  <c r="AY10"/>
  <c r="AX10"/>
  <c r="AX26" s="1"/>
  <c r="AW10"/>
  <c r="AW26" s="1"/>
  <c r="AV10"/>
  <c r="AV26" s="1"/>
  <c r="AU10"/>
  <c r="AT10"/>
  <c r="AT26" s="1"/>
  <c r="AS10"/>
  <c r="AS26" s="1"/>
  <c r="AR10"/>
  <c r="AR26" s="1"/>
  <c r="AQ10"/>
  <c r="AP10"/>
  <c r="AP26" s="1"/>
  <c r="AO10"/>
  <c r="AO26" s="1"/>
  <c r="N12" i="77" s="1"/>
  <c r="N16" s="1"/>
  <c r="AN10" i="207"/>
  <c r="AN26" s="1"/>
  <c r="AM10"/>
  <c r="AM26" s="1"/>
  <c r="AL10"/>
  <c r="AL26" s="1"/>
  <c r="AG10"/>
  <c r="AG26" s="1"/>
  <c r="AF10"/>
  <c r="AF26" s="1"/>
  <c r="AE10"/>
  <c r="AD10"/>
  <c r="AD26" s="1"/>
  <c r="AC10"/>
  <c r="AC26" s="1"/>
  <c r="AB10"/>
  <c r="AB26" s="1"/>
  <c r="AA10"/>
  <c r="AA26" s="1"/>
  <c r="Z10"/>
  <c r="Z26" s="1"/>
  <c r="Y10"/>
  <c r="Y26" s="1"/>
  <c r="X10"/>
  <c r="X26" s="1"/>
  <c r="W10"/>
  <c r="V10"/>
  <c r="V26" s="1"/>
  <c r="U10"/>
  <c r="U26" s="1"/>
  <c r="T10"/>
  <c r="T26" s="1"/>
  <c r="S10"/>
  <c r="R10"/>
  <c r="R26" s="1"/>
  <c r="Q10"/>
  <c r="Q26" s="1"/>
  <c r="P10"/>
  <c r="P26" s="1"/>
  <c r="O10"/>
  <c r="O26" s="1"/>
  <c r="N10"/>
  <c r="N26" s="1"/>
  <c r="M10"/>
  <c r="M26" s="1"/>
  <c r="L10"/>
  <c r="L26" s="1"/>
  <c r="K10"/>
  <c r="J10"/>
  <c r="J26" s="1"/>
  <c r="BE9"/>
  <c r="BD9"/>
  <c r="BC9"/>
  <c r="BB9"/>
  <c r="AK9"/>
  <c r="AJ9"/>
  <c r="AI9"/>
  <c r="AH9"/>
  <c r="BE8"/>
  <c r="BD8"/>
  <c r="BC8"/>
  <c r="BB8"/>
  <c r="AK8"/>
  <c r="AJ8"/>
  <c r="AI8"/>
  <c r="AH8"/>
  <c r="BE7"/>
  <c r="BD7"/>
  <c r="BC7"/>
  <c r="BB7"/>
  <c r="AK7"/>
  <c r="AJ7"/>
  <c r="AI7"/>
  <c r="AH7"/>
  <c r="BE6"/>
  <c r="BE10" s="1"/>
  <c r="BE26" s="1"/>
  <c r="BD6"/>
  <c r="BC6"/>
  <c r="BB6"/>
  <c r="BB10" s="1"/>
  <c r="BB26" s="1"/>
  <c r="AK6"/>
  <c r="AK10" s="1"/>
  <c r="AJ6"/>
  <c r="AI6"/>
  <c r="AH6"/>
  <c r="AH10" s="1"/>
  <c r="AH26" s="1"/>
  <c r="AI57" i="224"/>
  <c r="AH57"/>
  <c r="AG57"/>
  <c r="AF57"/>
  <c r="AA57"/>
  <c r="Z57"/>
  <c r="Y57"/>
  <c r="X57"/>
  <c r="W57"/>
  <c r="R57"/>
  <c r="Q57"/>
  <c r="P57"/>
  <c r="O57"/>
  <c r="N57"/>
  <c r="M57"/>
  <c r="K57"/>
  <c r="J57"/>
  <c r="AE56"/>
  <c r="AD56"/>
  <c r="S56"/>
  <c r="AE55"/>
  <c r="AD55"/>
  <c r="S55"/>
  <c r="AE54"/>
  <c r="AD54"/>
  <c r="S54"/>
  <c r="AE53"/>
  <c r="AD53"/>
  <c r="S53"/>
  <c r="AE52"/>
  <c r="AD52"/>
  <c r="S52"/>
  <c r="AE51"/>
  <c r="AD51"/>
  <c r="S51"/>
  <c r="AE50"/>
  <c r="AD50"/>
  <c r="S50"/>
  <c r="AE49"/>
  <c r="AD49"/>
  <c r="S49"/>
  <c r="AE48"/>
  <c r="AD48"/>
  <c r="S48"/>
  <c r="AE47"/>
  <c r="AD47"/>
  <c r="T57"/>
  <c r="S47"/>
  <c r="AD42"/>
  <c r="AB42"/>
  <c r="AA42"/>
  <c r="Z42"/>
  <c r="Y42"/>
  <c r="X42"/>
  <c r="W42"/>
  <c r="R42"/>
  <c r="Q42"/>
  <c r="P42"/>
  <c r="O42"/>
  <c r="N42"/>
  <c r="M42"/>
  <c r="AD41"/>
  <c r="AB41"/>
  <c r="AA41"/>
  <c r="Z41"/>
  <c r="Y41"/>
  <c r="X41"/>
  <c r="W41"/>
  <c r="R41"/>
  <c r="Q41"/>
  <c r="P41"/>
  <c r="O41"/>
  <c r="N41"/>
  <c r="M41"/>
  <c r="AD40"/>
  <c r="AB40"/>
  <c r="AA40"/>
  <c r="Z40"/>
  <c r="Y40"/>
  <c r="X40"/>
  <c r="W40"/>
  <c r="R40"/>
  <c r="Q40"/>
  <c r="P40"/>
  <c r="O40"/>
  <c r="N40"/>
  <c r="M40"/>
  <c r="AD39"/>
  <c r="AB39"/>
  <c r="AA39"/>
  <c r="Z39"/>
  <c r="Y39"/>
  <c r="X39"/>
  <c r="W39"/>
  <c r="R39"/>
  <c r="Q39"/>
  <c r="P39"/>
  <c r="O39"/>
  <c r="N39"/>
  <c r="M39"/>
  <c r="AD38"/>
  <c r="AB38"/>
  <c r="AA38"/>
  <c r="Z38"/>
  <c r="Y38"/>
  <c r="X38"/>
  <c r="W38"/>
  <c r="R38"/>
  <c r="Q38"/>
  <c r="P38"/>
  <c r="O38"/>
  <c r="N38"/>
  <c r="M38"/>
  <c r="AD37"/>
  <c r="AB37"/>
  <c r="AA37"/>
  <c r="Z37"/>
  <c r="Y37"/>
  <c r="X37"/>
  <c r="W37"/>
  <c r="R37"/>
  <c r="Q37"/>
  <c r="P37"/>
  <c r="O37"/>
  <c r="N37"/>
  <c r="M37"/>
  <c r="AD36"/>
  <c r="AB36"/>
  <c r="AA36"/>
  <c r="Z36"/>
  <c r="Y36"/>
  <c r="X36"/>
  <c r="W36"/>
  <c r="R36"/>
  <c r="Q36"/>
  <c r="P36"/>
  <c r="O36"/>
  <c r="N36"/>
  <c r="M36"/>
  <c r="AD35"/>
  <c r="AB35"/>
  <c r="AA35"/>
  <c r="Z35"/>
  <c r="Y35"/>
  <c r="X35"/>
  <c r="W35"/>
  <c r="R35"/>
  <c r="Q35"/>
  <c r="P35"/>
  <c r="O35"/>
  <c r="N35"/>
  <c r="M35"/>
  <c r="AD34"/>
  <c r="AB34"/>
  <c r="AA34"/>
  <c r="Z34"/>
  <c r="Y34"/>
  <c r="X34"/>
  <c r="W34"/>
  <c r="R34"/>
  <c r="Q34"/>
  <c r="P34"/>
  <c r="O34"/>
  <c r="N34"/>
  <c r="M34"/>
  <c r="AD33"/>
  <c r="AB33"/>
  <c r="AA33"/>
  <c r="Z33"/>
  <c r="Y33"/>
  <c r="X33"/>
  <c r="R33"/>
  <c r="Q33"/>
  <c r="P33"/>
  <c r="O33"/>
  <c r="N33"/>
  <c r="M33"/>
  <c r="BC27"/>
  <c r="BA24"/>
  <c r="AZ24"/>
  <c r="AY24"/>
  <c r="AX24"/>
  <c r="AW24"/>
  <c r="AV24"/>
  <c r="AU24"/>
  <c r="AT24"/>
  <c r="AS24"/>
  <c r="AR24"/>
  <c r="AQ24"/>
  <c r="AP24"/>
  <c r="AO24"/>
  <c r="AN24"/>
  <c r="AM24"/>
  <c r="AL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BE23"/>
  <c r="BD23"/>
  <c r="BC23"/>
  <c r="BB23"/>
  <c r="AK23"/>
  <c r="AJ23"/>
  <c r="AI23"/>
  <c r="BG23" s="1"/>
  <c r="AH23"/>
  <c r="BE22"/>
  <c r="BD22"/>
  <c r="BC22"/>
  <c r="BB22"/>
  <c r="AK22"/>
  <c r="AJ22"/>
  <c r="AI22"/>
  <c r="BG22" s="1"/>
  <c r="AH22"/>
  <c r="BF22" s="1"/>
  <c r="BE21"/>
  <c r="BD21"/>
  <c r="BC21"/>
  <c r="BB21"/>
  <c r="AK21"/>
  <c r="AJ21"/>
  <c r="AI21"/>
  <c r="BG21" s="1"/>
  <c r="AH21"/>
  <c r="BF21" s="1"/>
  <c r="BE20"/>
  <c r="BD20"/>
  <c r="BC20"/>
  <c r="BB20"/>
  <c r="AK20"/>
  <c r="AJ20"/>
  <c r="AI20"/>
  <c r="AH20"/>
  <c r="BE19"/>
  <c r="BD19"/>
  <c r="BC19"/>
  <c r="BB19"/>
  <c r="AK19"/>
  <c r="AJ19"/>
  <c r="AI19"/>
  <c r="AH19"/>
  <c r="BE18"/>
  <c r="BD18"/>
  <c r="BC18"/>
  <c r="BB18"/>
  <c r="AK18"/>
  <c r="AJ18"/>
  <c r="AI18"/>
  <c r="BG18" s="1"/>
  <c r="AH18"/>
  <c r="BF18" s="1"/>
  <c r="BE17"/>
  <c r="BD17"/>
  <c r="BC17"/>
  <c r="BB17"/>
  <c r="AK17"/>
  <c r="AJ17"/>
  <c r="AI17"/>
  <c r="BG17" s="1"/>
  <c r="AH17"/>
  <c r="BF17" s="1"/>
  <c r="BE16"/>
  <c r="BD16"/>
  <c r="BC16"/>
  <c r="BB16"/>
  <c r="AK16"/>
  <c r="AJ16"/>
  <c r="AI16"/>
  <c r="BG16" s="1"/>
  <c r="AH16"/>
  <c r="BE15"/>
  <c r="BE24" s="1"/>
  <c r="BD15"/>
  <c r="BD24" s="1"/>
  <c r="BC15"/>
  <c r="BB15"/>
  <c r="AK15"/>
  <c r="AJ15"/>
  <c r="AJ24" s="1"/>
  <c r="AI15"/>
  <c r="AH15"/>
  <c r="BA10"/>
  <c r="BA26" s="1"/>
  <c r="AZ10"/>
  <c r="AZ26" s="1"/>
  <c r="AY10"/>
  <c r="AY26" s="1"/>
  <c r="AX10"/>
  <c r="AW10"/>
  <c r="AW26" s="1"/>
  <c r="AV10"/>
  <c r="AV26" s="1"/>
  <c r="AU10"/>
  <c r="AU26" s="1"/>
  <c r="AT10"/>
  <c r="AS10"/>
  <c r="AS26" s="1"/>
  <c r="AR26"/>
  <c r="AQ10"/>
  <c r="AQ26" s="1"/>
  <c r="AP10"/>
  <c r="AP26" s="1"/>
  <c r="AO10"/>
  <c r="AO26" s="1"/>
  <c r="AN10"/>
  <c r="AN26" s="1"/>
  <c r="AM10"/>
  <c r="AM26" s="1"/>
  <c r="AL10"/>
  <c r="AG10"/>
  <c r="AG26" s="1"/>
  <c r="AF10"/>
  <c r="AF26" s="1"/>
  <c r="AE10"/>
  <c r="AD10"/>
  <c r="AD26" s="1"/>
  <c r="AC10"/>
  <c r="AB10"/>
  <c r="AB26" s="1"/>
  <c r="AA10"/>
  <c r="AA26" s="1"/>
  <c r="Z10"/>
  <c r="Y10"/>
  <c r="Y26" s="1"/>
  <c r="X10"/>
  <c r="X26" s="1"/>
  <c r="W10"/>
  <c r="W26" s="1"/>
  <c r="V10"/>
  <c r="U10"/>
  <c r="U26" s="1"/>
  <c r="T10"/>
  <c r="T26" s="1"/>
  <c r="S10"/>
  <c r="S26" s="1"/>
  <c r="R10"/>
  <c r="Q10"/>
  <c r="Q26" s="1"/>
  <c r="P10"/>
  <c r="P26" s="1"/>
  <c r="O10"/>
  <c r="O26" s="1"/>
  <c r="N10"/>
  <c r="M10"/>
  <c r="M26" s="1"/>
  <c r="L10"/>
  <c r="L26" s="1"/>
  <c r="K10"/>
  <c r="K26" s="1"/>
  <c r="J10"/>
  <c r="J26" s="1"/>
  <c r="BE9"/>
  <c r="BD9"/>
  <c r="BC9"/>
  <c r="BB9"/>
  <c r="AK9"/>
  <c r="AJ9"/>
  <c r="AI9"/>
  <c r="AH9"/>
  <c r="BE8"/>
  <c r="BD8"/>
  <c r="BC8"/>
  <c r="BB8"/>
  <c r="AK8"/>
  <c r="AJ8"/>
  <c r="AI8"/>
  <c r="AH8"/>
  <c r="BE7"/>
  <c r="BD7"/>
  <c r="BC7"/>
  <c r="BB7"/>
  <c r="AK7"/>
  <c r="AJ7"/>
  <c r="AI7"/>
  <c r="BG7" s="1"/>
  <c r="AH7"/>
  <c r="BF7" s="1"/>
  <c r="BE6"/>
  <c r="BE10" s="1"/>
  <c r="BE26" s="1"/>
  <c r="BD6"/>
  <c r="BC6"/>
  <c r="BB6"/>
  <c r="AK6"/>
  <c r="AK10" s="1"/>
  <c r="AJ6"/>
  <c r="AI6"/>
  <c r="AH6"/>
  <c r="AI57" i="206"/>
  <c r="AH57"/>
  <c r="AG57"/>
  <c r="AF57"/>
  <c r="AC57"/>
  <c r="AA57"/>
  <c r="Z57"/>
  <c r="Y57"/>
  <c r="X57"/>
  <c r="W57"/>
  <c r="R57"/>
  <c r="Q57"/>
  <c r="P57"/>
  <c r="O57"/>
  <c r="N57"/>
  <c r="M57"/>
  <c r="K57"/>
  <c r="J57"/>
  <c r="AE56"/>
  <c r="AD56"/>
  <c r="S56"/>
  <c r="AE55"/>
  <c r="AD55"/>
  <c r="S55"/>
  <c r="AE54"/>
  <c r="AD54"/>
  <c r="S54"/>
  <c r="AE53"/>
  <c r="AD53"/>
  <c r="S53"/>
  <c r="AE52"/>
  <c r="AD52"/>
  <c r="S52"/>
  <c r="AE51"/>
  <c r="AD51"/>
  <c r="S51"/>
  <c r="AE50"/>
  <c r="AD50"/>
  <c r="S50"/>
  <c r="AE49"/>
  <c r="AD49"/>
  <c r="S49"/>
  <c r="AE48"/>
  <c r="AD48"/>
  <c r="S48"/>
  <c r="AE47"/>
  <c r="AD47"/>
  <c r="T57"/>
  <c r="S47"/>
  <c r="AD42"/>
  <c r="AB42"/>
  <c r="AA42"/>
  <c r="Z42"/>
  <c r="Y42"/>
  <c r="X42"/>
  <c r="W42"/>
  <c r="R42"/>
  <c r="Q42"/>
  <c r="P42"/>
  <c r="O42"/>
  <c r="N42"/>
  <c r="M42"/>
  <c r="AD41"/>
  <c r="AB41"/>
  <c r="AA41"/>
  <c r="Z41"/>
  <c r="Y41"/>
  <c r="X41"/>
  <c r="W41"/>
  <c r="R41"/>
  <c r="Q41"/>
  <c r="P41"/>
  <c r="O41"/>
  <c r="N41"/>
  <c r="M41"/>
  <c r="AD40"/>
  <c r="AB40"/>
  <c r="AA40"/>
  <c r="Z40"/>
  <c r="Y40"/>
  <c r="X40"/>
  <c r="W40"/>
  <c r="R40"/>
  <c r="Q40"/>
  <c r="P40"/>
  <c r="O40"/>
  <c r="N40"/>
  <c r="M40"/>
  <c r="AD39"/>
  <c r="AB39"/>
  <c r="AA39"/>
  <c r="Z39"/>
  <c r="Y39"/>
  <c r="X39"/>
  <c r="W39"/>
  <c r="R39"/>
  <c r="Q39"/>
  <c r="P39"/>
  <c r="O39"/>
  <c r="N39"/>
  <c r="M39"/>
  <c r="AD38"/>
  <c r="AB38"/>
  <c r="AA38"/>
  <c r="Z38"/>
  <c r="Y38"/>
  <c r="X38"/>
  <c r="W38"/>
  <c r="R38"/>
  <c r="Q38"/>
  <c r="P38"/>
  <c r="O38"/>
  <c r="N38"/>
  <c r="M38"/>
  <c r="AD37"/>
  <c r="AB37"/>
  <c r="AA37"/>
  <c r="Z37"/>
  <c r="Y37"/>
  <c r="X37"/>
  <c r="W37"/>
  <c r="R37"/>
  <c r="Q37"/>
  <c r="P37"/>
  <c r="O37"/>
  <c r="N37"/>
  <c r="M37"/>
  <c r="AD36"/>
  <c r="AB36"/>
  <c r="AA36"/>
  <c r="Z36"/>
  <c r="Y36"/>
  <c r="X36"/>
  <c r="W36"/>
  <c r="R36"/>
  <c r="Q36"/>
  <c r="P36"/>
  <c r="O36"/>
  <c r="N36"/>
  <c r="M36"/>
  <c r="AD35"/>
  <c r="AB35"/>
  <c r="AA35"/>
  <c r="Z35"/>
  <c r="Y35"/>
  <c r="X35"/>
  <c r="W35"/>
  <c r="R35"/>
  <c r="Q35"/>
  <c r="P35"/>
  <c r="O35"/>
  <c r="N35"/>
  <c r="M35"/>
  <c r="AD34"/>
  <c r="AB34"/>
  <c r="AA34"/>
  <c r="Z34"/>
  <c r="Y34"/>
  <c r="X34"/>
  <c r="W34"/>
  <c r="R34"/>
  <c r="P34"/>
  <c r="O34"/>
  <c r="N34"/>
  <c r="M34"/>
  <c r="AD33"/>
  <c r="AB33"/>
  <c r="AA33"/>
  <c r="Z33"/>
  <c r="Y33"/>
  <c r="X33"/>
  <c r="W33"/>
  <c r="R33"/>
  <c r="P33"/>
  <c r="O33"/>
  <c r="N33"/>
  <c r="M33"/>
  <c r="S33" s="1"/>
  <c r="BC27"/>
  <c r="BA24"/>
  <c r="AZ24"/>
  <c r="AY24"/>
  <c r="AX24"/>
  <c r="AW24"/>
  <c r="AV24"/>
  <c r="AU24"/>
  <c r="AT24"/>
  <c r="AS24"/>
  <c r="AR24"/>
  <c r="AQ24"/>
  <c r="AP24"/>
  <c r="AO24"/>
  <c r="AN24"/>
  <c r="AM24"/>
  <c r="AL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BE23"/>
  <c r="BD23"/>
  <c r="BC23"/>
  <c r="BB23"/>
  <c r="AK23"/>
  <c r="AJ23"/>
  <c r="AI23"/>
  <c r="AH23"/>
  <c r="BE22"/>
  <c r="BD22"/>
  <c r="BC22"/>
  <c r="BB22"/>
  <c r="AK22"/>
  <c r="AJ22"/>
  <c r="AI22"/>
  <c r="AH22"/>
  <c r="BE21"/>
  <c r="BD21"/>
  <c r="BC21"/>
  <c r="BB21"/>
  <c r="AK21"/>
  <c r="AJ21"/>
  <c r="AI21"/>
  <c r="AH21"/>
  <c r="BE20"/>
  <c r="BD20"/>
  <c r="BC20"/>
  <c r="BB20"/>
  <c r="AK20"/>
  <c r="AJ20"/>
  <c r="AI20"/>
  <c r="AH20"/>
  <c r="BE19"/>
  <c r="BD19"/>
  <c r="BC19"/>
  <c r="BB19"/>
  <c r="AK19"/>
  <c r="AJ19"/>
  <c r="AI19"/>
  <c r="AH19"/>
  <c r="BE18"/>
  <c r="BD18"/>
  <c r="BC18"/>
  <c r="BB18"/>
  <c r="AK18"/>
  <c r="AJ18"/>
  <c r="AI18"/>
  <c r="AH18"/>
  <c r="BE17"/>
  <c r="BD17"/>
  <c r="BC17"/>
  <c r="BB17"/>
  <c r="AK17"/>
  <c r="AJ17"/>
  <c r="AI17"/>
  <c r="AH17"/>
  <c r="BE16"/>
  <c r="BD16"/>
  <c r="BC16"/>
  <c r="BB16"/>
  <c r="AK16"/>
  <c r="AJ16"/>
  <c r="AI16"/>
  <c r="AH16"/>
  <c r="BE15"/>
  <c r="BD15"/>
  <c r="BD24" s="1"/>
  <c r="BC15"/>
  <c r="BB15"/>
  <c r="BB24" s="1"/>
  <c r="AK15"/>
  <c r="AK24" s="1"/>
  <c r="AJ15"/>
  <c r="AI15"/>
  <c r="AH15"/>
  <c r="BA10"/>
  <c r="BA26" s="1"/>
  <c r="AZ10"/>
  <c r="AZ26" s="1"/>
  <c r="AY10"/>
  <c r="AY26" s="1"/>
  <c r="H15" i="77" s="1"/>
  <c r="H16" s="1"/>
  <c r="AX10" i="206"/>
  <c r="AX26" s="1"/>
  <c r="AW10"/>
  <c r="AW26" s="1"/>
  <c r="AV10"/>
  <c r="AV26" s="1"/>
  <c r="AU10"/>
  <c r="AU26" s="1"/>
  <c r="AT10"/>
  <c r="AT26" s="1"/>
  <c r="AS10"/>
  <c r="AS26" s="1"/>
  <c r="AR10"/>
  <c r="AR26" s="1"/>
  <c r="AQ10"/>
  <c r="AQ26" s="1"/>
  <c r="AP10"/>
  <c r="AP26" s="1"/>
  <c r="AO10"/>
  <c r="AO26" s="1"/>
  <c r="AN10"/>
  <c r="AN26" s="1"/>
  <c r="AM10"/>
  <c r="AM26" s="1"/>
  <c r="AL10"/>
  <c r="AL26" s="1"/>
  <c r="AG10"/>
  <c r="AG26" s="1"/>
  <c r="AF10"/>
  <c r="AF26" s="1"/>
  <c r="AE10"/>
  <c r="AE26" s="1"/>
  <c r="AD10"/>
  <c r="AD26" s="1"/>
  <c r="AC10"/>
  <c r="AC26" s="1"/>
  <c r="AB10"/>
  <c r="AB26" s="1"/>
  <c r="AA10"/>
  <c r="AA26" s="1"/>
  <c r="Z10"/>
  <c r="Z26" s="1"/>
  <c r="Y10"/>
  <c r="Y26" s="1"/>
  <c r="X10"/>
  <c r="W10"/>
  <c r="W26" s="1"/>
  <c r="V10"/>
  <c r="V26" s="1"/>
  <c r="U10"/>
  <c r="T10"/>
  <c r="T26" s="1"/>
  <c r="S10"/>
  <c r="R10"/>
  <c r="R26" s="1"/>
  <c r="Q10"/>
  <c r="Q26" s="1"/>
  <c r="P10"/>
  <c r="P26" s="1"/>
  <c r="O10"/>
  <c r="O26" s="1"/>
  <c r="N10"/>
  <c r="M10"/>
  <c r="M26" s="1"/>
  <c r="L10"/>
  <c r="L26" s="1"/>
  <c r="K10"/>
  <c r="J10"/>
  <c r="BE9"/>
  <c r="BD9"/>
  <c r="BC9"/>
  <c r="BB9"/>
  <c r="AK9"/>
  <c r="AJ9"/>
  <c r="AI9"/>
  <c r="AH9"/>
  <c r="BE8"/>
  <c r="BD8"/>
  <c r="BC8"/>
  <c r="BB8"/>
  <c r="AK8"/>
  <c r="AJ8"/>
  <c r="AI8"/>
  <c r="AH8"/>
  <c r="BE7"/>
  <c r="BD7"/>
  <c r="BC7"/>
  <c r="BB7"/>
  <c r="AK7"/>
  <c r="AJ7"/>
  <c r="AI7"/>
  <c r="AH7"/>
  <c r="BE6"/>
  <c r="BE10" s="1"/>
  <c r="BD6"/>
  <c r="BC6"/>
  <c r="BB6"/>
  <c r="AK6"/>
  <c r="AK10" s="1"/>
  <c r="AJ6"/>
  <c r="AI6"/>
  <c r="AH6"/>
  <c r="AI57" i="205"/>
  <c r="AH57"/>
  <c r="AG57"/>
  <c r="AF57"/>
  <c r="AC57"/>
  <c r="AA57"/>
  <c r="Z57"/>
  <c r="Y57"/>
  <c r="X57"/>
  <c r="W57"/>
  <c r="R57"/>
  <c r="Q57"/>
  <c r="P57"/>
  <c r="O57"/>
  <c r="N57"/>
  <c r="M57"/>
  <c r="K57"/>
  <c r="J57"/>
  <c r="AE56"/>
  <c r="AD56"/>
  <c r="S56"/>
  <c r="AE55"/>
  <c r="AD55"/>
  <c r="S55"/>
  <c r="AE54"/>
  <c r="AD54"/>
  <c r="S54"/>
  <c r="AE53"/>
  <c r="AD53"/>
  <c r="S53"/>
  <c r="AE52"/>
  <c r="AD52"/>
  <c r="S52"/>
  <c r="AE51"/>
  <c r="AD51"/>
  <c r="S51"/>
  <c r="AE50"/>
  <c r="AD50"/>
  <c r="S50"/>
  <c r="AE49"/>
  <c r="AD49"/>
  <c r="S49"/>
  <c r="AE48"/>
  <c r="AD48"/>
  <c r="S48"/>
  <c r="AE47"/>
  <c r="AD47"/>
  <c r="T57"/>
  <c r="S47"/>
  <c r="L45"/>
  <c r="AD42"/>
  <c r="AB42"/>
  <c r="AA42"/>
  <c r="Z42"/>
  <c r="Y42"/>
  <c r="X42"/>
  <c r="W42"/>
  <c r="R42"/>
  <c r="Q42"/>
  <c r="P42"/>
  <c r="O42"/>
  <c r="N42"/>
  <c r="M42"/>
  <c r="AD41"/>
  <c r="AB41"/>
  <c r="AA41"/>
  <c r="Z41"/>
  <c r="Y41"/>
  <c r="X41"/>
  <c r="W41"/>
  <c r="R41"/>
  <c r="Q41"/>
  <c r="P41"/>
  <c r="O41"/>
  <c r="N41"/>
  <c r="M41"/>
  <c r="AD40"/>
  <c r="AB40"/>
  <c r="AA40"/>
  <c r="Z40"/>
  <c r="Y40"/>
  <c r="X40"/>
  <c r="W40"/>
  <c r="R40"/>
  <c r="Q40"/>
  <c r="P40"/>
  <c r="O40"/>
  <c r="N40"/>
  <c r="M40"/>
  <c r="AD39"/>
  <c r="AB39"/>
  <c r="AA39"/>
  <c r="Z39"/>
  <c r="Y39"/>
  <c r="X39"/>
  <c r="W39"/>
  <c r="R39"/>
  <c r="Q39"/>
  <c r="P39"/>
  <c r="O39"/>
  <c r="N39"/>
  <c r="M39"/>
  <c r="AD38"/>
  <c r="AB38"/>
  <c r="AA38"/>
  <c r="Z38"/>
  <c r="Y38"/>
  <c r="X38"/>
  <c r="W38"/>
  <c r="R38"/>
  <c r="Q38"/>
  <c r="P38"/>
  <c r="O38"/>
  <c r="N38"/>
  <c r="M38"/>
  <c r="AD37"/>
  <c r="AB37"/>
  <c r="AA37"/>
  <c r="Z37"/>
  <c r="Y37"/>
  <c r="X37"/>
  <c r="W37"/>
  <c r="R37"/>
  <c r="Q37"/>
  <c r="P37"/>
  <c r="O37"/>
  <c r="N37"/>
  <c r="M37"/>
  <c r="AD36"/>
  <c r="AB36"/>
  <c r="AA36"/>
  <c r="Z36"/>
  <c r="Y36"/>
  <c r="X36"/>
  <c r="W36"/>
  <c r="R36"/>
  <c r="Q36"/>
  <c r="P36"/>
  <c r="O36"/>
  <c r="N36"/>
  <c r="M36"/>
  <c r="AD35"/>
  <c r="AB35"/>
  <c r="AA35"/>
  <c r="Z35"/>
  <c r="Y35"/>
  <c r="X35"/>
  <c r="W35"/>
  <c r="R35"/>
  <c r="Q35"/>
  <c r="P35"/>
  <c r="O35"/>
  <c r="N35"/>
  <c r="M35"/>
  <c r="AD34"/>
  <c r="AB34"/>
  <c r="AA34"/>
  <c r="Z34"/>
  <c r="Y34"/>
  <c r="X34"/>
  <c r="W34"/>
  <c r="R34"/>
  <c r="Q34"/>
  <c r="P34"/>
  <c r="O34"/>
  <c r="N34"/>
  <c r="M34"/>
  <c r="AD33"/>
  <c r="AB33"/>
  <c r="AA33"/>
  <c r="Z33"/>
  <c r="Y33"/>
  <c r="X33"/>
  <c r="W33"/>
  <c r="R33"/>
  <c r="Q33"/>
  <c r="P33"/>
  <c r="O33"/>
  <c r="N33"/>
  <c r="M33"/>
  <c r="BC27"/>
  <c r="BA24"/>
  <c r="AZ24"/>
  <c r="AY24"/>
  <c r="AX24"/>
  <c r="AW24"/>
  <c r="AV24"/>
  <c r="AU24"/>
  <c r="AT24"/>
  <c r="AS24"/>
  <c r="AR24"/>
  <c r="AQ24"/>
  <c r="AP24"/>
  <c r="AO24"/>
  <c r="AN24"/>
  <c r="AM24"/>
  <c r="AL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BE23"/>
  <c r="BD23"/>
  <c r="BC23"/>
  <c r="BB23"/>
  <c r="AK23"/>
  <c r="BI23" s="1"/>
  <c r="AJ23"/>
  <c r="BH23" s="1"/>
  <c r="AI23"/>
  <c r="AH23"/>
  <c r="BE22"/>
  <c r="BD22"/>
  <c r="BC22"/>
  <c r="BB22"/>
  <c r="AK22"/>
  <c r="BI22" s="1"/>
  <c r="AJ22"/>
  <c r="BH22" s="1"/>
  <c r="AI22"/>
  <c r="AH22"/>
  <c r="BE21"/>
  <c r="BD21"/>
  <c r="BC21"/>
  <c r="BB21"/>
  <c r="AK21"/>
  <c r="BI21" s="1"/>
  <c r="AJ21"/>
  <c r="BH21" s="1"/>
  <c r="AI21"/>
  <c r="AH21"/>
  <c r="BE20"/>
  <c r="BD20"/>
  <c r="BC20"/>
  <c r="BB20"/>
  <c r="AK20"/>
  <c r="AJ20"/>
  <c r="BH20" s="1"/>
  <c r="AI20"/>
  <c r="AH20"/>
  <c r="BE19"/>
  <c r="BD19"/>
  <c r="BC19"/>
  <c r="BB19"/>
  <c r="AK19"/>
  <c r="BI19" s="1"/>
  <c r="AJ19"/>
  <c r="BH19" s="1"/>
  <c r="AI19"/>
  <c r="AH19"/>
  <c r="BE18"/>
  <c r="BD18"/>
  <c r="BC18"/>
  <c r="BB18"/>
  <c r="AK18"/>
  <c r="BI18" s="1"/>
  <c r="AJ18"/>
  <c r="BH18" s="1"/>
  <c r="AI18"/>
  <c r="AH18"/>
  <c r="BE17"/>
  <c r="BD17"/>
  <c r="BC17"/>
  <c r="BB17"/>
  <c r="AK17"/>
  <c r="BI17" s="1"/>
  <c r="AJ17"/>
  <c r="BH17" s="1"/>
  <c r="AI17"/>
  <c r="AH17"/>
  <c r="BE16"/>
  <c r="BD16"/>
  <c r="BC16"/>
  <c r="BB16"/>
  <c r="AK16"/>
  <c r="BI16" s="1"/>
  <c r="AJ16"/>
  <c r="BH16" s="1"/>
  <c r="AI16"/>
  <c r="AH16"/>
  <c r="BE15"/>
  <c r="BD15"/>
  <c r="BD24" s="1"/>
  <c r="BC15"/>
  <c r="BB15"/>
  <c r="BB24" s="1"/>
  <c r="AK15"/>
  <c r="AJ15"/>
  <c r="AJ24" s="1"/>
  <c r="AI15"/>
  <c r="AH15"/>
  <c r="AH24" s="1"/>
  <c r="BA10"/>
  <c r="BA26" s="1"/>
  <c r="AZ10"/>
  <c r="AZ26" s="1"/>
  <c r="AY10"/>
  <c r="AY26" s="1"/>
  <c r="AX10"/>
  <c r="AX26" s="1"/>
  <c r="AW10"/>
  <c r="AW26" s="1"/>
  <c r="AV10"/>
  <c r="AV26" s="1"/>
  <c r="AU10"/>
  <c r="AU26" s="1"/>
  <c r="AT10"/>
  <c r="AT26" s="1"/>
  <c r="AS10"/>
  <c r="AR10"/>
  <c r="AR26" s="1"/>
  <c r="AQ10"/>
  <c r="AQ26" s="1"/>
  <c r="AP10"/>
  <c r="AP26" s="1"/>
  <c r="AO10"/>
  <c r="AO26" s="1"/>
  <c r="AN10"/>
  <c r="AN26" s="1"/>
  <c r="AM10"/>
  <c r="AL10"/>
  <c r="AG10"/>
  <c r="AG26" s="1"/>
  <c r="AF10"/>
  <c r="AF26" s="1"/>
  <c r="AE10"/>
  <c r="AE26" s="1"/>
  <c r="AD10"/>
  <c r="AD26" s="1"/>
  <c r="AC10"/>
  <c r="AC26" s="1"/>
  <c r="AB10"/>
  <c r="AB26" s="1"/>
  <c r="AA10"/>
  <c r="AA26" s="1"/>
  <c r="Z10"/>
  <c r="Z26" s="1"/>
  <c r="Y10"/>
  <c r="Y26" s="1"/>
  <c r="X10"/>
  <c r="X26" s="1"/>
  <c r="W10"/>
  <c r="W26" s="1"/>
  <c r="V10"/>
  <c r="V26" s="1"/>
  <c r="U10"/>
  <c r="U26" s="1"/>
  <c r="T10"/>
  <c r="T26" s="1"/>
  <c r="S10"/>
  <c r="R10"/>
  <c r="R26" s="1"/>
  <c r="Q10"/>
  <c r="Q26" s="1"/>
  <c r="P10"/>
  <c r="P26" s="1"/>
  <c r="O10"/>
  <c r="O26" s="1"/>
  <c r="N10"/>
  <c r="N26" s="1"/>
  <c r="M10"/>
  <c r="M26" s="1"/>
  <c r="L10"/>
  <c r="L26" s="1"/>
  <c r="K10"/>
  <c r="K26" s="1"/>
  <c r="J10"/>
  <c r="J26" s="1"/>
  <c r="BE9"/>
  <c r="BD9"/>
  <c r="BC9"/>
  <c r="BB9"/>
  <c r="AK9"/>
  <c r="BI9" s="1"/>
  <c r="AJ9"/>
  <c r="BH9" s="1"/>
  <c r="AI9"/>
  <c r="AH9"/>
  <c r="BE8"/>
  <c r="BD8"/>
  <c r="BC8"/>
  <c r="BB8"/>
  <c r="AK8"/>
  <c r="BI8" s="1"/>
  <c r="AJ8"/>
  <c r="BH8" s="1"/>
  <c r="AI8"/>
  <c r="AH8"/>
  <c r="BE7"/>
  <c r="BD7"/>
  <c r="BC7"/>
  <c r="BB7"/>
  <c r="AK7"/>
  <c r="BI7" s="1"/>
  <c r="AJ7"/>
  <c r="BH7" s="1"/>
  <c r="AI7"/>
  <c r="AH7"/>
  <c r="BE6"/>
  <c r="BE10" s="1"/>
  <c r="BD6"/>
  <c r="BD10" s="1"/>
  <c r="BD26" s="1"/>
  <c r="BC6"/>
  <c r="BB6"/>
  <c r="BB10" s="1"/>
  <c r="AK6"/>
  <c r="AK10" s="1"/>
  <c r="AJ6"/>
  <c r="AI6"/>
  <c r="AH6"/>
  <c r="AH10" s="1"/>
  <c r="AH26" s="1"/>
  <c r="AI58" i="204"/>
  <c r="AH58"/>
  <c r="AG58"/>
  <c r="AF58"/>
  <c r="AC58"/>
  <c r="AA58"/>
  <c r="Z58"/>
  <c r="Y58"/>
  <c r="X58"/>
  <c r="R58"/>
  <c r="Q58"/>
  <c r="P58"/>
  <c r="O58"/>
  <c r="M58"/>
  <c r="K58"/>
  <c r="J58"/>
  <c r="AE57"/>
  <c r="S57"/>
  <c r="AE56"/>
  <c r="S56"/>
  <c r="AE55"/>
  <c r="S55"/>
  <c r="AE54"/>
  <c r="S54"/>
  <c r="AE53"/>
  <c r="S53"/>
  <c r="AE52"/>
  <c r="S52"/>
  <c r="AE51"/>
  <c r="S51"/>
  <c r="AE50"/>
  <c r="S50"/>
  <c r="AE49"/>
  <c r="S49"/>
  <c r="T58"/>
  <c r="S48"/>
  <c r="AD43"/>
  <c r="AB43"/>
  <c r="AA43"/>
  <c r="Z43"/>
  <c r="Y43"/>
  <c r="X43"/>
  <c r="W43"/>
  <c r="R43"/>
  <c r="Q43"/>
  <c r="P43"/>
  <c r="O43"/>
  <c r="N43"/>
  <c r="M43"/>
  <c r="AD42"/>
  <c r="AB42"/>
  <c r="AA42"/>
  <c r="Z42"/>
  <c r="Y42"/>
  <c r="X42"/>
  <c r="W42"/>
  <c r="R42"/>
  <c r="Q42"/>
  <c r="P42"/>
  <c r="O42"/>
  <c r="N42"/>
  <c r="M42"/>
  <c r="AD41"/>
  <c r="AB41"/>
  <c r="AA41"/>
  <c r="Z41"/>
  <c r="Y41"/>
  <c r="X41"/>
  <c r="W41"/>
  <c r="AD55" s="1"/>
  <c r="R41"/>
  <c r="Q41"/>
  <c r="P41"/>
  <c r="O41"/>
  <c r="N41"/>
  <c r="M41"/>
  <c r="AD40"/>
  <c r="AB40"/>
  <c r="AA40"/>
  <c r="Z40"/>
  <c r="Y40"/>
  <c r="X40"/>
  <c r="W40"/>
  <c r="R40"/>
  <c r="Q40"/>
  <c r="P40"/>
  <c r="O40"/>
  <c r="N40"/>
  <c r="M40"/>
  <c r="AD39"/>
  <c r="AB39"/>
  <c r="AA39"/>
  <c r="Z39"/>
  <c r="Y39"/>
  <c r="X39"/>
  <c r="W39"/>
  <c r="R39"/>
  <c r="Q39"/>
  <c r="P39"/>
  <c r="O39"/>
  <c r="N39"/>
  <c r="M39"/>
  <c r="AD38"/>
  <c r="AB38"/>
  <c r="AA38"/>
  <c r="Z38"/>
  <c r="Y38"/>
  <c r="X38"/>
  <c r="W38"/>
  <c r="R38"/>
  <c r="Q38"/>
  <c r="P38"/>
  <c r="O38"/>
  <c r="N38"/>
  <c r="M38"/>
  <c r="AD37"/>
  <c r="AB37"/>
  <c r="AA37"/>
  <c r="Z37"/>
  <c r="Y37"/>
  <c r="X37"/>
  <c r="W37"/>
  <c r="R37"/>
  <c r="Q37"/>
  <c r="P37"/>
  <c r="O37"/>
  <c r="N37"/>
  <c r="M37"/>
  <c r="AD36"/>
  <c r="AB36"/>
  <c r="AA36"/>
  <c r="Z36"/>
  <c r="Y36"/>
  <c r="X36"/>
  <c r="W36"/>
  <c r="R36"/>
  <c r="Q36"/>
  <c r="P36"/>
  <c r="O36"/>
  <c r="N36"/>
  <c r="M36"/>
  <c r="AD35"/>
  <c r="AB35"/>
  <c r="AA35"/>
  <c r="Z35"/>
  <c r="Y35"/>
  <c r="X35"/>
  <c r="W35"/>
  <c r="R35"/>
  <c r="Q35"/>
  <c r="P35"/>
  <c r="O35"/>
  <c r="N35"/>
  <c r="M35"/>
  <c r="AD34"/>
  <c r="AB34"/>
  <c r="AA34"/>
  <c r="Z34"/>
  <c r="Y34"/>
  <c r="X34"/>
  <c r="R34"/>
  <c r="Q34"/>
  <c r="P34"/>
  <c r="O34"/>
  <c r="N34"/>
  <c r="M34"/>
  <c r="BA24"/>
  <c r="AZ24"/>
  <c r="AY24"/>
  <c r="AX24"/>
  <c r="AX26" s="1"/>
  <c r="AW24"/>
  <c r="AW26" s="1"/>
  <c r="AV24"/>
  <c r="AV26" s="1"/>
  <c r="AU24"/>
  <c r="AU26" s="1"/>
  <c r="AT24"/>
  <c r="AT26" s="1"/>
  <c r="AS24"/>
  <c r="AS26" s="1"/>
  <c r="AR24"/>
  <c r="AR26" s="1"/>
  <c r="AQ24"/>
  <c r="AQ26" s="1"/>
  <c r="AP24"/>
  <c r="AP26" s="1"/>
  <c r="AO24"/>
  <c r="AO26" s="1"/>
  <c r="AN24"/>
  <c r="AN26" s="1"/>
  <c r="AM24"/>
  <c r="AM26" s="1"/>
  <c r="AL24"/>
  <c r="AL26" s="1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BE23"/>
  <c r="BD23"/>
  <c r="BC23"/>
  <c r="BB23"/>
  <c r="AK23"/>
  <c r="BI23" s="1"/>
  <c r="AJ23"/>
  <c r="BH23" s="1"/>
  <c r="AI23"/>
  <c r="AH23"/>
  <c r="BE22"/>
  <c r="BD22"/>
  <c r="BC22"/>
  <c r="BB22"/>
  <c r="AK22"/>
  <c r="BI22" s="1"/>
  <c r="AJ22"/>
  <c r="BH22" s="1"/>
  <c r="AI22"/>
  <c r="AH22"/>
  <c r="BE21"/>
  <c r="BD21"/>
  <c r="BC21"/>
  <c r="BB21"/>
  <c r="AK21"/>
  <c r="BI21" s="1"/>
  <c r="AJ21"/>
  <c r="BH21" s="1"/>
  <c r="AI21"/>
  <c r="AH21"/>
  <c r="BE20"/>
  <c r="BD20"/>
  <c r="BC20"/>
  <c r="BB20"/>
  <c r="AK20"/>
  <c r="BI20" s="1"/>
  <c r="AJ20"/>
  <c r="BH20" s="1"/>
  <c r="AI20"/>
  <c r="AH20"/>
  <c r="BE19"/>
  <c r="BD19"/>
  <c r="BC19"/>
  <c r="BB19"/>
  <c r="AK19"/>
  <c r="BI19" s="1"/>
  <c r="AJ19"/>
  <c r="AI19"/>
  <c r="AH19"/>
  <c r="BE18"/>
  <c r="BD18"/>
  <c r="BC18"/>
  <c r="BB18"/>
  <c r="AK18"/>
  <c r="BI18" s="1"/>
  <c r="AJ18"/>
  <c r="BH18" s="1"/>
  <c r="AI18"/>
  <c r="AH18"/>
  <c r="BE17"/>
  <c r="BD17"/>
  <c r="BC17"/>
  <c r="BB17"/>
  <c r="AK17"/>
  <c r="BI17" s="1"/>
  <c r="AJ17"/>
  <c r="BH17" s="1"/>
  <c r="AI17"/>
  <c r="AH17"/>
  <c r="BE16"/>
  <c r="BD16"/>
  <c r="BC16"/>
  <c r="BB16"/>
  <c r="AK16"/>
  <c r="BI16" s="1"/>
  <c r="AJ16"/>
  <c r="BH16" s="1"/>
  <c r="AI16"/>
  <c r="AH16"/>
  <c r="BE15"/>
  <c r="BE24" s="1"/>
  <c r="BD15"/>
  <c r="BC15"/>
  <c r="BC24" s="1"/>
  <c r="BB15"/>
  <c r="AK15"/>
  <c r="AK24" s="1"/>
  <c r="AJ15"/>
  <c r="AI15"/>
  <c r="AI24" s="1"/>
  <c r="AH15"/>
  <c r="BA26"/>
  <c r="AZ26"/>
  <c r="AY26"/>
  <c r="AG10"/>
  <c r="AG26" s="1"/>
  <c r="AF10"/>
  <c r="AE10"/>
  <c r="AD10"/>
  <c r="AC10"/>
  <c r="AC26" s="1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BE9"/>
  <c r="BD9"/>
  <c r="BC9"/>
  <c r="BB9"/>
  <c r="AK9"/>
  <c r="AJ9"/>
  <c r="AI9"/>
  <c r="AH9"/>
  <c r="BF9" s="1"/>
  <c r="BE8"/>
  <c r="BD8"/>
  <c r="BC8"/>
  <c r="BB8"/>
  <c r="AK8"/>
  <c r="AJ8"/>
  <c r="AI8"/>
  <c r="AH8"/>
  <c r="BF8" s="1"/>
  <c r="BE7"/>
  <c r="BD7"/>
  <c r="BC7"/>
  <c r="BB7"/>
  <c r="AK7"/>
  <c r="AJ7"/>
  <c r="BH7" s="1"/>
  <c r="AI7"/>
  <c r="AH7"/>
  <c r="BF7" s="1"/>
  <c r="BE6"/>
  <c r="BE10" s="1"/>
  <c r="BD6"/>
  <c r="BC6"/>
  <c r="BB6"/>
  <c r="BB10" s="1"/>
  <c r="AK6"/>
  <c r="AK10" s="1"/>
  <c r="AJ6"/>
  <c r="AI6"/>
  <c r="AH6"/>
  <c r="AI57" i="203"/>
  <c r="AH57"/>
  <c r="AG57"/>
  <c r="AF57"/>
  <c r="AC57"/>
  <c r="AA57"/>
  <c r="Y57"/>
  <c r="X57"/>
  <c r="R57"/>
  <c r="Q57"/>
  <c r="P57"/>
  <c r="O57"/>
  <c r="N57"/>
  <c r="M57"/>
  <c r="K57"/>
  <c r="J57"/>
  <c r="AE56"/>
  <c r="S56"/>
  <c r="AE55"/>
  <c r="S55"/>
  <c r="AE54"/>
  <c r="S54"/>
  <c r="AE53"/>
  <c r="S53"/>
  <c r="AE52"/>
  <c r="S52"/>
  <c r="AE51"/>
  <c r="S51"/>
  <c r="S50"/>
  <c r="AE49"/>
  <c r="S49"/>
  <c r="AE48"/>
  <c r="S48"/>
  <c r="AE47"/>
  <c r="T57"/>
  <c r="S47"/>
  <c r="AD42"/>
  <c r="AB42"/>
  <c r="AA42"/>
  <c r="Z42"/>
  <c r="Y42"/>
  <c r="X42"/>
  <c r="W42"/>
  <c r="R42"/>
  <c r="Q42"/>
  <c r="P42"/>
  <c r="O42"/>
  <c r="N42"/>
  <c r="M42"/>
  <c r="AB41"/>
  <c r="AA41"/>
  <c r="Z41"/>
  <c r="Y41"/>
  <c r="X41"/>
  <c r="W41"/>
  <c r="R41"/>
  <c r="Q41"/>
  <c r="P41"/>
  <c r="O41"/>
  <c r="N41"/>
  <c r="M41"/>
  <c r="AD40"/>
  <c r="AB40"/>
  <c r="AA40"/>
  <c r="Z40"/>
  <c r="Y40"/>
  <c r="X40"/>
  <c r="W40"/>
  <c r="R40"/>
  <c r="Q40"/>
  <c r="P40"/>
  <c r="O40"/>
  <c r="N40"/>
  <c r="M40"/>
  <c r="AD39"/>
  <c r="AB39"/>
  <c r="AA39"/>
  <c r="Z39"/>
  <c r="Y39"/>
  <c r="X39"/>
  <c r="W39"/>
  <c r="R39"/>
  <c r="Q39"/>
  <c r="P39"/>
  <c r="O39"/>
  <c r="N39"/>
  <c r="M39"/>
  <c r="AD38"/>
  <c r="AB38"/>
  <c r="AA38"/>
  <c r="Z38"/>
  <c r="Y38"/>
  <c r="X38"/>
  <c r="W38"/>
  <c r="R38"/>
  <c r="Q38"/>
  <c r="P38"/>
  <c r="O38"/>
  <c r="N38"/>
  <c r="M38"/>
  <c r="AD37"/>
  <c r="AB37"/>
  <c r="AA37"/>
  <c r="Z37"/>
  <c r="Y37"/>
  <c r="X37"/>
  <c r="W37"/>
  <c r="R37"/>
  <c r="Q37"/>
  <c r="P37"/>
  <c r="O37"/>
  <c r="N37"/>
  <c r="M37"/>
  <c r="AD36"/>
  <c r="AB36"/>
  <c r="AA36"/>
  <c r="Z36"/>
  <c r="Y36"/>
  <c r="X36"/>
  <c r="W36"/>
  <c r="R36"/>
  <c r="Q36"/>
  <c r="P36"/>
  <c r="O36"/>
  <c r="N36"/>
  <c r="M36"/>
  <c r="AD35"/>
  <c r="AB35"/>
  <c r="AA35"/>
  <c r="Z35"/>
  <c r="Y35"/>
  <c r="X35"/>
  <c r="W35"/>
  <c r="R35"/>
  <c r="Q35"/>
  <c r="P35"/>
  <c r="O35"/>
  <c r="N35"/>
  <c r="M35"/>
  <c r="AD34"/>
  <c r="AB34"/>
  <c r="AA34"/>
  <c r="Z34"/>
  <c r="Y34"/>
  <c r="X34"/>
  <c r="W34"/>
  <c r="R34"/>
  <c r="Q34"/>
  <c r="P34"/>
  <c r="O34"/>
  <c r="N34"/>
  <c r="M34"/>
  <c r="AD33"/>
  <c r="AB33"/>
  <c r="AA33"/>
  <c r="Z33"/>
  <c r="Y33"/>
  <c r="X33"/>
  <c r="W33"/>
  <c r="R33"/>
  <c r="Q33"/>
  <c r="P33"/>
  <c r="O33"/>
  <c r="N33"/>
  <c r="M33"/>
  <c r="BC27"/>
  <c r="BA24"/>
  <c r="AZ24"/>
  <c r="AY24"/>
  <c r="AX24"/>
  <c r="AW24"/>
  <c r="AV24"/>
  <c r="AU24"/>
  <c r="AT24"/>
  <c r="AS24"/>
  <c r="AR24"/>
  <c r="AQ24"/>
  <c r="AP24"/>
  <c r="AO24"/>
  <c r="AN24"/>
  <c r="AM24"/>
  <c r="AL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BE23"/>
  <c r="BD23"/>
  <c r="BC23"/>
  <c r="BB23"/>
  <c r="AK23"/>
  <c r="AJ23"/>
  <c r="BH23" s="1"/>
  <c r="AI23"/>
  <c r="AH23"/>
  <c r="BE22"/>
  <c r="BD22"/>
  <c r="BC22"/>
  <c r="BB22"/>
  <c r="AK22"/>
  <c r="AJ22"/>
  <c r="BH22" s="1"/>
  <c r="AI22"/>
  <c r="AH22"/>
  <c r="BF22" s="1"/>
  <c r="BE21"/>
  <c r="BD21"/>
  <c r="BC21"/>
  <c r="BB21"/>
  <c r="AK21"/>
  <c r="AJ21"/>
  <c r="BH21" s="1"/>
  <c r="AI21"/>
  <c r="AH21"/>
  <c r="BF21" s="1"/>
  <c r="BE20"/>
  <c r="BD20"/>
  <c r="BC20"/>
  <c r="BB20"/>
  <c r="AK20"/>
  <c r="AJ20"/>
  <c r="BH20" s="1"/>
  <c r="AI20"/>
  <c r="AH20"/>
  <c r="BF20" s="1"/>
  <c r="BE19"/>
  <c r="BD19"/>
  <c r="BC19"/>
  <c r="BB19"/>
  <c r="AK19"/>
  <c r="AJ19"/>
  <c r="BH19" s="1"/>
  <c r="AI19"/>
  <c r="AH19"/>
  <c r="BF19" s="1"/>
  <c r="BE18"/>
  <c r="BD18"/>
  <c r="BC18"/>
  <c r="BB18"/>
  <c r="AK18"/>
  <c r="AJ18"/>
  <c r="BH18" s="1"/>
  <c r="AI18"/>
  <c r="AH18"/>
  <c r="BF18" s="1"/>
  <c r="BE17"/>
  <c r="BD17"/>
  <c r="BC17"/>
  <c r="BB17"/>
  <c r="AK17"/>
  <c r="AJ17"/>
  <c r="BH17" s="1"/>
  <c r="AI17"/>
  <c r="AH17"/>
  <c r="BF17" s="1"/>
  <c r="BE16"/>
  <c r="BD16"/>
  <c r="BC16"/>
  <c r="BB16"/>
  <c r="AK16"/>
  <c r="AJ16"/>
  <c r="BH16" s="1"/>
  <c r="AI16"/>
  <c r="AH16"/>
  <c r="BF16" s="1"/>
  <c r="BE15"/>
  <c r="BE24" s="1"/>
  <c r="BD15"/>
  <c r="BD24" s="1"/>
  <c r="BC15"/>
  <c r="BB15"/>
  <c r="BB24" s="1"/>
  <c r="AK15"/>
  <c r="AK24" s="1"/>
  <c r="AJ15"/>
  <c r="AI15"/>
  <c r="AH15"/>
  <c r="AH24" s="1"/>
  <c r="BA10"/>
  <c r="BA26" s="1"/>
  <c r="AZ10"/>
  <c r="AZ26" s="1"/>
  <c r="AY10"/>
  <c r="AX10"/>
  <c r="AX26" s="1"/>
  <c r="AW10"/>
  <c r="AW26" s="1"/>
  <c r="AV10"/>
  <c r="AV26" s="1"/>
  <c r="AU10"/>
  <c r="AT10"/>
  <c r="AT26" s="1"/>
  <c r="AS10"/>
  <c r="AS26" s="1"/>
  <c r="AR10"/>
  <c r="AR26" s="1"/>
  <c r="AQ10"/>
  <c r="AP10"/>
  <c r="AP26" s="1"/>
  <c r="AO10"/>
  <c r="AO26" s="1"/>
  <c r="AN10"/>
  <c r="AN26" s="1"/>
  <c r="AM10"/>
  <c r="AL10"/>
  <c r="AL26" s="1"/>
  <c r="AG10"/>
  <c r="AG26" s="1"/>
  <c r="AF10"/>
  <c r="AF26" s="1"/>
  <c r="AE10"/>
  <c r="AD10"/>
  <c r="AD26" s="1"/>
  <c r="AC10"/>
  <c r="AC26" s="1"/>
  <c r="AB10"/>
  <c r="AB26" s="1"/>
  <c r="AA10"/>
  <c r="AA26" s="1"/>
  <c r="Z26"/>
  <c r="Y10"/>
  <c r="Y26" s="1"/>
  <c r="X10"/>
  <c r="X26" s="1"/>
  <c r="W10"/>
  <c r="V10"/>
  <c r="V26" s="1"/>
  <c r="U10"/>
  <c r="U26" s="1"/>
  <c r="T10"/>
  <c r="T26" s="1"/>
  <c r="S10"/>
  <c r="R10"/>
  <c r="R26" s="1"/>
  <c r="Q10"/>
  <c r="Q26" s="1"/>
  <c r="P10"/>
  <c r="P26" s="1"/>
  <c r="O10"/>
  <c r="N10"/>
  <c r="N26" s="1"/>
  <c r="M10"/>
  <c r="M26" s="1"/>
  <c r="L10"/>
  <c r="L26" s="1"/>
  <c r="K10"/>
  <c r="J10"/>
  <c r="J26" s="1"/>
  <c r="BE9"/>
  <c r="BD9"/>
  <c r="BC9"/>
  <c r="BB9"/>
  <c r="AK9"/>
  <c r="AJ9"/>
  <c r="BH9" s="1"/>
  <c r="AI9"/>
  <c r="AH9"/>
  <c r="BF9" s="1"/>
  <c r="BE8"/>
  <c r="BD8"/>
  <c r="BC8"/>
  <c r="BB8"/>
  <c r="AK8"/>
  <c r="AJ8"/>
  <c r="AI8"/>
  <c r="AH8"/>
  <c r="BF8" s="1"/>
  <c r="BE7"/>
  <c r="BD7"/>
  <c r="BC7"/>
  <c r="BB7"/>
  <c r="AK7"/>
  <c r="AJ7"/>
  <c r="BH7" s="1"/>
  <c r="AI7"/>
  <c r="AH7"/>
  <c r="BF7" s="1"/>
  <c r="BE6"/>
  <c r="BE10" s="1"/>
  <c r="BE26" s="1"/>
  <c r="BD6"/>
  <c r="BD10" s="1"/>
  <c r="BD26" s="1"/>
  <c r="BC6"/>
  <c r="BB6"/>
  <c r="BB10" s="1"/>
  <c r="BB26" s="1"/>
  <c r="AK6"/>
  <c r="AK10" s="1"/>
  <c r="AJ6"/>
  <c r="AI6"/>
  <c r="AH6"/>
  <c r="AH10" s="1"/>
  <c r="AH26" s="1"/>
  <c r="AI57" i="186"/>
  <c r="AH57"/>
  <c r="AG57"/>
  <c r="AF57"/>
  <c r="AC57"/>
  <c r="AA57"/>
  <c r="Z57"/>
  <c r="Y57"/>
  <c r="X57"/>
  <c r="R57"/>
  <c r="Q57"/>
  <c r="P57"/>
  <c r="O57"/>
  <c r="N57"/>
  <c r="M57"/>
  <c r="K57"/>
  <c r="J57"/>
  <c r="AE56"/>
  <c r="AD56"/>
  <c r="S56"/>
  <c r="AE55"/>
  <c r="AD55"/>
  <c r="S55"/>
  <c r="AE54"/>
  <c r="AD54"/>
  <c r="S54"/>
  <c r="AE53"/>
  <c r="AD53"/>
  <c r="S53"/>
  <c r="AE52"/>
  <c r="AD52"/>
  <c r="S52"/>
  <c r="AE51"/>
  <c r="AD51"/>
  <c r="S51"/>
  <c r="AE50"/>
  <c r="AD50"/>
  <c r="S50"/>
  <c r="AE49"/>
  <c r="AD49"/>
  <c r="S49"/>
  <c r="AE48"/>
  <c r="AD48"/>
  <c r="S48"/>
  <c r="AE47"/>
  <c r="T57"/>
  <c r="S47"/>
  <c r="AD42"/>
  <c r="AB42"/>
  <c r="AA42"/>
  <c r="Z42"/>
  <c r="Y42"/>
  <c r="X42"/>
  <c r="W42"/>
  <c r="R42"/>
  <c r="Q42"/>
  <c r="P42"/>
  <c r="O42"/>
  <c r="N42"/>
  <c r="M42"/>
  <c r="AD41"/>
  <c r="AB41"/>
  <c r="AA41"/>
  <c r="Z41"/>
  <c r="Y41"/>
  <c r="X41"/>
  <c r="W41"/>
  <c r="R41"/>
  <c r="Q41"/>
  <c r="P41"/>
  <c r="O41"/>
  <c r="N41"/>
  <c r="M41"/>
  <c r="AD40"/>
  <c r="AB40"/>
  <c r="AA40"/>
  <c r="Z40"/>
  <c r="Y40"/>
  <c r="X40"/>
  <c r="W40"/>
  <c r="R40"/>
  <c r="Q40"/>
  <c r="P40"/>
  <c r="O40"/>
  <c r="N40"/>
  <c r="M40"/>
  <c r="AD39"/>
  <c r="AB39"/>
  <c r="AA39"/>
  <c r="Z39"/>
  <c r="Y39"/>
  <c r="X39"/>
  <c r="W39"/>
  <c r="R39"/>
  <c r="Q39"/>
  <c r="P39"/>
  <c r="O39"/>
  <c r="N39"/>
  <c r="M39"/>
  <c r="AD38"/>
  <c r="AB38"/>
  <c r="AA38"/>
  <c r="Z38"/>
  <c r="Y38"/>
  <c r="X38"/>
  <c r="W38"/>
  <c r="R38"/>
  <c r="Q38"/>
  <c r="P38"/>
  <c r="O38"/>
  <c r="N38"/>
  <c r="M38"/>
  <c r="AD37"/>
  <c r="AB37"/>
  <c r="AA37"/>
  <c r="Z37"/>
  <c r="Y37"/>
  <c r="X37"/>
  <c r="W37"/>
  <c r="R37"/>
  <c r="Q37"/>
  <c r="P37"/>
  <c r="O37"/>
  <c r="N37"/>
  <c r="M37"/>
  <c r="AD36"/>
  <c r="AB36"/>
  <c r="AA36"/>
  <c r="Z36"/>
  <c r="Y36"/>
  <c r="X36"/>
  <c r="W36"/>
  <c r="R36"/>
  <c r="Q36"/>
  <c r="P36"/>
  <c r="O36"/>
  <c r="N36"/>
  <c r="M36"/>
  <c r="AD35"/>
  <c r="AB35"/>
  <c r="AA35"/>
  <c r="Z35"/>
  <c r="Y35"/>
  <c r="X35"/>
  <c r="W35"/>
  <c r="R35"/>
  <c r="Q35"/>
  <c r="P35"/>
  <c r="O35"/>
  <c r="N35"/>
  <c r="M35"/>
  <c r="AD34"/>
  <c r="AB34"/>
  <c r="AA34"/>
  <c r="Z34"/>
  <c r="Y34"/>
  <c r="X34"/>
  <c r="W34"/>
  <c r="R34"/>
  <c r="Q34"/>
  <c r="P34"/>
  <c r="O34"/>
  <c r="N34"/>
  <c r="M34"/>
  <c r="AD33"/>
  <c r="AB33"/>
  <c r="AA33"/>
  <c r="Z33"/>
  <c r="Y33"/>
  <c r="X33"/>
  <c r="W57" s="1"/>
  <c r="W33"/>
  <c r="R33"/>
  <c r="Q33"/>
  <c r="P33"/>
  <c r="O33"/>
  <c r="N33"/>
  <c r="BC27"/>
  <c r="BA24"/>
  <c r="AZ24"/>
  <c r="AY24"/>
  <c r="AX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K26" s="1"/>
  <c r="J24"/>
  <c r="BE23"/>
  <c r="BD23"/>
  <c r="BC23"/>
  <c r="BB23"/>
  <c r="AK23"/>
  <c r="BI23" s="1"/>
  <c r="AJ23"/>
  <c r="AI23"/>
  <c r="AH23"/>
  <c r="BE22"/>
  <c r="BD22"/>
  <c r="BC22"/>
  <c r="BB22"/>
  <c r="AK22"/>
  <c r="BI22" s="1"/>
  <c r="AJ22"/>
  <c r="AI22"/>
  <c r="AH22"/>
  <c r="BF22" s="1"/>
  <c r="BE21"/>
  <c r="BD21"/>
  <c r="BC21"/>
  <c r="BB21"/>
  <c r="AK21"/>
  <c r="BI21" s="1"/>
  <c r="AJ21"/>
  <c r="AI21"/>
  <c r="AH21"/>
  <c r="BF21" s="1"/>
  <c r="BE20"/>
  <c r="BD20"/>
  <c r="BC20"/>
  <c r="BB20"/>
  <c r="AK20"/>
  <c r="AJ20"/>
  <c r="AI20"/>
  <c r="AH20"/>
  <c r="BE19"/>
  <c r="BD19"/>
  <c r="BC19"/>
  <c r="BB19"/>
  <c r="AK19"/>
  <c r="BI19" s="1"/>
  <c r="AJ19"/>
  <c r="AI19"/>
  <c r="AH19"/>
  <c r="BE18"/>
  <c r="BD18"/>
  <c r="BC18"/>
  <c r="BB18"/>
  <c r="AK18"/>
  <c r="BI18" s="1"/>
  <c r="AJ18"/>
  <c r="AI18"/>
  <c r="AH18"/>
  <c r="BF18" s="1"/>
  <c r="BE17"/>
  <c r="BD17"/>
  <c r="BC17"/>
  <c r="BB17"/>
  <c r="AK17"/>
  <c r="BI17" s="1"/>
  <c r="AJ17"/>
  <c r="AI17"/>
  <c r="AH17"/>
  <c r="BE16"/>
  <c r="BD16"/>
  <c r="BC16"/>
  <c r="BB16"/>
  <c r="AK16"/>
  <c r="BI16" s="1"/>
  <c r="AJ16"/>
  <c r="AI16"/>
  <c r="AH16"/>
  <c r="BE15"/>
  <c r="BD15"/>
  <c r="BD24" s="1"/>
  <c r="BC15"/>
  <c r="BB15"/>
  <c r="AK15"/>
  <c r="AK24" s="1"/>
  <c r="AJ15"/>
  <c r="AJ24" s="1"/>
  <c r="AI15"/>
  <c r="AH15"/>
  <c r="BA10"/>
  <c r="BA26" s="1"/>
  <c r="AZ10"/>
  <c r="AZ26" s="1"/>
  <c r="AY10"/>
  <c r="AY26" s="1"/>
  <c r="AX10"/>
  <c r="AW10"/>
  <c r="AW26" s="1"/>
  <c r="R14" i="71" s="1"/>
  <c r="AV26" i="186"/>
  <c r="Q14" i="71" s="1"/>
  <c r="AU10" i="186"/>
  <c r="AT10"/>
  <c r="AS10"/>
  <c r="AS26" s="1"/>
  <c r="R13" i="71" s="1"/>
  <c r="AR10" i="186"/>
  <c r="AR26" s="1"/>
  <c r="Q13" i="71" s="1"/>
  <c r="AQ10" i="186"/>
  <c r="AQ26" s="1"/>
  <c r="P13" i="71" s="1"/>
  <c r="AP10" i="186"/>
  <c r="AP26" s="1"/>
  <c r="O13" i="71" s="1"/>
  <c r="AO10" i="186"/>
  <c r="AO26" s="1"/>
  <c r="R12" i="71" s="1"/>
  <c r="R16" s="1"/>
  <c r="AN10" i="186"/>
  <c r="AN26" s="1"/>
  <c r="Q12" i="71" s="1"/>
  <c r="AM10" i="186"/>
  <c r="AM26" s="1"/>
  <c r="P12" i="71" s="1"/>
  <c r="AL10" i="186"/>
  <c r="AG10"/>
  <c r="AG26" s="1"/>
  <c r="AF10"/>
  <c r="AF26" s="1"/>
  <c r="AE10"/>
  <c r="AE26" s="1"/>
  <c r="AD10"/>
  <c r="AC10"/>
  <c r="AC26" s="1"/>
  <c r="AB10"/>
  <c r="AB26" s="1"/>
  <c r="AA10"/>
  <c r="AA26" s="1"/>
  <c r="Z10"/>
  <c r="Y10"/>
  <c r="Y26" s="1"/>
  <c r="X10"/>
  <c r="X26" s="1"/>
  <c r="W10"/>
  <c r="W26" s="1"/>
  <c r="V10"/>
  <c r="V26" s="1"/>
  <c r="U10"/>
  <c r="U26" s="1"/>
  <c r="T10"/>
  <c r="T26" s="1"/>
  <c r="S10"/>
  <c r="S26" s="1"/>
  <c r="R26"/>
  <c r="Q10"/>
  <c r="Q26" s="1"/>
  <c r="P26"/>
  <c r="O10"/>
  <c r="O26" s="1"/>
  <c r="N10"/>
  <c r="M10"/>
  <c r="L10"/>
  <c r="L26" s="1"/>
  <c r="J10"/>
  <c r="BE9"/>
  <c r="BD9"/>
  <c r="BC9"/>
  <c r="BB9"/>
  <c r="AK9"/>
  <c r="BI9" s="1"/>
  <c r="AJ9"/>
  <c r="AI9"/>
  <c r="AH9"/>
  <c r="BE8"/>
  <c r="BD8"/>
  <c r="BC8"/>
  <c r="BB8"/>
  <c r="AK8"/>
  <c r="BI8" s="1"/>
  <c r="AJ8"/>
  <c r="AI8"/>
  <c r="AH8"/>
  <c r="BE7"/>
  <c r="BD7"/>
  <c r="BC7"/>
  <c r="BB7"/>
  <c r="AK7"/>
  <c r="BI7" s="1"/>
  <c r="AJ7"/>
  <c r="AI7"/>
  <c r="AH7"/>
  <c r="BF7" s="1"/>
  <c r="BE6"/>
  <c r="BE10" s="1"/>
  <c r="BD6"/>
  <c r="BC6"/>
  <c r="BB6"/>
  <c r="AK6"/>
  <c r="AK10" s="1"/>
  <c r="AJ6"/>
  <c r="AI6"/>
  <c r="AH6"/>
  <c r="AJ57" i="223"/>
  <c r="AI57"/>
  <c r="AH57"/>
  <c r="AG57"/>
  <c r="AC57"/>
  <c r="AA57"/>
  <c r="Y57"/>
  <c r="X57"/>
  <c r="R57"/>
  <c r="Q57"/>
  <c r="P57"/>
  <c r="O57"/>
  <c r="N57"/>
  <c r="M57"/>
  <c r="K57"/>
  <c r="J57"/>
  <c r="AE56"/>
  <c r="S56"/>
  <c r="AE55"/>
  <c r="S55"/>
  <c r="AE54"/>
  <c r="S54"/>
  <c r="AE53"/>
  <c r="S53"/>
  <c r="AE52"/>
  <c r="S52"/>
  <c r="AE51"/>
  <c r="S51"/>
  <c r="AE50"/>
  <c r="S50"/>
  <c r="AE49"/>
  <c r="S49"/>
  <c r="AE48"/>
  <c r="S48"/>
  <c r="AE47"/>
  <c r="S47"/>
  <c r="AD42"/>
  <c r="AB42"/>
  <c r="AA42"/>
  <c r="Z42"/>
  <c r="Y42"/>
  <c r="X42"/>
  <c r="W42"/>
  <c r="R42"/>
  <c r="Q42"/>
  <c r="P42"/>
  <c r="O42"/>
  <c r="N42"/>
  <c r="M42"/>
  <c r="AD41"/>
  <c r="AB41"/>
  <c r="AA41"/>
  <c r="Z41"/>
  <c r="Y41"/>
  <c r="X41"/>
  <c r="W41"/>
  <c r="R41"/>
  <c r="Q41"/>
  <c r="P41"/>
  <c r="O41"/>
  <c r="N41"/>
  <c r="M41"/>
  <c r="AD40"/>
  <c r="AB40"/>
  <c r="AA40"/>
  <c r="Z40"/>
  <c r="Y40"/>
  <c r="X40"/>
  <c r="W40"/>
  <c r="R40"/>
  <c r="Q40"/>
  <c r="P40"/>
  <c r="O40"/>
  <c r="N40"/>
  <c r="M40"/>
  <c r="AD39"/>
  <c r="AB39"/>
  <c r="AA39"/>
  <c r="Z39"/>
  <c r="Y39"/>
  <c r="X39"/>
  <c r="W39"/>
  <c r="R39"/>
  <c r="Q39"/>
  <c r="P39"/>
  <c r="O39"/>
  <c r="N39"/>
  <c r="M39"/>
  <c r="AD38"/>
  <c r="AB38"/>
  <c r="AA38"/>
  <c r="Z38"/>
  <c r="Y38"/>
  <c r="X38"/>
  <c r="W38"/>
  <c r="R38"/>
  <c r="Q38"/>
  <c r="P38"/>
  <c r="O38"/>
  <c r="N38"/>
  <c r="M38"/>
  <c r="AD37"/>
  <c r="AB37"/>
  <c r="AA37"/>
  <c r="Z37"/>
  <c r="Y37"/>
  <c r="W37"/>
  <c r="R37"/>
  <c r="Q37"/>
  <c r="P37"/>
  <c r="O37"/>
  <c r="N37"/>
  <c r="M37"/>
  <c r="AD36"/>
  <c r="AB36"/>
  <c r="AA36"/>
  <c r="Z36"/>
  <c r="Y36"/>
  <c r="W36"/>
  <c r="R36"/>
  <c r="Q36"/>
  <c r="P36"/>
  <c r="O36"/>
  <c r="N36"/>
  <c r="M36"/>
  <c r="AD35"/>
  <c r="AB35"/>
  <c r="AA35"/>
  <c r="Z35"/>
  <c r="Y35"/>
  <c r="X35"/>
  <c r="W35"/>
  <c r="R35"/>
  <c r="Q35"/>
  <c r="P35"/>
  <c r="O35"/>
  <c r="N35"/>
  <c r="M35"/>
  <c r="AD34"/>
  <c r="AB34"/>
  <c r="AA34"/>
  <c r="Z34"/>
  <c r="Y34"/>
  <c r="X34"/>
  <c r="W34"/>
  <c r="R34"/>
  <c r="Q34"/>
  <c r="P34"/>
  <c r="O34"/>
  <c r="N34"/>
  <c r="M34"/>
  <c r="AD33"/>
  <c r="AB33"/>
  <c r="AA33"/>
  <c r="Z33"/>
  <c r="Y33"/>
  <c r="X33"/>
  <c r="W33"/>
  <c r="R33"/>
  <c r="Q33"/>
  <c r="P33"/>
  <c r="O33"/>
  <c r="N33"/>
  <c r="BC27"/>
  <c r="BA24"/>
  <c r="AZ24"/>
  <c r="AY24"/>
  <c r="AX24"/>
  <c r="AW24"/>
  <c r="AV24"/>
  <c r="AU24"/>
  <c r="AT24"/>
  <c r="AS24"/>
  <c r="AR24"/>
  <c r="AQ24"/>
  <c r="AP24"/>
  <c r="AO24"/>
  <c r="AN24"/>
  <c r="AM24"/>
  <c r="AL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BE23"/>
  <c r="BD23"/>
  <c r="BC23"/>
  <c r="BB23"/>
  <c r="AK23"/>
  <c r="BI23" s="1"/>
  <c r="AJ23"/>
  <c r="AI23"/>
  <c r="BG23" s="1"/>
  <c r="AH23"/>
  <c r="BE22"/>
  <c r="BD22"/>
  <c r="BC22"/>
  <c r="BB22"/>
  <c r="AK22"/>
  <c r="BI22" s="1"/>
  <c r="AJ22"/>
  <c r="AI22"/>
  <c r="BG22" s="1"/>
  <c r="AH22"/>
  <c r="BE21"/>
  <c r="BD21"/>
  <c r="BC21"/>
  <c r="BB21"/>
  <c r="AK21"/>
  <c r="BI21" s="1"/>
  <c r="AJ21"/>
  <c r="AI21"/>
  <c r="AH21"/>
  <c r="BE20"/>
  <c r="BD20"/>
  <c r="BC20"/>
  <c r="BB20"/>
  <c r="AK20"/>
  <c r="BI20" s="1"/>
  <c r="AJ20"/>
  <c r="AI20"/>
  <c r="AH20"/>
  <c r="BE19"/>
  <c r="BD19"/>
  <c r="BC19"/>
  <c r="BB19"/>
  <c r="AK19"/>
  <c r="BI19" s="1"/>
  <c r="AJ19"/>
  <c r="AI19"/>
  <c r="BG19" s="1"/>
  <c r="AH19"/>
  <c r="BE18"/>
  <c r="BD18"/>
  <c r="BC18"/>
  <c r="BB18"/>
  <c r="AK18"/>
  <c r="BI18" s="1"/>
  <c r="AJ18"/>
  <c r="AI18"/>
  <c r="AH18"/>
  <c r="BE17"/>
  <c r="BD17"/>
  <c r="BC17"/>
  <c r="BB17"/>
  <c r="AK17"/>
  <c r="BI17" s="1"/>
  <c r="AJ17"/>
  <c r="AI17"/>
  <c r="AH17"/>
  <c r="BE16"/>
  <c r="BD16"/>
  <c r="BC16"/>
  <c r="BB16"/>
  <c r="AK16"/>
  <c r="BI16" s="1"/>
  <c r="AJ16"/>
  <c r="AI16"/>
  <c r="BG16" s="1"/>
  <c r="AH16"/>
  <c r="BE15"/>
  <c r="BE24" s="1"/>
  <c r="BD15"/>
  <c r="BD24" s="1"/>
  <c r="BC15"/>
  <c r="BB15"/>
  <c r="BB24" s="1"/>
  <c r="AK15"/>
  <c r="AJ15"/>
  <c r="AI15"/>
  <c r="AH15"/>
  <c r="AH24" s="1"/>
  <c r="BA10"/>
  <c r="BA26" s="1"/>
  <c r="AZ10"/>
  <c r="AZ26" s="1"/>
  <c r="AY10"/>
  <c r="AY26" s="1"/>
  <c r="AX10"/>
  <c r="AX26" s="1"/>
  <c r="AW10"/>
  <c r="AW26" s="1"/>
  <c r="AV10"/>
  <c r="AV26" s="1"/>
  <c r="AU10"/>
  <c r="AT10"/>
  <c r="AT26" s="1"/>
  <c r="AS10"/>
  <c r="AS26" s="1"/>
  <c r="AR10"/>
  <c r="AQ10"/>
  <c r="AQ26" s="1"/>
  <c r="AP10"/>
  <c r="AP26" s="1"/>
  <c r="AO10"/>
  <c r="AO26" s="1"/>
  <c r="AN10"/>
  <c r="AN26" s="1"/>
  <c r="AM10"/>
  <c r="AM26" s="1"/>
  <c r="AL10"/>
  <c r="AL26" s="1"/>
  <c r="AG10"/>
  <c r="AG26" s="1"/>
  <c r="AF10"/>
  <c r="AF26" s="1"/>
  <c r="AE10"/>
  <c r="AD10"/>
  <c r="AD26" s="1"/>
  <c r="AC10"/>
  <c r="AC26" s="1"/>
  <c r="AB10"/>
  <c r="AB26" s="1"/>
  <c r="AA10"/>
  <c r="AA26" s="1"/>
  <c r="Z10"/>
  <c r="Z26" s="1"/>
  <c r="Y10"/>
  <c r="Y26" s="1"/>
  <c r="X10"/>
  <c r="X26" s="1"/>
  <c r="W10"/>
  <c r="W26" s="1"/>
  <c r="V10"/>
  <c r="V26" s="1"/>
  <c r="U10"/>
  <c r="U26" s="1"/>
  <c r="T10"/>
  <c r="T26" s="1"/>
  <c r="S10"/>
  <c r="R10"/>
  <c r="R26" s="1"/>
  <c r="Q10"/>
  <c r="Q26" s="1"/>
  <c r="P26"/>
  <c r="O10"/>
  <c r="N10"/>
  <c r="N26" s="1"/>
  <c r="M10"/>
  <c r="M26" s="1"/>
  <c r="L10"/>
  <c r="L26" s="1"/>
  <c r="K10"/>
  <c r="J10"/>
  <c r="J26" s="1"/>
  <c r="BE9"/>
  <c r="BD9"/>
  <c r="BH9" s="1"/>
  <c r="BC9"/>
  <c r="BB9"/>
  <c r="AK9"/>
  <c r="BI9" s="1"/>
  <c r="AI9"/>
  <c r="AH9"/>
  <c r="BE8"/>
  <c r="BD8"/>
  <c r="BC8"/>
  <c r="BB8"/>
  <c r="AK8"/>
  <c r="AJ8"/>
  <c r="AI8"/>
  <c r="AH8"/>
  <c r="BE7"/>
  <c r="BD7"/>
  <c r="BC7"/>
  <c r="BB7"/>
  <c r="AK7"/>
  <c r="AJ7"/>
  <c r="BH7" s="1"/>
  <c r="AI7"/>
  <c r="AH7"/>
  <c r="BE6"/>
  <c r="BE10" s="1"/>
  <c r="BD6"/>
  <c r="BC6"/>
  <c r="BB6"/>
  <c r="AK6"/>
  <c r="AJ6"/>
  <c r="AI6"/>
  <c r="AH6"/>
  <c r="AI57" i="201"/>
  <c r="AH57"/>
  <c r="AG57"/>
  <c r="AF57"/>
  <c r="AC57"/>
  <c r="AA57"/>
  <c r="Z57"/>
  <c r="Y57"/>
  <c r="X57"/>
  <c r="R57"/>
  <c r="Q57"/>
  <c r="P57"/>
  <c r="O57"/>
  <c r="N57"/>
  <c r="M57"/>
  <c r="K57"/>
  <c r="J57"/>
  <c r="AE56"/>
  <c r="S56"/>
  <c r="AE55"/>
  <c r="S55"/>
  <c r="AE54"/>
  <c r="S54"/>
  <c r="AE53"/>
  <c r="S53"/>
  <c r="AE52"/>
  <c r="S52"/>
  <c r="AE51"/>
  <c r="S51"/>
  <c r="AE50"/>
  <c r="S50"/>
  <c r="AE49"/>
  <c r="S49"/>
  <c r="AE48"/>
  <c r="S48"/>
  <c r="AE47"/>
  <c r="S47"/>
  <c r="L45"/>
  <c r="AD42"/>
  <c r="AB42"/>
  <c r="AA42"/>
  <c r="Z42"/>
  <c r="Y42"/>
  <c r="X42"/>
  <c r="W42"/>
  <c r="R42"/>
  <c r="Q42"/>
  <c r="P42"/>
  <c r="O42"/>
  <c r="N42"/>
  <c r="M42"/>
  <c r="AD41"/>
  <c r="AB41"/>
  <c r="AA41"/>
  <c r="Z41"/>
  <c r="Y41"/>
  <c r="X41"/>
  <c r="W41"/>
  <c r="AD55" s="1"/>
  <c r="R41"/>
  <c r="Q41"/>
  <c r="P41"/>
  <c r="O41"/>
  <c r="N41"/>
  <c r="M41"/>
  <c r="AD40"/>
  <c r="AB40"/>
  <c r="AA40"/>
  <c r="Z40"/>
  <c r="Y40"/>
  <c r="X40"/>
  <c r="W40"/>
  <c r="R40"/>
  <c r="Q40"/>
  <c r="P40"/>
  <c r="O40"/>
  <c r="N40"/>
  <c r="M40"/>
  <c r="AD39"/>
  <c r="AB39"/>
  <c r="AA39"/>
  <c r="Z39"/>
  <c r="Y39"/>
  <c r="X39"/>
  <c r="W39"/>
  <c r="R39"/>
  <c r="Q39"/>
  <c r="P39"/>
  <c r="O39"/>
  <c r="N39"/>
  <c r="M39"/>
  <c r="AD38"/>
  <c r="AB38"/>
  <c r="AA38"/>
  <c r="Z38"/>
  <c r="Y38"/>
  <c r="X38"/>
  <c r="W38"/>
  <c r="AD52" s="1"/>
  <c r="R38"/>
  <c r="Q38"/>
  <c r="P38"/>
  <c r="O38"/>
  <c r="N38"/>
  <c r="M38"/>
  <c r="AD37"/>
  <c r="AB37"/>
  <c r="AA37"/>
  <c r="Z37"/>
  <c r="Y37"/>
  <c r="X37"/>
  <c r="W37"/>
  <c r="R37"/>
  <c r="Q37"/>
  <c r="P37"/>
  <c r="O37"/>
  <c r="N37"/>
  <c r="M37"/>
  <c r="AD36"/>
  <c r="AB36"/>
  <c r="AA36"/>
  <c r="Z36"/>
  <c r="Y36"/>
  <c r="X36"/>
  <c r="W36"/>
  <c r="R36"/>
  <c r="Q36"/>
  <c r="P36"/>
  <c r="O36"/>
  <c r="N36"/>
  <c r="M36"/>
  <c r="AD35"/>
  <c r="AB35"/>
  <c r="AA35"/>
  <c r="Z35"/>
  <c r="Y35"/>
  <c r="X35"/>
  <c r="W35"/>
  <c r="AD49" s="1"/>
  <c r="R35"/>
  <c r="Q35"/>
  <c r="P35"/>
  <c r="O35"/>
  <c r="N35"/>
  <c r="M35"/>
  <c r="AD34"/>
  <c r="AB34"/>
  <c r="AA34"/>
  <c r="Z34"/>
  <c r="Y34"/>
  <c r="X34"/>
  <c r="W34"/>
  <c r="AD48" s="1"/>
  <c r="R34"/>
  <c r="Q34"/>
  <c r="P34"/>
  <c r="O34"/>
  <c r="N34"/>
  <c r="M34"/>
  <c r="AD33"/>
  <c r="AB33"/>
  <c r="AA33"/>
  <c r="Z33"/>
  <c r="Y33"/>
  <c r="X33"/>
  <c r="W33"/>
  <c r="R33"/>
  <c r="Q33"/>
  <c r="P33"/>
  <c r="O33"/>
  <c r="N33"/>
  <c r="M33"/>
  <c r="BC27"/>
  <c r="BA24"/>
  <c r="AZ24"/>
  <c r="AY24"/>
  <c r="AX24"/>
  <c r="AW24"/>
  <c r="AV24"/>
  <c r="AU24"/>
  <c r="AT24"/>
  <c r="AS24"/>
  <c r="AR24"/>
  <c r="AQ24"/>
  <c r="AP24"/>
  <c r="AO24"/>
  <c r="AN24"/>
  <c r="AM24"/>
  <c r="AL24"/>
  <c r="AG24"/>
  <c r="AF24"/>
  <c r="AE24"/>
  <c r="AD24"/>
  <c r="AC24"/>
  <c r="AB24"/>
  <c r="AA24"/>
  <c r="Z24"/>
  <c r="Y24"/>
  <c r="X24"/>
  <c r="W24"/>
  <c r="W26" s="1"/>
  <c r="V24"/>
  <c r="U24"/>
  <c r="T24"/>
  <c r="S24"/>
  <c r="R24"/>
  <c r="Q24"/>
  <c r="P24"/>
  <c r="O24"/>
  <c r="N24"/>
  <c r="M24"/>
  <c r="L24"/>
  <c r="K24"/>
  <c r="J24"/>
  <c r="BE23"/>
  <c r="BD23"/>
  <c r="BC23"/>
  <c r="BB23"/>
  <c r="AK23"/>
  <c r="AJ23"/>
  <c r="BH23" s="1"/>
  <c r="AI23"/>
  <c r="AH23"/>
  <c r="BE22"/>
  <c r="BD22"/>
  <c r="BC22"/>
  <c r="BB22"/>
  <c r="AK22"/>
  <c r="AJ22"/>
  <c r="BH22" s="1"/>
  <c r="AI22"/>
  <c r="AH22"/>
  <c r="BE21"/>
  <c r="BD21"/>
  <c r="BC21"/>
  <c r="BB21"/>
  <c r="AK21"/>
  <c r="AJ21"/>
  <c r="BH21" s="1"/>
  <c r="AI21"/>
  <c r="AH21"/>
  <c r="BE20"/>
  <c r="BD20"/>
  <c r="BC20"/>
  <c r="BB20"/>
  <c r="AK20"/>
  <c r="AJ20"/>
  <c r="BH20" s="1"/>
  <c r="AI20"/>
  <c r="AH20"/>
  <c r="BE19"/>
  <c r="BD19"/>
  <c r="BC19"/>
  <c r="BB19"/>
  <c r="AK19"/>
  <c r="AJ19"/>
  <c r="BH19" s="1"/>
  <c r="AI19"/>
  <c r="AH19"/>
  <c r="BE18"/>
  <c r="BD18"/>
  <c r="BC18"/>
  <c r="BB18"/>
  <c r="AK18"/>
  <c r="AJ18"/>
  <c r="BH18" s="1"/>
  <c r="AI18"/>
  <c r="AH18"/>
  <c r="BE17"/>
  <c r="BD17"/>
  <c r="BC17"/>
  <c r="BB17"/>
  <c r="AK17"/>
  <c r="AJ17"/>
  <c r="BH17" s="1"/>
  <c r="AI17"/>
  <c r="AH17"/>
  <c r="BE16"/>
  <c r="BD16"/>
  <c r="BC16"/>
  <c r="BB16"/>
  <c r="AK16"/>
  <c r="AJ16"/>
  <c r="BH16" s="1"/>
  <c r="AI16"/>
  <c r="AH16"/>
  <c r="BE15"/>
  <c r="BD15"/>
  <c r="BD24" s="1"/>
  <c r="BC15"/>
  <c r="BB15"/>
  <c r="BB24" s="1"/>
  <c r="AK15"/>
  <c r="AK24" s="1"/>
  <c r="AJ15"/>
  <c r="AJ24" s="1"/>
  <c r="AI15"/>
  <c r="AH15"/>
  <c r="BA10"/>
  <c r="BA26" s="1"/>
  <c r="AZ10"/>
  <c r="AZ26" s="1"/>
  <c r="AY10"/>
  <c r="AY26" s="1"/>
  <c r="AX10"/>
  <c r="AX26" s="1"/>
  <c r="AW10"/>
  <c r="AV10"/>
  <c r="AV26" s="1"/>
  <c r="AU10"/>
  <c r="AT10"/>
  <c r="AT26" s="1"/>
  <c r="AS10"/>
  <c r="AS26" s="1"/>
  <c r="AR10"/>
  <c r="AR26" s="1"/>
  <c r="AQ10"/>
  <c r="AQ26" s="1"/>
  <c r="AP10"/>
  <c r="AP26" s="1"/>
  <c r="AO10"/>
  <c r="AO26" s="1"/>
  <c r="AN10"/>
  <c r="AN26" s="1"/>
  <c r="AM10"/>
  <c r="AL10"/>
  <c r="AL26" s="1"/>
  <c r="W16" i="71" s="1"/>
  <c r="AG10" i="201"/>
  <c r="AG26" s="1"/>
  <c r="AF10"/>
  <c r="AF26" s="1"/>
  <c r="AE10"/>
  <c r="AE26" s="1"/>
  <c r="AD10"/>
  <c r="AD26" s="1"/>
  <c r="AC10"/>
  <c r="AC26" s="1"/>
  <c r="AB10"/>
  <c r="AB26" s="1"/>
  <c r="AA10"/>
  <c r="AA26" s="1"/>
  <c r="Z10"/>
  <c r="Z26" s="1"/>
  <c r="Y10"/>
  <c r="Y26" s="1"/>
  <c r="X10"/>
  <c r="X26" s="1"/>
  <c r="V10"/>
  <c r="U10"/>
  <c r="U26" s="1"/>
  <c r="T10"/>
  <c r="T26" s="1"/>
  <c r="S10"/>
  <c r="S26" s="1"/>
  <c r="R10"/>
  <c r="Q10"/>
  <c r="Q26" s="1"/>
  <c r="P10"/>
  <c r="P26" s="1"/>
  <c r="O10"/>
  <c r="O26" s="1"/>
  <c r="N10"/>
  <c r="M10"/>
  <c r="M26" s="1"/>
  <c r="L10"/>
  <c r="L26" s="1"/>
  <c r="K10"/>
  <c r="J10"/>
  <c r="BE9"/>
  <c r="BD9"/>
  <c r="BC9"/>
  <c r="BB9"/>
  <c r="AK9"/>
  <c r="AJ9"/>
  <c r="AI9"/>
  <c r="AH9"/>
  <c r="BE8"/>
  <c r="BD8"/>
  <c r="BC8"/>
  <c r="BB8"/>
  <c r="AK8"/>
  <c r="AJ8"/>
  <c r="AI8"/>
  <c r="AH8"/>
  <c r="BE7"/>
  <c r="BD7"/>
  <c r="BC7"/>
  <c r="BB7"/>
  <c r="AK7"/>
  <c r="AJ7"/>
  <c r="BH7" s="1"/>
  <c r="AI7"/>
  <c r="AH7"/>
  <c r="BE6"/>
  <c r="BE10" s="1"/>
  <c r="BD6"/>
  <c r="BC6"/>
  <c r="BB6"/>
  <c r="BB10" s="1"/>
  <c r="AK6"/>
  <c r="AK10" s="1"/>
  <c r="AJ6"/>
  <c r="AI6"/>
  <c r="AH6"/>
  <c r="AH10" s="1"/>
  <c r="AI57" i="185"/>
  <c r="AH57"/>
  <c r="AG57"/>
  <c r="AF57"/>
  <c r="AC57"/>
  <c r="R57"/>
  <c r="Q57"/>
  <c r="P57"/>
  <c r="O57"/>
  <c r="N57"/>
  <c r="M57"/>
  <c r="K57"/>
  <c r="J57"/>
  <c r="S56"/>
  <c r="S55"/>
  <c r="S54"/>
  <c r="S53"/>
  <c r="S52"/>
  <c r="S51"/>
  <c r="S50"/>
  <c r="S49"/>
  <c r="S48"/>
  <c r="T57"/>
  <c r="S47"/>
  <c r="AD42"/>
  <c r="AB42"/>
  <c r="AA42"/>
  <c r="Z42"/>
  <c r="Y42"/>
  <c r="X42"/>
  <c r="W42"/>
  <c r="R42"/>
  <c r="Q42"/>
  <c r="P42"/>
  <c r="O42"/>
  <c r="N42"/>
  <c r="M42"/>
  <c r="AD41"/>
  <c r="AB41"/>
  <c r="AA41"/>
  <c r="Z41"/>
  <c r="Y41"/>
  <c r="X41"/>
  <c r="W41"/>
  <c r="AD55" s="1"/>
  <c r="R41"/>
  <c r="Q41"/>
  <c r="P41"/>
  <c r="O41"/>
  <c r="N41"/>
  <c r="M41"/>
  <c r="AD40"/>
  <c r="AB40"/>
  <c r="AA40"/>
  <c r="Z40"/>
  <c r="Y40"/>
  <c r="X40"/>
  <c r="W40"/>
  <c r="R40"/>
  <c r="Q40"/>
  <c r="P40"/>
  <c r="O40"/>
  <c r="N40"/>
  <c r="M40"/>
  <c r="AD39"/>
  <c r="AB39"/>
  <c r="AA39"/>
  <c r="Z39"/>
  <c r="Y39"/>
  <c r="X39"/>
  <c r="AD53" s="1"/>
  <c r="W39"/>
  <c r="R39"/>
  <c r="Q39"/>
  <c r="P39"/>
  <c r="O39"/>
  <c r="N39"/>
  <c r="M39"/>
  <c r="AD38"/>
  <c r="AB38"/>
  <c r="AA38"/>
  <c r="Z38"/>
  <c r="Y38"/>
  <c r="X38"/>
  <c r="W38"/>
  <c r="R38"/>
  <c r="Q38"/>
  <c r="P38"/>
  <c r="O38"/>
  <c r="N38"/>
  <c r="M38"/>
  <c r="AD37"/>
  <c r="AB37"/>
  <c r="AA37"/>
  <c r="Z37"/>
  <c r="Y37"/>
  <c r="X37"/>
  <c r="W37"/>
  <c r="R37"/>
  <c r="Q37"/>
  <c r="P37"/>
  <c r="O37"/>
  <c r="N37"/>
  <c r="M37"/>
  <c r="AD36"/>
  <c r="AB36"/>
  <c r="AA36"/>
  <c r="Z36"/>
  <c r="Y36"/>
  <c r="X36"/>
  <c r="W36"/>
  <c r="R36"/>
  <c r="Q36"/>
  <c r="P36"/>
  <c r="O36"/>
  <c r="N36"/>
  <c r="M36"/>
  <c r="AD35"/>
  <c r="AB35"/>
  <c r="AA35"/>
  <c r="Z35"/>
  <c r="Y35"/>
  <c r="X35"/>
  <c r="W35"/>
  <c r="AD49" s="1"/>
  <c r="R35"/>
  <c r="Q35"/>
  <c r="P35"/>
  <c r="O35"/>
  <c r="N35"/>
  <c r="M35"/>
  <c r="AD34"/>
  <c r="AB34"/>
  <c r="AA34"/>
  <c r="Z34"/>
  <c r="Y34"/>
  <c r="X34"/>
  <c r="W34"/>
  <c r="R34"/>
  <c r="Q34"/>
  <c r="P34"/>
  <c r="O34"/>
  <c r="N34"/>
  <c r="M34"/>
  <c r="AD33"/>
  <c r="AB33"/>
  <c r="AA33"/>
  <c r="Z33"/>
  <c r="Y33"/>
  <c r="X33"/>
  <c r="R33"/>
  <c r="Q33"/>
  <c r="P33"/>
  <c r="O33"/>
  <c r="N33"/>
  <c r="M33"/>
  <c r="BC27"/>
  <c r="BA24"/>
  <c r="AZ24"/>
  <c r="AY24"/>
  <c r="AX24"/>
  <c r="AW24"/>
  <c r="AV24"/>
  <c r="AU24"/>
  <c r="AT24"/>
  <c r="AS24"/>
  <c r="AR24"/>
  <c r="AQ24"/>
  <c r="AP24"/>
  <c r="AO24"/>
  <c r="AN24"/>
  <c r="AM24"/>
  <c r="AL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BE23"/>
  <c r="BD23"/>
  <c r="BC23"/>
  <c r="BB23"/>
  <c r="AK23"/>
  <c r="AJ23"/>
  <c r="BH23" s="1"/>
  <c r="AI23"/>
  <c r="AH23"/>
  <c r="BE22"/>
  <c r="BD22"/>
  <c r="BC22"/>
  <c r="BB22"/>
  <c r="AK22"/>
  <c r="AJ22"/>
  <c r="BH22" s="1"/>
  <c r="AI22"/>
  <c r="AH22"/>
  <c r="BE21"/>
  <c r="BD21"/>
  <c r="BC21"/>
  <c r="BB21"/>
  <c r="AK21"/>
  <c r="AJ21"/>
  <c r="BH21" s="1"/>
  <c r="AI21"/>
  <c r="AH21"/>
  <c r="BE20"/>
  <c r="BD20"/>
  <c r="BC20"/>
  <c r="BB20"/>
  <c r="AK20"/>
  <c r="AJ20"/>
  <c r="AI20"/>
  <c r="AH20"/>
  <c r="BE19"/>
  <c r="BD19"/>
  <c r="BC19"/>
  <c r="BB19"/>
  <c r="AK19"/>
  <c r="AJ19"/>
  <c r="BH19" s="1"/>
  <c r="AI19"/>
  <c r="AH19"/>
  <c r="BE18"/>
  <c r="BD18"/>
  <c r="BC18"/>
  <c r="BB18"/>
  <c r="AK18"/>
  <c r="AJ18"/>
  <c r="BH18" s="1"/>
  <c r="AI18"/>
  <c r="AH18"/>
  <c r="BE17"/>
  <c r="BD17"/>
  <c r="BC17"/>
  <c r="BB17"/>
  <c r="AK17"/>
  <c r="AJ17"/>
  <c r="AI17"/>
  <c r="AH17"/>
  <c r="BE16"/>
  <c r="BD16"/>
  <c r="BC16"/>
  <c r="BB16"/>
  <c r="AK16"/>
  <c r="AJ16"/>
  <c r="BH16" s="1"/>
  <c r="AI16"/>
  <c r="AH16"/>
  <c r="BE15"/>
  <c r="BD15"/>
  <c r="BC15"/>
  <c r="BB15"/>
  <c r="AK15"/>
  <c r="AK24" s="1"/>
  <c r="AJ15"/>
  <c r="AI15"/>
  <c r="AH15"/>
  <c r="BA10"/>
  <c r="BA26" s="1"/>
  <c r="AZ10"/>
  <c r="AZ26" s="1"/>
  <c r="AY10"/>
  <c r="AY26" s="1"/>
  <c r="AX10"/>
  <c r="AW10"/>
  <c r="AW26" s="1"/>
  <c r="AV10"/>
  <c r="AV26" s="1"/>
  <c r="AU10"/>
  <c r="AU26" s="1"/>
  <c r="AT10"/>
  <c r="AT26" s="1"/>
  <c r="AS10"/>
  <c r="AS26" s="1"/>
  <c r="AR10"/>
  <c r="AR26" s="1"/>
  <c r="AQ10"/>
  <c r="AQ26" s="1"/>
  <c r="AP10"/>
  <c r="AP26" s="1"/>
  <c r="AO10"/>
  <c r="AN10"/>
  <c r="AN26" s="1"/>
  <c r="AM10"/>
  <c r="AL10"/>
  <c r="AG10"/>
  <c r="AG26" s="1"/>
  <c r="AF10"/>
  <c r="AF26" s="1"/>
  <c r="AE10"/>
  <c r="AE26" s="1"/>
  <c r="AD10"/>
  <c r="AD26" s="1"/>
  <c r="AC10"/>
  <c r="AC26" s="1"/>
  <c r="AB10"/>
  <c r="AB26" s="1"/>
  <c r="AA10"/>
  <c r="AA26" s="1"/>
  <c r="Z10"/>
  <c r="Z26" s="1"/>
  <c r="Y10"/>
  <c r="Y26" s="1"/>
  <c r="X10"/>
  <c r="X26" s="1"/>
  <c r="W10"/>
  <c r="V10"/>
  <c r="V26" s="1"/>
  <c r="U10"/>
  <c r="U26" s="1"/>
  <c r="T10"/>
  <c r="T26" s="1"/>
  <c r="S10"/>
  <c r="S26" s="1"/>
  <c r="R10"/>
  <c r="Q10"/>
  <c r="Q26" s="1"/>
  <c r="P10"/>
  <c r="P26" s="1"/>
  <c r="O10"/>
  <c r="N10"/>
  <c r="M10"/>
  <c r="L10"/>
  <c r="L26" s="1"/>
  <c r="K10"/>
  <c r="J10"/>
  <c r="BE9"/>
  <c r="BD9"/>
  <c r="BC9"/>
  <c r="BB9"/>
  <c r="AK9"/>
  <c r="AJ9"/>
  <c r="AI9"/>
  <c r="AH9"/>
  <c r="BE8"/>
  <c r="BD8"/>
  <c r="BC8"/>
  <c r="BB8"/>
  <c r="AK8"/>
  <c r="AJ8"/>
  <c r="AI8"/>
  <c r="AH8"/>
  <c r="BE7"/>
  <c r="BD7"/>
  <c r="BC7"/>
  <c r="BB7"/>
  <c r="AK7"/>
  <c r="AJ7"/>
  <c r="BH7" s="1"/>
  <c r="AI7"/>
  <c r="AH7"/>
  <c r="BE6"/>
  <c r="BE10" s="1"/>
  <c r="BD6"/>
  <c r="BC6"/>
  <c r="BB6"/>
  <c r="AK6"/>
  <c r="AK10" s="1"/>
  <c r="AJ6"/>
  <c r="AI6"/>
  <c r="AH6"/>
  <c r="AI57" i="184"/>
  <c r="AH57"/>
  <c r="AG57"/>
  <c r="AF57"/>
  <c r="R57"/>
  <c r="Q57"/>
  <c r="P57"/>
  <c r="O57"/>
  <c r="N57"/>
  <c r="M57"/>
  <c r="K57"/>
  <c r="J57"/>
  <c r="AE56"/>
  <c r="AD56"/>
  <c r="S56"/>
  <c r="AE55"/>
  <c r="AD55"/>
  <c r="S55"/>
  <c r="AE54"/>
  <c r="AD54"/>
  <c r="S54"/>
  <c r="AE53"/>
  <c r="AD53"/>
  <c r="S53"/>
  <c r="AE52"/>
  <c r="AD52"/>
  <c r="S52"/>
  <c r="AE51"/>
  <c r="AD51"/>
  <c r="S51"/>
  <c r="AE50"/>
  <c r="AD50"/>
  <c r="S50"/>
  <c r="AE49"/>
  <c r="AD49"/>
  <c r="S49"/>
  <c r="AE48"/>
  <c r="AD48"/>
  <c r="S48"/>
  <c r="AE47"/>
  <c r="AD47"/>
  <c r="T57"/>
  <c r="S47"/>
  <c r="AD42"/>
  <c r="AB42"/>
  <c r="AA42"/>
  <c r="Z42"/>
  <c r="Y42"/>
  <c r="X42"/>
  <c r="W42"/>
  <c r="R42"/>
  <c r="Q42"/>
  <c r="P42"/>
  <c r="O42"/>
  <c r="N42"/>
  <c r="M42"/>
  <c r="AD41"/>
  <c r="AB41"/>
  <c r="AA41"/>
  <c r="Z41"/>
  <c r="Y41"/>
  <c r="X41"/>
  <c r="W41"/>
  <c r="R41"/>
  <c r="Q41"/>
  <c r="P41"/>
  <c r="O41"/>
  <c r="N41"/>
  <c r="M41"/>
  <c r="AD40"/>
  <c r="AB40"/>
  <c r="AA40"/>
  <c r="Z40"/>
  <c r="Y40"/>
  <c r="X40"/>
  <c r="W40"/>
  <c r="R40"/>
  <c r="Q40"/>
  <c r="P40"/>
  <c r="O40"/>
  <c r="N40"/>
  <c r="M40"/>
  <c r="AD39"/>
  <c r="AB39"/>
  <c r="AA39"/>
  <c r="Z39"/>
  <c r="Y39"/>
  <c r="X39"/>
  <c r="W39"/>
  <c r="R39"/>
  <c r="Q39"/>
  <c r="P39"/>
  <c r="O39"/>
  <c r="N39"/>
  <c r="M39"/>
  <c r="AD38"/>
  <c r="AB38"/>
  <c r="AA38"/>
  <c r="Z38"/>
  <c r="Y38"/>
  <c r="X38"/>
  <c r="W38"/>
  <c r="R38"/>
  <c r="Q38"/>
  <c r="P38"/>
  <c r="O38"/>
  <c r="N38"/>
  <c r="M38"/>
  <c r="AD37"/>
  <c r="AB37"/>
  <c r="AA37"/>
  <c r="Z37"/>
  <c r="Y37"/>
  <c r="X37"/>
  <c r="W37"/>
  <c r="R37"/>
  <c r="Q37"/>
  <c r="P37"/>
  <c r="O37"/>
  <c r="N37"/>
  <c r="M37"/>
  <c r="AD36"/>
  <c r="AB36"/>
  <c r="AA36"/>
  <c r="Z36"/>
  <c r="Y36"/>
  <c r="X36"/>
  <c r="W36"/>
  <c r="R36"/>
  <c r="Q36"/>
  <c r="P36"/>
  <c r="O36"/>
  <c r="N36"/>
  <c r="M36"/>
  <c r="AD35"/>
  <c r="AB35"/>
  <c r="AA35"/>
  <c r="Z35"/>
  <c r="Y35"/>
  <c r="X35"/>
  <c r="W35"/>
  <c r="R35"/>
  <c r="Q35"/>
  <c r="P35"/>
  <c r="O35"/>
  <c r="N35"/>
  <c r="M35"/>
  <c r="AD34"/>
  <c r="AB34"/>
  <c r="Z34"/>
  <c r="Y34"/>
  <c r="X34"/>
  <c r="W34"/>
  <c r="R34"/>
  <c r="Q34"/>
  <c r="P34"/>
  <c r="O34"/>
  <c r="N34"/>
  <c r="M34"/>
  <c r="AD33"/>
  <c r="AB33"/>
  <c r="AA33"/>
  <c r="Z33"/>
  <c r="Y33"/>
  <c r="X33"/>
  <c r="R33"/>
  <c r="Q33"/>
  <c r="P33"/>
  <c r="O33"/>
  <c r="N33"/>
  <c r="M33"/>
  <c r="BC27"/>
  <c r="BA24"/>
  <c r="AZ24"/>
  <c r="AY24"/>
  <c r="AX24"/>
  <c r="AW24"/>
  <c r="AV24"/>
  <c r="AU24"/>
  <c r="AT24"/>
  <c r="AS24"/>
  <c r="AR24"/>
  <c r="AQ24"/>
  <c r="AP24"/>
  <c r="AO24"/>
  <c r="AN24"/>
  <c r="AM24"/>
  <c r="AL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BE23"/>
  <c r="BD23"/>
  <c r="BC23"/>
  <c r="BB23"/>
  <c r="AK23"/>
  <c r="BI23" s="1"/>
  <c r="AJ23"/>
  <c r="AI23"/>
  <c r="AH23"/>
  <c r="BE22"/>
  <c r="BD22"/>
  <c r="BC22"/>
  <c r="BB22"/>
  <c r="AK22"/>
  <c r="BI22" s="1"/>
  <c r="AJ22"/>
  <c r="AI22"/>
  <c r="AH22"/>
  <c r="BF22" s="1"/>
  <c r="BE21"/>
  <c r="BD21"/>
  <c r="BC21"/>
  <c r="BB21"/>
  <c r="AK21"/>
  <c r="BI21" s="1"/>
  <c r="AJ21"/>
  <c r="AI21"/>
  <c r="AH21"/>
  <c r="BF21" s="1"/>
  <c r="BE20"/>
  <c r="BD20"/>
  <c r="BC20"/>
  <c r="BB20"/>
  <c r="AK20"/>
  <c r="BI20" s="1"/>
  <c r="AJ20"/>
  <c r="AI20"/>
  <c r="AH20"/>
  <c r="BE19"/>
  <c r="BD19"/>
  <c r="BC19"/>
  <c r="BB19"/>
  <c r="AK19"/>
  <c r="BI19" s="1"/>
  <c r="AJ19"/>
  <c r="AI19"/>
  <c r="AH19"/>
  <c r="BE18"/>
  <c r="BD18"/>
  <c r="BC18"/>
  <c r="BB18"/>
  <c r="AK18"/>
  <c r="BI18" s="1"/>
  <c r="AJ18"/>
  <c r="AI18"/>
  <c r="AH18"/>
  <c r="BE17"/>
  <c r="BD17"/>
  <c r="BC17"/>
  <c r="BB17"/>
  <c r="AK17"/>
  <c r="BI17" s="1"/>
  <c r="AJ17"/>
  <c r="AI17"/>
  <c r="AH17"/>
  <c r="BE16"/>
  <c r="BD16"/>
  <c r="BC16"/>
  <c r="BB16"/>
  <c r="AK16"/>
  <c r="BI16" s="1"/>
  <c r="AJ16"/>
  <c r="AI16"/>
  <c r="AH16"/>
  <c r="BF16" s="1"/>
  <c r="BE15"/>
  <c r="BE24" s="1"/>
  <c r="BD15"/>
  <c r="BD24" s="1"/>
  <c r="BC15"/>
  <c r="BB15"/>
  <c r="AK15"/>
  <c r="AK24" s="1"/>
  <c r="AJ15"/>
  <c r="AI15"/>
  <c r="AI24" s="1"/>
  <c r="AH15"/>
  <c r="BA10"/>
  <c r="BA26" s="1"/>
  <c r="AZ10"/>
  <c r="AZ26" s="1"/>
  <c r="AY10"/>
  <c r="AX10"/>
  <c r="AW10"/>
  <c r="AW26" s="1"/>
  <c r="AV10"/>
  <c r="AV26" s="1"/>
  <c r="AU10"/>
  <c r="AT10"/>
  <c r="AS10"/>
  <c r="AS26" s="1"/>
  <c r="AR10"/>
  <c r="AR26" s="1"/>
  <c r="AQ10"/>
  <c r="AQ26" s="1"/>
  <c r="AP10"/>
  <c r="AO10"/>
  <c r="AO26" s="1"/>
  <c r="AN10"/>
  <c r="AN26" s="1"/>
  <c r="AM10"/>
  <c r="AL10"/>
  <c r="AG10"/>
  <c r="AG26" s="1"/>
  <c r="AF10"/>
  <c r="AF26" s="1"/>
  <c r="AE10"/>
  <c r="AE26" s="1"/>
  <c r="AD10"/>
  <c r="AC10"/>
  <c r="AC26" s="1"/>
  <c r="AB10"/>
  <c r="AB26" s="1"/>
  <c r="AA10"/>
  <c r="AA26" s="1"/>
  <c r="Z10"/>
  <c r="Z26" s="1"/>
  <c r="Y10"/>
  <c r="Y26" s="1"/>
  <c r="X10"/>
  <c r="X26" s="1"/>
  <c r="W10"/>
  <c r="W26" s="1"/>
  <c r="V10"/>
  <c r="U10"/>
  <c r="U26" s="1"/>
  <c r="T10"/>
  <c r="T26" s="1"/>
  <c r="S10"/>
  <c r="S26" s="1"/>
  <c r="R10"/>
  <c r="Q10"/>
  <c r="Q26" s="1"/>
  <c r="P10"/>
  <c r="P26" s="1"/>
  <c r="O10"/>
  <c r="O26" s="1"/>
  <c r="N10"/>
  <c r="M10"/>
  <c r="M26" s="1"/>
  <c r="L10"/>
  <c r="L26" s="1"/>
  <c r="K10"/>
  <c r="K26" s="1"/>
  <c r="J10"/>
  <c r="BE9"/>
  <c r="BD9"/>
  <c r="BC9"/>
  <c r="BB9"/>
  <c r="AK9"/>
  <c r="BI9" s="1"/>
  <c r="AJ9"/>
  <c r="AI9"/>
  <c r="AH9"/>
  <c r="BE8"/>
  <c r="BD8"/>
  <c r="BC8"/>
  <c r="BB8"/>
  <c r="AK8"/>
  <c r="BI8" s="1"/>
  <c r="AJ8"/>
  <c r="AI8"/>
  <c r="AH8"/>
  <c r="BE7"/>
  <c r="BD7"/>
  <c r="BC7"/>
  <c r="BB7"/>
  <c r="AK7"/>
  <c r="BI7" s="1"/>
  <c r="AJ7"/>
  <c r="AI7"/>
  <c r="AH7"/>
  <c r="BE6"/>
  <c r="BE10" s="1"/>
  <c r="BE26" s="1"/>
  <c r="BD6"/>
  <c r="BD10" s="1"/>
  <c r="BD26" s="1"/>
  <c r="BC6"/>
  <c r="BC10" s="1"/>
  <c r="BB6"/>
  <c r="AK6"/>
  <c r="AK10" s="1"/>
  <c r="AJ6"/>
  <c r="AI6"/>
  <c r="AH6"/>
  <c r="AI57" i="183"/>
  <c r="AH57"/>
  <c r="AG57"/>
  <c r="AF57"/>
  <c r="AC57"/>
  <c r="AA57"/>
  <c r="Z57"/>
  <c r="Y57"/>
  <c r="X57"/>
  <c r="W57"/>
  <c r="R57"/>
  <c r="Q57"/>
  <c r="P57"/>
  <c r="O57"/>
  <c r="N57"/>
  <c r="M57"/>
  <c r="K57"/>
  <c r="J57"/>
  <c r="AE56"/>
  <c r="AD56"/>
  <c r="S56"/>
  <c r="AE55"/>
  <c r="AD55"/>
  <c r="S55"/>
  <c r="AE54"/>
  <c r="AD54"/>
  <c r="S54"/>
  <c r="AE53"/>
  <c r="AD53"/>
  <c r="S53"/>
  <c r="AE52"/>
  <c r="AD52"/>
  <c r="S52"/>
  <c r="AE51"/>
  <c r="AD51"/>
  <c r="S51"/>
  <c r="AE50"/>
  <c r="AD50"/>
  <c r="S50"/>
  <c r="AE49"/>
  <c r="AD49"/>
  <c r="S49"/>
  <c r="AE48"/>
  <c r="AD48"/>
  <c r="S48"/>
  <c r="AE47"/>
  <c r="AD47"/>
  <c r="T57"/>
  <c r="S47"/>
  <c r="AD42"/>
  <c r="AB42"/>
  <c r="AA42"/>
  <c r="Z42"/>
  <c r="Y42"/>
  <c r="X42"/>
  <c r="W42"/>
  <c r="R42"/>
  <c r="Q42"/>
  <c r="P42"/>
  <c r="O42"/>
  <c r="N42"/>
  <c r="M42"/>
  <c r="AD41"/>
  <c r="AB41"/>
  <c r="AA41"/>
  <c r="Z41"/>
  <c r="Y41"/>
  <c r="X41"/>
  <c r="W41"/>
  <c r="R41"/>
  <c r="Q41"/>
  <c r="P41"/>
  <c r="O41"/>
  <c r="N41"/>
  <c r="M41"/>
  <c r="AD40"/>
  <c r="AB40"/>
  <c r="AA40"/>
  <c r="Z40"/>
  <c r="Y40"/>
  <c r="X40"/>
  <c r="W40"/>
  <c r="R40"/>
  <c r="Q40"/>
  <c r="P40"/>
  <c r="O40"/>
  <c r="N40"/>
  <c r="M40"/>
  <c r="AD39"/>
  <c r="AB39"/>
  <c r="AA39"/>
  <c r="Z39"/>
  <c r="Y39"/>
  <c r="X39"/>
  <c r="W39"/>
  <c r="R39"/>
  <c r="Q39"/>
  <c r="P39"/>
  <c r="O39"/>
  <c r="N39"/>
  <c r="M39"/>
  <c r="AD38"/>
  <c r="AB38"/>
  <c r="AA38"/>
  <c r="Z38"/>
  <c r="Y38"/>
  <c r="X38"/>
  <c r="W38"/>
  <c r="R38"/>
  <c r="Q38"/>
  <c r="P38"/>
  <c r="O38"/>
  <c r="N38"/>
  <c r="M38"/>
  <c r="AD37"/>
  <c r="AB37"/>
  <c r="AA37"/>
  <c r="Z37"/>
  <c r="Y37"/>
  <c r="X37"/>
  <c r="W37"/>
  <c r="R37"/>
  <c r="Q37"/>
  <c r="P37"/>
  <c r="O37"/>
  <c r="N37"/>
  <c r="M37"/>
  <c r="AD36"/>
  <c r="AB36"/>
  <c r="AA36"/>
  <c r="Z36"/>
  <c r="Y36"/>
  <c r="X36"/>
  <c r="W36"/>
  <c r="R36"/>
  <c r="Q36"/>
  <c r="P36"/>
  <c r="O36"/>
  <c r="N36"/>
  <c r="M36"/>
  <c r="AD35"/>
  <c r="AB35"/>
  <c r="AA35"/>
  <c r="Z35"/>
  <c r="Y35"/>
  <c r="X35"/>
  <c r="W35"/>
  <c r="R35"/>
  <c r="Q35"/>
  <c r="P35"/>
  <c r="O35"/>
  <c r="N35"/>
  <c r="M35"/>
  <c r="AD34"/>
  <c r="AA34"/>
  <c r="Z34"/>
  <c r="Y34"/>
  <c r="X34"/>
  <c r="W34"/>
  <c r="R34"/>
  <c r="Q34"/>
  <c r="P34"/>
  <c r="O34"/>
  <c r="N34"/>
  <c r="M34"/>
  <c r="AD33"/>
  <c r="AB33"/>
  <c r="AA33"/>
  <c r="Z33"/>
  <c r="Y33"/>
  <c r="X33"/>
  <c r="W33"/>
  <c r="R33"/>
  <c r="Q33"/>
  <c r="P33"/>
  <c r="O33"/>
  <c r="N33"/>
  <c r="M33"/>
  <c r="BC27"/>
  <c r="BA24"/>
  <c r="AZ24"/>
  <c r="AY24"/>
  <c r="AX24"/>
  <c r="AW24"/>
  <c r="AV24"/>
  <c r="AU24"/>
  <c r="AT24"/>
  <c r="AS24"/>
  <c r="AR24"/>
  <c r="AQ24"/>
  <c r="AP24"/>
  <c r="AO24"/>
  <c r="AN24"/>
  <c r="AM24"/>
  <c r="AL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BE23"/>
  <c r="BD23"/>
  <c r="BC23"/>
  <c r="BB23"/>
  <c r="AK23"/>
  <c r="AJ23"/>
  <c r="BH23" s="1"/>
  <c r="AI23"/>
  <c r="AH23"/>
  <c r="BE22"/>
  <c r="BD22"/>
  <c r="BC22"/>
  <c r="BB22"/>
  <c r="AK22"/>
  <c r="AJ22"/>
  <c r="BH22" s="1"/>
  <c r="AI22"/>
  <c r="BF22"/>
  <c r="BE21"/>
  <c r="BD21"/>
  <c r="BC21"/>
  <c r="BB21"/>
  <c r="AK21"/>
  <c r="AJ21"/>
  <c r="BH21" s="1"/>
  <c r="AI21"/>
  <c r="AH21"/>
  <c r="BF21" s="1"/>
  <c r="BE20"/>
  <c r="BD20"/>
  <c r="BC20"/>
  <c r="BB20"/>
  <c r="AK20"/>
  <c r="AJ20"/>
  <c r="BH20" s="1"/>
  <c r="AI20"/>
  <c r="AH20"/>
  <c r="BE19"/>
  <c r="BD19"/>
  <c r="BC19"/>
  <c r="BB19"/>
  <c r="AK19"/>
  <c r="AJ19"/>
  <c r="BH19" s="1"/>
  <c r="AI19"/>
  <c r="AH19"/>
  <c r="BE18"/>
  <c r="BD18"/>
  <c r="BC18"/>
  <c r="BB18"/>
  <c r="AK18"/>
  <c r="AJ18"/>
  <c r="BH18" s="1"/>
  <c r="AI18"/>
  <c r="AH18"/>
  <c r="BE17"/>
  <c r="BD17"/>
  <c r="BC17"/>
  <c r="BB17"/>
  <c r="AK17"/>
  <c r="AJ17"/>
  <c r="BH17" s="1"/>
  <c r="AI17"/>
  <c r="AH17"/>
  <c r="BF17" s="1"/>
  <c r="BE16"/>
  <c r="BD16"/>
  <c r="BC16"/>
  <c r="BB16"/>
  <c r="AK16"/>
  <c r="AJ16"/>
  <c r="BH16" s="1"/>
  <c r="AI16"/>
  <c r="AH16"/>
  <c r="BF16" s="1"/>
  <c r="BE15"/>
  <c r="BD15"/>
  <c r="BD24" s="1"/>
  <c r="BC15"/>
  <c r="BB15"/>
  <c r="AK15"/>
  <c r="AJ15"/>
  <c r="AJ24" s="1"/>
  <c r="AI15"/>
  <c r="AI24" s="1"/>
  <c r="AH15"/>
  <c r="BA10"/>
  <c r="BA26" s="1"/>
  <c r="AZ10"/>
  <c r="AZ26" s="1"/>
  <c r="AY10"/>
  <c r="AX10"/>
  <c r="AW10"/>
  <c r="AW26" s="1"/>
  <c r="AV10"/>
  <c r="AV26" s="1"/>
  <c r="AU10"/>
  <c r="AU26" s="1"/>
  <c r="AT10"/>
  <c r="AS10"/>
  <c r="AS26" s="1"/>
  <c r="AR10"/>
  <c r="AR26" s="1"/>
  <c r="AQ10"/>
  <c r="AQ26" s="1"/>
  <c r="AP10"/>
  <c r="AO10"/>
  <c r="AO26" s="1"/>
  <c r="AN10"/>
  <c r="AN26" s="1"/>
  <c r="AM10"/>
  <c r="AM26" s="1"/>
  <c r="AL10"/>
  <c r="AG10"/>
  <c r="AG26" s="1"/>
  <c r="AF10"/>
  <c r="AF26" s="1"/>
  <c r="AE10"/>
  <c r="AE26" s="1"/>
  <c r="AD10"/>
  <c r="AD26" s="1"/>
  <c r="AC10"/>
  <c r="AC26" s="1"/>
  <c r="AB10"/>
  <c r="AB26" s="1"/>
  <c r="AA10"/>
  <c r="AA26" s="1"/>
  <c r="Z10"/>
  <c r="Y10"/>
  <c r="Y26" s="1"/>
  <c r="X10"/>
  <c r="X26" s="1"/>
  <c r="W10"/>
  <c r="W26" s="1"/>
  <c r="V10"/>
  <c r="V26" s="1"/>
  <c r="U10"/>
  <c r="U26" s="1"/>
  <c r="T10"/>
  <c r="T26" s="1"/>
  <c r="S10"/>
  <c r="S26" s="1"/>
  <c r="R10"/>
  <c r="Q10"/>
  <c r="P10"/>
  <c r="P26" s="1"/>
  <c r="O10"/>
  <c r="O26" s="1"/>
  <c r="N10"/>
  <c r="M10"/>
  <c r="M26" s="1"/>
  <c r="L10"/>
  <c r="L26" s="1"/>
  <c r="K10"/>
  <c r="K26" s="1"/>
  <c r="J10"/>
  <c r="BE9"/>
  <c r="BD9"/>
  <c r="BH9" s="1"/>
  <c r="BC9"/>
  <c r="BB9"/>
  <c r="AK9"/>
  <c r="AI9"/>
  <c r="AH9"/>
  <c r="BE8"/>
  <c r="BD8"/>
  <c r="BC8"/>
  <c r="BB8"/>
  <c r="AK8"/>
  <c r="AJ8"/>
  <c r="AI8"/>
  <c r="AH8"/>
  <c r="BE7"/>
  <c r="BD7"/>
  <c r="BC7"/>
  <c r="BB7"/>
  <c r="AK7"/>
  <c r="AJ7"/>
  <c r="AI7"/>
  <c r="BG7" s="1"/>
  <c r="AH7"/>
  <c r="BF7" s="1"/>
  <c r="BE6"/>
  <c r="BD6"/>
  <c r="BC6"/>
  <c r="BB6"/>
  <c r="AK6"/>
  <c r="AJ6"/>
  <c r="AI6"/>
  <c r="AH6"/>
  <c r="AI57" i="181"/>
  <c r="AH57"/>
  <c r="AG57"/>
  <c r="AF57"/>
  <c r="AC57"/>
  <c r="AA57"/>
  <c r="Z57"/>
  <c r="Y57"/>
  <c r="X57"/>
  <c r="W57"/>
  <c r="R57"/>
  <c r="Q57"/>
  <c r="P57"/>
  <c r="O57"/>
  <c r="N57"/>
  <c r="M57"/>
  <c r="K57"/>
  <c r="J57"/>
  <c r="AE56"/>
  <c r="AD56"/>
  <c r="S56"/>
  <c r="AE55"/>
  <c r="AD55"/>
  <c r="S55"/>
  <c r="AE54"/>
  <c r="AD54"/>
  <c r="S54"/>
  <c r="AE53"/>
  <c r="AD53"/>
  <c r="S53"/>
  <c r="AE52"/>
  <c r="AD52"/>
  <c r="S52"/>
  <c r="AE51"/>
  <c r="AD51"/>
  <c r="S51"/>
  <c r="AE50"/>
  <c r="AD50"/>
  <c r="S50"/>
  <c r="AE49"/>
  <c r="AD49"/>
  <c r="S49"/>
  <c r="AE48"/>
  <c r="AD48"/>
  <c r="S48"/>
  <c r="AE47"/>
  <c r="AD47"/>
  <c r="T57"/>
  <c r="S47"/>
  <c r="L45"/>
  <c r="AD42"/>
  <c r="AB42"/>
  <c r="AA42"/>
  <c r="Z42"/>
  <c r="Y42"/>
  <c r="X42"/>
  <c r="W42"/>
  <c r="R42"/>
  <c r="Q42"/>
  <c r="P42"/>
  <c r="O42"/>
  <c r="N42"/>
  <c r="M42"/>
  <c r="AD41"/>
  <c r="AB41"/>
  <c r="AA41"/>
  <c r="Z41"/>
  <c r="Y41"/>
  <c r="X41"/>
  <c r="W41"/>
  <c r="R41"/>
  <c r="Q41"/>
  <c r="P41"/>
  <c r="O41"/>
  <c r="N41"/>
  <c r="M41"/>
  <c r="AD40"/>
  <c r="AB40"/>
  <c r="AA40"/>
  <c r="Z40"/>
  <c r="Y40"/>
  <c r="X40"/>
  <c r="W40"/>
  <c r="R40"/>
  <c r="Q40"/>
  <c r="P40"/>
  <c r="O40"/>
  <c r="N40"/>
  <c r="M40"/>
  <c r="AD39"/>
  <c r="AB39"/>
  <c r="AA39"/>
  <c r="Z39"/>
  <c r="Y39"/>
  <c r="X39"/>
  <c r="W39"/>
  <c r="R39"/>
  <c r="Q39"/>
  <c r="P39"/>
  <c r="O39"/>
  <c r="N39"/>
  <c r="M39"/>
  <c r="AD38"/>
  <c r="AB38"/>
  <c r="AA38"/>
  <c r="Z38"/>
  <c r="Y38"/>
  <c r="X38"/>
  <c r="W38"/>
  <c r="R38"/>
  <c r="Q38"/>
  <c r="P38"/>
  <c r="O38"/>
  <c r="N38"/>
  <c r="M38"/>
  <c r="AD37"/>
  <c r="AB37"/>
  <c r="AA37"/>
  <c r="Z37"/>
  <c r="Y37"/>
  <c r="X37"/>
  <c r="W37"/>
  <c r="R37"/>
  <c r="Q37"/>
  <c r="P37"/>
  <c r="O37"/>
  <c r="N37"/>
  <c r="M37"/>
  <c r="AD36"/>
  <c r="AB36"/>
  <c r="AA36"/>
  <c r="Z36"/>
  <c r="Y36"/>
  <c r="X36"/>
  <c r="W36"/>
  <c r="R36"/>
  <c r="Q36"/>
  <c r="P36"/>
  <c r="O36"/>
  <c r="N36"/>
  <c r="M36"/>
  <c r="AD35"/>
  <c r="AB35"/>
  <c r="AA35"/>
  <c r="Z35"/>
  <c r="Y35"/>
  <c r="X35"/>
  <c r="W35"/>
  <c r="R35"/>
  <c r="Q35"/>
  <c r="P35"/>
  <c r="O35"/>
  <c r="N35"/>
  <c r="M35"/>
  <c r="AD34"/>
  <c r="AB34"/>
  <c r="AA34"/>
  <c r="Z34"/>
  <c r="Y34"/>
  <c r="X34"/>
  <c r="W34"/>
  <c r="R34"/>
  <c r="Q34"/>
  <c r="P34"/>
  <c r="O34"/>
  <c r="N34"/>
  <c r="M34"/>
  <c r="AD33"/>
  <c r="AB33"/>
  <c r="AA33"/>
  <c r="Z33"/>
  <c r="Y33"/>
  <c r="X33"/>
  <c r="W33"/>
  <c r="R33"/>
  <c r="Q33"/>
  <c r="P33"/>
  <c r="O33"/>
  <c r="N33"/>
  <c r="M33"/>
  <c r="BC27"/>
  <c r="BA24"/>
  <c r="AZ24"/>
  <c r="AY24"/>
  <c r="AX24"/>
  <c r="AW24"/>
  <c r="AV24"/>
  <c r="AU24"/>
  <c r="AT24"/>
  <c r="AS24"/>
  <c r="AR24"/>
  <c r="AQ24"/>
  <c r="AP24"/>
  <c r="AO24"/>
  <c r="AN24"/>
  <c r="AM24"/>
  <c r="AL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BE23"/>
  <c r="BD23"/>
  <c r="BC23"/>
  <c r="BB23"/>
  <c r="AK23"/>
  <c r="BI23" s="1"/>
  <c r="AJ23"/>
  <c r="AI23"/>
  <c r="AH23"/>
  <c r="BE22"/>
  <c r="BD22"/>
  <c r="BC22"/>
  <c r="BB22"/>
  <c r="AK22"/>
  <c r="BI22" s="1"/>
  <c r="AJ22"/>
  <c r="AI22"/>
  <c r="AH22"/>
  <c r="BE21"/>
  <c r="BD21"/>
  <c r="BC21"/>
  <c r="BB21"/>
  <c r="AK21"/>
  <c r="BI21" s="1"/>
  <c r="AJ21"/>
  <c r="AI21"/>
  <c r="AH21"/>
  <c r="BE20"/>
  <c r="BD20"/>
  <c r="BC20"/>
  <c r="BB20"/>
  <c r="AK20"/>
  <c r="AJ20"/>
  <c r="AI20"/>
  <c r="AH20"/>
  <c r="BE19"/>
  <c r="BD19"/>
  <c r="BC19"/>
  <c r="BB19"/>
  <c r="AK19"/>
  <c r="AJ19"/>
  <c r="AI19"/>
  <c r="AH19"/>
  <c r="BE18"/>
  <c r="BD18"/>
  <c r="BC18"/>
  <c r="BB18"/>
  <c r="AK18"/>
  <c r="BI18" s="1"/>
  <c r="AJ18"/>
  <c r="AI18"/>
  <c r="AH18"/>
  <c r="BE17"/>
  <c r="BD17"/>
  <c r="BC17"/>
  <c r="BB17"/>
  <c r="AK17"/>
  <c r="BI17" s="1"/>
  <c r="AJ17"/>
  <c r="AI17"/>
  <c r="AH17"/>
  <c r="BE16"/>
  <c r="BD16"/>
  <c r="BC16"/>
  <c r="BB16"/>
  <c r="AK16"/>
  <c r="BI16" s="1"/>
  <c r="AJ16"/>
  <c r="AI16"/>
  <c r="AH16"/>
  <c r="BE15"/>
  <c r="BD15"/>
  <c r="BD24" s="1"/>
  <c r="BC15"/>
  <c r="BB15"/>
  <c r="BB24" s="1"/>
  <c r="AK15"/>
  <c r="AJ15"/>
  <c r="AJ24" s="1"/>
  <c r="AI15"/>
  <c r="AH15"/>
  <c r="BA10"/>
  <c r="BA26" s="1"/>
  <c r="AZ10"/>
  <c r="AZ26" s="1"/>
  <c r="AY10"/>
  <c r="AY26" s="1"/>
  <c r="AX10"/>
  <c r="AW10"/>
  <c r="AV10"/>
  <c r="AV26" s="1"/>
  <c r="AU10"/>
  <c r="AT10"/>
  <c r="AT26" s="1"/>
  <c r="AS10"/>
  <c r="AS26" s="1"/>
  <c r="AR10"/>
  <c r="AR26" s="1"/>
  <c r="AQ10"/>
  <c r="AQ26" s="1"/>
  <c r="AP10"/>
  <c r="AP26" s="1"/>
  <c r="AO10"/>
  <c r="AO26" s="1"/>
  <c r="AN10"/>
  <c r="AN26" s="1"/>
  <c r="AM10"/>
  <c r="AL10"/>
  <c r="AL26" s="1"/>
  <c r="AG10"/>
  <c r="AG26" s="1"/>
  <c r="AF10"/>
  <c r="AF26" s="1"/>
  <c r="AE10"/>
  <c r="AD10"/>
  <c r="AD26" s="1"/>
  <c r="AC10"/>
  <c r="AC26" s="1"/>
  <c r="AB10"/>
  <c r="AB26" s="1"/>
  <c r="AA10"/>
  <c r="AA26" s="1"/>
  <c r="Z10"/>
  <c r="Z26" s="1"/>
  <c r="Y10"/>
  <c r="Y26" s="1"/>
  <c r="X10"/>
  <c r="X26" s="1"/>
  <c r="W10"/>
  <c r="V10"/>
  <c r="V26" s="1"/>
  <c r="U10"/>
  <c r="U26" s="1"/>
  <c r="T10"/>
  <c r="T26" s="1"/>
  <c r="S10"/>
  <c r="S26" s="1"/>
  <c r="R10"/>
  <c r="R26" s="1"/>
  <c r="Q10"/>
  <c r="Q26" s="1"/>
  <c r="P10"/>
  <c r="P26" s="1"/>
  <c r="O10"/>
  <c r="O26" s="1"/>
  <c r="N10"/>
  <c r="M10"/>
  <c r="M26" s="1"/>
  <c r="L10"/>
  <c r="L26" s="1"/>
  <c r="K10"/>
  <c r="J10"/>
  <c r="BE9"/>
  <c r="BD9"/>
  <c r="BC9"/>
  <c r="BB9"/>
  <c r="AK9"/>
  <c r="BI9" s="1"/>
  <c r="AJ9"/>
  <c r="AI9"/>
  <c r="AH9"/>
  <c r="BE8"/>
  <c r="BD8"/>
  <c r="BC8"/>
  <c r="BB8"/>
  <c r="AK8"/>
  <c r="BI8" s="1"/>
  <c r="AJ8"/>
  <c r="AI8"/>
  <c r="AH8"/>
  <c r="BE7"/>
  <c r="BD7"/>
  <c r="BC7"/>
  <c r="BB7"/>
  <c r="AK7"/>
  <c r="BI7" s="1"/>
  <c r="AJ7"/>
  <c r="AI7"/>
  <c r="AH7"/>
  <c r="BE6"/>
  <c r="BE10" s="1"/>
  <c r="BD6"/>
  <c r="BD10" s="1"/>
  <c r="BC6"/>
  <c r="BB6"/>
  <c r="BB10" s="1"/>
  <c r="AK6"/>
  <c r="AK10" s="1"/>
  <c r="AJ6"/>
  <c r="AI6"/>
  <c r="AH6"/>
  <c r="AI57" i="221"/>
  <c r="AH57"/>
  <c r="AG57"/>
  <c r="AF57"/>
  <c r="AC57"/>
  <c r="AA57"/>
  <c r="Z57"/>
  <c r="Y57"/>
  <c r="X57"/>
  <c r="W57"/>
  <c r="R57"/>
  <c r="Q57"/>
  <c r="P57"/>
  <c r="O57"/>
  <c r="N57"/>
  <c r="M57"/>
  <c r="K57"/>
  <c r="J57"/>
  <c r="AE56"/>
  <c r="AD56"/>
  <c r="S56"/>
  <c r="AE55"/>
  <c r="AD55"/>
  <c r="S55"/>
  <c r="AE54"/>
  <c r="AD54"/>
  <c r="S54"/>
  <c r="AE53"/>
  <c r="AD53"/>
  <c r="S53"/>
  <c r="AE52"/>
  <c r="AD52"/>
  <c r="S52"/>
  <c r="AE51"/>
  <c r="AD51"/>
  <c r="S51"/>
  <c r="AE50"/>
  <c r="AD50"/>
  <c r="S50"/>
  <c r="AE49"/>
  <c r="AD49"/>
  <c r="S49"/>
  <c r="AE48"/>
  <c r="AD48"/>
  <c r="S48"/>
  <c r="AE47"/>
  <c r="AD47"/>
  <c r="T57"/>
  <c r="S47"/>
  <c r="L45"/>
  <c r="AD42"/>
  <c r="AB42"/>
  <c r="AA42"/>
  <c r="Z42"/>
  <c r="Y42"/>
  <c r="X42"/>
  <c r="W42"/>
  <c r="R42"/>
  <c r="Q42"/>
  <c r="P42"/>
  <c r="O42"/>
  <c r="N42"/>
  <c r="M42"/>
  <c r="AD41"/>
  <c r="AB41"/>
  <c r="AA41"/>
  <c r="Z41"/>
  <c r="Y41"/>
  <c r="X41"/>
  <c r="W41"/>
  <c r="R41"/>
  <c r="Q41"/>
  <c r="P41"/>
  <c r="O41"/>
  <c r="N41"/>
  <c r="M41"/>
  <c r="AD40"/>
  <c r="AB40"/>
  <c r="AA40"/>
  <c r="Z40"/>
  <c r="Y40"/>
  <c r="X40"/>
  <c r="W40"/>
  <c r="R40"/>
  <c r="Q40"/>
  <c r="P40"/>
  <c r="O40"/>
  <c r="N40"/>
  <c r="M40"/>
  <c r="AD39"/>
  <c r="AB39"/>
  <c r="AA39"/>
  <c r="Z39"/>
  <c r="Y39"/>
  <c r="X39"/>
  <c r="W39"/>
  <c r="R39"/>
  <c r="Q39"/>
  <c r="P39"/>
  <c r="O39"/>
  <c r="N39"/>
  <c r="M39"/>
  <c r="AD38"/>
  <c r="AB38"/>
  <c r="AA38"/>
  <c r="Z38"/>
  <c r="Y38"/>
  <c r="X38"/>
  <c r="W38"/>
  <c r="R38"/>
  <c r="Q38"/>
  <c r="P38"/>
  <c r="O38"/>
  <c r="N38"/>
  <c r="M38"/>
  <c r="AD37"/>
  <c r="AB37"/>
  <c r="AA37"/>
  <c r="Z37"/>
  <c r="Y37"/>
  <c r="X37"/>
  <c r="W37"/>
  <c r="R37"/>
  <c r="Q37"/>
  <c r="P37"/>
  <c r="O37"/>
  <c r="N37"/>
  <c r="M37"/>
  <c r="AD36"/>
  <c r="AB36"/>
  <c r="AA36"/>
  <c r="Z36"/>
  <c r="Y36"/>
  <c r="X36"/>
  <c r="W36"/>
  <c r="R36"/>
  <c r="Q36"/>
  <c r="P36"/>
  <c r="O36"/>
  <c r="N36"/>
  <c r="M36"/>
  <c r="AD35"/>
  <c r="AB35"/>
  <c r="AA35"/>
  <c r="Z35"/>
  <c r="Y35"/>
  <c r="X35"/>
  <c r="W35"/>
  <c r="R35"/>
  <c r="Q35"/>
  <c r="P35"/>
  <c r="O35"/>
  <c r="N35"/>
  <c r="M35"/>
  <c r="AD34"/>
  <c r="AB34"/>
  <c r="AA34"/>
  <c r="Z34"/>
  <c r="Y34"/>
  <c r="X34"/>
  <c r="W34"/>
  <c r="R34"/>
  <c r="Q34"/>
  <c r="P34"/>
  <c r="O34"/>
  <c r="N34"/>
  <c r="M34"/>
  <c r="AD33"/>
  <c r="AB33"/>
  <c r="AA33"/>
  <c r="Z33"/>
  <c r="Y33"/>
  <c r="X33"/>
  <c r="W33"/>
  <c r="R33"/>
  <c r="Q33"/>
  <c r="P33"/>
  <c r="O33"/>
  <c r="N33"/>
  <c r="M33"/>
  <c r="BC27"/>
  <c r="BA24"/>
  <c r="AZ24"/>
  <c r="AY24"/>
  <c r="AX24"/>
  <c r="AW24"/>
  <c r="AV24"/>
  <c r="AU24"/>
  <c r="AT24"/>
  <c r="AS24"/>
  <c r="AR24"/>
  <c r="AQ24"/>
  <c r="AP24"/>
  <c r="AO24"/>
  <c r="AN24"/>
  <c r="AM24"/>
  <c r="AL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BE23"/>
  <c r="BD23"/>
  <c r="BC23"/>
  <c r="BB23"/>
  <c r="AK23"/>
  <c r="BI23" s="1"/>
  <c r="AJ23"/>
  <c r="AI23"/>
  <c r="AH23"/>
  <c r="BE22"/>
  <c r="BD22"/>
  <c r="BC22"/>
  <c r="BB22"/>
  <c r="AK22"/>
  <c r="BI22" s="1"/>
  <c r="AJ22"/>
  <c r="AI22"/>
  <c r="AH22"/>
  <c r="BE21"/>
  <c r="BD21"/>
  <c r="BC21"/>
  <c r="BB21"/>
  <c r="AK21"/>
  <c r="BI21" s="1"/>
  <c r="AJ21"/>
  <c r="AI21"/>
  <c r="AH21"/>
  <c r="BE20"/>
  <c r="BD20"/>
  <c r="BC20"/>
  <c r="BB20"/>
  <c r="AK20"/>
  <c r="BI20" s="1"/>
  <c r="AJ20"/>
  <c r="AI20"/>
  <c r="AH20"/>
  <c r="BE19"/>
  <c r="BD19"/>
  <c r="BC19"/>
  <c r="BB19"/>
  <c r="AK19"/>
  <c r="BI19" s="1"/>
  <c r="AJ19"/>
  <c r="AI19"/>
  <c r="AH19"/>
  <c r="BE18"/>
  <c r="BD18"/>
  <c r="BC18"/>
  <c r="BB18"/>
  <c r="AK18"/>
  <c r="BI18" s="1"/>
  <c r="AJ18"/>
  <c r="AI18"/>
  <c r="AH18"/>
  <c r="BE17"/>
  <c r="BD17"/>
  <c r="BC17"/>
  <c r="BB17"/>
  <c r="AK17"/>
  <c r="BI17" s="1"/>
  <c r="AJ17"/>
  <c r="AI17"/>
  <c r="AH17"/>
  <c r="BE16"/>
  <c r="BD16"/>
  <c r="BC16"/>
  <c r="BB16"/>
  <c r="AK16"/>
  <c r="BI16" s="1"/>
  <c r="AJ16"/>
  <c r="AI16"/>
  <c r="AH16"/>
  <c r="BE15"/>
  <c r="BE24" s="1"/>
  <c r="BD15"/>
  <c r="BD24" s="1"/>
  <c r="BC15"/>
  <c r="BB15"/>
  <c r="AK15"/>
  <c r="AJ15"/>
  <c r="AJ24" s="1"/>
  <c r="AI15"/>
  <c r="AH15"/>
  <c r="BA10"/>
  <c r="BA26" s="1"/>
  <c r="AD15" i="27" s="1"/>
  <c r="AZ10" i="221"/>
  <c r="AZ26" s="1"/>
  <c r="AC15" i="27" s="1"/>
  <c r="AY10" i="221"/>
  <c r="AY26" s="1"/>
  <c r="AB15" i="27" s="1"/>
  <c r="AX10" i="221"/>
  <c r="AX26" s="1"/>
  <c r="AA15" i="27" s="1"/>
  <c r="AW10" i="221"/>
  <c r="AW26" s="1"/>
  <c r="AD14" i="27" s="1"/>
  <c r="AV10" i="221"/>
  <c r="AV26" s="1"/>
  <c r="AC14" i="27" s="1"/>
  <c r="AU10" i="221"/>
  <c r="AU26" s="1"/>
  <c r="AB14" i="27" s="1"/>
  <c r="AT10" i="221"/>
  <c r="AS10"/>
  <c r="AS26" s="1"/>
  <c r="AD13" i="27" s="1"/>
  <c r="AR10" i="221"/>
  <c r="AR26" s="1"/>
  <c r="AC13" i="27" s="1"/>
  <c r="AQ10" i="221"/>
  <c r="AQ26" s="1"/>
  <c r="AB13" i="27" s="1"/>
  <c r="AP10" i="221"/>
  <c r="AP26" s="1"/>
  <c r="AA13" i="27" s="1"/>
  <c r="AO10" i="221"/>
  <c r="AO26" s="1"/>
  <c r="AD12" i="27" s="1"/>
  <c r="AN10" i="221"/>
  <c r="AN26" s="1"/>
  <c r="AC12" i="27" s="1"/>
  <c r="AC16" s="1"/>
  <c r="AM10" i="221"/>
  <c r="AL10"/>
  <c r="AG10"/>
  <c r="AG26" s="1"/>
  <c r="AF10"/>
  <c r="AF26" s="1"/>
  <c r="AE10"/>
  <c r="AE26" s="1"/>
  <c r="AB10" i="27" s="1"/>
  <c r="AD10" i="221"/>
  <c r="AD26" s="1"/>
  <c r="AA10" i="27" s="1"/>
  <c r="AC10" i="221"/>
  <c r="AC26" s="1"/>
  <c r="AD9" i="27" s="1"/>
  <c r="AB10" i="221"/>
  <c r="AB26" s="1"/>
  <c r="AC9" i="27" s="1"/>
  <c r="AA10" i="221"/>
  <c r="AA26" s="1"/>
  <c r="AB9" i="27" s="1"/>
  <c r="Z10" i="221"/>
  <c r="Y10"/>
  <c r="Y26" s="1"/>
  <c r="AD8" i="27" s="1"/>
  <c r="X10" i="221"/>
  <c r="X26" s="1"/>
  <c r="AC8" i="27" s="1"/>
  <c r="W10" i="221"/>
  <c r="W26" s="1"/>
  <c r="AB8" i="27" s="1"/>
  <c r="V10" i="221"/>
  <c r="V26" s="1"/>
  <c r="AA8" i="27" s="1"/>
  <c r="U10" i="221"/>
  <c r="U26" s="1"/>
  <c r="AD7" i="27" s="1"/>
  <c r="T10" i="221"/>
  <c r="T26" s="1"/>
  <c r="AC7" i="27" s="1"/>
  <c r="S10" i="221"/>
  <c r="S26" s="1"/>
  <c r="AB7" i="27" s="1"/>
  <c r="R10" i="221"/>
  <c r="R26" s="1"/>
  <c r="AA7" i="27" s="1"/>
  <c r="Q10" i="221"/>
  <c r="Q26" s="1"/>
  <c r="AD6" i="27" s="1"/>
  <c r="P10" i="221"/>
  <c r="P26" s="1"/>
  <c r="AC6" i="27" s="1"/>
  <c r="O10" i="221"/>
  <c r="O26" s="1"/>
  <c r="AB6" i="27" s="1"/>
  <c r="N10" i="221"/>
  <c r="M10"/>
  <c r="M26" s="1"/>
  <c r="AD5" i="27" s="1"/>
  <c r="L10" i="221"/>
  <c r="L26" s="1"/>
  <c r="AC5" i="27" s="1"/>
  <c r="K10" i="221"/>
  <c r="K26" s="1"/>
  <c r="AB5" i="27" s="1"/>
  <c r="AB11" s="1"/>
  <c r="J10" i="221"/>
  <c r="BE9"/>
  <c r="BD9"/>
  <c r="BC9"/>
  <c r="BB9"/>
  <c r="AK9"/>
  <c r="BI9" s="1"/>
  <c r="AJ9"/>
  <c r="AI9"/>
  <c r="AH9"/>
  <c r="BE8"/>
  <c r="BD8"/>
  <c r="BC8"/>
  <c r="BB8"/>
  <c r="AK8"/>
  <c r="BI8" s="1"/>
  <c r="AJ8"/>
  <c r="AI8"/>
  <c r="AH8"/>
  <c r="BE7"/>
  <c r="BD7"/>
  <c r="BC7"/>
  <c r="BB7"/>
  <c r="AK7"/>
  <c r="BI7" s="1"/>
  <c r="AJ7"/>
  <c r="AI7"/>
  <c r="AH7"/>
  <c r="BE6"/>
  <c r="BE10" s="1"/>
  <c r="BE26" s="1"/>
  <c r="BD6"/>
  <c r="BD10" s="1"/>
  <c r="BD26" s="1"/>
  <c r="BC6"/>
  <c r="BB6"/>
  <c r="AK6"/>
  <c r="AK10" s="1"/>
  <c r="AJ6"/>
  <c r="AI6"/>
  <c r="AH6"/>
  <c r="AJ57" i="179"/>
  <c r="AI57"/>
  <c r="AH57"/>
  <c r="AG57"/>
  <c r="AC57"/>
  <c r="AA57"/>
  <c r="Z57"/>
  <c r="Y57"/>
  <c r="X57"/>
  <c r="R57"/>
  <c r="Q57"/>
  <c r="P57"/>
  <c r="O57"/>
  <c r="N57"/>
  <c r="M57"/>
  <c r="K57"/>
  <c r="J57"/>
  <c r="AE56"/>
  <c r="AD56"/>
  <c r="S56"/>
  <c r="AE55"/>
  <c r="AD55"/>
  <c r="S55"/>
  <c r="AE54"/>
  <c r="AD54"/>
  <c r="S54"/>
  <c r="AE53"/>
  <c r="AD53"/>
  <c r="S53"/>
  <c r="AE52"/>
  <c r="AD52"/>
  <c r="S52"/>
  <c r="AE51"/>
  <c r="AD51"/>
  <c r="S51"/>
  <c r="AE50"/>
  <c r="AD50"/>
  <c r="S50"/>
  <c r="AE49"/>
  <c r="S49"/>
  <c r="AE48"/>
  <c r="AD48"/>
  <c r="S48"/>
  <c r="AE47"/>
  <c r="T57"/>
  <c r="S47"/>
  <c r="L45"/>
  <c r="AD42"/>
  <c r="AB42"/>
  <c r="AA42"/>
  <c r="Z42"/>
  <c r="Y42"/>
  <c r="X42"/>
  <c r="W42"/>
  <c r="R42"/>
  <c r="Q42"/>
  <c r="P42"/>
  <c r="O42"/>
  <c r="N42"/>
  <c r="M42"/>
  <c r="AD41"/>
  <c r="AB41"/>
  <c r="AA41"/>
  <c r="Z41"/>
  <c r="Y41"/>
  <c r="X41"/>
  <c r="W41"/>
  <c r="R41"/>
  <c r="Q41"/>
  <c r="P41"/>
  <c r="O41"/>
  <c r="N41"/>
  <c r="M41"/>
  <c r="AD40"/>
  <c r="AB40"/>
  <c r="AA40"/>
  <c r="Z40"/>
  <c r="Y40"/>
  <c r="X40"/>
  <c r="W40"/>
  <c r="R40"/>
  <c r="Q40"/>
  <c r="P40"/>
  <c r="O40"/>
  <c r="N40"/>
  <c r="M40"/>
  <c r="AD39"/>
  <c r="AB39"/>
  <c r="AA39"/>
  <c r="Z39"/>
  <c r="Y39"/>
  <c r="X39"/>
  <c r="W39"/>
  <c r="R39"/>
  <c r="Q39"/>
  <c r="P39"/>
  <c r="O39"/>
  <c r="N39"/>
  <c r="M39"/>
  <c r="AD38"/>
  <c r="AB38"/>
  <c r="AA38"/>
  <c r="Z38"/>
  <c r="Y38"/>
  <c r="X38"/>
  <c r="W38"/>
  <c r="R38"/>
  <c r="Q38"/>
  <c r="P38"/>
  <c r="O38"/>
  <c r="N38"/>
  <c r="M38"/>
  <c r="AD37"/>
  <c r="AB37"/>
  <c r="AA37"/>
  <c r="Z37"/>
  <c r="Y37"/>
  <c r="X37"/>
  <c r="W37"/>
  <c r="R37"/>
  <c r="Q37"/>
  <c r="P37"/>
  <c r="O37"/>
  <c r="N37"/>
  <c r="M37"/>
  <c r="AD36"/>
  <c r="AB36"/>
  <c r="AA36"/>
  <c r="Z36"/>
  <c r="Y36"/>
  <c r="X36"/>
  <c r="W36"/>
  <c r="R36"/>
  <c r="Q36"/>
  <c r="P36"/>
  <c r="O36"/>
  <c r="N36"/>
  <c r="M36"/>
  <c r="AD35"/>
  <c r="AB35"/>
  <c r="AA35"/>
  <c r="Z35"/>
  <c r="Y35"/>
  <c r="X35"/>
  <c r="W35"/>
  <c r="R35"/>
  <c r="Q35"/>
  <c r="P35"/>
  <c r="O35"/>
  <c r="N35"/>
  <c r="M35"/>
  <c r="AD34"/>
  <c r="AB34"/>
  <c r="AA34"/>
  <c r="Z34"/>
  <c r="Y34"/>
  <c r="X34"/>
  <c r="W34"/>
  <c r="R34"/>
  <c r="Q34"/>
  <c r="P34"/>
  <c r="O34"/>
  <c r="N34"/>
  <c r="M34"/>
  <c r="AD33"/>
  <c r="AB33"/>
  <c r="AA33"/>
  <c r="Z33"/>
  <c r="Y33"/>
  <c r="X33"/>
  <c r="R33"/>
  <c r="Q33"/>
  <c r="P33"/>
  <c r="O33"/>
  <c r="N33"/>
  <c r="M33"/>
  <c r="BC27"/>
  <c r="BA24"/>
  <c r="AZ24"/>
  <c r="AY24"/>
  <c r="AX24"/>
  <c r="AW24"/>
  <c r="AV24"/>
  <c r="AU24"/>
  <c r="AT24"/>
  <c r="AS24"/>
  <c r="AR24"/>
  <c r="AQ24"/>
  <c r="AP24"/>
  <c r="AO24"/>
  <c r="AN24"/>
  <c r="AM24"/>
  <c r="AL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BE23"/>
  <c r="BD23"/>
  <c r="BC23"/>
  <c r="BB23"/>
  <c r="AK23"/>
  <c r="AJ23"/>
  <c r="AI23"/>
  <c r="AH23"/>
  <c r="BE22"/>
  <c r="BD22"/>
  <c r="BC22"/>
  <c r="BB22"/>
  <c r="AK22"/>
  <c r="AJ22"/>
  <c r="AI22"/>
  <c r="AH22"/>
  <c r="BE21"/>
  <c r="BD21"/>
  <c r="BC21"/>
  <c r="BB21"/>
  <c r="AK21"/>
  <c r="AJ21"/>
  <c r="AI21"/>
  <c r="AH21"/>
  <c r="BE20"/>
  <c r="BD20"/>
  <c r="BC20"/>
  <c r="BB20"/>
  <c r="AK20"/>
  <c r="AJ20"/>
  <c r="AI20"/>
  <c r="AH20"/>
  <c r="BE19"/>
  <c r="BD19"/>
  <c r="BC19"/>
  <c r="BB19"/>
  <c r="AK19"/>
  <c r="AJ19"/>
  <c r="AI19"/>
  <c r="AH19"/>
  <c r="BE18"/>
  <c r="BD18"/>
  <c r="BC18"/>
  <c r="BB18"/>
  <c r="AK18"/>
  <c r="AJ18"/>
  <c r="AI18"/>
  <c r="AH18"/>
  <c r="BE17"/>
  <c r="BD17"/>
  <c r="BC17"/>
  <c r="BB17"/>
  <c r="AK17"/>
  <c r="AJ17"/>
  <c r="AI17"/>
  <c r="AH17"/>
  <c r="BE16"/>
  <c r="BD16"/>
  <c r="BC16"/>
  <c r="BB16"/>
  <c r="AK16"/>
  <c r="AJ16"/>
  <c r="AI16"/>
  <c r="AH16"/>
  <c r="BE15"/>
  <c r="BE24" s="1"/>
  <c r="BD15"/>
  <c r="BD24" s="1"/>
  <c r="BC15"/>
  <c r="BB15"/>
  <c r="AK15"/>
  <c r="AK24" s="1"/>
  <c r="AJ15"/>
  <c r="AJ24" s="1"/>
  <c r="AI15"/>
  <c r="AH15"/>
  <c r="BA10"/>
  <c r="BA26" s="1"/>
  <c r="AZ10"/>
  <c r="AZ26" s="1"/>
  <c r="AY10"/>
  <c r="AY26" s="1"/>
  <c r="X15" i="27" s="1"/>
  <c r="AX10" i="179"/>
  <c r="AX26" s="1"/>
  <c r="W15" i="27" s="1"/>
  <c r="AW10" i="179"/>
  <c r="AW26" s="1"/>
  <c r="Z14" i="27" s="1"/>
  <c r="AV10" i="179"/>
  <c r="AV26" s="1"/>
  <c r="Y14" i="27" s="1"/>
  <c r="AU10" i="179"/>
  <c r="AU26" s="1"/>
  <c r="X14" i="27" s="1"/>
  <c r="AT10" i="179"/>
  <c r="AS10"/>
  <c r="AS26" s="1"/>
  <c r="Z13" i="27" s="1"/>
  <c r="AR10" i="179"/>
  <c r="AR26" s="1"/>
  <c r="Y13" i="27" s="1"/>
  <c r="AQ10" i="179"/>
  <c r="AQ26" s="1"/>
  <c r="X13" i="27" s="1"/>
  <c r="AP10" i="179"/>
  <c r="AO10"/>
  <c r="AO26" s="1"/>
  <c r="Z12" i="27" s="1"/>
  <c r="Z16" s="1"/>
  <c r="AN10" i="179"/>
  <c r="AN26" s="1"/>
  <c r="Y12" i="27" s="1"/>
  <c r="Y16" s="1"/>
  <c r="AM10" i="179"/>
  <c r="AL10"/>
  <c r="AG10"/>
  <c r="AG26" s="1"/>
  <c r="Z10" i="27" s="1"/>
  <c r="AF10" i="179"/>
  <c r="AF26" s="1"/>
  <c r="Y10" i="27" s="1"/>
  <c r="AE10" i="179"/>
  <c r="AE26" s="1"/>
  <c r="X10" i="27" s="1"/>
  <c r="AD10" i="179"/>
  <c r="AD26" s="1"/>
  <c r="W10" i="27" s="1"/>
  <c r="AC10" i="179"/>
  <c r="AC26" s="1"/>
  <c r="Z9" i="27" s="1"/>
  <c r="AB10" i="179"/>
  <c r="AB26" s="1"/>
  <c r="Y9" i="27" s="1"/>
  <c r="AA10" i="179"/>
  <c r="Z10"/>
  <c r="Z26" s="1"/>
  <c r="W9" i="27" s="1"/>
  <c r="Y10" i="179"/>
  <c r="Y26" s="1"/>
  <c r="Z8" i="27" s="1"/>
  <c r="X10" i="179"/>
  <c r="X26" s="1"/>
  <c r="Y8" i="27" s="1"/>
  <c r="W10" i="179"/>
  <c r="W26" s="1"/>
  <c r="X8" i="27" s="1"/>
  <c r="V10" i="179"/>
  <c r="U10"/>
  <c r="U26" s="1"/>
  <c r="Z7" i="27" s="1"/>
  <c r="T10" i="179"/>
  <c r="T26" s="1"/>
  <c r="Y7" i="27" s="1"/>
  <c r="S10" i="179"/>
  <c r="S26" s="1"/>
  <c r="X7" i="27" s="1"/>
  <c r="R10" i="179"/>
  <c r="Q10"/>
  <c r="Q26" s="1"/>
  <c r="Z6" i="27" s="1"/>
  <c r="P10" i="179"/>
  <c r="P26" s="1"/>
  <c r="Y6" i="27" s="1"/>
  <c r="O10" i="179"/>
  <c r="O26" s="1"/>
  <c r="X6" i="27" s="1"/>
  <c r="N10" i="179"/>
  <c r="N26" s="1"/>
  <c r="W6" i="27" s="1"/>
  <c r="M10" i="179"/>
  <c r="M26" s="1"/>
  <c r="Z5" i="27" s="1"/>
  <c r="Z11" s="1"/>
  <c r="L10" i="179"/>
  <c r="L26" s="1"/>
  <c r="Y5" i="27" s="1"/>
  <c r="K10" i="179"/>
  <c r="K26" s="1"/>
  <c r="X5" i="27" s="1"/>
  <c r="J10" i="179"/>
  <c r="BE9"/>
  <c r="BD9"/>
  <c r="BC9"/>
  <c r="BB9"/>
  <c r="AK9"/>
  <c r="BI9" s="1"/>
  <c r="AJ9"/>
  <c r="AI9"/>
  <c r="AH9"/>
  <c r="BE8"/>
  <c r="BD8"/>
  <c r="BC8"/>
  <c r="BB8"/>
  <c r="AK8"/>
  <c r="BI8" s="1"/>
  <c r="AJ8"/>
  <c r="AI8"/>
  <c r="AH8"/>
  <c r="BE7"/>
  <c r="BD7"/>
  <c r="BC7"/>
  <c r="BB7"/>
  <c r="AK7"/>
  <c r="BI7" s="1"/>
  <c r="AJ7"/>
  <c r="AI7"/>
  <c r="AH7"/>
  <c r="BE6"/>
  <c r="BE10" s="1"/>
  <c r="BE26" s="1"/>
  <c r="BD6"/>
  <c r="BC6"/>
  <c r="BB6"/>
  <c r="AK6"/>
  <c r="AK10" s="1"/>
  <c r="AJ6"/>
  <c r="AJ10" s="1"/>
  <c r="AI6"/>
  <c r="AH6"/>
  <c r="AI57" i="180"/>
  <c r="AH57"/>
  <c r="AG57"/>
  <c r="AF57"/>
  <c r="AC57"/>
  <c r="AA57"/>
  <c r="Z57"/>
  <c r="Y57"/>
  <c r="X57"/>
  <c r="R57"/>
  <c r="Q57"/>
  <c r="P57"/>
  <c r="O57"/>
  <c r="N57"/>
  <c r="M57"/>
  <c r="K57"/>
  <c r="J57"/>
  <c r="S56"/>
  <c r="S55"/>
  <c r="S54"/>
  <c r="S53"/>
  <c r="S52"/>
  <c r="S51"/>
  <c r="S50"/>
  <c r="S49"/>
  <c r="S48"/>
  <c r="T57"/>
  <c r="S47"/>
  <c r="AD42"/>
  <c r="AB42"/>
  <c r="AA42"/>
  <c r="Z42"/>
  <c r="Y42"/>
  <c r="X42"/>
  <c r="W42"/>
  <c r="R42"/>
  <c r="Q42"/>
  <c r="P42"/>
  <c r="O42"/>
  <c r="N42"/>
  <c r="M42"/>
  <c r="AD41"/>
  <c r="AB41"/>
  <c r="AA41"/>
  <c r="Z41"/>
  <c r="Y41"/>
  <c r="X41"/>
  <c r="W41"/>
  <c r="R41"/>
  <c r="Q41"/>
  <c r="P41"/>
  <c r="O41"/>
  <c r="N41"/>
  <c r="M41"/>
  <c r="AD40"/>
  <c r="AB40"/>
  <c r="Z40"/>
  <c r="Y40"/>
  <c r="X40"/>
  <c r="W40"/>
  <c r="R40"/>
  <c r="Q40"/>
  <c r="P40"/>
  <c r="O40"/>
  <c r="N40"/>
  <c r="M40"/>
  <c r="AD39"/>
  <c r="AB39"/>
  <c r="AA39"/>
  <c r="Z39"/>
  <c r="Y39"/>
  <c r="X39"/>
  <c r="W39"/>
  <c r="R39"/>
  <c r="Q39"/>
  <c r="P39"/>
  <c r="O39"/>
  <c r="N39"/>
  <c r="M39"/>
  <c r="AD38"/>
  <c r="AB38"/>
  <c r="AA38"/>
  <c r="Z38"/>
  <c r="Y38"/>
  <c r="X38"/>
  <c r="W38"/>
  <c r="AD52" s="1"/>
  <c r="R38"/>
  <c r="Q38"/>
  <c r="P38"/>
  <c r="O38"/>
  <c r="N38"/>
  <c r="M38"/>
  <c r="AD37"/>
  <c r="AB37"/>
  <c r="AA37"/>
  <c r="Z37"/>
  <c r="Y37"/>
  <c r="X37"/>
  <c r="W37"/>
  <c r="R37"/>
  <c r="Q37"/>
  <c r="P37"/>
  <c r="O37"/>
  <c r="N37"/>
  <c r="M37"/>
  <c r="AD36"/>
  <c r="AB36"/>
  <c r="AA36"/>
  <c r="Z36"/>
  <c r="Y36"/>
  <c r="X36"/>
  <c r="W36"/>
  <c r="AD50" s="1"/>
  <c r="R36"/>
  <c r="Q36"/>
  <c r="P36"/>
  <c r="O36"/>
  <c r="N36"/>
  <c r="M36"/>
  <c r="AD35"/>
  <c r="AB35"/>
  <c r="AA35"/>
  <c r="Z35"/>
  <c r="Y35"/>
  <c r="X35"/>
  <c r="W35"/>
  <c r="AD49" s="1"/>
  <c r="R35"/>
  <c r="Q35"/>
  <c r="P35"/>
  <c r="O35"/>
  <c r="N35"/>
  <c r="M35"/>
  <c r="AD34"/>
  <c r="AB34"/>
  <c r="AA34"/>
  <c r="Z34"/>
  <c r="Y34"/>
  <c r="X34"/>
  <c r="W34"/>
  <c r="R34"/>
  <c r="Q34"/>
  <c r="P34"/>
  <c r="O34"/>
  <c r="N34"/>
  <c r="M34"/>
  <c r="AD33"/>
  <c r="AB33"/>
  <c r="AA33"/>
  <c r="Z33"/>
  <c r="Y33"/>
  <c r="X33"/>
  <c r="W33"/>
  <c r="R33"/>
  <c r="Q33"/>
  <c r="P33"/>
  <c r="O33"/>
  <c r="N33"/>
  <c r="M33"/>
  <c r="BC27"/>
  <c r="BA24"/>
  <c r="AZ24"/>
  <c r="AY24"/>
  <c r="AX24"/>
  <c r="AW24"/>
  <c r="AV24"/>
  <c r="AU24"/>
  <c r="AT24"/>
  <c r="AS24"/>
  <c r="AR24"/>
  <c r="AQ24"/>
  <c r="AP24"/>
  <c r="AO24"/>
  <c r="AN24"/>
  <c r="AM24"/>
  <c r="AL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J26" s="1"/>
  <c r="BE23"/>
  <c r="BD23"/>
  <c r="BC23"/>
  <c r="BB23"/>
  <c r="AK23"/>
  <c r="AJ23"/>
  <c r="AI23"/>
  <c r="AH23"/>
  <c r="BE22"/>
  <c r="BD22"/>
  <c r="BC22"/>
  <c r="BB22"/>
  <c r="AK22"/>
  <c r="AJ22"/>
  <c r="AI22"/>
  <c r="AH22"/>
  <c r="BE21"/>
  <c r="BD21"/>
  <c r="BC21"/>
  <c r="BB21"/>
  <c r="AK21"/>
  <c r="AJ21"/>
  <c r="AI21"/>
  <c r="AH21"/>
  <c r="BE20"/>
  <c r="BD20"/>
  <c r="BC20"/>
  <c r="BB20"/>
  <c r="AK20"/>
  <c r="AJ20"/>
  <c r="AI20"/>
  <c r="AH20"/>
  <c r="BE19"/>
  <c r="BD19"/>
  <c r="BC19"/>
  <c r="AK19"/>
  <c r="AJ19"/>
  <c r="AI19"/>
  <c r="AH19"/>
  <c r="BE18"/>
  <c r="BD18"/>
  <c r="BC18"/>
  <c r="BB18"/>
  <c r="AK18"/>
  <c r="AJ18"/>
  <c r="AI18"/>
  <c r="AH18"/>
  <c r="BE17"/>
  <c r="BD17"/>
  <c r="BC17"/>
  <c r="BB17"/>
  <c r="AK17"/>
  <c r="AJ17"/>
  <c r="AI17"/>
  <c r="AH17"/>
  <c r="BE16"/>
  <c r="BD16"/>
  <c r="BC16"/>
  <c r="BB16"/>
  <c r="AK16"/>
  <c r="AJ16"/>
  <c r="AI16"/>
  <c r="AH16"/>
  <c r="BE15"/>
  <c r="BE24" s="1"/>
  <c r="BD15"/>
  <c r="BC15"/>
  <c r="BB15"/>
  <c r="AK15"/>
  <c r="AJ15"/>
  <c r="AJ24" s="1"/>
  <c r="AI15"/>
  <c r="AH15"/>
  <c r="BA10"/>
  <c r="BA26" s="1"/>
  <c r="AZ10"/>
  <c r="AZ26" s="1"/>
  <c r="AY10"/>
  <c r="AY26" s="1"/>
  <c r="AX10"/>
  <c r="AX26" s="1"/>
  <c r="AW10"/>
  <c r="AW26" s="1"/>
  <c r="AV10"/>
  <c r="AV26" s="1"/>
  <c r="AU10"/>
  <c r="AT10"/>
  <c r="AS10"/>
  <c r="AS26" s="1"/>
  <c r="AR10"/>
  <c r="AR26" s="1"/>
  <c r="AQ10"/>
  <c r="AP10"/>
  <c r="AO10"/>
  <c r="AO26" s="1"/>
  <c r="V16" i="27" s="1"/>
  <c r="AN10" i="180"/>
  <c r="AN26" s="1"/>
  <c r="AM10"/>
  <c r="AL10"/>
  <c r="AG10"/>
  <c r="AF10"/>
  <c r="AF26" s="1"/>
  <c r="AE10"/>
  <c r="AD10"/>
  <c r="AC10"/>
  <c r="AC26" s="1"/>
  <c r="AB10"/>
  <c r="AB26" s="1"/>
  <c r="AA10"/>
  <c r="AA26" s="1"/>
  <c r="Z10"/>
  <c r="Y10"/>
  <c r="Y26" s="1"/>
  <c r="X10"/>
  <c r="X26" s="1"/>
  <c r="W10"/>
  <c r="W26" s="1"/>
  <c r="V10"/>
  <c r="U10"/>
  <c r="T10"/>
  <c r="T26" s="1"/>
  <c r="S10"/>
  <c r="R10"/>
  <c r="Q10"/>
  <c r="P10"/>
  <c r="P26" s="1"/>
  <c r="O10"/>
  <c r="N10"/>
  <c r="M10"/>
  <c r="L10"/>
  <c r="L26" s="1"/>
  <c r="U11" i="27" s="1"/>
  <c r="K10" i="180"/>
  <c r="K26" s="1"/>
  <c r="BE9"/>
  <c r="BD9"/>
  <c r="BC9"/>
  <c r="BB9"/>
  <c r="AK9"/>
  <c r="AJ9"/>
  <c r="AI9"/>
  <c r="AH9"/>
  <c r="BE8"/>
  <c r="BD8"/>
  <c r="BC8"/>
  <c r="BB8"/>
  <c r="AK8"/>
  <c r="AJ8"/>
  <c r="AI8"/>
  <c r="AH8"/>
  <c r="BE7"/>
  <c r="BD7"/>
  <c r="BC7"/>
  <c r="BB7"/>
  <c r="AK7"/>
  <c r="AJ7"/>
  <c r="AI7"/>
  <c r="AH7"/>
  <c r="BE6"/>
  <c r="BE10" s="1"/>
  <c r="BD6"/>
  <c r="BC6"/>
  <c r="BB6"/>
  <c r="AK6"/>
  <c r="AK10" s="1"/>
  <c r="AJ6"/>
  <c r="AI6"/>
  <c r="AH6"/>
  <c r="AI57" i="177"/>
  <c r="AH57"/>
  <c r="AG57"/>
  <c r="AF57"/>
  <c r="AC57"/>
  <c r="AA57"/>
  <c r="Z57"/>
  <c r="Y57"/>
  <c r="X57"/>
  <c r="R57"/>
  <c r="Q57"/>
  <c r="P57"/>
  <c r="O57"/>
  <c r="N57"/>
  <c r="M57"/>
  <c r="K57"/>
  <c r="J57"/>
  <c r="AD56"/>
  <c r="S56"/>
  <c r="S55"/>
  <c r="AD54"/>
  <c r="S54"/>
  <c r="AD53"/>
  <c r="S53"/>
  <c r="AD52"/>
  <c r="S52"/>
  <c r="AD51"/>
  <c r="S51"/>
  <c r="AD50"/>
  <c r="S50"/>
  <c r="AD49"/>
  <c r="S49"/>
  <c r="S48"/>
  <c r="T57"/>
  <c r="S47"/>
  <c r="L45"/>
  <c r="AD42"/>
  <c r="AB42"/>
  <c r="AA42"/>
  <c r="Z42"/>
  <c r="Y42"/>
  <c r="X42"/>
  <c r="W42"/>
  <c r="R42"/>
  <c r="Q42"/>
  <c r="P42"/>
  <c r="O42"/>
  <c r="N42"/>
  <c r="M42"/>
  <c r="AD41"/>
  <c r="AB41"/>
  <c r="AA41"/>
  <c r="Z41"/>
  <c r="Y41"/>
  <c r="X41"/>
  <c r="W41"/>
  <c r="AD55" s="1"/>
  <c r="R41"/>
  <c r="Q41"/>
  <c r="P41"/>
  <c r="O41"/>
  <c r="N41"/>
  <c r="M41"/>
  <c r="AD40"/>
  <c r="AB40"/>
  <c r="AA40"/>
  <c r="Z40"/>
  <c r="Y40"/>
  <c r="X40"/>
  <c r="W40"/>
  <c r="R40"/>
  <c r="Q40"/>
  <c r="P40"/>
  <c r="O40"/>
  <c r="N40"/>
  <c r="M40"/>
  <c r="AD39"/>
  <c r="AB39"/>
  <c r="AA39"/>
  <c r="Z39"/>
  <c r="Y39"/>
  <c r="X39"/>
  <c r="W39"/>
  <c r="R39"/>
  <c r="Q39"/>
  <c r="P39"/>
  <c r="O39"/>
  <c r="N39"/>
  <c r="M39"/>
  <c r="AD38"/>
  <c r="AB38"/>
  <c r="AA38"/>
  <c r="Z38"/>
  <c r="Y38"/>
  <c r="X38"/>
  <c r="W38"/>
  <c r="R38"/>
  <c r="Q38"/>
  <c r="P38"/>
  <c r="O38"/>
  <c r="N38"/>
  <c r="M38"/>
  <c r="AD37"/>
  <c r="AB37"/>
  <c r="AA37"/>
  <c r="Z37"/>
  <c r="Y37"/>
  <c r="X37"/>
  <c r="W37"/>
  <c r="R37"/>
  <c r="Q37"/>
  <c r="P37"/>
  <c r="O37"/>
  <c r="N37"/>
  <c r="M37"/>
  <c r="AD36"/>
  <c r="AB36"/>
  <c r="AA36"/>
  <c r="Z36"/>
  <c r="Y36"/>
  <c r="X36"/>
  <c r="W36"/>
  <c r="R36"/>
  <c r="Q36"/>
  <c r="P36"/>
  <c r="O36"/>
  <c r="N36"/>
  <c r="M36"/>
  <c r="AD35"/>
  <c r="AB35"/>
  <c r="AA35"/>
  <c r="Z35"/>
  <c r="Y35"/>
  <c r="X35"/>
  <c r="W35"/>
  <c r="R35"/>
  <c r="Q35"/>
  <c r="P35"/>
  <c r="O35"/>
  <c r="N35"/>
  <c r="M35"/>
  <c r="AD34"/>
  <c r="AB34"/>
  <c r="AA34"/>
  <c r="Z34"/>
  <c r="Y34"/>
  <c r="X34"/>
  <c r="W34"/>
  <c r="R34"/>
  <c r="Q34"/>
  <c r="P34"/>
  <c r="O34"/>
  <c r="N34"/>
  <c r="M34"/>
  <c r="AD33"/>
  <c r="AB33"/>
  <c r="AA33"/>
  <c r="Z33"/>
  <c r="Y33"/>
  <c r="X33"/>
  <c r="AD47" s="1"/>
  <c r="W33"/>
  <c r="R33"/>
  <c r="Q33"/>
  <c r="P33"/>
  <c r="O33"/>
  <c r="N33"/>
  <c r="M33"/>
  <c r="BC27"/>
  <c r="BA24"/>
  <c r="AZ24"/>
  <c r="AY24"/>
  <c r="AX24"/>
  <c r="AW24"/>
  <c r="AV24"/>
  <c r="AU24"/>
  <c r="AT24"/>
  <c r="AT26" s="1"/>
  <c r="AS24"/>
  <c r="AS26" s="1"/>
  <c r="AR24"/>
  <c r="AR26" s="1"/>
  <c r="AQ24"/>
  <c r="AQ26" s="1"/>
  <c r="AP24"/>
  <c r="AP26" s="1"/>
  <c r="AO24"/>
  <c r="AO26" s="1"/>
  <c r="AN24"/>
  <c r="AM24"/>
  <c r="AM26" s="1"/>
  <c r="AL24"/>
  <c r="AL26" s="1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BE23"/>
  <c r="BD23"/>
  <c r="BC23"/>
  <c r="BB23"/>
  <c r="AK23"/>
  <c r="BI23" s="1"/>
  <c r="AJ23"/>
  <c r="AI23"/>
  <c r="AH23"/>
  <c r="BE22"/>
  <c r="BD22"/>
  <c r="BC22"/>
  <c r="BB22"/>
  <c r="AK22"/>
  <c r="BI22" s="1"/>
  <c r="AJ22"/>
  <c r="AI22"/>
  <c r="AH22"/>
  <c r="BE21"/>
  <c r="BD21"/>
  <c r="BC21"/>
  <c r="BB21"/>
  <c r="AK21"/>
  <c r="BI21" s="1"/>
  <c r="AJ21"/>
  <c r="AI21"/>
  <c r="AH21"/>
  <c r="BE20"/>
  <c r="BD20"/>
  <c r="BC20"/>
  <c r="BB20"/>
  <c r="AK20"/>
  <c r="BI20" s="1"/>
  <c r="AJ20"/>
  <c r="AI20"/>
  <c r="AH20"/>
  <c r="BE19"/>
  <c r="BD19"/>
  <c r="BC19"/>
  <c r="BB19"/>
  <c r="AK19"/>
  <c r="BI19" s="1"/>
  <c r="AJ19"/>
  <c r="AI19"/>
  <c r="AH19"/>
  <c r="BE18"/>
  <c r="BD18"/>
  <c r="BC18"/>
  <c r="BB18"/>
  <c r="AK18"/>
  <c r="BI18" s="1"/>
  <c r="AJ18"/>
  <c r="AI18"/>
  <c r="AH18"/>
  <c r="BE17"/>
  <c r="BD17"/>
  <c r="BC17"/>
  <c r="BB17"/>
  <c r="AK17"/>
  <c r="BI17" s="1"/>
  <c r="AJ17"/>
  <c r="AI17"/>
  <c r="AH17"/>
  <c r="BE16"/>
  <c r="BD16"/>
  <c r="BC16"/>
  <c r="BB16"/>
  <c r="AK16"/>
  <c r="BI16" s="1"/>
  <c r="AJ16"/>
  <c r="AI16"/>
  <c r="AH16"/>
  <c r="BE15"/>
  <c r="BE24" s="1"/>
  <c r="BD15"/>
  <c r="BC15"/>
  <c r="BB15"/>
  <c r="AK15"/>
  <c r="AJ15"/>
  <c r="AJ24" s="1"/>
  <c r="AI15"/>
  <c r="AH15"/>
  <c r="BA10"/>
  <c r="BA26" s="1"/>
  <c r="AZ26"/>
  <c r="AY26"/>
  <c r="AX26"/>
  <c r="AW26"/>
  <c r="AV26"/>
  <c r="AN26"/>
  <c r="M16" i="27" s="1"/>
  <c r="AG10" i="177"/>
  <c r="AG26" s="1"/>
  <c r="AF10"/>
  <c r="AF26" s="1"/>
  <c r="AE10"/>
  <c r="AD10"/>
  <c r="AC10"/>
  <c r="AC26" s="1"/>
  <c r="AB10"/>
  <c r="AB26" s="1"/>
  <c r="AA10"/>
  <c r="AA26" s="1"/>
  <c r="Z10"/>
  <c r="Y10"/>
  <c r="Y26" s="1"/>
  <c r="X10"/>
  <c r="X26" s="1"/>
  <c r="W10"/>
  <c r="W26" s="1"/>
  <c r="V10"/>
  <c r="U10"/>
  <c r="T10"/>
  <c r="T26" s="1"/>
  <c r="S10"/>
  <c r="S26" s="1"/>
  <c r="R10"/>
  <c r="Q10"/>
  <c r="Q26" s="1"/>
  <c r="P10"/>
  <c r="P26" s="1"/>
  <c r="O10"/>
  <c r="O26" s="1"/>
  <c r="N10"/>
  <c r="M10"/>
  <c r="L10"/>
  <c r="K10"/>
  <c r="K26" s="1"/>
  <c r="J10"/>
  <c r="BE9"/>
  <c r="BD9"/>
  <c r="BC9"/>
  <c r="BB9"/>
  <c r="AK9"/>
  <c r="BI9" s="1"/>
  <c r="AJ9"/>
  <c r="AI9"/>
  <c r="AH9"/>
  <c r="BF9" s="1"/>
  <c r="BE8"/>
  <c r="BD8"/>
  <c r="BC8"/>
  <c r="BB8"/>
  <c r="AK8"/>
  <c r="BI8" s="1"/>
  <c r="AJ8"/>
  <c r="AI8"/>
  <c r="AH8"/>
  <c r="BE7"/>
  <c r="BD7"/>
  <c r="BC7"/>
  <c r="BB7"/>
  <c r="AK7"/>
  <c r="BI7" s="1"/>
  <c r="AJ7"/>
  <c r="AI7"/>
  <c r="AH7"/>
  <c r="BE6"/>
  <c r="BE10" s="1"/>
  <c r="BD6"/>
  <c r="BC6"/>
  <c r="BB6"/>
  <c r="BB10" s="1"/>
  <c r="AK6"/>
  <c r="AK10" s="1"/>
  <c r="AJ6"/>
  <c r="AI6"/>
  <c r="AH6"/>
  <c r="AI57" i="200"/>
  <c r="AH57"/>
  <c r="AG57"/>
  <c r="AF57"/>
  <c r="AC57"/>
  <c r="AA57"/>
  <c r="Z57"/>
  <c r="Y57"/>
  <c r="X57"/>
  <c r="W57"/>
  <c r="R57"/>
  <c r="Q57"/>
  <c r="P57"/>
  <c r="O57"/>
  <c r="N57"/>
  <c r="M57"/>
  <c r="K57"/>
  <c r="J57"/>
  <c r="AD56"/>
  <c r="S56"/>
  <c r="AD55"/>
  <c r="S55"/>
  <c r="AD54"/>
  <c r="S54"/>
  <c r="AD53"/>
  <c r="S53"/>
  <c r="AD52"/>
  <c r="S52"/>
  <c r="AD51"/>
  <c r="S51"/>
  <c r="AD50"/>
  <c r="S50"/>
  <c r="AD49"/>
  <c r="S49"/>
  <c r="AD48"/>
  <c r="S48"/>
  <c r="AD47"/>
  <c r="T57"/>
  <c r="S47"/>
  <c r="L45"/>
  <c r="AD42"/>
  <c r="AE56" s="1"/>
  <c r="AB42"/>
  <c r="AA42"/>
  <c r="Z42"/>
  <c r="Y42"/>
  <c r="X42"/>
  <c r="W42"/>
  <c r="R42"/>
  <c r="Q42"/>
  <c r="P42"/>
  <c r="O42"/>
  <c r="N42"/>
  <c r="M42"/>
  <c r="AD41"/>
  <c r="AE55" s="1"/>
  <c r="AB41"/>
  <c r="AA41"/>
  <c r="Z41"/>
  <c r="Y41"/>
  <c r="X41"/>
  <c r="W41"/>
  <c r="R41"/>
  <c r="Q41"/>
  <c r="P41"/>
  <c r="O41"/>
  <c r="N41"/>
  <c r="M41"/>
  <c r="AD40"/>
  <c r="AB40"/>
  <c r="AA40"/>
  <c r="Z40"/>
  <c r="Y40"/>
  <c r="X40"/>
  <c r="W40"/>
  <c r="R40"/>
  <c r="Q40"/>
  <c r="P40"/>
  <c r="O40"/>
  <c r="N40"/>
  <c r="M40"/>
  <c r="AD39"/>
  <c r="AB39"/>
  <c r="AA39"/>
  <c r="Z39"/>
  <c r="Y39"/>
  <c r="X39"/>
  <c r="W39"/>
  <c r="R39"/>
  <c r="Q39"/>
  <c r="P39"/>
  <c r="O39"/>
  <c r="N39"/>
  <c r="M39"/>
  <c r="AD38"/>
  <c r="AB38"/>
  <c r="AA38"/>
  <c r="Z38"/>
  <c r="Y38"/>
  <c r="X38"/>
  <c r="W38"/>
  <c r="R38"/>
  <c r="Q38"/>
  <c r="P38"/>
  <c r="O38"/>
  <c r="N38"/>
  <c r="M38"/>
  <c r="AD37"/>
  <c r="AB37"/>
  <c r="AA37"/>
  <c r="Z37"/>
  <c r="Y37"/>
  <c r="X37"/>
  <c r="W37"/>
  <c r="R37"/>
  <c r="Q37"/>
  <c r="P37"/>
  <c r="O37"/>
  <c r="N37"/>
  <c r="M37"/>
  <c r="AD36"/>
  <c r="AB36"/>
  <c r="AA36"/>
  <c r="Z36"/>
  <c r="Y36"/>
  <c r="X36"/>
  <c r="W36"/>
  <c r="R36"/>
  <c r="Q36"/>
  <c r="P36"/>
  <c r="O36"/>
  <c r="N36"/>
  <c r="M36"/>
  <c r="AD35"/>
  <c r="AB35"/>
  <c r="AA35"/>
  <c r="Z35"/>
  <c r="Y35"/>
  <c r="X35"/>
  <c r="W35"/>
  <c r="R35"/>
  <c r="Q35"/>
  <c r="P35"/>
  <c r="O35"/>
  <c r="N35"/>
  <c r="M35"/>
  <c r="AD34"/>
  <c r="AB34"/>
  <c r="AA34"/>
  <c r="Z34"/>
  <c r="Y34"/>
  <c r="X34"/>
  <c r="W34"/>
  <c r="R34"/>
  <c r="Q34"/>
  <c r="P34"/>
  <c r="O34"/>
  <c r="N34"/>
  <c r="M34"/>
  <c r="AD33"/>
  <c r="AB33"/>
  <c r="AA33"/>
  <c r="Z33"/>
  <c r="Y33"/>
  <c r="X33"/>
  <c r="W33"/>
  <c r="R33"/>
  <c r="Q33"/>
  <c r="P33"/>
  <c r="O33"/>
  <c r="N33"/>
  <c r="M33"/>
  <c r="BC27"/>
  <c r="BA24"/>
  <c r="AZ24"/>
  <c r="AY24"/>
  <c r="AX24"/>
  <c r="AW24"/>
  <c r="AV24"/>
  <c r="AU24"/>
  <c r="AT24"/>
  <c r="AS24"/>
  <c r="AR24"/>
  <c r="AQ24"/>
  <c r="AP24"/>
  <c r="AO24"/>
  <c r="AN24"/>
  <c r="AL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BE23"/>
  <c r="BD23"/>
  <c r="BC23"/>
  <c r="BB23"/>
  <c r="AK23"/>
  <c r="AJ23"/>
  <c r="AI23"/>
  <c r="BG23" s="1"/>
  <c r="AH23"/>
  <c r="BE22"/>
  <c r="BD22"/>
  <c r="BC22"/>
  <c r="BB22"/>
  <c r="AK22"/>
  <c r="AJ22"/>
  <c r="AI22"/>
  <c r="BG22" s="1"/>
  <c r="AH22"/>
  <c r="BF22" s="1"/>
  <c r="BE21"/>
  <c r="BD21"/>
  <c r="BC21"/>
  <c r="BB21"/>
  <c r="AK21"/>
  <c r="AJ21"/>
  <c r="AI21"/>
  <c r="BG21" s="1"/>
  <c r="AH21"/>
  <c r="BF21" s="1"/>
  <c r="BE20"/>
  <c r="BD20"/>
  <c r="BC20"/>
  <c r="BB20"/>
  <c r="AK20"/>
  <c r="AJ20"/>
  <c r="AI20"/>
  <c r="AH20"/>
  <c r="BE19"/>
  <c r="BD19"/>
  <c r="BC19"/>
  <c r="BB19"/>
  <c r="AK19"/>
  <c r="AJ19"/>
  <c r="AI19"/>
  <c r="BG19" s="1"/>
  <c r="AH19"/>
  <c r="BE18"/>
  <c r="BD18"/>
  <c r="BC18"/>
  <c r="BB18"/>
  <c r="AK18"/>
  <c r="AJ18"/>
  <c r="AI18"/>
  <c r="BG18" s="1"/>
  <c r="AH18"/>
  <c r="BF18" s="1"/>
  <c r="BE17"/>
  <c r="BD17"/>
  <c r="BC17"/>
  <c r="AK17"/>
  <c r="AJ17"/>
  <c r="AI17"/>
  <c r="AH17"/>
  <c r="BF17" s="1"/>
  <c r="BE16"/>
  <c r="BD16"/>
  <c r="BC16"/>
  <c r="BB16"/>
  <c r="AK16"/>
  <c r="AJ16"/>
  <c r="AI16"/>
  <c r="AH16"/>
  <c r="BF16" s="1"/>
  <c r="BE15"/>
  <c r="BD15"/>
  <c r="BC15"/>
  <c r="BB15"/>
  <c r="AK15"/>
  <c r="AJ15"/>
  <c r="AI15"/>
  <c r="AH15"/>
  <c r="BA10"/>
  <c r="AZ10"/>
  <c r="AY10"/>
  <c r="AX10"/>
  <c r="AW10"/>
  <c r="AV10"/>
  <c r="AV26" s="1"/>
  <c r="AU10"/>
  <c r="AT10"/>
  <c r="AS10"/>
  <c r="AR10"/>
  <c r="AQ10"/>
  <c r="AP10"/>
  <c r="AO10"/>
  <c r="AN10"/>
  <c r="AN26" s="1"/>
  <c r="AM10"/>
  <c r="AL10"/>
  <c r="AG10"/>
  <c r="AF10"/>
  <c r="AE10"/>
  <c r="AD10"/>
  <c r="AC10"/>
  <c r="AB10"/>
  <c r="AB26" s="1"/>
  <c r="AA10"/>
  <c r="Z10"/>
  <c r="Y10"/>
  <c r="X10"/>
  <c r="W10"/>
  <c r="V10"/>
  <c r="U10"/>
  <c r="T10"/>
  <c r="S10"/>
  <c r="R10"/>
  <c r="Q10"/>
  <c r="P10"/>
  <c r="O10"/>
  <c r="N10"/>
  <c r="M10"/>
  <c r="L10"/>
  <c r="J10"/>
  <c r="BE9"/>
  <c r="BD9"/>
  <c r="BC9"/>
  <c r="BB9"/>
  <c r="AK9"/>
  <c r="AJ9"/>
  <c r="AI9"/>
  <c r="AH9"/>
  <c r="BF9" s="1"/>
  <c r="BE8"/>
  <c r="BD8"/>
  <c r="BC8"/>
  <c r="BB8"/>
  <c r="AK8"/>
  <c r="AJ8"/>
  <c r="AI8"/>
  <c r="AH8"/>
  <c r="BE7"/>
  <c r="BD7"/>
  <c r="BC7"/>
  <c r="BB7"/>
  <c r="AK7"/>
  <c r="AJ7"/>
  <c r="AI7"/>
  <c r="AH7"/>
  <c r="BF7" s="1"/>
  <c r="BE6"/>
  <c r="BE10" s="1"/>
  <c r="BD6"/>
  <c r="BC6"/>
  <c r="BB6"/>
  <c r="AK6"/>
  <c r="AK10" s="1"/>
  <c r="AJ6"/>
  <c r="AI6"/>
  <c r="AH6"/>
  <c r="AI57" i="227"/>
  <c r="AH57"/>
  <c r="AG57"/>
  <c r="AF57"/>
  <c r="AC57"/>
  <c r="AA57"/>
  <c r="Z57"/>
  <c r="Y57"/>
  <c r="X57"/>
  <c r="W57"/>
  <c r="R57"/>
  <c r="Q57"/>
  <c r="P57"/>
  <c r="O57"/>
  <c r="N57"/>
  <c r="M57"/>
  <c r="K57"/>
  <c r="J57"/>
  <c r="AE56"/>
  <c r="AD56"/>
  <c r="S56"/>
  <c r="AE55"/>
  <c r="AD55"/>
  <c r="S55"/>
  <c r="AE54"/>
  <c r="AD54"/>
  <c r="S54"/>
  <c r="AE53"/>
  <c r="AD53"/>
  <c r="S53"/>
  <c r="AE52"/>
  <c r="AD52"/>
  <c r="S52"/>
  <c r="AE51"/>
  <c r="AD51"/>
  <c r="S51"/>
  <c r="AE50"/>
  <c r="AD50"/>
  <c r="S50"/>
  <c r="AE49"/>
  <c r="AD49"/>
  <c r="S49"/>
  <c r="AE48"/>
  <c r="AD48"/>
  <c r="S48"/>
  <c r="AE47"/>
  <c r="AD47"/>
  <c r="T57"/>
  <c r="S47"/>
  <c r="AD42"/>
  <c r="AB42"/>
  <c r="AA42"/>
  <c r="Z42"/>
  <c r="Y42"/>
  <c r="X42"/>
  <c r="W42"/>
  <c r="R42"/>
  <c r="Q42"/>
  <c r="P42"/>
  <c r="O42"/>
  <c r="N42"/>
  <c r="M42"/>
  <c r="AD41"/>
  <c r="AB41"/>
  <c r="Z41"/>
  <c r="Y41"/>
  <c r="X41"/>
  <c r="W41"/>
  <c r="R41"/>
  <c r="Q41"/>
  <c r="P41"/>
  <c r="O41"/>
  <c r="N41"/>
  <c r="M41"/>
  <c r="AD40"/>
  <c r="AB40"/>
  <c r="AA40"/>
  <c r="Z40"/>
  <c r="Y40"/>
  <c r="X40"/>
  <c r="W40"/>
  <c r="R40"/>
  <c r="Q40"/>
  <c r="P40"/>
  <c r="O40"/>
  <c r="N40"/>
  <c r="M40"/>
  <c r="AD39"/>
  <c r="AB39"/>
  <c r="AA39"/>
  <c r="Z39"/>
  <c r="Y39"/>
  <c r="X39"/>
  <c r="W39"/>
  <c r="R39"/>
  <c r="Q39"/>
  <c r="P39"/>
  <c r="O39"/>
  <c r="N39"/>
  <c r="M39"/>
  <c r="AD38"/>
  <c r="AB38"/>
  <c r="AA38"/>
  <c r="Z38"/>
  <c r="Y38"/>
  <c r="X38"/>
  <c r="W38"/>
  <c r="R38"/>
  <c r="Q38"/>
  <c r="P38"/>
  <c r="O38"/>
  <c r="N38"/>
  <c r="M38"/>
  <c r="AD37"/>
  <c r="AB37"/>
  <c r="AA37"/>
  <c r="Z37"/>
  <c r="Y37"/>
  <c r="X37"/>
  <c r="W37"/>
  <c r="R37"/>
  <c r="Q37"/>
  <c r="P37"/>
  <c r="O37"/>
  <c r="N37"/>
  <c r="M37"/>
  <c r="AD36"/>
  <c r="AB36"/>
  <c r="AA36"/>
  <c r="Z36"/>
  <c r="Y36"/>
  <c r="X36"/>
  <c r="W36"/>
  <c r="R36"/>
  <c r="Q36"/>
  <c r="P36"/>
  <c r="O36"/>
  <c r="N36"/>
  <c r="M36"/>
  <c r="AD35"/>
  <c r="AB35"/>
  <c r="AA35"/>
  <c r="Z35"/>
  <c r="Y35"/>
  <c r="X35"/>
  <c r="W35"/>
  <c r="R35"/>
  <c r="Q35"/>
  <c r="P35"/>
  <c r="O35"/>
  <c r="N35"/>
  <c r="M35"/>
  <c r="AD34"/>
  <c r="AB34"/>
  <c r="AA34"/>
  <c r="Z34"/>
  <c r="Y34"/>
  <c r="X34"/>
  <c r="W34"/>
  <c r="R34"/>
  <c r="Q34"/>
  <c r="P34"/>
  <c r="O34"/>
  <c r="N34"/>
  <c r="M34"/>
  <c r="AD33"/>
  <c r="AB33"/>
  <c r="AA33"/>
  <c r="Z33"/>
  <c r="Y33"/>
  <c r="X33"/>
  <c r="W33"/>
  <c r="R33"/>
  <c r="Q33"/>
  <c r="P33"/>
  <c r="O33"/>
  <c r="N33"/>
  <c r="M33"/>
  <c r="BC27"/>
  <c r="BA24"/>
  <c r="AZ24"/>
  <c r="AY24"/>
  <c r="AX24"/>
  <c r="AW24"/>
  <c r="AV24"/>
  <c r="AU24"/>
  <c r="AT24"/>
  <c r="AS24"/>
  <c r="AR24"/>
  <c r="AQ24"/>
  <c r="AP24"/>
  <c r="AO24"/>
  <c r="AN24"/>
  <c r="AM24"/>
  <c r="AL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BE23"/>
  <c r="BD23"/>
  <c r="BC23"/>
  <c r="BB23"/>
  <c r="AK23"/>
  <c r="AJ23"/>
  <c r="AI23"/>
  <c r="AH23"/>
  <c r="BE22"/>
  <c r="BD22"/>
  <c r="BC22"/>
  <c r="BB22"/>
  <c r="AK22"/>
  <c r="AJ22"/>
  <c r="AI22"/>
  <c r="AH22"/>
  <c r="BF22" s="1"/>
  <c r="BE21"/>
  <c r="BD21"/>
  <c r="BC21"/>
  <c r="BB21"/>
  <c r="AK21"/>
  <c r="AJ21"/>
  <c r="AI21"/>
  <c r="AH21"/>
  <c r="BF21" s="1"/>
  <c r="BE20"/>
  <c r="BD20"/>
  <c r="BC20"/>
  <c r="BB20"/>
  <c r="AK20"/>
  <c r="BI20" s="1"/>
  <c r="AJ20"/>
  <c r="AI20"/>
  <c r="AH20"/>
  <c r="BE19"/>
  <c r="BD19"/>
  <c r="BC19"/>
  <c r="BB19"/>
  <c r="AK19"/>
  <c r="BI19" s="1"/>
  <c r="AJ19"/>
  <c r="AI19"/>
  <c r="AH19"/>
  <c r="BE18"/>
  <c r="BD18"/>
  <c r="BC18"/>
  <c r="BB18"/>
  <c r="AK18"/>
  <c r="BI18" s="1"/>
  <c r="AJ18"/>
  <c r="AI18"/>
  <c r="AH18"/>
  <c r="BE17"/>
  <c r="BD17"/>
  <c r="BC17"/>
  <c r="BB17"/>
  <c r="AK17"/>
  <c r="BI17" s="1"/>
  <c r="AJ17"/>
  <c r="AI17"/>
  <c r="AH17"/>
  <c r="BE16"/>
  <c r="BD16"/>
  <c r="BC16"/>
  <c r="BB16"/>
  <c r="AK16"/>
  <c r="BI16" s="1"/>
  <c r="AJ16"/>
  <c r="AI16"/>
  <c r="AH16"/>
  <c r="BE15"/>
  <c r="BE24" s="1"/>
  <c r="BD15"/>
  <c r="BD24" s="1"/>
  <c r="BC15"/>
  <c r="BB15"/>
  <c r="AK15"/>
  <c r="AJ15"/>
  <c r="AJ24" s="1"/>
  <c r="AI15"/>
  <c r="AH15"/>
  <c r="BA10"/>
  <c r="BA26" s="1"/>
  <c r="Z15" i="66" s="1"/>
  <c r="Z16" s="1"/>
  <c r="Z18" s="1"/>
  <c r="AZ10" i="227"/>
  <c r="AZ26" s="1"/>
  <c r="AY10"/>
  <c r="AY26" s="1"/>
  <c r="AX10"/>
  <c r="AW10"/>
  <c r="AW26" s="1"/>
  <c r="AV10"/>
  <c r="AV26" s="1"/>
  <c r="AS14" i="27" s="1"/>
  <c r="AU10" i="227"/>
  <c r="AT10"/>
  <c r="AS10"/>
  <c r="AS26" s="1"/>
  <c r="AR10"/>
  <c r="AR26" s="1"/>
  <c r="AQ10"/>
  <c r="AP10"/>
  <c r="AO10"/>
  <c r="AO26" s="1"/>
  <c r="AN10"/>
  <c r="AN26" s="1"/>
  <c r="AM10"/>
  <c r="AL10"/>
  <c r="AG10"/>
  <c r="AG26" s="1"/>
  <c r="AF10"/>
  <c r="AF26" s="1"/>
  <c r="AE10"/>
  <c r="AE26" s="1"/>
  <c r="AD10"/>
  <c r="AD26" s="1"/>
  <c r="AC10"/>
  <c r="AC26" s="1"/>
  <c r="AB10"/>
  <c r="AB26" s="1"/>
  <c r="AA10"/>
  <c r="AA26" s="1"/>
  <c r="Z10"/>
  <c r="Y10"/>
  <c r="Y26" s="1"/>
  <c r="X10"/>
  <c r="X26" s="1"/>
  <c r="W10"/>
  <c r="V10"/>
  <c r="U10"/>
  <c r="U26" s="1"/>
  <c r="T10"/>
  <c r="T26" s="1"/>
  <c r="S10"/>
  <c r="S26" s="1"/>
  <c r="R10"/>
  <c r="Q10"/>
  <c r="Q26" s="1"/>
  <c r="P10"/>
  <c r="P26" s="1"/>
  <c r="O10"/>
  <c r="O26" s="1"/>
  <c r="N10"/>
  <c r="M10"/>
  <c r="M26" s="1"/>
  <c r="F11" i="27" s="1"/>
  <c r="L10" i="227"/>
  <c r="L26" s="1"/>
  <c r="K10"/>
  <c r="K26" s="1"/>
  <c r="J10"/>
  <c r="BE9"/>
  <c r="BD9"/>
  <c r="BC9"/>
  <c r="BB9"/>
  <c r="AK9"/>
  <c r="BI9" s="1"/>
  <c r="AJ9"/>
  <c r="AI9"/>
  <c r="AH9"/>
  <c r="BE8"/>
  <c r="BD8"/>
  <c r="BC8"/>
  <c r="BB8"/>
  <c r="AK8"/>
  <c r="BI8" s="1"/>
  <c r="AJ8"/>
  <c r="AI8"/>
  <c r="AH8"/>
  <c r="BE7"/>
  <c r="BD7"/>
  <c r="BC7"/>
  <c r="BB7"/>
  <c r="AK7"/>
  <c r="BI7" s="1"/>
  <c r="AJ7"/>
  <c r="AI7"/>
  <c r="AH7"/>
  <c r="BF7" s="1"/>
  <c r="BE6"/>
  <c r="BE10" s="1"/>
  <c r="BE26" s="1"/>
  <c r="BD6"/>
  <c r="BC6"/>
  <c r="BB6"/>
  <c r="AK6"/>
  <c r="AK10" s="1"/>
  <c r="AJ6"/>
  <c r="AI6"/>
  <c r="AH6"/>
  <c r="AI57" i="220"/>
  <c r="AH57"/>
  <c r="AG57"/>
  <c r="AF57"/>
  <c r="AC57"/>
  <c r="AA57"/>
  <c r="Z57"/>
  <c r="Y57"/>
  <c r="X57"/>
  <c r="W57"/>
  <c r="R57"/>
  <c r="Q57"/>
  <c r="P57"/>
  <c r="O57"/>
  <c r="N57"/>
  <c r="M57"/>
  <c r="K57"/>
  <c r="J57"/>
  <c r="AE56"/>
  <c r="AD56"/>
  <c r="S56"/>
  <c r="AE55"/>
  <c r="AD55"/>
  <c r="S55"/>
  <c r="AE54"/>
  <c r="AD54"/>
  <c r="S54"/>
  <c r="AE53"/>
  <c r="AD53"/>
  <c r="S53"/>
  <c r="AE52"/>
  <c r="AD52"/>
  <c r="S52"/>
  <c r="AE51"/>
  <c r="AD51"/>
  <c r="S51"/>
  <c r="AE50"/>
  <c r="AD50"/>
  <c r="S50"/>
  <c r="AE49"/>
  <c r="AD49"/>
  <c r="S49"/>
  <c r="AE48"/>
  <c r="AD48"/>
  <c r="S48"/>
  <c r="AE47"/>
  <c r="AD47"/>
  <c r="T57"/>
  <c r="S47"/>
  <c r="L45"/>
  <c r="AD42"/>
  <c r="AB42"/>
  <c r="AA42"/>
  <c r="Z42"/>
  <c r="Y42"/>
  <c r="X42"/>
  <c r="W42"/>
  <c r="R42"/>
  <c r="Q42"/>
  <c r="P42"/>
  <c r="O42"/>
  <c r="N42"/>
  <c r="M42"/>
  <c r="AD41"/>
  <c r="AB41"/>
  <c r="AA41"/>
  <c r="Z41"/>
  <c r="Y41"/>
  <c r="X41"/>
  <c r="W41"/>
  <c r="R41"/>
  <c r="Q41"/>
  <c r="P41"/>
  <c r="O41"/>
  <c r="N41"/>
  <c r="M41"/>
  <c r="AD40"/>
  <c r="AB40"/>
  <c r="AA40"/>
  <c r="Z40"/>
  <c r="Y40"/>
  <c r="X40"/>
  <c r="W40"/>
  <c r="R40"/>
  <c r="Q40"/>
  <c r="P40"/>
  <c r="O40"/>
  <c r="N40"/>
  <c r="M40"/>
  <c r="AD39"/>
  <c r="AB39"/>
  <c r="AA39"/>
  <c r="Z39"/>
  <c r="Y39"/>
  <c r="X39"/>
  <c r="W39"/>
  <c r="R39"/>
  <c r="Q39"/>
  <c r="P39"/>
  <c r="O39"/>
  <c r="N39"/>
  <c r="M39"/>
  <c r="AD38"/>
  <c r="AB38"/>
  <c r="AA38"/>
  <c r="Z38"/>
  <c r="Y38"/>
  <c r="X38"/>
  <c r="W38"/>
  <c r="R38"/>
  <c r="Q38"/>
  <c r="P38"/>
  <c r="O38"/>
  <c r="N38"/>
  <c r="M38"/>
  <c r="AD37"/>
  <c r="AB37"/>
  <c r="AA37"/>
  <c r="Z37"/>
  <c r="Y37"/>
  <c r="X37"/>
  <c r="W37"/>
  <c r="R37"/>
  <c r="Q37"/>
  <c r="P37"/>
  <c r="O37"/>
  <c r="N37"/>
  <c r="M37"/>
  <c r="AD36"/>
  <c r="AB36"/>
  <c r="AA36"/>
  <c r="Z36"/>
  <c r="Y36"/>
  <c r="X36"/>
  <c r="W36"/>
  <c r="R36"/>
  <c r="Q36"/>
  <c r="P36"/>
  <c r="O36"/>
  <c r="N36"/>
  <c r="M36"/>
  <c r="AD35"/>
  <c r="AB35"/>
  <c r="AA35"/>
  <c r="Z35"/>
  <c r="Y35"/>
  <c r="X35"/>
  <c r="W35"/>
  <c r="R35"/>
  <c r="Q35"/>
  <c r="P35"/>
  <c r="O35"/>
  <c r="N35"/>
  <c r="M35"/>
  <c r="AD34"/>
  <c r="AB34"/>
  <c r="AA34"/>
  <c r="Z34"/>
  <c r="Y34"/>
  <c r="X34"/>
  <c r="W34"/>
  <c r="R34"/>
  <c r="Q34"/>
  <c r="P34"/>
  <c r="O34"/>
  <c r="N34"/>
  <c r="M34"/>
  <c r="AD33"/>
  <c r="AB33"/>
  <c r="AA33"/>
  <c r="Z33"/>
  <c r="Y33"/>
  <c r="X33"/>
  <c r="W33"/>
  <c r="R33"/>
  <c r="Q33"/>
  <c r="P33"/>
  <c r="O33"/>
  <c r="N33"/>
  <c r="M33"/>
  <c r="BC27"/>
  <c r="BA24"/>
  <c r="AZ24"/>
  <c r="AY24"/>
  <c r="AX24"/>
  <c r="AW24"/>
  <c r="AV24"/>
  <c r="AU24"/>
  <c r="AT24"/>
  <c r="AS24"/>
  <c r="AR24"/>
  <c r="AQ24"/>
  <c r="AP24"/>
  <c r="AO24"/>
  <c r="AN24"/>
  <c r="AM24"/>
  <c r="AL24"/>
  <c r="AG24"/>
  <c r="AF24"/>
  <c r="AE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BE23"/>
  <c r="BD23"/>
  <c r="BC23"/>
  <c r="BB23"/>
  <c r="AK23"/>
  <c r="AJ23"/>
  <c r="AI23"/>
  <c r="AH23"/>
  <c r="BE22"/>
  <c r="BD22"/>
  <c r="BC22"/>
  <c r="BB22"/>
  <c r="AK22"/>
  <c r="AJ22"/>
  <c r="AI22"/>
  <c r="AH22"/>
  <c r="BF22" s="1"/>
  <c r="BE21"/>
  <c r="BD21"/>
  <c r="BC21"/>
  <c r="BB21"/>
  <c r="AK21"/>
  <c r="AJ21"/>
  <c r="AI21"/>
  <c r="AH21"/>
  <c r="BF21" s="1"/>
  <c r="BE20"/>
  <c r="BD20"/>
  <c r="BC20"/>
  <c r="BB20"/>
  <c r="AK20"/>
  <c r="AJ20"/>
  <c r="AI20"/>
  <c r="AH20"/>
  <c r="BF20" s="1"/>
  <c r="BE19"/>
  <c r="BD19"/>
  <c r="BC19"/>
  <c r="BB19"/>
  <c r="AK19"/>
  <c r="AJ19"/>
  <c r="AI19"/>
  <c r="AH19"/>
  <c r="BE18"/>
  <c r="BD18"/>
  <c r="BC18"/>
  <c r="BB18"/>
  <c r="AK18"/>
  <c r="AJ18"/>
  <c r="AI18"/>
  <c r="AH18"/>
  <c r="BF18" s="1"/>
  <c r="BE17"/>
  <c r="BD17"/>
  <c r="BC17"/>
  <c r="BB17"/>
  <c r="AK17"/>
  <c r="AJ17"/>
  <c r="AI17"/>
  <c r="AH17"/>
  <c r="BF17" s="1"/>
  <c r="BE16"/>
  <c r="BD16"/>
  <c r="BC16"/>
  <c r="BB16"/>
  <c r="AK16"/>
  <c r="AJ16"/>
  <c r="AI16"/>
  <c r="AH16"/>
  <c r="BF16" s="1"/>
  <c r="BE15"/>
  <c r="BD15"/>
  <c r="BD24" s="1"/>
  <c r="BC15"/>
  <c r="BB15"/>
  <c r="AK15"/>
  <c r="AK24" s="1"/>
  <c r="AJ15"/>
  <c r="AJ24" s="1"/>
  <c r="AI15"/>
  <c r="AH15"/>
  <c r="BA10"/>
  <c r="BA26" s="1"/>
  <c r="AZ10"/>
  <c r="AY10"/>
  <c r="AY26" s="1"/>
  <c r="AX10"/>
  <c r="AX26" s="1"/>
  <c r="AW10"/>
  <c r="AW26" s="1"/>
  <c r="AV10"/>
  <c r="AV26" s="1"/>
  <c r="AU10"/>
  <c r="AT10"/>
  <c r="AT26" s="1"/>
  <c r="AS10"/>
  <c r="AS26" s="1"/>
  <c r="AR10"/>
  <c r="AR26" s="1"/>
  <c r="AQ10"/>
  <c r="AQ26" s="1"/>
  <c r="AP10"/>
  <c r="AO10"/>
  <c r="AO26" s="1"/>
  <c r="AN10"/>
  <c r="AN26" s="1"/>
  <c r="AM10"/>
  <c r="AL10"/>
  <c r="AL26" s="1"/>
  <c r="AG10"/>
  <c r="AG26" s="1"/>
  <c r="AF10"/>
  <c r="AF26" s="1"/>
  <c r="AE10"/>
  <c r="AD10"/>
  <c r="AD26" s="1"/>
  <c r="AC10"/>
  <c r="AC26" s="1"/>
  <c r="AB10"/>
  <c r="AB26" s="1"/>
  <c r="AA10"/>
  <c r="AA26" s="1"/>
  <c r="Z10"/>
  <c r="Z26" s="1"/>
  <c r="Y10"/>
  <c r="Y26" s="1"/>
  <c r="X10"/>
  <c r="X26" s="1"/>
  <c r="W10"/>
  <c r="W26" s="1"/>
  <c r="V10"/>
  <c r="V26" s="1"/>
  <c r="U10"/>
  <c r="U26" s="1"/>
  <c r="T10"/>
  <c r="T26" s="1"/>
  <c r="S10"/>
  <c r="R10"/>
  <c r="R26" s="1"/>
  <c r="Q10"/>
  <c r="Q26" s="1"/>
  <c r="P10"/>
  <c r="P26" s="1"/>
  <c r="O10"/>
  <c r="N10"/>
  <c r="M10"/>
  <c r="M26" s="1"/>
  <c r="L10"/>
  <c r="L26" s="1"/>
  <c r="K10"/>
  <c r="J10"/>
  <c r="J26" s="1"/>
  <c r="BE9"/>
  <c r="BD9"/>
  <c r="BC9"/>
  <c r="BB9"/>
  <c r="AK9"/>
  <c r="AJ9"/>
  <c r="AI9"/>
  <c r="AH9"/>
  <c r="BF9" s="1"/>
  <c r="BE8"/>
  <c r="BD8"/>
  <c r="BC8"/>
  <c r="BB8"/>
  <c r="AK8"/>
  <c r="AJ8"/>
  <c r="AI8"/>
  <c r="AH8"/>
  <c r="BF8" s="1"/>
  <c r="BE7"/>
  <c r="BD7"/>
  <c r="BC7"/>
  <c r="BB7"/>
  <c r="AK7"/>
  <c r="AJ7"/>
  <c r="AI7"/>
  <c r="AH7"/>
  <c r="BE6"/>
  <c r="BE10" s="1"/>
  <c r="BD6"/>
  <c r="BD10" s="1"/>
  <c r="BD26" s="1"/>
  <c r="BC6"/>
  <c r="BB6"/>
  <c r="BB10" s="1"/>
  <c r="AK6"/>
  <c r="AK10" s="1"/>
  <c r="AJ6"/>
  <c r="AJ10" s="1"/>
  <c r="AI6"/>
  <c r="AH6"/>
  <c r="AI57" i="176"/>
  <c r="AH57"/>
  <c r="AG57"/>
  <c r="AF57"/>
  <c r="AC57"/>
  <c r="AA57"/>
  <c r="Z57"/>
  <c r="Y57"/>
  <c r="X57"/>
  <c r="R57"/>
  <c r="Q57"/>
  <c r="P57"/>
  <c r="O57"/>
  <c r="N57"/>
  <c r="M57"/>
  <c r="K57"/>
  <c r="J57"/>
  <c r="AE56"/>
  <c r="S56"/>
  <c r="AE55"/>
  <c r="S55"/>
  <c r="AE54"/>
  <c r="S54"/>
  <c r="AE53"/>
  <c r="S53"/>
  <c r="AE52"/>
  <c r="S52"/>
  <c r="AE51"/>
  <c r="S51"/>
  <c r="AE50"/>
  <c r="S50"/>
  <c r="AE49"/>
  <c r="S49"/>
  <c r="AE48"/>
  <c r="S48"/>
  <c r="AE47"/>
  <c r="T57"/>
  <c r="S47"/>
  <c r="L45"/>
  <c r="AD42"/>
  <c r="AB42"/>
  <c r="AA42"/>
  <c r="Z42"/>
  <c r="Y42"/>
  <c r="X42"/>
  <c r="W42"/>
  <c r="R42"/>
  <c r="Q42"/>
  <c r="P42"/>
  <c r="O42"/>
  <c r="N42"/>
  <c r="M42"/>
  <c r="AD41"/>
  <c r="AB41"/>
  <c r="AA41"/>
  <c r="Z41"/>
  <c r="Y41"/>
  <c r="X41"/>
  <c r="AD55" s="1"/>
  <c r="W41"/>
  <c r="R41"/>
  <c r="Q41"/>
  <c r="P41"/>
  <c r="O41"/>
  <c r="N41"/>
  <c r="M41"/>
  <c r="AD40"/>
  <c r="AB40"/>
  <c r="AA40"/>
  <c r="Z40"/>
  <c r="Y40"/>
  <c r="X40"/>
  <c r="W40"/>
  <c r="AD54" s="1"/>
  <c r="R40"/>
  <c r="Q40"/>
  <c r="P40"/>
  <c r="O40"/>
  <c r="N40"/>
  <c r="M40"/>
  <c r="AD39"/>
  <c r="AB39"/>
  <c r="AA39"/>
  <c r="Z39"/>
  <c r="Y39"/>
  <c r="X39"/>
  <c r="W39"/>
  <c r="AD53" s="1"/>
  <c r="R39"/>
  <c r="Q39"/>
  <c r="P39"/>
  <c r="O39"/>
  <c r="N39"/>
  <c r="M39"/>
  <c r="AD38"/>
  <c r="AB38"/>
  <c r="AA38"/>
  <c r="Z38"/>
  <c r="Y38"/>
  <c r="X38"/>
  <c r="W38"/>
  <c r="AD52" s="1"/>
  <c r="R38"/>
  <c r="Q38"/>
  <c r="P38"/>
  <c r="O38"/>
  <c r="N38"/>
  <c r="M38"/>
  <c r="AD37"/>
  <c r="AB37"/>
  <c r="AA37"/>
  <c r="Z37"/>
  <c r="Y37"/>
  <c r="X37"/>
  <c r="R37"/>
  <c r="Q37"/>
  <c r="P37"/>
  <c r="O37"/>
  <c r="N37"/>
  <c r="M37"/>
  <c r="AD36"/>
  <c r="AB36"/>
  <c r="AA36"/>
  <c r="Z36"/>
  <c r="Y36"/>
  <c r="X36"/>
  <c r="W36"/>
  <c r="AD50" s="1"/>
  <c r="R36"/>
  <c r="Q36"/>
  <c r="P36"/>
  <c r="O36"/>
  <c r="N36"/>
  <c r="M36"/>
  <c r="AD35"/>
  <c r="AB35"/>
  <c r="AA35"/>
  <c r="Z35"/>
  <c r="Y35"/>
  <c r="X35"/>
  <c r="W35"/>
  <c r="R35"/>
  <c r="Q35"/>
  <c r="P35"/>
  <c r="O35"/>
  <c r="N35"/>
  <c r="M35"/>
  <c r="AD34"/>
  <c r="AB34"/>
  <c r="AA34"/>
  <c r="Z34"/>
  <c r="Y34"/>
  <c r="X34"/>
  <c r="W34"/>
  <c r="AD48" s="1"/>
  <c r="R34"/>
  <c r="Q34"/>
  <c r="P34"/>
  <c r="O34"/>
  <c r="N34"/>
  <c r="M34"/>
  <c r="AD33"/>
  <c r="AB33"/>
  <c r="AA33"/>
  <c r="Z33"/>
  <c r="Y33"/>
  <c r="X33"/>
  <c r="W33"/>
  <c r="R33"/>
  <c r="Q33"/>
  <c r="P33"/>
  <c r="O33"/>
  <c r="N33"/>
  <c r="M33"/>
  <c r="BC27"/>
  <c r="BA24"/>
  <c r="AZ24"/>
  <c r="AY24"/>
  <c r="AX24"/>
  <c r="AW24"/>
  <c r="AV24"/>
  <c r="AU24"/>
  <c r="AT24"/>
  <c r="AS24"/>
  <c r="AR24"/>
  <c r="AQ24"/>
  <c r="AP24"/>
  <c r="AO24"/>
  <c r="AN24"/>
  <c r="AM24"/>
  <c r="AL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BE23"/>
  <c r="BD23"/>
  <c r="BC23"/>
  <c r="BB23"/>
  <c r="AK23"/>
  <c r="AJ23"/>
  <c r="BH23" s="1"/>
  <c r="AI23"/>
  <c r="AH23"/>
  <c r="BE22"/>
  <c r="BD22"/>
  <c r="BC22"/>
  <c r="BB22"/>
  <c r="AK22"/>
  <c r="AJ22"/>
  <c r="BH22" s="1"/>
  <c r="AI22"/>
  <c r="AH22"/>
  <c r="BE21"/>
  <c r="BD21"/>
  <c r="BC21"/>
  <c r="BB21"/>
  <c r="AK21"/>
  <c r="AJ21"/>
  <c r="BH21" s="1"/>
  <c r="AI21"/>
  <c r="AH21"/>
  <c r="BE20"/>
  <c r="BD20"/>
  <c r="BC20"/>
  <c r="BB20"/>
  <c r="AK20"/>
  <c r="AJ20"/>
  <c r="BH20" s="1"/>
  <c r="AI20"/>
  <c r="AH20"/>
  <c r="BE19"/>
  <c r="BD19"/>
  <c r="BC19"/>
  <c r="BB19"/>
  <c r="AK19"/>
  <c r="AJ19"/>
  <c r="BH19" s="1"/>
  <c r="AI19"/>
  <c r="AH19"/>
  <c r="BE18"/>
  <c r="BD18"/>
  <c r="BC18"/>
  <c r="BB18"/>
  <c r="AK18"/>
  <c r="AJ18"/>
  <c r="BH18" s="1"/>
  <c r="AI18"/>
  <c r="AH18"/>
  <c r="BE17"/>
  <c r="BD17"/>
  <c r="BC17"/>
  <c r="BB17"/>
  <c r="AK17"/>
  <c r="AJ17"/>
  <c r="BH17" s="1"/>
  <c r="AI17"/>
  <c r="AH17"/>
  <c r="BE16"/>
  <c r="BD16"/>
  <c r="BC16"/>
  <c r="BB16"/>
  <c r="AK16"/>
  <c r="AJ16"/>
  <c r="BH16" s="1"/>
  <c r="AI16"/>
  <c r="AH16"/>
  <c r="BE15"/>
  <c r="BE24" s="1"/>
  <c r="BD15"/>
  <c r="BD24" s="1"/>
  <c r="BC15"/>
  <c r="BB15"/>
  <c r="AK15"/>
  <c r="AK24" s="1"/>
  <c r="AJ15"/>
  <c r="AI15"/>
  <c r="AH15"/>
  <c r="BA10"/>
  <c r="BA26" s="1"/>
  <c r="R15" i="66" s="1"/>
  <c r="AZ10" i="176"/>
  <c r="AZ26" s="1"/>
  <c r="Q15" i="66" s="1"/>
  <c r="AY10" i="176"/>
  <c r="AY26" s="1"/>
  <c r="P15" i="66" s="1"/>
  <c r="AX10" i="176"/>
  <c r="AX26" s="1"/>
  <c r="O15" i="66" s="1"/>
  <c r="AW10" i="176"/>
  <c r="AW26" s="1"/>
  <c r="R14" i="66" s="1"/>
  <c r="AV10" i="176"/>
  <c r="AV26" s="1"/>
  <c r="Q14" i="66" s="1"/>
  <c r="AU10" i="176"/>
  <c r="AT10"/>
  <c r="AT26" s="1"/>
  <c r="O14" i="66" s="1"/>
  <c r="AS10" i="176"/>
  <c r="AS26" s="1"/>
  <c r="R13" i="66" s="1"/>
  <c r="AR10" i="176"/>
  <c r="AR26" s="1"/>
  <c r="Q13" i="66" s="1"/>
  <c r="AQ10" i="176"/>
  <c r="AQ26" s="1"/>
  <c r="P13" i="66" s="1"/>
  <c r="AP10" i="176"/>
  <c r="AP26" s="1"/>
  <c r="O13" i="66" s="1"/>
  <c r="AO10" i="176"/>
  <c r="AO26" s="1"/>
  <c r="R12" i="66" s="1"/>
  <c r="AN10" i="176"/>
  <c r="AN26" s="1"/>
  <c r="Q12" i="66" s="1"/>
  <c r="AM10" i="176"/>
  <c r="AM26" s="1"/>
  <c r="P12" i="66" s="1"/>
  <c r="AL10" i="176"/>
  <c r="AL26" s="1"/>
  <c r="O12" i="66" s="1"/>
  <c r="AG10" i="176"/>
  <c r="AG26" s="1"/>
  <c r="R10" i="66" s="1"/>
  <c r="AF10" i="176"/>
  <c r="AF26" s="1"/>
  <c r="Q10" i="66" s="1"/>
  <c r="AE10" i="176"/>
  <c r="AD10"/>
  <c r="AC10"/>
  <c r="AC26" s="1"/>
  <c r="R9" i="66" s="1"/>
  <c r="AB10" i="176"/>
  <c r="AB26" s="1"/>
  <c r="Q9" i="66" s="1"/>
  <c r="AA10" i="176"/>
  <c r="AA26" s="1"/>
  <c r="P9" i="66" s="1"/>
  <c r="Z10" i="176"/>
  <c r="Z26" s="1"/>
  <c r="O9" i="66" s="1"/>
  <c r="Y10" i="176"/>
  <c r="Y26" s="1"/>
  <c r="R8" i="66" s="1"/>
  <c r="X10" i="176"/>
  <c r="X26" s="1"/>
  <c r="Q8" i="66" s="1"/>
  <c r="W10" i="176"/>
  <c r="W26" s="1"/>
  <c r="P8" i="66" s="1"/>
  <c r="V10" i="176"/>
  <c r="V26" s="1"/>
  <c r="O8" i="66" s="1"/>
  <c r="U10" i="176"/>
  <c r="U26" s="1"/>
  <c r="R7" i="66" s="1"/>
  <c r="T10" i="176"/>
  <c r="T26" s="1"/>
  <c r="Q7" i="66" s="1"/>
  <c r="S10" i="176"/>
  <c r="R10"/>
  <c r="Q10"/>
  <c r="Q26" s="1"/>
  <c r="R6" i="66" s="1"/>
  <c r="P10" i="176"/>
  <c r="P26" s="1"/>
  <c r="Q6" i="66" s="1"/>
  <c r="O10" i="176"/>
  <c r="O26" s="1"/>
  <c r="P6" i="66" s="1"/>
  <c r="N10" i="176"/>
  <c r="M10"/>
  <c r="M26" s="1"/>
  <c r="R5" i="66" s="1"/>
  <c r="R11" s="1"/>
  <c r="L10" i="176"/>
  <c r="L26" s="1"/>
  <c r="Q5" i="66" s="1"/>
  <c r="K10" i="176"/>
  <c r="J10"/>
  <c r="J26" s="1"/>
  <c r="O5" i="66" s="1"/>
  <c r="BE9" i="176"/>
  <c r="BD9"/>
  <c r="BC9"/>
  <c r="BB9"/>
  <c r="AK9"/>
  <c r="AJ9"/>
  <c r="AI9"/>
  <c r="AH9"/>
  <c r="BE8"/>
  <c r="BD8"/>
  <c r="BC8"/>
  <c r="BB8"/>
  <c r="AK8"/>
  <c r="AJ8"/>
  <c r="AI8"/>
  <c r="AH8"/>
  <c r="BE7"/>
  <c r="BD7"/>
  <c r="BC7"/>
  <c r="BB7"/>
  <c r="AK7"/>
  <c r="AJ7"/>
  <c r="BH7" s="1"/>
  <c r="AI7"/>
  <c r="AH7"/>
  <c r="BE6"/>
  <c r="BE10" s="1"/>
  <c r="BE26" s="1"/>
  <c r="BD6"/>
  <c r="BC6"/>
  <c r="BB6"/>
  <c r="AK6"/>
  <c r="AK10" s="1"/>
  <c r="AJ6"/>
  <c r="AI6"/>
  <c r="AH6"/>
  <c r="AI57" i="194"/>
  <c r="AH57"/>
  <c r="AG57"/>
  <c r="AF57"/>
  <c r="W57"/>
  <c r="R57"/>
  <c r="Q57"/>
  <c r="P57"/>
  <c r="O57"/>
  <c r="N57"/>
  <c r="M57"/>
  <c r="K57"/>
  <c r="J57"/>
  <c r="AD56"/>
  <c r="AC56"/>
  <c r="S56"/>
  <c r="AD55"/>
  <c r="AC55"/>
  <c r="S55"/>
  <c r="AD54"/>
  <c r="AC54"/>
  <c r="S54"/>
  <c r="AD53"/>
  <c r="AC53"/>
  <c r="S53"/>
  <c r="AD52"/>
  <c r="AC52"/>
  <c r="S52"/>
  <c r="AD51"/>
  <c r="AC51"/>
  <c r="S51"/>
  <c r="AD50"/>
  <c r="AC50"/>
  <c r="S50"/>
  <c r="AD49"/>
  <c r="AC49"/>
  <c r="S49"/>
  <c r="AD48"/>
  <c r="AC48"/>
  <c r="S48"/>
  <c r="AD47"/>
  <c r="AC47"/>
  <c r="T57"/>
  <c r="S47"/>
  <c r="AD42"/>
  <c r="AB42"/>
  <c r="AA42"/>
  <c r="Z42"/>
  <c r="Y42"/>
  <c r="X42"/>
  <c r="W42"/>
  <c r="R42"/>
  <c r="Q42"/>
  <c r="P42"/>
  <c r="O42"/>
  <c r="N42"/>
  <c r="M42"/>
  <c r="AD41"/>
  <c r="AB41"/>
  <c r="AA41"/>
  <c r="Z41"/>
  <c r="Y41"/>
  <c r="X41"/>
  <c r="W41"/>
  <c r="R41"/>
  <c r="Q41"/>
  <c r="P41"/>
  <c r="O41"/>
  <c r="N41"/>
  <c r="M41"/>
  <c r="AD40"/>
  <c r="AB40"/>
  <c r="AA40"/>
  <c r="Z40"/>
  <c r="Y40"/>
  <c r="X40"/>
  <c r="W40"/>
  <c r="R40"/>
  <c r="Q40"/>
  <c r="P40"/>
  <c r="O40"/>
  <c r="N40"/>
  <c r="M40"/>
  <c r="AD39"/>
  <c r="AB39"/>
  <c r="AA39"/>
  <c r="Z39"/>
  <c r="Y39"/>
  <c r="X39"/>
  <c r="W39"/>
  <c r="R39"/>
  <c r="Q39"/>
  <c r="P39"/>
  <c r="O39"/>
  <c r="N39"/>
  <c r="M39"/>
  <c r="AD38"/>
  <c r="AB38"/>
  <c r="AA38"/>
  <c r="Z38"/>
  <c r="Y38"/>
  <c r="X38"/>
  <c r="W38"/>
  <c r="R38"/>
  <c r="Q38"/>
  <c r="P38"/>
  <c r="O38"/>
  <c r="N38"/>
  <c r="M38"/>
  <c r="AD37"/>
  <c r="AB37"/>
  <c r="AA37"/>
  <c r="Z37"/>
  <c r="Y37"/>
  <c r="X37"/>
  <c r="W37"/>
  <c r="R37"/>
  <c r="Q37"/>
  <c r="P37"/>
  <c r="O37"/>
  <c r="N37"/>
  <c r="M37"/>
  <c r="AD36"/>
  <c r="AB36"/>
  <c r="AA36"/>
  <c r="Z36"/>
  <c r="Y36"/>
  <c r="X36"/>
  <c r="W36"/>
  <c r="R36"/>
  <c r="Q36"/>
  <c r="P36"/>
  <c r="O36"/>
  <c r="N36"/>
  <c r="M36"/>
  <c r="AD35"/>
  <c r="AB35"/>
  <c r="AA35"/>
  <c r="Z35"/>
  <c r="Y35"/>
  <c r="X35"/>
  <c r="W35"/>
  <c r="R35"/>
  <c r="Q35"/>
  <c r="P35"/>
  <c r="O35"/>
  <c r="N35"/>
  <c r="M35"/>
  <c r="AD34"/>
  <c r="AB34"/>
  <c r="AA34"/>
  <c r="Z34"/>
  <c r="Y34"/>
  <c r="X34"/>
  <c r="W34"/>
  <c r="R34"/>
  <c r="Q34"/>
  <c r="P34"/>
  <c r="O34"/>
  <c r="N34"/>
  <c r="M34"/>
  <c r="AD33"/>
  <c r="AB33"/>
  <c r="AA33"/>
  <c r="Z33"/>
  <c r="Y33"/>
  <c r="X33"/>
  <c r="W33"/>
  <c r="R33"/>
  <c r="Q33"/>
  <c r="P33"/>
  <c r="O33"/>
  <c r="N33"/>
  <c r="BC27"/>
  <c r="BA24"/>
  <c r="AZ24"/>
  <c r="AY24"/>
  <c r="AX24"/>
  <c r="AW24"/>
  <c r="AV24"/>
  <c r="AU24"/>
  <c r="AT24"/>
  <c r="AS24"/>
  <c r="AR24"/>
  <c r="AQ24"/>
  <c r="AP24"/>
  <c r="AO24"/>
  <c r="AN24"/>
  <c r="AM24"/>
  <c r="AL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BE23"/>
  <c r="BD23"/>
  <c r="BC23"/>
  <c r="BB23"/>
  <c r="AK23"/>
  <c r="AJ23"/>
  <c r="AI23"/>
  <c r="AH23"/>
  <c r="BF23" s="1"/>
  <c r="BE22"/>
  <c r="BD22"/>
  <c r="BC22"/>
  <c r="BB22"/>
  <c r="AK22"/>
  <c r="AJ22"/>
  <c r="AI22"/>
  <c r="AH22"/>
  <c r="BE21"/>
  <c r="BD21"/>
  <c r="BC21"/>
  <c r="BB21"/>
  <c r="AK21"/>
  <c r="AJ21"/>
  <c r="AI21"/>
  <c r="AH21"/>
  <c r="BF21" s="1"/>
  <c r="BE20"/>
  <c r="BD20"/>
  <c r="BC20"/>
  <c r="BB20"/>
  <c r="AK20"/>
  <c r="AJ20"/>
  <c r="AI20"/>
  <c r="AH20"/>
  <c r="BF20" s="1"/>
  <c r="BE19"/>
  <c r="BD19"/>
  <c r="BC19"/>
  <c r="BB19"/>
  <c r="AK19"/>
  <c r="AJ19"/>
  <c r="AI19"/>
  <c r="AH19"/>
  <c r="BF19" s="1"/>
  <c r="BE18"/>
  <c r="BD18"/>
  <c r="BC18"/>
  <c r="BB18"/>
  <c r="AK18"/>
  <c r="AJ18"/>
  <c r="AI18"/>
  <c r="AH18"/>
  <c r="BE17"/>
  <c r="BD17"/>
  <c r="BC17"/>
  <c r="BB17"/>
  <c r="AK17"/>
  <c r="AJ17"/>
  <c r="AI17"/>
  <c r="AH17"/>
  <c r="BF17" s="1"/>
  <c r="BE16"/>
  <c r="BD16"/>
  <c r="BC16"/>
  <c r="BB16"/>
  <c r="AK16"/>
  <c r="BI16" s="1"/>
  <c r="AJ16"/>
  <c r="AI16"/>
  <c r="AH16"/>
  <c r="BE15"/>
  <c r="BE24" s="1"/>
  <c r="BD15"/>
  <c r="BD24" s="1"/>
  <c r="BC15"/>
  <c r="BB15"/>
  <c r="AK15"/>
  <c r="AK24" s="1"/>
  <c r="AJ15"/>
  <c r="AJ24" s="1"/>
  <c r="AI15"/>
  <c r="AI24" s="1"/>
  <c r="AH15"/>
  <c r="BA10"/>
  <c r="BA26" s="1"/>
  <c r="AZ10"/>
  <c r="AZ26" s="1"/>
  <c r="M15" i="66" s="1"/>
  <c r="AY10" i="194"/>
  <c r="AY26" s="1"/>
  <c r="L15" i="66" s="1"/>
  <c r="AX10" i="194"/>
  <c r="AX26" s="1"/>
  <c r="K15" i="66" s="1"/>
  <c r="AW10" i="194"/>
  <c r="AV10"/>
  <c r="AV26" s="1"/>
  <c r="M14" i="66" s="1"/>
  <c r="AU10" i="194"/>
  <c r="AT10"/>
  <c r="AT26" s="1"/>
  <c r="K14" i="66" s="1"/>
  <c r="AS10" i="194"/>
  <c r="AS26" s="1"/>
  <c r="N13" i="66" s="1"/>
  <c r="AR10" i="194"/>
  <c r="AR26" s="1"/>
  <c r="M13" i="66" s="1"/>
  <c r="AQ10" i="194"/>
  <c r="AP10"/>
  <c r="AP26" s="1"/>
  <c r="AO10"/>
  <c r="AO26" s="1"/>
  <c r="N12" i="66" s="1"/>
  <c r="AN10" i="194"/>
  <c r="AN26" s="1"/>
  <c r="M12" i="66" s="1"/>
  <c r="AM10" i="194"/>
  <c r="AL10"/>
  <c r="AL26" s="1"/>
  <c r="K12" i="66" s="1"/>
  <c r="AG10" i="194"/>
  <c r="AG26" s="1"/>
  <c r="N10" i="66" s="1"/>
  <c r="AF26" i="194"/>
  <c r="M10" i="66" s="1"/>
  <c r="AE10" i="194"/>
  <c r="AD10"/>
  <c r="AD26" s="1"/>
  <c r="K10" i="66" s="1"/>
  <c r="AC10" i="194"/>
  <c r="AC26" s="1"/>
  <c r="N9" i="66" s="1"/>
  <c r="AB10" i="194"/>
  <c r="AB26" s="1"/>
  <c r="M9" i="66" s="1"/>
  <c r="AA10" i="194"/>
  <c r="AA26" s="1"/>
  <c r="L9" i="66" s="1"/>
  <c r="Z10" i="194"/>
  <c r="Z26" s="1"/>
  <c r="K9" i="66" s="1"/>
  <c r="Y10" i="194"/>
  <c r="Y26" s="1"/>
  <c r="N8" i="66" s="1"/>
  <c r="X10" i="194"/>
  <c r="X26" s="1"/>
  <c r="M8" i="66" s="1"/>
  <c r="W10" i="194"/>
  <c r="W26" s="1"/>
  <c r="L8" i="66" s="1"/>
  <c r="V10" i="194"/>
  <c r="V26" s="1"/>
  <c r="K8" i="66" s="1"/>
  <c r="U10" i="194"/>
  <c r="U26" s="1"/>
  <c r="N7" i="66" s="1"/>
  <c r="T10" i="194"/>
  <c r="T26" s="1"/>
  <c r="M7" i="66" s="1"/>
  <c r="S10" i="194"/>
  <c r="R10"/>
  <c r="Q10"/>
  <c r="Q26" s="1"/>
  <c r="N6" i="66" s="1"/>
  <c r="P10" i="194"/>
  <c r="P26" s="1"/>
  <c r="M6" i="66" s="1"/>
  <c r="O10" i="194"/>
  <c r="O26" s="1"/>
  <c r="L6" i="66" s="1"/>
  <c r="N10" i="194"/>
  <c r="M10"/>
  <c r="M26" s="1"/>
  <c r="N5" i="66" s="1"/>
  <c r="N11" s="1"/>
  <c r="L10" i="194"/>
  <c r="L26" s="1"/>
  <c r="M5" i="66" s="1"/>
  <c r="K10" i="194"/>
  <c r="K26" s="1"/>
  <c r="L5" i="66" s="1"/>
  <c r="J10" i="194"/>
  <c r="J26" s="1"/>
  <c r="K5" i="66" s="1"/>
  <c r="BE9" i="194"/>
  <c r="BD9"/>
  <c r="BC9"/>
  <c r="BB9"/>
  <c r="AK9"/>
  <c r="AJ9"/>
  <c r="AI9"/>
  <c r="AH9"/>
  <c r="BE8"/>
  <c r="BD8"/>
  <c r="BC8"/>
  <c r="BB8"/>
  <c r="AK8"/>
  <c r="BI8" s="1"/>
  <c r="AJ8"/>
  <c r="AI8"/>
  <c r="AH8"/>
  <c r="BE7"/>
  <c r="BD7"/>
  <c r="BC7"/>
  <c r="BB7"/>
  <c r="AK7"/>
  <c r="AJ7"/>
  <c r="AI7"/>
  <c r="AH7"/>
  <c r="BE6"/>
  <c r="BE10" s="1"/>
  <c r="BD6"/>
  <c r="BC6"/>
  <c r="BB6"/>
  <c r="AK6"/>
  <c r="AK10" s="1"/>
  <c r="AJ6"/>
  <c r="AI6"/>
  <c r="AH6"/>
  <c r="AI57" i="195"/>
  <c r="AH57"/>
  <c r="AG57"/>
  <c r="AF57"/>
  <c r="AC57"/>
  <c r="AA57"/>
  <c r="Z57"/>
  <c r="Y57"/>
  <c r="X57"/>
  <c r="R57"/>
  <c r="Q57"/>
  <c r="P57"/>
  <c r="O57"/>
  <c r="N57"/>
  <c r="M57"/>
  <c r="K57"/>
  <c r="J57"/>
  <c r="AE56"/>
  <c r="AD56"/>
  <c r="S56"/>
  <c r="AE55"/>
  <c r="S55"/>
  <c r="AE54"/>
  <c r="AD54"/>
  <c r="S54"/>
  <c r="AE53"/>
  <c r="S53"/>
  <c r="AE52"/>
  <c r="S52"/>
  <c r="AE51"/>
  <c r="AD51"/>
  <c r="S51"/>
  <c r="AE50"/>
  <c r="S50"/>
  <c r="AE49"/>
  <c r="AD49"/>
  <c r="S49"/>
  <c r="AE48"/>
  <c r="S48"/>
  <c r="AE47"/>
  <c r="T57"/>
  <c r="S47"/>
  <c r="L45"/>
  <c r="AD42"/>
  <c r="AB42"/>
  <c r="AA42"/>
  <c r="Z42"/>
  <c r="Y42"/>
  <c r="X42"/>
  <c r="W42"/>
  <c r="R42"/>
  <c r="Q42"/>
  <c r="P42"/>
  <c r="O42"/>
  <c r="N42"/>
  <c r="M42"/>
  <c r="AD41"/>
  <c r="AB41"/>
  <c r="AA41"/>
  <c r="Z41"/>
  <c r="Y41"/>
  <c r="X41"/>
  <c r="W41"/>
  <c r="R41"/>
  <c r="Q41"/>
  <c r="P41"/>
  <c r="O41"/>
  <c r="N41"/>
  <c r="M41"/>
  <c r="AD40"/>
  <c r="AB40"/>
  <c r="AA40"/>
  <c r="Z40"/>
  <c r="Y40"/>
  <c r="X40"/>
  <c r="W40"/>
  <c r="R40"/>
  <c r="Q40"/>
  <c r="P40"/>
  <c r="O40"/>
  <c r="N40"/>
  <c r="M40"/>
  <c r="AD39"/>
  <c r="AB39"/>
  <c r="AA39"/>
  <c r="Z39"/>
  <c r="Y39"/>
  <c r="X39"/>
  <c r="W39"/>
  <c r="R39"/>
  <c r="Q39"/>
  <c r="P39"/>
  <c r="O39"/>
  <c r="N39"/>
  <c r="M39"/>
  <c r="AD38"/>
  <c r="AB38"/>
  <c r="AA38"/>
  <c r="Z38"/>
  <c r="Y38"/>
  <c r="X38"/>
  <c r="W38"/>
  <c r="R38"/>
  <c r="Q38"/>
  <c r="P38"/>
  <c r="O38"/>
  <c r="N38"/>
  <c r="M38"/>
  <c r="AD37"/>
  <c r="AB37"/>
  <c r="AA37"/>
  <c r="Z37"/>
  <c r="Y37"/>
  <c r="X37"/>
  <c r="W37"/>
  <c r="R37"/>
  <c r="Q37"/>
  <c r="P37"/>
  <c r="O37"/>
  <c r="N37"/>
  <c r="M37"/>
  <c r="AD36"/>
  <c r="AB36"/>
  <c r="AA36"/>
  <c r="Z36"/>
  <c r="Y36"/>
  <c r="X36"/>
  <c r="W36"/>
  <c r="R36"/>
  <c r="Q36"/>
  <c r="P36"/>
  <c r="O36"/>
  <c r="N36"/>
  <c r="M36"/>
  <c r="AD35"/>
  <c r="AB35"/>
  <c r="AA35"/>
  <c r="Z35"/>
  <c r="Y35"/>
  <c r="X35"/>
  <c r="W35"/>
  <c r="R35"/>
  <c r="Q35"/>
  <c r="P35"/>
  <c r="O35"/>
  <c r="N35"/>
  <c r="M35"/>
  <c r="AD34"/>
  <c r="AB34"/>
  <c r="AA34"/>
  <c r="Z34"/>
  <c r="Y34"/>
  <c r="X34"/>
  <c r="W34"/>
  <c r="R34"/>
  <c r="Q34"/>
  <c r="P34"/>
  <c r="O34"/>
  <c r="N34"/>
  <c r="M34"/>
  <c r="AD33"/>
  <c r="AB33"/>
  <c r="AA33"/>
  <c r="Z33"/>
  <c r="Y33"/>
  <c r="X33"/>
  <c r="W33"/>
  <c r="R33"/>
  <c r="Q33"/>
  <c r="P33"/>
  <c r="O33"/>
  <c r="N33"/>
  <c r="M33"/>
  <c r="BC27"/>
  <c r="BA24"/>
  <c r="AZ24"/>
  <c r="AY24"/>
  <c r="AX24"/>
  <c r="AW24"/>
  <c r="AV24"/>
  <c r="AU24"/>
  <c r="AT24"/>
  <c r="AS24"/>
  <c r="AR24"/>
  <c r="AQ24"/>
  <c r="AP24"/>
  <c r="AO24"/>
  <c r="AN24"/>
  <c r="AM24"/>
  <c r="AL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BE23"/>
  <c r="BD23"/>
  <c r="BC23"/>
  <c r="BB23"/>
  <c r="AK23"/>
  <c r="BI23" s="1"/>
  <c r="AJ23"/>
  <c r="BH23" s="1"/>
  <c r="AI23"/>
  <c r="BG23" s="1"/>
  <c r="AH23"/>
  <c r="BE22"/>
  <c r="BD22"/>
  <c r="BC22"/>
  <c r="BB22"/>
  <c r="AK22"/>
  <c r="BI22" s="1"/>
  <c r="AJ22"/>
  <c r="BH22" s="1"/>
  <c r="AI22"/>
  <c r="BG22" s="1"/>
  <c r="AH22"/>
  <c r="BE21"/>
  <c r="BD21"/>
  <c r="BC21"/>
  <c r="BB21"/>
  <c r="AK21"/>
  <c r="BI21" s="1"/>
  <c r="AJ21"/>
  <c r="BH21" s="1"/>
  <c r="AI21"/>
  <c r="BG21" s="1"/>
  <c r="AH21"/>
  <c r="BE20"/>
  <c r="BD20"/>
  <c r="BC20"/>
  <c r="BB20"/>
  <c r="AK20"/>
  <c r="AJ20"/>
  <c r="BH20" s="1"/>
  <c r="AI20"/>
  <c r="BG20" s="1"/>
  <c r="AH20"/>
  <c r="BE19"/>
  <c r="BD19"/>
  <c r="BC19"/>
  <c r="BB19"/>
  <c r="AK19"/>
  <c r="BI19" s="1"/>
  <c r="AJ19"/>
  <c r="BH19" s="1"/>
  <c r="AI19"/>
  <c r="AH19"/>
  <c r="BE18"/>
  <c r="BD18"/>
  <c r="BC18"/>
  <c r="BB18"/>
  <c r="AK18"/>
  <c r="AJ18"/>
  <c r="BH18" s="1"/>
  <c r="AI18"/>
  <c r="AH18"/>
  <c r="BE17"/>
  <c r="BD17"/>
  <c r="BC17"/>
  <c r="BB17"/>
  <c r="AK17"/>
  <c r="BI17" s="1"/>
  <c r="AJ17"/>
  <c r="BH17" s="1"/>
  <c r="AI17"/>
  <c r="BG17" s="1"/>
  <c r="AH17"/>
  <c r="BE16"/>
  <c r="BD16"/>
  <c r="BC16"/>
  <c r="BB16"/>
  <c r="AK16"/>
  <c r="BI16" s="1"/>
  <c r="AJ16"/>
  <c r="BH16" s="1"/>
  <c r="AI16"/>
  <c r="BG16" s="1"/>
  <c r="AH16"/>
  <c r="BE15"/>
  <c r="BD15"/>
  <c r="BD24" s="1"/>
  <c r="BC15"/>
  <c r="BC24" s="1"/>
  <c r="BB15"/>
  <c r="BB24" s="1"/>
  <c r="AK15"/>
  <c r="AJ15"/>
  <c r="AJ24" s="1"/>
  <c r="AI15"/>
  <c r="AH15"/>
  <c r="AH24" s="1"/>
  <c r="BA10"/>
  <c r="BA26" s="1"/>
  <c r="AZ10"/>
  <c r="AZ26" s="1"/>
  <c r="AY10"/>
  <c r="AY26" s="1"/>
  <c r="AX10"/>
  <c r="AX26" s="1"/>
  <c r="AW10"/>
  <c r="AW26" s="1"/>
  <c r="AV10"/>
  <c r="AV26" s="1"/>
  <c r="AU10"/>
  <c r="AU26" s="1"/>
  <c r="AT10"/>
  <c r="AT26" s="1"/>
  <c r="AS10"/>
  <c r="AR10"/>
  <c r="AR26" s="1"/>
  <c r="AQ26"/>
  <c r="AP10"/>
  <c r="AP26" s="1"/>
  <c r="AO10"/>
  <c r="AO26" s="1"/>
  <c r="AN10"/>
  <c r="AN26" s="1"/>
  <c r="AM10"/>
  <c r="AM26" s="1"/>
  <c r="AL10"/>
  <c r="AG10"/>
  <c r="AG26" s="1"/>
  <c r="AF10"/>
  <c r="AF26" s="1"/>
  <c r="AE10"/>
  <c r="AD10"/>
  <c r="AD26" s="1"/>
  <c r="AC10"/>
  <c r="AC26" s="1"/>
  <c r="AB10"/>
  <c r="AB26" s="1"/>
  <c r="AA10"/>
  <c r="AA26" s="1"/>
  <c r="Z10"/>
  <c r="Z26" s="1"/>
  <c r="Y10"/>
  <c r="Y26" s="1"/>
  <c r="X10"/>
  <c r="X26" s="1"/>
  <c r="W10"/>
  <c r="W26" s="1"/>
  <c r="V10"/>
  <c r="V26" s="1"/>
  <c r="U10"/>
  <c r="U26" s="1"/>
  <c r="T10"/>
  <c r="T26" s="1"/>
  <c r="S10"/>
  <c r="R10"/>
  <c r="R26" s="1"/>
  <c r="Q10"/>
  <c r="Q26" s="1"/>
  <c r="P10"/>
  <c r="P26" s="1"/>
  <c r="O10"/>
  <c r="N10"/>
  <c r="N26" s="1"/>
  <c r="M10"/>
  <c r="M26" s="1"/>
  <c r="L10"/>
  <c r="L26" s="1"/>
  <c r="K10"/>
  <c r="K26" s="1"/>
  <c r="J10"/>
  <c r="J26" s="1"/>
  <c r="BE9"/>
  <c r="BD9"/>
  <c r="BC9"/>
  <c r="BB9"/>
  <c r="AK9"/>
  <c r="BI9" s="1"/>
  <c r="AJ9"/>
  <c r="BH9" s="1"/>
  <c r="AI9"/>
  <c r="AH9"/>
  <c r="BE8"/>
  <c r="BD8"/>
  <c r="BC8"/>
  <c r="BB8"/>
  <c r="AK8"/>
  <c r="BI8" s="1"/>
  <c r="AJ8"/>
  <c r="BH8" s="1"/>
  <c r="AI8"/>
  <c r="AH8"/>
  <c r="BE7"/>
  <c r="BD7"/>
  <c r="BC7"/>
  <c r="BB7"/>
  <c r="AK7"/>
  <c r="BI7" s="1"/>
  <c r="AJ7"/>
  <c r="BH7" s="1"/>
  <c r="AI7"/>
  <c r="BG7" s="1"/>
  <c r="AH7"/>
  <c r="BE6"/>
  <c r="BE10" s="1"/>
  <c r="BD6"/>
  <c r="BD10" s="1"/>
  <c r="BD26" s="1"/>
  <c r="BC6"/>
  <c r="BB6"/>
  <c r="AK6"/>
  <c r="AK10" s="1"/>
  <c r="AJ6"/>
  <c r="AI6"/>
  <c r="AH6"/>
  <c r="AI57" i="196"/>
  <c r="AH57"/>
  <c r="AG57"/>
  <c r="AF57"/>
  <c r="AC57"/>
  <c r="AA57"/>
  <c r="Z57"/>
  <c r="Y57"/>
  <c r="X57"/>
  <c r="R57"/>
  <c r="Q57"/>
  <c r="P57"/>
  <c r="O57"/>
  <c r="N57"/>
  <c r="M57"/>
  <c r="K57"/>
  <c r="J57"/>
  <c r="AE56"/>
  <c r="S56"/>
  <c r="AE55"/>
  <c r="S55"/>
  <c r="AE54"/>
  <c r="S54"/>
  <c r="AE53"/>
  <c r="S53"/>
  <c r="AE52"/>
  <c r="S52"/>
  <c r="AE51"/>
  <c r="S51"/>
  <c r="AE50"/>
  <c r="S50"/>
  <c r="AE49"/>
  <c r="S49"/>
  <c r="AE48"/>
  <c r="S48"/>
  <c r="AE47"/>
  <c r="T57"/>
  <c r="S47"/>
  <c r="AD42"/>
  <c r="AB42"/>
  <c r="AA42"/>
  <c r="Z42"/>
  <c r="Y42"/>
  <c r="X42"/>
  <c r="W42"/>
  <c r="AD56" s="1"/>
  <c r="R42"/>
  <c r="Q42"/>
  <c r="P42"/>
  <c r="O42"/>
  <c r="N42"/>
  <c r="M42"/>
  <c r="AD41"/>
  <c r="AB41"/>
  <c r="AA41"/>
  <c r="Z41"/>
  <c r="Y41"/>
  <c r="X41"/>
  <c r="W41"/>
  <c r="R41"/>
  <c r="Q41"/>
  <c r="P41"/>
  <c r="O41"/>
  <c r="N41"/>
  <c r="M41"/>
  <c r="AD40"/>
  <c r="AB40"/>
  <c r="AA40"/>
  <c r="Z40"/>
  <c r="Y40"/>
  <c r="X40"/>
  <c r="W40"/>
  <c r="R40"/>
  <c r="Q40"/>
  <c r="P40"/>
  <c r="O40"/>
  <c r="N40"/>
  <c r="M40"/>
  <c r="AD39"/>
  <c r="AB39"/>
  <c r="AA39"/>
  <c r="Z39"/>
  <c r="Y39"/>
  <c r="X39"/>
  <c r="W39"/>
  <c r="AD53" s="1"/>
  <c r="R39"/>
  <c r="Q39"/>
  <c r="P39"/>
  <c r="O39"/>
  <c r="N39"/>
  <c r="M39"/>
  <c r="AD38"/>
  <c r="AB38"/>
  <c r="AA38"/>
  <c r="Z38"/>
  <c r="Y38"/>
  <c r="X38"/>
  <c r="W38"/>
  <c r="R38"/>
  <c r="Q38"/>
  <c r="P38"/>
  <c r="O38"/>
  <c r="N38"/>
  <c r="M38"/>
  <c r="AD37"/>
  <c r="AB37"/>
  <c r="AA37"/>
  <c r="Z37"/>
  <c r="Y37"/>
  <c r="X37"/>
  <c r="AD51" s="1"/>
  <c r="W37"/>
  <c r="R37"/>
  <c r="Q37"/>
  <c r="P37"/>
  <c r="O37"/>
  <c r="N37"/>
  <c r="M37"/>
  <c r="AD36"/>
  <c r="AB36"/>
  <c r="AA36"/>
  <c r="Z36"/>
  <c r="Y36"/>
  <c r="X36"/>
  <c r="W36"/>
  <c r="R36"/>
  <c r="Q36"/>
  <c r="P36"/>
  <c r="O36"/>
  <c r="N36"/>
  <c r="M36"/>
  <c r="AD35"/>
  <c r="AB35"/>
  <c r="AA35"/>
  <c r="Z35"/>
  <c r="Y35"/>
  <c r="X35"/>
  <c r="W35"/>
  <c r="R35"/>
  <c r="Q35"/>
  <c r="P35"/>
  <c r="O35"/>
  <c r="N35"/>
  <c r="M35"/>
  <c r="AD34"/>
  <c r="AB34"/>
  <c r="AA34"/>
  <c r="Z34"/>
  <c r="Y34"/>
  <c r="X34"/>
  <c r="W34"/>
  <c r="R34"/>
  <c r="Q34"/>
  <c r="P34"/>
  <c r="O34"/>
  <c r="N34"/>
  <c r="M34"/>
  <c r="AD33"/>
  <c r="AB33"/>
  <c r="AA33"/>
  <c r="Z33"/>
  <c r="Y33"/>
  <c r="X33"/>
  <c r="W33"/>
  <c r="R33"/>
  <c r="Q33"/>
  <c r="P33"/>
  <c r="O33"/>
  <c r="N33"/>
  <c r="M33"/>
  <c r="BC27"/>
  <c r="BA24"/>
  <c r="AZ24"/>
  <c r="AY24"/>
  <c r="AX24"/>
  <c r="AW24"/>
  <c r="AV24"/>
  <c r="AU24"/>
  <c r="AT24"/>
  <c r="AS24"/>
  <c r="AR24"/>
  <c r="AQ24"/>
  <c r="AP24"/>
  <c r="AO24"/>
  <c r="AN24"/>
  <c r="AM24"/>
  <c r="AL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M24"/>
  <c r="L24"/>
  <c r="K24"/>
  <c r="J24"/>
  <c r="BE23"/>
  <c r="BD23"/>
  <c r="BC23"/>
  <c r="BB23"/>
  <c r="AK23"/>
  <c r="BI23" s="1"/>
  <c r="AJ23"/>
  <c r="BH23" s="1"/>
  <c r="AI23"/>
  <c r="AH23"/>
  <c r="BE22"/>
  <c r="BD22"/>
  <c r="BC22"/>
  <c r="BB22"/>
  <c r="AK22"/>
  <c r="BI22" s="1"/>
  <c r="AJ22"/>
  <c r="BH22" s="1"/>
  <c r="AI22"/>
  <c r="AH22"/>
  <c r="BE21"/>
  <c r="BD21"/>
  <c r="BC21"/>
  <c r="BB21"/>
  <c r="AK21"/>
  <c r="BI21" s="1"/>
  <c r="AJ21"/>
  <c r="BH21" s="1"/>
  <c r="AI21"/>
  <c r="AH21"/>
  <c r="BE20"/>
  <c r="BD20"/>
  <c r="BC20"/>
  <c r="BB20"/>
  <c r="AK20"/>
  <c r="AJ20"/>
  <c r="AI20"/>
  <c r="AH20"/>
  <c r="BE19"/>
  <c r="BD19"/>
  <c r="BC19"/>
  <c r="BB19"/>
  <c r="AK19"/>
  <c r="AJ19"/>
  <c r="BH19" s="1"/>
  <c r="AI19"/>
  <c r="AH19"/>
  <c r="BE18"/>
  <c r="BD18"/>
  <c r="BC18"/>
  <c r="BB18"/>
  <c r="AK18"/>
  <c r="BI18" s="1"/>
  <c r="AJ18"/>
  <c r="AI18"/>
  <c r="AH18"/>
  <c r="BE17"/>
  <c r="BD17"/>
  <c r="BC17"/>
  <c r="BB17"/>
  <c r="AK17"/>
  <c r="BI17" s="1"/>
  <c r="AJ17"/>
  <c r="BH17" s="1"/>
  <c r="AI17"/>
  <c r="AH17"/>
  <c r="BE16"/>
  <c r="BD16"/>
  <c r="BC16"/>
  <c r="BB16"/>
  <c r="AK16"/>
  <c r="BI16" s="1"/>
  <c r="AJ16"/>
  <c r="BH16" s="1"/>
  <c r="AI16"/>
  <c r="AH16"/>
  <c r="BE15"/>
  <c r="BD15"/>
  <c r="BC15"/>
  <c r="BB15"/>
  <c r="AK15"/>
  <c r="AJ15"/>
  <c r="AI15"/>
  <c r="AH15"/>
  <c r="BA10"/>
  <c r="BA26" s="1"/>
  <c r="AZ10"/>
  <c r="AZ26" s="1"/>
  <c r="AY10"/>
  <c r="AX10"/>
  <c r="AX26" s="1"/>
  <c r="AW10"/>
  <c r="AV10"/>
  <c r="AU10"/>
  <c r="AT10"/>
  <c r="AS10"/>
  <c r="AS26" s="1"/>
  <c r="AR10"/>
  <c r="AQ10"/>
  <c r="AP10"/>
  <c r="AO10"/>
  <c r="AN10"/>
  <c r="AN26" s="1"/>
  <c r="AM10"/>
  <c r="AL10"/>
  <c r="AL26" s="1"/>
  <c r="AG10"/>
  <c r="AG26" s="1"/>
  <c r="AF10"/>
  <c r="AF26" s="1"/>
  <c r="AE10"/>
  <c r="AE26" s="1"/>
  <c r="AD10"/>
  <c r="AC10"/>
  <c r="AC26" s="1"/>
  <c r="AB10"/>
  <c r="AB26" s="1"/>
  <c r="AA10"/>
  <c r="AA26" s="1"/>
  <c r="Z10"/>
  <c r="Y10"/>
  <c r="X10"/>
  <c r="X26" s="1"/>
  <c r="W10"/>
  <c r="W26" s="1"/>
  <c r="V10"/>
  <c r="U10"/>
  <c r="T10"/>
  <c r="T26" s="1"/>
  <c r="S10"/>
  <c r="S26" s="1"/>
  <c r="R10"/>
  <c r="Q10"/>
  <c r="Q26" s="1"/>
  <c r="P10"/>
  <c r="P26" s="1"/>
  <c r="O10"/>
  <c r="O26" s="1"/>
  <c r="N10"/>
  <c r="N26" s="1"/>
  <c r="M10"/>
  <c r="M26" s="1"/>
  <c r="L10"/>
  <c r="L26" s="1"/>
  <c r="K10"/>
  <c r="K26" s="1"/>
  <c r="J10"/>
  <c r="BE9"/>
  <c r="BD9"/>
  <c r="BC9"/>
  <c r="BB9"/>
  <c r="AK9"/>
  <c r="AJ9"/>
  <c r="AI9"/>
  <c r="AH9"/>
  <c r="BE8"/>
  <c r="BD8"/>
  <c r="BC8"/>
  <c r="BB8"/>
  <c r="AK8"/>
  <c r="BI8" s="1"/>
  <c r="AJ8"/>
  <c r="AI8"/>
  <c r="AH8"/>
  <c r="BE7"/>
  <c r="BD7"/>
  <c r="BC7"/>
  <c r="BB7"/>
  <c r="AK7"/>
  <c r="AJ7"/>
  <c r="AI7"/>
  <c r="AH7"/>
  <c r="BE6"/>
  <c r="BD6"/>
  <c r="BC6"/>
  <c r="BB6"/>
  <c r="AK6"/>
  <c r="AK10" s="1"/>
  <c r="AJ6"/>
  <c r="AI6"/>
  <c r="AH6"/>
  <c r="P11" i="77" l="1"/>
  <c r="AY26" i="208"/>
  <c r="BF9"/>
  <c r="BF8"/>
  <c r="AK10" i="214"/>
  <c r="BI10" s="1"/>
  <c r="BI6"/>
  <c r="AQ26"/>
  <c r="BC10"/>
  <c r="K26" i="207"/>
  <c r="AE26"/>
  <c r="W26"/>
  <c r="K26" i="206"/>
  <c r="X26"/>
  <c r="AJ24"/>
  <c r="Q16" i="71"/>
  <c r="BE24" i="205"/>
  <c r="BE26" s="1"/>
  <c r="BD26" i="181"/>
  <c r="AJ10"/>
  <c r="AJ26" s="1"/>
  <c r="AD16" i="27"/>
  <c r="AD11"/>
  <c r="AC11"/>
  <c r="AS9"/>
  <c r="J26" i="179"/>
  <c r="W5" i="27" s="1"/>
  <c r="E11"/>
  <c r="Y5" i="66"/>
  <c r="Y11" s="1"/>
  <c r="Y18" s="1"/>
  <c r="AJ10" i="227"/>
  <c r="AY26" i="200"/>
  <c r="AR15" i="27" s="1"/>
  <c r="AQ26" i="200"/>
  <c r="BD10"/>
  <c r="BF19"/>
  <c r="BC10" i="227"/>
  <c r="AZ26" i="220"/>
  <c r="AP26"/>
  <c r="Q11" i="66"/>
  <c r="K13"/>
  <c r="K16" s="1"/>
  <c r="BB24" i="194"/>
  <c r="Y16" i="71"/>
  <c r="Z18" i="27"/>
  <c r="U16"/>
  <c r="U18" s="1"/>
  <c r="K16"/>
  <c r="F18"/>
  <c r="E18"/>
  <c r="AC26" i="208"/>
  <c r="AM26" i="214"/>
  <c r="P12" i="77" s="1"/>
  <c r="P16" s="1"/>
  <c r="AI24" i="214"/>
  <c r="AU26"/>
  <c r="BB26" i="208"/>
  <c r="AQ26" i="207"/>
  <c r="BI20" i="205"/>
  <c r="AS26"/>
  <c r="BF23" i="203"/>
  <c r="BE24" i="186"/>
  <c r="BE26" s="1"/>
  <c r="BI20"/>
  <c r="M26"/>
  <c r="N26" i="201"/>
  <c r="R26"/>
  <c r="BB26"/>
  <c r="V26"/>
  <c r="BB10" i="185"/>
  <c r="N26"/>
  <c r="M18" i="71"/>
  <c r="Q26" i="183"/>
  <c r="BE24"/>
  <c r="AK24"/>
  <c r="AW26" i="181"/>
  <c r="N14" i="27" s="1"/>
  <c r="BE24" i="181"/>
  <c r="BE26" s="1"/>
  <c r="AK24"/>
  <c r="AK26" s="1"/>
  <c r="Y11" i="27"/>
  <c r="Y18" s="1"/>
  <c r="N16"/>
  <c r="BC10" i="179"/>
  <c r="AM26"/>
  <c r="X12" i="27" s="1"/>
  <c r="X16" s="1"/>
  <c r="BC24" i="179"/>
  <c r="AA26"/>
  <c r="X9" i="27" s="1"/>
  <c r="X11" s="1"/>
  <c r="AI24" i="179"/>
  <c r="AI10"/>
  <c r="O26" i="180"/>
  <c r="S26"/>
  <c r="AG26"/>
  <c r="BC10"/>
  <c r="M26"/>
  <c r="AI10"/>
  <c r="AD26"/>
  <c r="Z26"/>
  <c r="BB24" i="177"/>
  <c r="BB26" s="1"/>
  <c r="AM26" i="227"/>
  <c r="AQ26"/>
  <c r="AU26"/>
  <c r="W26"/>
  <c r="AI24"/>
  <c r="C18" i="82"/>
  <c r="BH6" i="206"/>
  <c r="BE10" i="183"/>
  <c r="AO26" i="196"/>
  <c r="K26" i="176"/>
  <c r="P5" i="66" s="1"/>
  <c r="AU26" i="176"/>
  <c r="P14" i="66" s="1"/>
  <c r="S26" i="176"/>
  <c r="P7" i="66" s="1"/>
  <c r="AK16"/>
  <c r="M11"/>
  <c r="M26" i="208"/>
  <c r="AF26"/>
  <c r="AH24"/>
  <c r="AH10"/>
  <c r="AJ10" i="206"/>
  <c r="AB26" i="204"/>
  <c r="AE26" i="203"/>
  <c r="R26" i="204"/>
  <c r="BD10" i="186"/>
  <c r="BD26" s="1"/>
  <c r="AJ10"/>
  <c r="AJ26" s="1"/>
  <c r="BE26" i="223"/>
  <c r="AO26" i="185"/>
  <c r="BE24"/>
  <c r="BE26" s="1"/>
  <c r="M26"/>
  <c r="BD10" i="201"/>
  <c r="BD26" s="1"/>
  <c r="BH9"/>
  <c r="BH8"/>
  <c r="J26" i="185"/>
  <c r="R26"/>
  <c r="AL26" i="184"/>
  <c r="AT26"/>
  <c r="BF19"/>
  <c r="J26" i="183"/>
  <c r="Z26"/>
  <c r="AX26"/>
  <c r="AL26"/>
  <c r="N26"/>
  <c r="AP26"/>
  <c r="R26"/>
  <c r="BC24" i="227"/>
  <c r="BC26" s="1"/>
  <c r="AI10" i="221"/>
  <c r="AM26"/>
  <c r="AB12" i="27" s="1"/>
  <c r="AB16" s="1"/>
  <c r="BC24" i="221"/>
  <c r="AI24"/>
  <c r="BD24" i="180"/>
  <c r="AU26"/>
  <c r="AE26"/>
  <c r="U26"/>
  <c r="Z26" i="224"/>
  <c r="N26" i="180"/>
  <c r="AP26"/>
  <c r="R26"/>
  <c r="BB24" i="220"/>
  <c r="BB26" s="1"/>
  <c r="BF23"/>
  <c r="BC10" i="194"/>
  <c r="AM26"/>
  <c r="L12" i="66" s="1"/>
  <c r="AQ26" i="194"/>
  <c r="L13" i="66" s="1"/>
  <c r="AU26" i="194"/>
  <c r="L14" i="66" s="1"/>
  <c r="BC24" i="194"/>
  <c r="AE26"/>
  <c r="L10" i="66" s="1"/>
  <c r="AK24" i="195"/>
  <c r="BI18"/>
  <c r="AP26" i="196"/>
  <c r="AM26"/>
  <c r="AU26"/>
  <c r="AY26"/>
  <c r="V26"/>
  <c r="BD10" i="206"/>
  <c r="BD26" s="1"/>
  <c r="BC24" i="214"/>
  <c r="O26" i="208"/>
  <c r="R26" i="224"/>
  <c r="AL26"/>
  <c r="U26" i="206"/>
  <c r="AU26" i="186"/>
  <c r="P14" i="71" s="1"/>
  <c r="P16" s="1"/>
  <c r="BC24" i="186"/>
  <c r="AL16" i="66"/>
  <c r="AM26" i="201"/>
  <c r="AI10"/>
  <c r="BC10"/>
  <c r="AU26"/>
  <c r="BC24"/>
  <c r="K26"/>
  <c r="AI24"/>
  <c r="BI19" i="181"/>
  <c r="BD24" i="177"/>
  <c r="AG16" i="66"/>
  <c r="N26" i="221"/>
  <c r="AA6" i="27" s="1"/>
  <c r="AT26" i="221"/>
  <c r="AA14" i="27" s="1"/>
  <c r="AL26" i="221"/>
  <c r="AA12" i="27" s="1"/>
  <c r="J26" i="221"/>
  <c r="AA5" i="27" s="1"/>
  <c r="Z26" i="221"/>
  <c r="AA9" i="27" s="1"/>
  <c r="BD10" i="177"/>
  <c r="AH16" i="66"/>
  <c r="AH10" i="177"/>
  <c r="BF7"/>
  <c r="BF8"/>
  <c r="L26"/>
  <c r="M11" i="27" s="1"/>
  <c r="M18" s="1"/>
  <c r="L26" i="200"/>
  <c r="J26" i="177"/>
  <c r="AI10" i="200"/>
  <c r="AE57"/>
  <c r="AP26" i="227"/>
  <c r="BG20" i="220"/>
  <c r="AE26"/>
  <c r="N26" i="227"/>
  <c r="V26"/>
  <c r="BD10" i="176"/>
  <c r="BD26" s="1"/>
  <c r="AE26"/>
  <c r="P10" i="66" s="1"/>
  <c r="BH8" i="176"/>
  <c r="AJ10"/>
  <c r="BH9"/>
  <c r="BI20" i="181"/>
  <c r="BB26" i="205"/>
  <c r="AL26"/>
  <c r="BC10" i="186"/>
  <c r="AI24"/>
  <c r="AJ10" i="201"/>
  <c r="AL26" i="185"/>
  <c r="AX26"/>
  <c r="BB24"/>
  <c r="AH24"/>
  <c r="N26" i="184"/>
  <c r="AL26" i="180"/>
  <c r="S16" i="27" s="1"/>
  <c r="BB10" i="180"/>
  <c r="AT26"/>
  <c r="AH10"/>
  <c r="V26"/>
  <c r="AH24"/>
  <c r="BB24"/>
  <c r="AD26" i="177"/>
  <c r="AE26"/>
  <c r="N26"/>
  <c r="BC10" i="200"/>
  <c r="AH24" i="177"/>
  <c r="Z26"/>
  <c r="AL26" i="227"/>
  <c r="Z26"/>
  <c r="J26"/>
  <c r="AJ24" i="176"/>
  <c r="S26" i="194"/>
  <c r="L7" i="66" s="1"/>
  <c r="AI10" i="194"/>
  <c r="AI26" s="1"/>
  <c r="BE24" i="195"/>
  <c r="BE26" s="1"/>
  <c r="BI20"/>
  <c r="O26"/>
  <c r="AJ10"/>
  <c r="BH10" s="1"/>
  <c r="BE10" i="196"/>
  <c r="BI9"/>
  <c r="BH9"/>
  <c r="BF7" i="223"/>
  <c r="BF8"/>
  <c r="AM26" i="219"/>
  <c r="AQ26"/>
  <c r="BD24" i="207"/>
  <c r="M26" i="204"/>
  <c r="BF23" i="224"/>
  <c r="BF19"/>
  <c r="AX26"/>
  <c r="V26"/>
  <c r="BE24" i="206"/>
  <c r="BE26" s="1"/>
  <c r="AT26" i="224"/>
  <c r="N26"/>
  <c r="AH24"/>
  <c r="BB10" i="206"/>
  <c r="BB26" s="1"/>
  <c r="AM26" i="205"/>
  <c r="J26" i="206"/>
  <c r="S26" i="205"/>
  <c r="N26" i="206"/>
  <c r="AI24" i="205"/>
  <c r="BC24"/>
  <c r="AH24" i="206"/>
  <c r="AH10"/>
  <c r="AI10" i="205"/>
  <c r="BC10"/>
  <c r="BD24" i="204"/>
  <c r="T26"/>
  <c r="AR26" i="223"/>
  <c r="AJ24"/>
  <c r="AH10"/>
  <c r="AH26" s="1"/>
  <c r="AM26" i="185"/>
  <c r="K26"/>
  <c r="O26"/>
  <c r="AH10"/>
  <c r="AY26" i="184"/>
  <c r="AM26"/>
  <c r="AU26"/>
  <c r="BC24"/>
  <c r="BC26" s="1"/>
  <c r="AU26" i="181"/>
  <c r="AE26"/>
  <c r="K26"/>
  <c r="L5" i="27" s="1"/>
  <c r="AJ10" i="221"/>
  <c r="BH10" s="1"/>
  <c r="AH24"/>
  <c r="AL26" i="179"/>
  <c r="W12" i="27" s="1"/>
  <c r="BE26" i="180"/>
  <c r="AQ26"/>
  <c r="R26" i="179"/>
  <c r="W7" i="27" s="1"/>
  <c r="AP26" i="179"/>
  <c r="W13" i="27" s="1"/>
  <c r="V26" i="179"/>
  <c r="W8" i="27" s="1"/>
  <c r="R26" i="177"/>
  <c r="V26"/>
  <c r="Z26" i="200"/>
  <c r="J60" i="220"/>
  <c r="BC24" i="176"/>
  <c r="BC10"/>
  <c r="AI24"/>
  <c r="BF18" i="194"/>
  <c r="N26"/>
  <c r="K6" i="66" s="1"/>
  <c r="BF22" i="194"/>
  <c r="R26"/>
  <c r="K7" i="66" s="1"/>
  <c r="AI10" i="195"/>
  <c r="BB10" i="194"/>
  <c r="BB26" s="1"/>
  <c r="BF6" i="223"/>
  <c r="BB10" i="196"/>
  <c r="R26"/>
  <c r="AU26" i="219"/>
  <c r="BC24"/>
  <c r="AE26"/>
  <c r="K26"/>
  <c r="S26"/>
  <c r="W26"/>
  <c r="AC36"/>
  <c r="AE36" s="1"/>
  <c r="BH9" i="209"/>
  <c r="AN26"/>
  <c r="AV26"/>
  <c r="BD24"/>
  <c r="AE26" i="208"/>
  <c r="K26"/>
  <c r="S26"/>
  <c r="W26"/>
  <c r="AI24"/>
  <c r="AU26"/>
  <c r="BH7" i="214"/>
  <c r="AJ10"/>
  <c r="AJ26" s="1"/>
  <c r="BD10" i="207"/>
  <c r="BD26" s="1"/>
  <c r="AJ10"/>
  <c r="AE26" i="224"/>
  <c r="BC24"/>
  <c r="BG19"/>
  <c r="BG20"/>
  <c r="BG8"/>
  <c r="BC10"/>
  <c r="BG9"/>
  <c r="AI10"/>
  <c r="AI24"/>
  <c r="BD10" i="204"/>
  <c r="BD26" s="1"/>
  <c r="BC10"/>
  <c r="BC26" s="1"/>
  <c r="BH19"/>
  <c r="AJ24"/>
  <c r="L26"/>
  <c r="O26"/>
  <c r="U26"/>
  <c r="AY26" i="203"/>
  <c r="O26"/>
  <c r="AU26"/>
  <c r="S26"/>
  <c r="AT26" i="186"/>
  <c r="O14" i="71" s="1"/>
  <c r="O16" s="1"/>
  <c r="AE26" i="223"/>
  <c r="BF9" i="186"/>
  <c r="BG17" i="223"/>
  <c r="K26"/>
  <c r="AU26"/>
  <c r="BC24"/>
  <c r="BG21"/>
  <c r="S26"/>
  <c r="Z26" i="186"/>
  <c r="O26" i="223"/>
  <c r="BG18"/>
  <c r="AI24"/>
  <c r="W26" i="185"/>
  <c r="AI24"/>
  <c r="BC10"/>
  <c r="BC24"/>
  <c r="AI10"/>
  <c r="AJ24" i="184"/>
  <c r="AJ10"/>
  <c r="BH10" s="1"/>
  <c r="AX26"/>
  <c r="BF18"/>
  <c r="BF8"/>
  <c r="V26"/>
  <c r="AH10"/>
  <c r="U26" i="177"/>
  <c r="AM26" i="181"/>
  <c r="BC24"/>
  <c r="BC10"/>
  <c r="W26"/>
  <c r="AI24"/>
  <c r="AC39"/>
  <c r="AE39" s="1"/>
  <c r="J26"/>
  <c r="AX26"/>
  <c r="N26"/>
  <c r="BB26"/>
  <c r="AH10"/>
  <c r="AH24"/>
  <c r="M26" i="177"/>
  <c r="N11" i="27" s="1"/>
  <c r="AK24" i="180"/>
  <c r="AK26" s="1"/>
  <c r="Q26"/>
  <c r="AI10" i="177"/>
  <c r="BE26"/>
  <c r="BD10" i="227"/>
  <c r="BD26" s="1"/>
  <c r="BF23" i="200"/>
  <c r="AL26"/>
  <c r="J26"/>
  <c r="N26"/>
  <c r="AP26"/>
  <c r="BF20"/>
  <c r="AT26"/>
  <c r="R26"/>
  <c r="V26"/>
  <c r="BB10" i="227"/>
  <c r="BF8"/>
  <c r="AX26"/>
  <c r="AM26" i="220"/>
  <c r="BF9" i="227"/>
  <c r="BF20"/>
  <c r="S26" i="220"/>
  <c r="AT26" i="227"/>
  <c r="BF19"/>
  <c r="BB24"/>
  <c r="BC10" i="220"/>
  <c r="AU26"/>
  <c r="BC24"/>
  <c r="R26" i="227"/>
  <c r="AH24"/>
  <c r="O26" i="220"/>
  <c r="AH10" i="227"/>
  <c r="AI24" i="220"/>
  <c r="AI10"/>
  <c r="BI9" i="194"/>
  <c r="BG19" i="195"/>
  <c r="BG18"/>
  <c r="S26"/>
  <c r="AE26"/>
  <c r="BG8"/>
  <c r="O43" i="209"/>
  <c r="AI18" i="77"/>
  <c r="AD59" i="214"/>
  <c r="BD10" i="196"/>
  <c r="AH10" i="195"/>
  <c r="AH26" s="1"/>
  <c r="AR26" i="196"/>
  <c r="AQ26"/>
  <c r="BH19" i="209"/>
  <c r="AJ10"/>
  <c r="BH7"/>
  <c r="BD10"/>
  <c r="BH8"/>
  <c r="BD10" i="208"/>
  <c r="BD26" s="1"/>
  <c r="BC10"/>
  <c r="AM26"/>
  <c r="BC24"/>
  <c r="AI10"/>
  <c r="AZ26" i="214"/>
  <c r="BH19"/>
  <c r="BD10"/>
  <c r="BD26" s="1"/>
  <c r="BH8"/>
  <c r="BC10" i="206"/>
  <c r="S26"/>
  <c r="BC24"/>
  <c r="AI10"/>
  <c r="AK24" i="205"/>
  <c r="AK26" s="1"/>
  <c r="AF26" i="204"/>
  <c r="AI10"/>
  <c r="AI26" s="1"/>
  <c r="Y26"/>
  <c r="Q26"/>
  <c r="W26" i="203"/>
  <c r="AM26"/>
  <c r="P26" i="204"/>
  <c r="K26" i="203"/>
  <c r="AQ26"/>
  <c r="BG20" i="223"/>
  <c r="BB10" i="179"/>
  <c r="BI21" i="227"/>
  <c r="AI10" i="176"/>
  <c r="BE24" i="220"/>
  <c r="BE26" s="1"/>
  <c r="BI7" i="176"/>
  <c r="BI8"/>
  <c r="BI9"/>
  <c r="BI16"/>
  <c r="BI17"/>
  <c r="BI18"/>
  <c r="BI19"/>
  <c r="BI20"/>
  <c r="BI21"/>
  <c r="BI22"/>
  <c r="BI23"/>
  <c r="BG7" i="220"/>
  <c r="BG8"/>
  <c r="BG9"/>
  <c r="BG16"/>
  <c r="BG17"/>
  <c r="BG18"/>
  <c r="BG19"/>
  <c r="BG21"/>
  <c r="BG22"/>
  <c r="BG23"/>
  <c r="AK24" i="223"/>
  <c r="AJ24" i="203"/>
  <c r="BF7" i="194"/>
  <c r="BF16"/>
  <c r="BH7" i="220"/>
  <c r="BH8"/>
  <c r="BH9"/>
  <c r="BH16"/>
  <c r="BH17"/>
  <c r="BH18"/>
  <c r="BH19"/>
  <c r="BH20"/>
  <c r="BH21"/>
  <c r="BH22"/>
  <c r="BH23"/>
  <c r="BG7" i="194"/>
  <c r="BG9"/>
  <c r="BG16"/>
  <c r="BG18"/>
  <c r="BG20"/>
  <c r="BG21"/>
  <c r="BG23"/>
  <c r="BI16" i="220"/>
  <c r="BI17"/>
  <c r="BI18"/>
  <c r="BI19"/>
  <c r="BI20"/>
  <c r="BI21"/>
  <c r="BI22"/>
  <c r="BI23"/>
  <c r="BG8" i="194"/>
  <c r="BG17"/>
  <c r="BG22"/>
  <c r="BF16" i="227"/>
  <c r="BF17"/>
  <c r="BF18"/>
  <c r="S40" i="196"/>
  <c r="Z43" i="195"/>
  <c r="AC40"/>
  <c r="AE40" s="1"/>
  <c r="BI22" i="227"/>
  <c r="BI23"/>
  <c r="P26" i="200"/>
  <c r="AS6" i="27" s="1"/>
  <c r="X26" i="200"/>
  <c r="AS8" i="27" s="1"/>
  <c r="AF26" i="200"/>
  <c r="AS10" i="27" s="1"/>
  <c r="AR26" i="200"/>
  <c r="AS13" i="27" s="1"/>
  <c r="AZ26" i="200"/>
  <c r="BD24"/>
  <c r="O43" i="221"/>
  <c r="AC37"/>
  <c r="AE37" s="1"/>
  <c r="AD57" i="181"/>
  <c r="BH7" i="183"/>
  <c r="BI9"/>
  <c r="BI16"/>
  <c r="BI17"/>
  <c r="BI18"/>
  <c r="BI19"/>
  <c r="BI20"/>
  <c r="BI21"/>
  <c r="BI22"/>
  <c r="BI23"/>
  <c r="BF7" i="185"/>
  <c r="BF8"/>
  <c r="BF9"/>
  <c r="BF16"/>
  <c r="BF17"/>
  <c r="BF18"/>
  <c r="BF19"/>
  <c r="BF20"/>
  <c r="BF21"/>
  <c r="BF22"/>
  <c r="BF23"/>
  <c r="BI7" i="223"/>
  <c r="BI8"/>
  <c r="BI7" i="203"/>
  <c r="BI8"/>
  <c r="BI9"/>
  <c r="BI16"/>
  <c r="BI17"/>
  <c r="BI18"/>
  <c r="BI19"/>
  <c r="BI20"/>
  <c r="BI21"/>
  <c r="BI22"/>
  <c r="BI23"/>
  <c r="BI7" i="204"/>
  <c r="BI8"/>
  <c r="BI9"/>
  <c r="BF7" i="206"/>
  <c r="BF8"/>
  <c r="BF9"/>
  <c r="BF16"/>
  <c r="BF17"/>
  <c r="BF18"/>
  <c r="BF19"/>
  <c r="BF20"/>
  <c r="BF21"/>
  <c r="BF22"/>
  <c r="BF23"/>
  <c r="X43"/>
  <c r="BI7" i="224"/>
  <c r="BI8"/>
  <c r="BI9"/>
  <c r="BI16"/>
  <c r="BI17"/>
  <c r="BI18"/>
  <c r="BI19"/>
  <c r="BI20"/>
  <c r="BI21"/>
  <c r="BI22"/>
  <c r="BI23"/>
  <c r="BF7" i="207"/>
  <c r="BF8"/>
  <c r="BF9"/>
  <c r="BF16"/>
  <c r="BF18"/>
  <c r="BF19"/>
  <c r="BF20"/>
  <c r="BF21"/>
  <c r="BF22"/>
  <c r="BF23"/>
  <c r="O43" i="219"/>
  <c r="V26" i="204"/>
  <c r="BG7" i="206"/>
  <c r="BG8"/>
  <c r="BG9"/>
  <c r="BG16"/>
  <c r="BG17"/>
  <c r="BG7" i="207"/>
  <c r="BG19"/>
  <c r="BG20"/>
  <c r="BG21"/>
  <c r="Y43" i="200"/>
  <c r="AJ24" i="185"/>
  <c r="BH15"/>
  <c r="BG7" i="200"/>
  <c r="BG8"/>
  <c r="BG9"/>
  <c r="BG16"/>
  <c r="BH18"/>
  <c r="BH19"/>
  <c r="BH20"/>
  <c r="BH21"/>
  <c r="BH22"/>
  <c r="BH23"/>
  <c r="BF7" i="179"/>
  <c r="BF9"/>
  <c r="BF17"/>
  <c r="BF21"/>
  <c r="BF22"/>
  <c r="AD57" i="221"/>
  <c r="BF16" i="204"/>
  <c r="BF21"/>
  <c r="BF22"/>
  <c r="BF7" i="205"/>
  <c r="BF8"/>
  <c r="BF9"/>
  <c r="BF16"/>
  <c r="BF17"/>
  <c r="BF18"/>
  <c r="BF19"/>
  <c r="BF20"/>
  <c r="BF21"/>
  <c r="BF22"/>
  <c r="BF23"/>
  <c r="BI7" i="206"/>
  <c r="BI8"/>
  <c r="BI9"/>
  <c r="BI16"/>
  <c r="BI17"/>
  <c r="BI18"/>
  <c r="BI19"/>
  <c r="BI20"/>
  <c r="BI21"/>
  <c r="BI22"/>
  <c r="BI23"/>
  <c r="BI7" i="207"/>
  <c r="BI8"/>
  <c r="BI9"/>
  <c r="BI16"/>
  <c r="BI17"/>
  <c r="BI18"/>
  <c r="BI19"/>
  <c r="BI20"/>
  <c r="BI21"/>
  <c r="BI22"/>
  <c r="BI23"/>
  <c r="U72" i="214"/>
  <c r="BH7" i="208"/>
  <c r="BH8"/>
  <c r="BH9"/>
  <c r="BH16"/>
  <c r="BH17"/>
  <c r="BH18"/>
  <c r="BH19"/>
  <c r="BH20"/>
  <c r="BH21"/>
  <c r="BH22"/>
  <c r="BH23"/>
  <c r="X43" i="214"/>
  <c r="BF22" i="209"/>
  <c r="BF23"/>
  <c r="AA43" i="181"/>
  <c r="AC37"/>
  <c r="AE37" s="1"/>
  <c r="S36" i="183"/>
  <c r="N43" i="201"/>
  <c r="Z43"/>
  <c r="BG16" i="183"/>
  <c r="BG17"/>
  <c r="BG18"/>
  <c r="BG21"/>
  <c r="BG22"/>
  <c r="BG23"/>
  <c r="S26" i="204"/>
  <c r="S34" i="207"/>
  <c r="AW26" i="201"/>
  <c r="Z16" i="71" s="1"/>
  <c r="BE24" i="201"/>
  <c r="BE26" s="1"/>
  <c r="BH8" i="185"/>
  <c r="AI10" i="184"/>
  <c r="AI26" s="1"/>
  <c r="AC42"/>
  <c r="AE42" s="1"/>
  <c r="BB24"/>
  <c r="BF17"/>
  <c r="BF20"/>
  <c r="J26"/>
  <c r="BB10"/>
  <c r="BF9"/>
  <c r="AP26"/>
  <c r="BG19" i="183"/>
  <c r="BF7" i="184"/>
  <c r="AD26"/>
  <c r="AH24"/>
  <c r="R26"/>
  <c r="AY26" i="183"/>
  <c r="BC10"/>
  <c r="BG9"/>
  <c r="BC24"/>
  <c r="BG20"/>
  <c r="BB10"/>
  <c r="T26" i="200"/>
  <c r="AS7" i="27" s="1"/>
  <c r="BC10" i="221"/>
  <c r="AA43"/>
  <c r="AC39"/>
  <c r="AE39" s="1"/>
  <c r="BB24"/>
  <c r="BB10"/>
  <c r="BD10" i="179"/>
  <c r="BD26" s="1"/>
  <c r="AH10" i="221"/>
  <c r="AD26" i="200"/>
  <c r="AQ10" i="27" s="1"/>
  <c r="AD57" i="194"/>
  <c r="BF9"/>
  <c r="BF8"/>
  <c r="AI10" i="196"/>
  <c r="AJ24"/>
  <c r="AD26"/>
  <c r="Z26"/>
  <c r="S42" i="207"/>
  <c r="AC36" i="206"/>
  <c r="AE36" s="1"/>
  <c r="S37" i="181"/>
  <c r="BH17" i="200"/>
  <c r="BG17"/>
  <c r="BE24" i="208"/>
  <c r="BE26" s="1"/>
  <c r="BI19"/>
  <c r="BI18"/>
  <c r="AC38" i="214"/>
  <c r="AE38" s="1"/>
  <c r="AI10"/>
  <c r="BF23"/>
  <c r="AD43"/>
  <c r="BF17"/>
  <c r="AD26"/>
  <c r="AH24"/>
  <c r="AH26" s="1"/>
  <c r="AD57" i="207"/>
  <c r="BF17"/>
  <c r="O43" i="195"/>
  <c r="AA43"/>
  <c r="S34" i="179"/>
  <c r="AB43" i="221"/>
  <c r="AC34"/>
  <c r="AE34" s="1"/>
  <c r="S40"/>
  <c r="AC42"/>
  <c r="AE42" s="1"/>
  <c r="S57"/>
  <c r="P43" i="181"/>
  <c r="AB43"/>
  <c r="AC34"/>
  <c r="AE34" s="1"/>
  <c r="S40"/>
  <c r="AC42"/>
  <c r="AE42" s="1"/>
  <c r="S57"/>
  <c r="S58" s="1"/>
  <c r="AB43" i="184"/>
  <c r="S42" i="196"/>
  <c r="P43" i="195"/>
  <c r="BH7" i="194"/>
  <c r="BH8"/>
  <c r="BH16"/>
  <c r="BH17"/>
  <c r="BH18"/>
  <c r="BH19"/>
  <c r="BH20"/>
  <c r="BH21"/>
  <c r="BH22"/>
  <c r="BH23"/>
  <c r="BH7" i="200"/>
  <c r="BH16"/>
  <c r="BI18"/>
  <c r="BI19"/>
  <c r="BI20"/>
  <c r="BI21"/>
  <c r="BI22"/>
  <c r="BI23"/>
  <c r="BF7" i="180"/>
  <c r="BF8"/>
  <c r="BF9"/>
  <c r="BF23"/>
  <c r="AH10" i="194"/>
  <c r="BI18"/>
  <c r="BI19"/>
  <c r="BI20"/>
  <c r="BI21"/>
  <c r="BI23"/>
  <c r="O43"/>
  <c r="AA43"/>
  <c r="BF23" i="227"/>
  <c r="BI7" i="200"/>
  <c r="BI8"/>
  <c r="BI9"/>
  <c r="M26"/>
  <c r="U26"/>
  <c r="AT7" i="27" s="1"/>
  <c r="AC26" i="200"/>
  <c r="AT9" i="27" s="1"/>
  <c r="AO26" i="200"/>
  <c r="AK24"/>
  <c r="S57"/>
  <c r="S58" s="1"/>
  <c r="BF16" i="177"/>
  <c r="BF17"/>
  <c r="BF18"/>
  <c r="BF19"/>
  <c r="BF20"/>
  <c r="BF21"/>
  <c r="BF22"/>
  <c r="BF23"/>
  <c r="BG7" i="180"/>
  <c r="BG20"/>
  <c r="BG21"/>
  <c r="BG23"/>
  <c r="AC38" i="179"/>
  <c r="AE38" s="1"/>
  <c r="S34" i="221"/>
  <c r="AC36"/>
  <c r="AE36" s="1"/>
  <c r="R43" i="181"/>
  <c r="S34"/>
  <c r="AC36"/>
  <c r="AE36" s="1"/>
  <c r="S42"/>
  <c r="BB24" i="196"/>
  <c r="BB26" s="1"/>
  <c r="BF7"/>
  <c r="BF8"/>
  <c r="BF16"/>
  <c r="BF17"/>
  <c r="BF18"/>
  <c r="BF21"/>
  <c r="BF22"/>
  <c r="BF23"/>
  <c r="R43" i="195"/>
  <c r="U72" s="1"/>
  <c r="T73" s="1"/>
  <c r="S42"/>
  <c r="BF7" i="176"/>
  <c r="BF16"/>
  <c r="BF17"/>
  <c r="BF18"/>
  <c r="BF21"/>
  <c r="BF22"/>
  <c r="BG7" i="227"/>
  <c r="BG8"/>
  <c r="BG16"/>
  <c r="BG17"/>
  <c r="BG18"/>
  <c r="BG19"/>
  <c r="BG20"/>
  <c r="BG21"/>
  <c r="BG22"/>
  <c r="BG7" i="177"/>
  <c r="BG17"/>
  <c r="BG20"/>
  <c r="BG21"/>
  <c r="BG22"/>
  <c r="BG23"/>
  <c r="BH7" i="180"/>
  <c r="BH9"/>
  <c r="BH16"/>
  <c r="BH17"/>
  <c r="BH18"/>
  <c r="BH19"/>
  <c r="BH20"/>
  <c r="BH21"/>
  <c r="BH22"/>
  <c r="BH23"/>
  <c r="BG7" i="179"/>
  <c r="BG8"/>
  <c r="BG9"/>
  <c r="BG16"/>
  <c r="BG17"/>
  <c r="BG18"/>
  <c r="BG19"/>
  <c r="BG20"/>
  <c r="BG21"/>
  <c r="BG22"/>
  <c r="BG23"/>
  <c r="Y43"/>
  <c r="W43" i="221"/>
  <c r="AC41"/>
  <c r="AE41" s="1"/>
  <c r="S39" i="181"/>
  <c r="AC41"/>
  <c r="AE41" s="1"/>
  <c r="AK10" i="183"/>
  <c r="BI10" s="1"/>
  <c r="BI7"/>
  <c r="BI8"/>
  <c r="S40"/>
  <c r="BB10" i="176"/>
  <c r="BG8" i="196"/>
  <c r="BG16"/>
  <c r="BG21"/>
  <c r="BG22"/>
  <c r="BG23"/>
  <c r="AD49"/>
  <c r="BF7" i="195"/>
  <c r="BF8"/>
  <c r="BF16"/>
  <c r="BF17"/>
  <c r="BF18"/>
  <c r="BF19"/>
  <c r="BF20"/>
  <c r="BF21"/>
  <c r="BF22"/>
  <c r="BF23"/>
  <c r="BG7" i="176"/>
  <c r="BG8"/>
  <c r="BG9"/>
  <c r="BG16"/>
  <c r="BG17"/>
  <c r="BG18"/>
  <c r="BG19"/>
  <c r="BG20"/>
  <c r="BG21"/>
  <c r="BG22"/>
  <c r="BG23"/>
  <c r="Y43"/>
  <c r="BH7" i="227"/>
  <c r="BH8"/>
  <c r="BH9"/>
  <c r="BH16"/>
  <c r="BH17"/>
  <c r="BH18"/>
  <c r="BH19"/>
  <c r="BH20"/>
  <c r="BH21"/>
  <c r="BH22"/>
  <c r="BH23"/>
  <c r="S34" i="200"/>
  <c r="S42"/>
  <c r="BH7" i="177"/>
  <c r="BH8"/>
  <c r="BH9"/>
  <c r="BH16"/>
  <c r="BH17"/>
  <c r="BH18"/>
  <c r="BH19"/>
  <c r="BH20"/>
  <c r="BH21"/>
  <c r="BH22"/>
  <c r="BH23"/>
  <c r="BI7" i="180"/>
  <c r="BI8"/>
  <c r="BI9"/>
  <c r="BI16"/>
  <c r="BI17"/>
  <c r="BI18"/>
  <c r="BI19"/>
  <c r="BI20"/>
  <c r="BI21"/>
  <c r="BI22"/>
  <c r="BI23"/>
  <c r="BH7" i="179"/>
  <c r="BH8"/>
  <c r="BH9"/>
  <c r="BH16"/>
  <c r="BH17"/>
  <c r="BH18"/>
  <c r="BH19"/>
  <c r="BH20"/>
  <c r="BH21"/>
  <c r="BH22"/>
  <c r="BH23"/>
  <c r="Z43"/>
  <c r="BF7" i="221"/>
  <c r="BF8"/>
  <c r="BF9"/>
  <c r="BF16"/>
  <c r="BF17"/>
  <c r="BF18"/>
  <c r="BF19"/>
  <c r="BF20"/>
  <c r="BF21"/>
  <c r="BF22"/>
  <c r="BF23"/>
  <c r="X43"/>
  <c r="AC38"/>
  <c r="AE38" s="1"/>
  <c r="BF7" i="181"/>
  <c r="BF8"/>
  <c r="BF9"/>
  <c r="BF16"/>
  <c r="BF17"/>
  <c r="BF18"/>
  <c r="BF19"/>
  <c r="BF20"/>
  <c r="BF21"/>
  <c r="BF22"/>
  <c r="BF23"/>
  <c r="X43"/>
  <c r="S36"/>
  <c r="AC38"/>
  <c r="AE38" s="1"/>
  <c r="BF23" i="184"/>
  <c r="O43" i="177"/>
  <c r="BI16" i="179"/>
  <c r="BI17"/>
  <c r="BI18"/>
  <c r="BI19"/>
  <c r="BI20"/>
  <c r="BI21"/>
  <c r="BI22"/>
  <c r="BI23"/>
  <c r="O43"/>
  <c r="BG7" i="221"/>
  <c r="BG8"/>
  <c r="BG9"/>
  <c r="BG16"/>
  <c r="BG17"/>
  <c r="BG18"/>
  <c r="BG19"/>
  <c r="BG20"/>
  <c r="BG21"/>
  <c r="BG22"/>
  <c r="BG23"/>
  <c r="Y43"/>
  <c r="AC35"/>
  <c r="AE35" s="1"/>
  <c r="S41"/>
  <c r="BG7" i="181"/>
  <c r="BG8"/>
  <c r="BG9"/>
  <c r="BG16"/>
  <c r="BG17"/>
  <c r="BG18"/>
  <c r="BG19"/>
  <c r="BG20"/>
  <c r="BG21"/>
  <c r="BG22"/>
  <c r="BG23"/>
  <c r="M43"/>
  <c r="Y43"/>
  <c r="AC35"/>
  <c r="AE35" s="1"/>
  <c r="S41"/>
  <c r="S34" i="183"/>
  <c r="BG7" i="184"/>
  <c r="BG8"/>
  <c r="BG9"/>
  <c r="BG16"/>
  <c r="BG17"/>
  <c r="BG18"/>
  <c r="BG19"/>
  <c r="BG20"/>
  <c r="BG21"/>
  <c r="BG22"/>
  <c r="AA43" i="196"/>
  <c r="Y43" i="195"/>
  <c r="AC35"/>
  <c r="AE35" s="1"/>
  <c r="AD52"/>
  <c r="AB43" i="227"/>
  <c r="Q26" i="200"/>
  <c r="AT6" i="27" s="1"/>
  <c r="Y26" i="200"/>
  <c r="AT8" i="27" s="1"/>
  <c r="AG26" i="200"/>
  <c r="AS26"/>
  <c r="AT13" i="27" s="1"/>
  <c r="BA26" i="200"/>
  <c r="AT15" i="27" s="1"/>
  <c r="AC42" i="177"/>
  <c r="AE42" s="1"/>
  <c r="P43" i="179"/>
  <c r="AB43"/>
  <c r="AC42"/>
  <c r="AE42" s="1"/>
  <c r="S57"/>
  <c r="S58" s="1"/>
  <c r="BH7" i="221"/>
  <c r="BH8"/>
  <c r="BH9"/>
  <c r="BH16"/>
  <c r="BH17"/>
  <c r="BH18"/>
  <c r="BH19"/>
  <c r="BH20"/>
  <c r="BH21"/>
  <c r="BH22"/>
  <c r="BH23"/>
  <c r="Z43"/>
  <c r="S38"/>
  <c r="AC40"/>
  <c r="AE40" s="1"/>
  <c r="BH7" i="181"/>
  <c r="BH8"/>
  <c r="BH9"/>
  <c r="BH16"/>
  <c r="BH17"/>
  <c r="BH18"/>
  <c r="BH19"/>
  <c r="BH20"/>
  <c r="BH21"/>
  <c r="BH22"/>
  <c r="BH23"/>
  <c r="N43"/>
  <c r="Z43"/>
  <c r="S38"/>
  <c r="AC40"/>
  <c r="AE40" s="1"/>
  <c r="BH7" i="184"/>
  <c r="BH8"/>
  <c r="BH9"/>
  <c r="BH16"/>
  <c r="BH17"/>
  <c r="BH18"/>
  <c r="BH19"/>
  <c r="BH20"/>
  <c r="BH21"/>
  <c r="BH22"/>
  <c r="BH23"/>
  <c r="S57"/>
  <c r="S58" s="1"/>
  <c r="AK10" i="223"/>
  <c r="O43" i="205"/>
  <c r="AC37"/>
  <c r="AE37" s="1"/>
  <c r="BG7" i="185"/>
  <c r="BG8"/>
  <c r="BG9"/>
  <c r="BG16"/>
  <c r="BG17"/>
  <c r="BG18"/>
  <c r="BG19"/>
  <c r="BG20"/>
  <c r="BG21"/>
  <c r="BG22"/>
  <c r="BG23"/>
  <c r="BB10" i="223"/>
  <c r="BB26" s="1"/>
  <c r="S40" i="203"/>
  <c r="BH7" i="224"/>
  <c r="BH9"/>
  <c r="BH16"/>
  <c r="BH17"/>
  <c r="BH18"/>
  <c r="BH19"/>
  <c r="BH20"/>
  <c r="BH21"/>
  <c r="BH22"/>
  <c r="BH23"/>
  <c r="BG7" i="214"/>
  <c r="BG8"/>
  <c r="BG9"/>
  <c r="BG16"/>
  <c r="BG17"/>
  <c r="BG18"/>
  <c r="BG19"/>
  <c r="BG20"/>
  <c r="BG21"/>
  <c r="BG22"/>
  <c r="BG23"/>
  <c r="Y43"/>
  <c r="BG7" i="208"/>
  <c r="BG8"/>
  <c r="BG9"/>
  <c r="BG16"/>
  <c r="BG17"/>
  <c r="BG18"/>
  <c r="BG19"/>
  <c r="BG20"/>
  <c r="BG21"/>
  <c r="BG22"/>
  <c r="BG23"/>
  <c r="S41"/>
  <c r="P43" i="209"/>
  <c r="AC42"/>
  <c r="AE42" s="1"/>
  <c r="BI7" i="219"/>
  <c r="BI8"/>
  <c r="BI9"/>
  <c r="BI16"/>
  <c r="BI17"/>
  <c r="BI18"/>
  <c r="BI19"/>
  <c r="BI20"/>
  <c r="BI21"/>
  <c r="BI22"/>
  <c r="BI23"/>
  <c r="S39" i="201"/>
  <c r="O43" i="224"/>
  <c r="Z43" i="214"/>
  <c r="S37" i="209"/>
  <c r="S57" i="219"/>
  <c r="S58" s="1"/>
  <c r="BG23" i="184"/>
  <c r="BI7" i="185"/>
  <c r="BI8"/>
  <c r="BI9"/>
  <c r="BI16"/>
  <c r="BI17"/>
  <c r="BI18"/>
  <c r="BI19"/>
  <c r="BI20"/>
  <c r="BI21"/>
  <c r="BI22"/>
  <c r="BI23"/>
  <c r="O43"/>
  <c r="AA43"/>
  <c r="BF7" i="201"/>
  <c r="BF8"/>
  <c r="BF9"/>
  <c r="BF16"/>
  <c r="BF17"/>
  <c r="BF18"/>
  <c r="BF19"/>
  <c r="BF20"/>
  <c r="BF21"/>
  <c r="BF22"/>
  <c r="BF23"/>
  <c r="X43"/>
  <c r="S36"/>
  <c r="BG7" i="186"/>
  <c r="BG9"/>
  <c r="BG16"/>
  <c r="BG17"/>
  <c r="BG18"/>
  <c r="BG19"/>
  <c r="BG20"/>
  <c r="BG21"/>
  <c r="BG22"/>
  <c r="BG23"/>
  <c r="S34" i="203"/>
  <c r="BG18" i="206"/>
  <c r="BG19"/>
  <c r="BG20"/>
  <c r="BG21"/>
  <c r="BG22"/>
  <c r="BG23"/>
  <c r="BG22" i="207"/>
  <c r="BG23"/>
  <c r="O43" i="214"/>
  <c r="AA43"/>
  <c r="O43" i="208"/>
  <c r="AA43"/>
  <c r="AC37"/>
  <c r="AE37" s="1"/>
  <c r="BG7" i="201"/>
  <c r="BG8"/>
  <c r="BG9"/>
  <c r="BG16"/>
  <c r="BG17"/>
  <c r="BG18"/>
  <c r="BG19"/>
  <c r="BG20"/>
  <c r="BG21"/>
  <c r="BG22"/>
  <c r="BG23"/>
  <c r="S41"/>
  <c r="BF16" i="223"/>
  <c r="BF17"/>
  <c r="BF18"/>
  <c r="BF19"/>
  <c r="BF20"/>
  <c r="BF21"/>
  <c r="BF22"/>
  <c r="BF23"/>
  <c r="BH7" i="186"/>
  <c r="BH8"/>
  <c r="BH9"/>
  <c r="BH16"/>
  <c r="BH17"/>
  <c r="BH18"/>
  <c r="BH19"/>
  <c r="BH20"/>
  <c r="BH21"/>
  <c r="BH22"/>
  <c r="BH23"/>
  <c r="BH7" i="206"/>
  <c r="BH8"/>
  <c r="BH9"/>
  <c r="BH16"/>
  <c r="BH17"/>
  <c r="BH18"/>
  <c r="BH19"/>
  <c r="BH20"/>
  <c r="BH21"/>
  <c r="BH22"/>
  <c r="BH23"/>
  <c r="BH7" i="207"/>
  <c r="BH8"/>
  <c r="BH9"/>
  <c r="BH16"/>
  <c r="BH17"/>
  <c r="BH18"/>
  <c r="BH19"/>
  <c r="BH20"/>
  <c r="BH21"/>
  <c r="BH22"/>
  <c r="BH23"/>
  <c r="S38"/>
  <c r="AB43" i="214"/>
  <c r="S40"/>
  <c r="AC42"/>
  <c r="AE42" s="1"/>
  <c r="S57"/>
  <c r="S58" s="1"/>
  <c r="S40" i="208"/>
  <c r="AC42"/>
  <c r="AE42" s="1"/>
  <c r="O43" i="207"/>
  <c r="AC34" i="184"/>
  <c r="AE34" s="1"/>
  <c r="BI7" i="201"/>
  <c r="BJ7" s="1"/>
  <c r="BI8"/>
  <c r="BJ8" s="1"/>
  <c r="BI9"/>
  <c r="BI16"/>
  <c r="BI17"/>
  <c r="BI18"/>
  <c r="BJ18" s="1"/>
  <c r="BI19"/>
  <c r="BJ19" s="1"/>
  <c r="BI20"/>
  <c r="BI21"/>
  <c r="BJ21" s="1"/>
  <c r="BI22"/>
  <c r="BI23"/>
  <c r="O43"/>
  <c r="BG7" i="223"/>
  <c r="BH16"/>
  <c r="BH17"/>
  <c r="BH19"/>
  <c r="BH20"/>
  <c r="BH21"/>
  <c r="BH22"/>
  <c r="BH23"/>
  <c r="BG7" i="203"/>
  <c r="BG9"/>
  <c r="BG16"/>
  <c r="BG18"/>
  <c r="BG21"/>
  <c r="BG22"/>
  <c r="BG23"/>
  <c r="BG7" i="204"/>
  <c r="BG8"/>
  <c r="BG9"/>
  <c r="BG16"/>
  <c r="BG17"/>
  <c r="BG18"/>
  <c r="BG19"/>
  <c r="BG20"/>
  <c r="BG21"/>
  <c r="BG22"/>
  <c r="BG23"/>
  <c r="BG7" i="205"/>
  <c r="BG8"/>
  <c r="BG9"/>
  <c r="BG16"/>
  <c r="BG17"/>
  <c r="BG18"/>
  <c r="BG19"/>
  <c r="BG20"/>
  <c r="BG21"/>
  <c r="BG22"/>
  <c r="BG23"/>
  <c r="P43" i="206"/>
  <c r="AC42"/>
  <c r="AE42" s="1"/>
  <c r="P43" i="207"/>
  <c r="AB43"/>
  <c r="S40"/>
  <c r="AC42"/>
  <c r="AE42" s="1"/>
  <c r="S57"/>
  <c r="S58" s="1"/>
  <c r="S34" i="214"/>
  <c r="AD57"/>
  <c r="BG7" i="209"/>
  <c r="BG8"/>
  <c r="BG9"/>
  <c r="BG16"/>
  <c r="BG17"/>
  <c r="BG18"/>
  <c r="BG19"/>
  <c r="BG20"/>
  <c r="BG21"/>
  <c r="BG22"/>
  <c r="BG23"/>
  <c r="BF7" i="219"/>
  <c r="BF8"/>
  <c r="BF9"/>
  <c r="BF16"/>
  <c r="BF17"/>
  <c r="BF18"/>
  <c r="BF19"/>
  <c r="BF20"/>
  <c r="BF21"/>
  <c r="BF22"/>
  <c r="BF23"/>
  <c r="X43"/>
  <c r="W43" i="214"/>
  <c r="AE57"/>
  <c r="N43" i="209"/>
  <c r="Z43"/>
  <c r="BG7" i="219"/>
  <c r="BG16"/>
  <c r="BG17"/>
  <c r="BG18"/>
  <c r="BG21"/>
  <c r="BG22"/>
  <c r="BG23"/>
  <c r="AI24" i="206"/>
  <c r="Y43" i="205"/>
  <c r="AI10" i="186"/>
  <c r="AJ10" i="223"/>
  <c r="J26" i="201"/>
  <c r="AH24"/>
  <c r="AH26" s="1"/>
  <c r="AI10" i="181"/>
  <c r="W43"/>
  <c r="Q43"/>
  <c r="O43"/>
  <c r="S35"/>
  <c r="AK24" i="221"/>
  <c r="AK26" s="1"/>
  <c r="AD43"/>
  <c r="U72" s="1"/>
  <c r="S39"/>
  <c r="M43"/>
  <c r="AE57"/>
  <c r="AA43" i="179"/>
  <c r="S37" i="221"/>
  <c r="S36"/>
  <c r="N43"/>
  <c r="R43"/>
  <c r="S35"/>
  <c r="Q43"/>
  <c r="AH10" i="179"/>
  <c r="AH24"/>
  <c r="BF23"/>
  <c r="BF8"/>
  <c r="R43"/>
  <c r="BF20"/>
  <c r="AT26"/>
  <c r="W14" i="27" s="1"/>
  <c r="BF19" i="179"/>
  <c r="BF16"/>
  <c r="BB24"/>
  <c r="BF18"/>
  <c r="N43"/>
  <c r="S37"/>
  <c r="BG20" i="200"/>
  <c r="AW26"/>
  <c r="AT14" i="27" s="1"/>
  <c r="BE24" i="200"/>
  <c r="BE26" s="1"/>
  <c r="BB10"/>
  <c r="BF8"/>
  <c r="BB24"/>
  <c r="BG23" i="227"/>
  <c r="BG9"/>
  <c r="AI10"/>
  <c r="AH10" i="200"/>
  <c r="BF8" i="176"/>
  <c r="BF9"/>
  <c r="R26"/>
  <c r="O7" i="66" s="1"/>
  <c r="BF19" i="176"/>
  <c r="N26"/>
  <c r="O6" i="66" s="1"/>
  <c r="BB24" i="176"/>
  <c r="BF23"/>
  <c r="BF20"/>
  <c r="AD26"/>
  <c r="O10" i="66" s="1"/>
  <c r="AH24" i="176"/>
  <c r="AH10"/>
  <c r="AC57" i="194"/>
  <c r="BG19"/>
  <c r="AC37" i="214"/>
  <c r="AE37" s="1"/>
  <c r="AC36"/>
  <c r="AE36" s="1"/>
  <c r="S38"/>
  <c r="AC35"/>
  <c r="AE35" s="1"/>
  <c r="AC34"/>
  <c r="AE34" s="1"/>
  <c r="AC41" i="200"/>
  <c r="AE41" s="1"/>
  <c r="AB43"/>
  <c r="AC35"/>
  <c r="AE35" s="1"/>
  <c r="K26"/>
  <c r="O26"/>
  <c r="AR6" i="27" s="1"/>
  <c r="S26" i="200"/>
  <c r="AR7" i="27" s="1"/>
  <c r="W26" i="200"/>
  <c r="AA26"/>
  <c r="AR9" i="27" s="1"/>
  <c r="S35" i="200"/>
  <c r="AC41" i="214"/>
  <c r="AE41" s="1"/>
  <c r="AC40"/>
  <c r="AE40" s="1"/>
  <c r="S42"/>
  <c r="AC39"/>
  <c r="AE39" s="1"/>
  <c r="AC41" i="207"/>
  <c r="AE41" s="1"/>
  <c r="AC40"/>
  <c r="AE40" s="1"/>
  <c r="BF9" i="223"/>
  <c r="AB43"/>
  <c r="BI7" i="196"/>
  <c r="BH8"/>
  <c r="Y43"/>
  <c r="AC38"/>
  <c r="AE38" s="1"/>
  <c r="AD52"/>
  <c r="O43"/>
  <c r="S35"/>
  <c r="AD50"/>
  <c r="S41" i="214"/>
  <c r="P43"/>
  <c r="AA43" i="207"/>
  <c r="AU26"/>
  <c r="S39" i="214"/>
  <c r="BG16" i="207"/>
  <c r="M43" i="214"/>
  <c r="BG9" i="207"/>
  <c r="BC10"/>
  <c r="BG8"/>
  <c r="AY26"/>
  <c r="BG18"/>
  <c r="BC24"/>
  <c r="BG17"/>
  <c r="S35" i="214"/>
  <c r="R43"/>
  <c r="S26" i="207"/>
  <c r="S37" i="214"/>
  <c r="Q43"/>
  <c r="N43"/>
  <c r="S36"/>
  <c r="AI10" i="207"/>
  <c r="AI24"/>
  <c r="AC38"/>
  <c r="AE38" s="1"/>
  <c r="Z43"/>
  <c r="AC37"/>
  <c r="AE37" s="1"/>
  <c r="Y43"/>
  <c r="AC36"/>
  <c r="AE36" s="1"/>
  <c r="AE57"/>
  <c r="AD58" s="1"/>
  <c r="S41"/>
  <c r="AC35"/>
  <c r="AE35" s="1"/>
  <c r="AD43"/>
  <c r="BD10" i="224"/>
  <c r="BD26" s="1"/>
  <c r="S37" i="207"/>
  <c r="N43"/>
  <c r="U72" s="1"/>
  <c r="R43"/>
  <c r="S36"/>
  <c r="S35"/>
  <c r="Q43"/>
  <c r="BH8" i="224"/>
  <c r="AA43"/>
  <c r="AJ10"/>
  <c r="AC37"/>
  <c r="AE37" s="1"/>
  <c r="AC26"/>
  <c r="AK24"/>
  <c r="AK26" s="1"/>
  <c r="AC41"/>
  <c r="AE41" s="1"/>
  <c r="BF20"/>
  <c r="BF9"/>
  <c r="BB10"/>
  <c r="BF8"/>
  <c r="BF16"/>
  <c r="BB24"/>
  <c r="S35"/>
  <c r="AH10"/>
  <c r="AJ10" i="205"/>
  <c r="BH10" s="1"/>
  <c r="AJ10" i="204"/>
  <c r="AJ10" i="203"/>
  <c r="BH10" s="1"/>
  <c r="BH8"/>
  <c r="BH8" i="223"/>
  <c r="AE26" i="204"/>
  <c r="BE26"/>
  <c r="K26"/>
  <c r="BH8"/>
  <c r="BH9"/>
  <c r="AA26"/>
  <c r="X26"/>
  <c r="W26"/>
  <c r="S38"/>
  <c r="AH10"/>
  <c r="BC24" i="203"/>
  <c r="AI10"/>
  <c r="AI24"/>
  <c r="BC10"/>
  <c r="BG8"/>
  <c r="BF17" i="204"/>
  <c r="J26"/>
  <c r="AD26"/>
  <c r="BF19"/>
  <c r="BF23"/>
  <c r="BB24"/>
  <c r="BB26" s="1"/>
  <c r="BF18"/>
  <c r="BF20"/>
  <c r="N26"/>
  <c r="AH24"/>
  <c r="Z26"/>
  <c r="AB43" i="203"/>
  <c r="Z43"/>
  <c r="AA43"/>
  <c r="O43"/>
  <c r="S42"/>
  <c r="BG19"/>
  <c r="BG20"/>
  <c r="BG17"/>
  <c r="N43"/>
  <c r="R43"/>
  <c r="U26" i="196"/>
  <c r="BG8" i="186"/>
  <c r="BB10"/>
  <c r="AD26"/>
  <c r="AX26"/>
  <c r="BD10" i="223"/>
  <c r="BD26" s="1"/>
  <c r="BG9"/>
  <c r="BF8" i="186"/>
  <c r="BF17"/>
  <c r="BF23"/>
  <c r="N26"/>
  <c r="BB24"/>
  <c r="BF19"/>
  <c r="BF16"/>
  <c r="BF20"/>
  <c r="BH18" i="223"/>
  <c r="AA43"/>
  <c r="J26" i="186"/>
  <c r="AI10" i="223"/>
  <c r="BG8"/>
  <c r="BC10"/>
  <c r="AH10" i="186"/>
  <c r="AH24"/>
  <c r="Y43" i="223"/>
  <c r="S42"/>
  <c r="S37"/>
  <c r="S40"/>
  <c r="BD10" i="185"/>
  <c r="BH9"/>
  <c r="BH17"/>
  <c r="BD24"/>
  <c r="AJ10"/>
  <c r="S39"/>
  <c r="S42"/>
  <c r="AI10" i="183"/>
  <c r="AI26" s="1"/>
  <c r="BE26"/>
  <c r="BG8"/>
  <c r="P43"/>
  <c r="AC38"/>
  <c r="AE38" s="1"/>
  <c r="BD10"/>
  <c r="BD26" s="1"/>
  <c r="BH8"/>
  <c r="AJ10"/>
  <c r="Y43"/>
  <c r="BF20"/>
  <c r="BF8"/>
  <c r="BB24"/>
  <c r="R43"/>
  <c r="BF9"/>
  <c r="AT26"/>
  <c r="AH24"/>
  <c r="O43"/>
  <c r="AH10"/>
  <c r="BF23"/>
  <c r="BF19"/>
  <c r="BF18"/>
  <c r="AM26" i="180"/>
  <c r="T16" i="27" s="1"/>
  <c r="BC24" i="180"/>
  <c r="BG19"/>
  <c r="BG8"/>
  <c r="BG9"/>
  <c r="AI24"/>
  <c r="AI26" s="1"/>
  <c r="Z43"/>
  <c r="AJ10"/>
  <c r="BH8"/>
  <c r="BD10"/>
  <c r="BD26" s="1"/>
  <c r="AD51"/>
  <c r="AD55"/>
  <c r="S42"/>
  <c r="AI24" i="177"/>
  <c r="BC10"/>
  <c r="BG8"/>
  <c r="BG18"/>
  <c r="AU26"/>
  <c r="L16" i="27" s="1"/>
  <c r="BG16" i="177"/>
  <c r="BC24"/>
  <c r="BG19"/>
  <c r="BG9"/>
  <c r="AK24"/>
  <c r="AK26" s="1"/>
  <c r="AE26" i="200"/>
  <c r="AR10" i="27" s="1"/>
  <c r="AA43" i="200"/>
  <c r="AC37"/>
  <c r="AE37" s="1"/>
  <c r="AJ24"/>
  <c r="S40" i="177"/>
  <c r="BH9" i="200"/>
  <c r="BH8"/>
  <c r="AM26"/>
  <c r="AU26"/>
  <c r="BC24"/>
  <c r="AI24"/>
  <c r="AX26"/>
  <c r="AC42"/>
  <c r="AE42" s="1"/>
  <c r="BI16"/>
  <c r="AC40"/>
  <c r="AE40" s="1"/>
  <c r="AC39"/>
  <c r="AE39" s="1"/>
  <c r="AC36"/>
  <c r="AE36" s="1"/>
  <c r="X43"/>
  <c r="AD57"/>
  <c r="BI17"/>
  <c r="Z43"/>
  <c r="AJ10"/>
  <c r="AC38"/>
  <c r="AE38" s="1"/>
  <c r="W43"/>
  <c r="AC34"/>
  <c r="AE34" s="1"/>
  <c r="AD43"/>
  <c r="AH24"/>
  <c r="S40"/>
  <c r="S38"/>
  <c r="S41"/>
  <c r="Q43"/>
  <c r="S39"/>
  <c r="AC42" i="227"/>
  <c r="AE42" s="1"/>
  <c r="R43" i="200"/>
  <c r="S37"/>
  <c r="M43"/>
  <c r="O43"/>
  <c r="P43"/>
  <c r="N43"/>
  <c r="S36"/>
  <c r="X43" i="227"/>
  <c r="S57"/>
  <c r="S58" s="1"/>
  <c r="S41"/>
  <c r="AW26" i="194"/>
  <c r="N14" i="66" s="1"/>
  <c r="BI17" i="194"/>
  <c r="BH7" i="196"/>
  <c r="AH24"/>
  <c r="R43" i="227"/>
  <c r="S37"/>
  <c r="BF19" i="220"/>
  <c r="AH10"/>
  <c r="O43" i="176"/>
  <c r="N26" i="220"/>
  <c r="AH24"/>
  <c r="BE26" i="194"/>
  <c r="AC36"/>
  <c r="AE36" s="1"/>
  <c r="BI7"/>
  <c r="Y43"/>
  <c r="BI22"/>
  <c r="AD43"/>
  <c r="T72" s="1"/>
  <c r="T73" s="1"/>
  <c r="AB43"/>
  <c r="S40"/>
  <c r="Z43"/>
  <c r="AC42"/>
  <c r="AE42" s="1"/>
  <c r="N43"/>
  <c r="S38"/>
  <c r="P43"/>
  <c r="BG7" i="196"/>
  <c r="BI19"/>
  <c r="BE24"/>
  <c r="BE26" s="1"/>
  <c r="S39" i="219"/>
  <c r="AB43"/>
  <c r="S42" i="209"/>
  <c r="AC39"/>
  <c r="AE39" s="1"/>
  <c r="S39"/>
  <c r="AC41"/>
  <c r="AE41" s="1"/>
  <c r="R43"/>
  <c r="S34"/>
  <c r="AC36"/>
  <c r="AE36" s="1"/>
  <c r="S38"/>
  <c r="AB43"/>
  <c r="AC37"/>
  <c r="AE37" s="1"/>
  <c r="AC41" i="208"/>
  <c r="AE41" s="1"/>
  <c r="AC40"/>
  <c r="AE40" s="1"/>
  <c r="S42"/>
  <c r="N43"/>
  <c r="Z43"/>
  <c r="S34"/>
  <c r="AC36"/>
  <c r="AE36" s="1"/>
  <c r="S38"/>
  <c r="M43"/>
  <c r="Y43"/>
  <c r="AC35"/>
  <c r="AE35" s="1"/>
  <c r="P43"/>
  <c r="X43"/>
  <c r="M43" i="224"/>
  <c r="Y43"/>
  <c r="AC35"/>
  <c r="AE35" s="1"/>
  <c r="AC40" i="206"/>
  <c r="AE40" s="1"/>
  <c r="AC35" i="205"/>
  <c r="AE35" s="1"/>
  <c r="AD57" i="204"/>
  <c r="AC36"/>
  <c r="AE36" s="1"/>
  <c r="AD50"/>
  <c r="Y44"/>
  <c r="AD49"/>
  <c r="AD53"/>
  <c r="O44"/>
  <c r="AD48"/>
  <c r="AC42" i="203"/>
  <c r="AE42" s="1"/>
  <c r="AD56"/>
  <c r="AD53"/>
  <c r="AD55"/>
  <c r="AC40"/>
  <c r="AE40" s="1"/>
  <c r="AD54"/>
  <c r="AD48"/>
  <c r="S36"/>
  <c r="AC37"/>
  <c r="AE37" s="1"/>
  <c r="AD51"/>
  <c r="AD49"/>
  <c r="Y43"/>
  <c r="AC40" i="223"/>
  <c r="AE40" s="1"/>
  <c r="AD54"/>
  <c r="AC42"/>
  <c r="AE42" s="1"/>
  <c r="AD56"/>
  <c r="AD47"/>
  <c r="AC35"/>
  <c r="AE35" s="1"/>
  <c r="AD49"/>
  <c r="AC37"/>
  <c r="AE37" s="1"/>
  <c r="AD51"/>
  <c r="S35"/>
  <c r="Z43"/>
  <c r="Z57"/>
  <c r="AC36"/>
  <c r="AE36" s="1"/>
  <c r="AD50"/>
  <c r="AC40" i="201"/>
  <c r="AE40" s="1"/>
  <c r="AD54"/>
  <c r="AC42"/>
  <c r="AE42" s="1"/>
  <c r="AD56"/>
  <c r="BJ16"/>
  <c r="BJ17"/>
  <c r="BJ20"/>
  <c r="BJ22"/>
  <c r="BJ23"/>
  <c r="R43"/>
  <c r="AB43"/>
  <c r="AC37"/>
  <c r="AE37" s="1"/>
  <c r="AD51"/>
  <c r="AD47"/>
  <c r="S35"/>
  <c r="AC36"/>
  <c r="AE36" s="1"/>
  <c r="AD50"/>
  <c r="S34"/>
  <c r="AC40" i="185"/>
  <c r="AE40" s="1"/>
  <c r="AD54"/>
  <c r="AC42"/>
  <c r="AE42" s="1"/>
  <c r="AD56"/>
  <c r="Z43"/>
  <c r="Y43"/>
  <c r="S37"/>
  <c r="AC38"/>
  <c r="AE38" s="1"/>
  <c r="AD52"/>
  <c r="P43"/>
  <c r="AD47"/>
  <c r="AD48"/>
  <c r="AC37"/>
  <c r="AE37" s="1"/>
  <c r="AD51"/>
  <c r="AC40" i="184"/>
  <c r="AE40" s="1"/>
  <c r="S42"/>
  <c r="N43" i="183"/>
  <c r="AA43"/>
  <c r="AC35"/>
  <c r="AE35" s="1"/>
  <c r="S37"/>
  <c r="AC37"/>
  <c r="AE37" s="1"/>
  <c r="S38"/>
  <c r="S39" i="179"/>
  <c r="S42"/>
  <c r="AC39"/>
  <c r="AE39" s="1"/>
  <c r="S35"/>
  <c r="AC37"/>
  <c r="AE37" s="1"/>
  <c r="AC36"/>
  <c r="AE36" s="1"/>
  <c r="S38"/>
  <c r="BG17" i="180"/>
  <c r="BG18"/>
  <c r="BG22"/>
  <c r="BF16"/>
  <c r="BF17"/>
  <c r="AB43"/>
  <c r="BG16"/>
  <c r="BF18"/>
  <c r="BF19"/>
  <c r="BF20"/>
  <c r="BF21"/>
  <c r="BF22"/>
  <c r="S40"/>
  <c r="AC42"/>
  <c r="AE42" s="1"/>
  <c r="AD56"/>
  <c r="AC40"/>
  <c r="AE40" s="1"/>
  <c r="AD54"/>
  <c r="AC34"/>
  <c r="AE34" s="1"/>
  <c r="AD48"/>
  <c r="AD47"/>
  <c r="S42" i="177"/>
  <c r="R43"/>
  <c r="AA43"/>
  <c r="AC37"/>
  <c r="AE37" s="1"/>
  <c r="AB43"/>
  <c r="AC36"/>
  <c r="AE36" s="1"/>
  <c r="Y43"/>
  <c r="AC40" i="227"/>
  <c r="AE40" s="1"/>
  <c r="S42"/>
  <c r="AC37"/>
  <c r="AE37" s="1"/>
  <c r="S34"/>
  <c r="AC36"/>
  <c r="AE36" s="1"/>
  <c r="AC35"/>
  <c r="AE35" s="1"/>
  <c r="AC34"/>
  <c r="AE34" s="1"/>
  <c r="BI7" i="220"/>
  <c r="BI9"/>
  <c r="BF7"/>
  <c r="BI8"/>
  <c r="AC37" i="176"/>
  <c r="AE37" s="1"/>
  <c r="AD51"/>
  <c r="AD47"/>
  <c r="AC35"/>
  <c r="AE35" s="1"/>
  <c r="AD49"/>
  <c r="S42" i="194"/>
  <c r="S36"/>
  <c r="AC37"/>
  <c r="AE37" s="1"/>
  <c r="S34" i="195"/>
  <c r="AD50"/>
  <c r="AD48"/>
  <c r="S36"/>
  <c r="AD47"/>
  <c r="AC37"/>
  <c r="AE37" s="1"/>
  <c r="AD54" i="196"/>
  <c r="AD55"/>
  <c r="AC40"/>
  <c r="AE40" s="1"/>
  <c r="R43"/>
  <c r="AC34"/>
  <c r="AE34" s="1"/>
  <c r="AD48"/>
  <c r="AA43" i="219"/>
  <c r="AI24"/>
  <c r="BC10"/>
  <c r="BG9"/>
  <c r="BG8"/>
  <c r="BG20"/>
  <c r="BG19"/>
  <c r="AI10"/>
  <c r="AJ10"/>
  <c r="BH10" s="1"/>
  <c r="Z43"/>
  <c r="AC40"/>
  <c r="AE40" s="1"/>
  <c r="AC37"/>
  <c r="AE37" s="1"/>
  <c r="AP18" i="77"/>
  <c r="AC39" i="219"/>
  <c r="AE39" s="1"/>
  <c r="Y43"/>
  <c r="AC41"/>
  <c r="AE41" s="1"/>
  <c r="AC42"/>
  <c r="AE42" s="1"/>
  <c r="AC35"/>
  <c r="AE35" s="1"/>
  <c r="AE57"/>
  <c r="AC38"/>
  <c r="AE38" s="1"/>
  <c r="AC34"/>
  <c r="AE34" s="1"/>
  <c r="S37"/>
  <c r="S36"/>
  <c r="W43"/>
  <c r="AD43"/>
  <c r="AC40" i="209"/>
  <c r="AE40" s="1"/>
  <c r="S40" i="219"/>
  <c r="S41"/>
  <c r="P43"/>
  <c r="R43"/>
  <c r="S34"/>
  <c r="Q43"/>
  <c r="S38"/>
  <c r="M43"/>
  <c r="AC38" i="209"/>
  <c r="AE38" s="1"/>
  <c r="AD52"/>
  <c r="W57"/>
  <c r="X43"/>
  <c r="AC34"/>
  <c r="AE34" s="1"/>
  <c r="AL18" i="77"/>
  <c r="AA43" i="209"/>
  <c r="AJ18" i="77"/>
  <c r="AK18"/>
  <c r="W43" i="209"/>
  <c r="Y43"/>
  <c r="AC35"/>
  <c r="AE35" s="1"/>
  <c r="AD43"/>
  <c r="AE57"/>
  <c r="S40"/>
  <c r="S41"/>
  <c r="S57"/>
  <c r="S58" s="1"/>
  <c r="M43"/>
  <c r="S36"/>
  <c r="Q43"/>
  <c r="S35"/>
  <c r="AC34" i="208"/>
  <c r="AE34" s="1"/>
  <c r="S39"/>
  <c r="AC39"/>
  <c r="AE39" s="1"/>
  <c r="AB43"/>
  <c r="AC38"/>
  <c r="AE38" s="1"/>
  <c r="AE57"/>
  <c r="AD43"/>
  <c r="AD57"/>
  <c r="S57"/>
  <c r="S58" s="1"/>
  <c r="W43"/>
  <c r="AC39" i="207"/>
  <c r="AE39" s="1"/>
  <c r="S39"/>
  <c r="X43"/>
  <c r="AC34"/>
  <c r="AE34" s="1"/>
  <c r="W43"/>
  <c r="M43"/>
  <c r="AE57" i="224"/>
  <c r="Q43" i="208"/>
  <c r="W43" i="224"/>
  <c r="S37" i="208"/>
  <c r="R43"/>
  <c r="S36"/>
  <c r="S35"/>
  <c r="AC39" i="224"/>
  <c r="AE39" s="1"/>
  <c r="X43"/>
  <c r="AB43"/>
  <c r="S34"/>
  <c r="AC36"/>
  <c r="AE36" s="1"/>
  <c r="AC38"/>
  <c r="AE38" s="1"/>
  <c r="AC40"/>
  <c r="AE40" s="1"/>
  <c r="AC42"/>
  <c r="AE42" s="1"/>
  <c r="AD57"/>
  <c r="Z43"/>
  <c r="AC34"/>
  <c r="AE34" s="1"/>
  <c r="AD43"/>
  <c r="R43"/>
  <c r="N43"/>
  <c r="P43"/>
  <c r="S39"/>
  <c r="S40"/>
  <c r="S57"/>
  <c r="S58" s="1"/>
  <c r="S42"/>
  <c r="S41"/>
  <c r="S38"/>
  <c r="Q43"/>
  <c r="S36"/>
  <c r="S37"/>
  <c r="AD57" i="206"/>
  <c r="O43"/>
  <c r="Y43"/>
  <c r="AA43"/>
  <c r="S35"/>
  <c r="AC35"/>
  <c r="AE35" s="1"/>
  <c r="S37"/>
  <c r="AC37"/>
  <c r="AE37" s="1"/>
  <c r="S39"/>
  <c r="AC39"/>
  <c r="AE39" s="1"/>
  <c r="S41"/>
  <c r="W43"/>
  <c r="AC41"/>
  <c r="AE41" s="1"/>
  <c r="AE57"/>
  <c r="AD43"/>
  <c r="AB43"/>
  <c r="AC34"/>
  <c r="AE34" s="1"/>
  <c r="Z43"/>
  <c r="AC38"/>
  <c r="AE38" s="1"/>
  <c r="S42"/>
  <c r="S36"/>
  <c r="AA43" i="205"/>
  <c r="AD43"/>
  <c r="S57" i="206"/>
  <c r="S58" s="1"/>
  <c r="S40"/>
  <c r="N43"/>
  <c r="S38"/>
  <c r="Q43"/>
  <c r="R43"/>
  <c r="S34"/>
  <c r="M43"/>
  <c r="N43" i="205"/>
  <c r="X43"/>
  <c r="Z43"/>
  <c r="AB43"/>
  <c r="S34"/>
  <c r="AC34"/>
  <c r="AE34" s="1"/>
  <c r="AC36"/>
  <c r="AE36" s="1"/>
  <c r="AC38"/>
  <c r="AE38" s="1"/>
  <c r="AC40"/>
  <c r="AE40" s="1"/>
  <c r="S42"/>
  <c r="AC42"/>
  <c r="AE42" s="1"/>
  <c r="W43"/>
  <c r="AC39"/>
  <c r="AE39" s="1"/>
  <c r="AC41"/>
  <c r="AE41" s="1"/>
  <c r="AD57"/>
  <c r="S57"/>
  <c r="S58" s="1"/>
  <c r="AE57"/>
  <c r="P43"/>
  <c r="S39"/>
  <c r="S38"/>
  <c r="S37"/>
  <c r="S36"/>
  <c r="AD54" i="204"/>
  <c r="S35" i="205"/>
  <c r="R43"/>
  <c r="S40"/>
  <c r="S41"/>
  <c r="AC42" i="204"/>
  <c r="AE42" s="1"/>
  <c r="AD56"/>
  <c r="M43" i="205"/>
  <c r="Q43"/>
  <c r="AD51" i="204"/>
  <c r="AD52"/>
  <c r="AC38"/>
  <c r="AE38" s="1"/>
  <c r="AC40"/>
  <c r="AE40" s="1"/>
  <c r="W44"/>
  <c r="S58"/>
  <c r="S59" s="1"/>
  <c r="AD44"/>
  <c r="AE58"/>
  <c r="S40"/>
  <c r="AA44"/>
  <c r="AC38" i="203"/>
  <c r="AE38" s="1"/>
  <c r="AD52"/>
  <c r="N44" i="204"/>
  <c r="P44"/>
  <c r="R44"/>
  <c r="X44"/>
  <c r="Z44"/>
  <c r="AB44"/>
  <c r="S35"/>
  <c r="AC35"/>
  <c r="AE35" s="1"/>
  <c r="AC37"/>
  <c r="AE37" s="1"/>
  <c r="S39"/>
  <c r="AC39"/>
  <c r="AE39" s="1"/>
  <c r="S41"/>
  <c r="AC41"/>
  <c r="AE41" s="1"/>
  <c r="S43"/>
  <c r="AC43"/>
  <c r="AE43" s="1"/>
  <c r="AC35" i="203"/>
  <c r="AE35" s="1"/>
  <c r="S42" i="204"/>
  <c r="S37"/>
  <c r="M44"/>
  <c r="S36"/>
  <c r="Q44"/>
  <c r="AC36" i="203"/>
  <c r="AE36" s="1"/>
  <c r="X43"/>
  <c r="AC34"/>
  <c r="AE34" s="1"/>
  <c r="AE57"/>
  <c r="AD43"/>
  <c r="AC39"/>
  <c r="AE39" s="1"/>
  <c r="W43"/>
  <c r="AC41"/>
  <c r="AE41" s="1"/>
  <c r="S57"/>
  <c r="S58" s="1"/>
  <c r="S39"/>
  <c r="P43"/>
  <c r="S38"/>
  <c r="M43"/>
  <c r="S41"/>
  <c r="S37"/>
  <c r="Q43"/>
  <c r="S35"/>
  <c r="O43" i="186"/>
  <c r="Y43"/>
  <c r="AC35"/>
  <c r="AE35" s="1"/>
  <c r="S37"/>
  <c r="AC37"/>
  <c r="AE37" s="1"/>
  <c r="AC41"/>
  <c r="AE41" s="1"/>
  <c r="AD47"/>
  <c r="AD57" s="1"/>
  <c r="P43"/>
  <c r="X43"/>
  <c r="Z43"/>
  <c r="AB43"/>
  <c r="AC38"/>
  <c r="AE38" s="1"/>
  <c r="AC40"/>
  <c r="AE40" s="1"/>
  <c r="S42"/>
  <c r="AC42"/>
  <c r="AE42" s="1"/>
  <c r="S57"/>
  <c r="S58" s="1"/>
  <c r="AA43"/>
  <c r="AC34"/>
  <c r="AE34" s="1"/>
  <c r="AC39"/>
  <c r="AE39" s="1"/>
  <c r="AD43"/>
  <c r="W43"/>
  <c r="AE57"/>
  <c r="AC36"/>
  <c r="AE36" s="1"/>
  <c r="S39"/>
  <c r="S34"/>
  <c r="S38"/>
  <c r="S41"/>
  <c r="AD48" i="223"/>
  <c r="S35" i="186"/>
  <c r="X43" i="223"/>
  <c r="AC34"/>
  <c r="AE34" s="1"/>
  <c r="AC39"/>
  <c r="AE39" s="1"/>
  <c r="AD53"/>
  <c r="AC38"/>
  <c r="AE38" s="1"/>
  <c r="AD52"/>
  <c r="AD55"/>
  <c r="R43" i="186"/>
  <c r="S36"/>
  <c r="N43"/>
  <c r="S40"/>
  <c r="Q43"/>
  <c r="M43"/>
  <c r="W43" i="223"/>
  <c r="Y43" i="201"/>
  <c r="AC41" i="223"/>
  <c r="AE41" s="1"/>
  <c r="AD43"/>
  <c r="AE57"/>
  <c r="S57"/>
  <c r="S58" s="1"/>
  <c r="S36"/>
  <c r="N43"/>
  <c r="O43"/>
  <c r="R43"/>
  <c r="S34"/>
  <c r="AA43" i="201"/>
  <c r="AD53"/>
  <c r="S39" i="223"/>
  <c r="P43"/>
  <c r="S38"/>
  <c r="Q43"/>
  <c r="M43"/>
  <c r="AC35" i="201"/>
  <c r="AE35" s="1"/>
  <c r="S41" i="223"/>
  <c r="AC34" i="201"/>
  <c r="AE34" s="1"/>
  <c r="AC39"/>
  <c r="AE39" s="1"/>
  <c r="AC41"/>
  <c r="AE41" s="1"/>
  <c r="S37"/>
  <c r="S57"/>
  <c r="S58" s="1"/>
  <c r="P43"/>
  <c r="W43"/>
  <c r="S42"/>
  <c r="AD43"/>
  <c r="AC38"/>
  <c r="AE38" s="1"/>
  <c r="AE57"/>
  <c r="X43" i="185"/>
  <c r="S38" i="201"/>
  <c r="S40"/>
  <c r="Q43"/>
  <c r="BH20" i="185"/>
  <c r="AB43"/>
  <c r="AC41"/>
  <c r="AE41" s="1"/>
  <c r="AC36"/>
  <c r="AE36" s="1"/>
  <c r="M43" i="201"/>
  <c r="AC35" i="185"/>
  <c r="AE35" s="1"/>
  <c r="W43"/>
  <c r="AC39"/>
  <c r="AE39" s="1"/>
  <c r="AE57"/>
  <c r="AD43"/>
  <c r="AC34"/>
  <c r="AE34" s="1"/>
  <c r="S57"/>
  <c r="S58" s="1"/>
  <c r="S40"/>
  <c r="Z43" i="184"/>
  <c r="AC38"/>
  <c r="AE38" s="1"/>
  <c r="S35" i="185"/>
  <c r="S34"/>
  <c r="S41"/>
  <c r="Q43"/>
  <c r="N43"/>
  <c r="S36"/>
  <c r="R43"/>
  <c r="S38"/>
  <c r="M43"/>
  <c r="X43" i="184"/>
  <c r="AC36"/>
  <c r="AE36" s="1"/>
  <c r="AD57"/>
  <c r="S36"/>
  <c r="R43"/>
  <c r="AC41" i="183"/>
  <c r="AE41" s="1"/>
  <c r="S40" i="184"/>
  <c r="P43"/>
  <c r="N43"/>
  <c r="T73" s="1"/>
  <c r="S34"/>
  <c r="S38"/>
  <c r="AC36" i="183"/>
  <c r="AE36" s="1"/>
  <c r="W43"/>
  <c r="Z43"/>
  <c r="AC39"/>
  <c r="AE39" s="1"/>
  <c r="AB43"/>
  <c r="AC42"/>
  <c r="AE42" s="1"/>
  <c r="AD57"/>
  <c r="AC34"/>
  <c r="AE34" s="1"/>
  <c r="S57"/>
  <c r="S58" s="1"/>
  <c r="S39"/>
  <c r="X43"/>
  <c r="AC40"/>
  <c r="AE40" s="1"/>
  <c r="AD43"/>
  <c r="AE57"/>
  <c r="S42"/>
  <c r="AD43" i="181"/>
  <c r="AE57"/>
  <c r="AD58" s="1"/>
  <c r="Q43" i="183"/>
  <c r="S35"/>
  <c r="M43"/>
  <c r="S41"/>
  <c r="BI20" i="196"/>
  <c r="AK24" i="227"/>
  <c r="AK26" s="1"/>
  <c r="P43" i="221"/>
  <c r="S42"/>
  <c r="AC35" i="179"/>
  <c r="AE35" s="1"/>
  <c r="AD49"/>
  <c r="X43"/>
  <c r="AC34"/>
  <c r="AE34" s="1"/>
  <c r="W43"/>
  <c r="AD43" i="176"/>
  <c r="AD43" i="179"/>
  <c r="AE57"/>
  <c r="S41"/>
  <c r="S40"/>
  <c r="AC41"/>
  <c r="AE41" s="1"/>
  <c r="AD53" i="180"/>
  <c r="AC40" i="179"/>
  <c r="AE40" s="1"/>
  <c r="X43" i="180"/>
  <c r="M43" i="179"/>
  <c r="Q43"/>
  <c r="S36"/>
  <c r="AC36" i="180"/>
  <c r="AE36" s="1"/>
  <c r="AC38"/>
  <c r="AE38" s="1"/>
  <c r="O43"/>
  <c r="Y43"/>
  <c r="AA43"/>
  <c r="S35"/>
  <c r="AC35"/>
  <c r="AE35" s="1"/>
  <c r="AC37"/>
  <c r="AE37" s="1"/>
  <c r="AC39"/>
  <c r="AE39" s="1"/>
  <c r="AC41"/>
  <c r="AE41" s="1"/>
  <c r="S57"/>
  <c r="S58" s="1"/>
  <c r="AD43"/>
  <c r="S39"/>
  <c r="AE57"/>
  <c r="W43"/>
  <c r="S38"/>
  <c r="P43"/>
  <c r="R43"/>
  <c r="S34"/>
  <c r="S37"/>
  <c r="AJ10" i="177"/>
  <c r="AD43"/>
  <c r="S41" i="180"/>
  <c r="AE57" i="177"/>
  <c r="X43"/>
  <c r="AC34"/>
  <c r="AE34" s="1"/>
  <c r="N43" i="180"/>
  <c r="S36"/>
  <c r="Q43"/>
  <c r="M43"/>
  <c r="Z43" i="177"/>
  <c r="AC38"/>
  <c r="AE38" s="1"/>
  <c r="AC35"/>
  <c r="AE35" s="1"/>
  <c r="AC41"/>
  <c r="AE41" s="1"/>
  <c r="AC39"/>
  <c r="AE39" s="1"/>
  <c r="AC40"/>
  <c r="AE40" s="1"/>
  <c r="W43"/>
  <c r="S57"/>
  <c r="S58" s="1"/>
  <c r="S39"/>
  <c r="S38"/>
  <c r="N43"/>
  <c r="S36"/>
  <c r="S37"/>
  <c r="P43"/>
  <c r="S34"/>
  <c r="AC41" i="227"/>
  <c r="AE41" s="1"/>
  <c r="S35" i="177"/>
  <c r="S41"/>
  <c r="Q43"/>
  <c r="M43"/>
  <c r="Y43" i="227"/>
  <c r="Z43"/>
  <c r="AC38"/>
  <c r="AE38" s="1"/>
  <c r="AA43"/>
  <c r="W43"/>
  <c r="AD57"/>
  <c r="S39"/>
  <c r="AC39"/>
  <c r="AE39" s="1"/>
  <c r="AD43"/>
  <c r="U72" s="1"/>
  <c r="AE57"/>
  <c r="S38"/>
  <c r="O43"/>
  <c r="K26" i="220"/>
  <c r="P43" i="227"/>
  <c r="S40"/>
  <c r="N43" i="220"/>
  <c r="P43"/>
  <c r="X43"/>
  <c r="AB43"/>
  <c r="AC34"/>
  <c r="AE34" s="1"/>
  <c r="S36"/>
  <c r="AC36"/>
  <c r="AE36" s="1"/>
  <c r="AC38"/>
  <c r="AE38" s="1"/>
  <c r="S40"/>
  <c r="M43" i="227"/>
  <c r="AA43" i="176"/>
  <c r="S35" i="227"/>
  <c r="N43"/>
  <c r="S36"/>
  <c r="Q43"/>
  <c r="Z43" i="220"/>
  <c r="AC40"/>
  <c r="AE40" s="1"/>
  <c r="AD57"/>
  <c r="AC42"/>
  <c r="AE42" s="1"/>
  <c r="S34"/>
  <c r="R43"/>
  <c r="S38"/>
  <c r="W57" i="176"/>
  <c r="AD56"/>
  <c r="S42" i="220"/>
  <c r="O43"/>
  <c r="W43"/>
  <c r="Y43"/>
  <c r="AA43"/>
  <c r="AD43"/>
  <c r="AC35"/>
  <c r="AE35" s="1"/>
  <c r="S37"/>
  <c r="AC37"/>
  <c r="AE37" s="1"/>
  <c r="S39"/>
  <c r="AC39"/>
  <c r="AE39" s="1"/>
  <c r="S41"/>
  <c r="AC41"/>
  <c r="AE41" s="1"/>
  <c r="AE57"/>
  <c r="AE57" i="176"/>
  <c r="S57" i="220"/>
  <c r="S58" s="1"/>
  <c r="S35"/>
  <c r="AC41" i="176"/>
  <c r="AE41" s="1"/>
  <c r="M43" i="220"/>
  <c r="Q43"/>
  <c r="N43" i="176"/>
  <c r="P43"/>
  <c r="R43"/>
  <c r="X43"/>
  <c r="Z43"/>
  <c r="AB43"/>
  <c r="S34"/>
  <c r="AC34"/>
  <c r="AE34" s="1"/>
  <c r="AC36"/>
  <c r="AE36" s="1"/>
  <c r="S38"/>
  <c r="AC38"/>
  <c r="AE38" s="1"/>
  <c r="S40"/>
  <c r="S42"/>
  <c r="AC42"/>
  <c r="AE42" s="1"/>
  <c r="AC40"/>
  <c r="AE40" s="1"/>
  <c r="AC39"/>
  <c r="AE39" s="1"/>
  <c r="W43"/>
  <c r="S37"/>
  <c r="S39"/>
  <c r="S35"/>
  <c r="S41"/>
  <c r="AC38" i="194"/>
  <c r="AE38" s="1"/>
  <c r="S57" i="176"/>
  <c r="S58" s="1"/>
  <c r="AC41" i="194"/>
  <c r="AE41" s="1"/>
  <c r="M43" i="176"/>
  <c r="S36"/>
  <c r="Q43"/>
  <c r="AJ10" i="194"/>
  <c r="AJ26" s="1"/>
  <c r="W43"/>
  <c r="AC34"/>
  <c r="AE34" s="1"/>
  <c r="AC39"/>
  <c r="AE39" s="1"/>
  <c r="AC35"/>
  <c r="AE35" s="1"/>
  <c r="BD10"/>
  <c r="BD26" s="1"/>
  <c r="BH9"/>
  <c r="X43"/>
  <c r="AC40"/>
  <c r="AE40" s="1"/>
  <c r="S35"/>
  <c r="AC38" i="195"/>
  <c r="AE38" s="1"/>
  <c r="AC41"/>
  <c r="AE41" s="1"/>
  <c r="AD55"/>
  <c r="S57" i="194"/>
  <c r="S58" s="1"/>
  <c r="AD53" i="195"/>
  <c r="S39" i="194"/>
  <c r="S41"/>
  <c r="BC10" i="195"/>
  <c r="BC26" s="1"/>
  <c r="BG9"/>
  <c r="S37" i="194"/>
  <c r="AC36" i="195"/>
  <c r="AE36" s="1"/>
  <c r="AS26"/>
  <c r="Q43" i="194"/>
  <c r="AH24"/>
  <c r="R43"/>
  <c r="S34"/>
  <c r="M43"/>
  <c r="AI24" i="195"/>
  <c r="X43"/>
  <c r="AC34"/>
  <c r="AE34" s="1"/>
  <c r="AC39"/>
  <c r="AE39" s="1"/>
  <c r="S57"/>
  <c r="S58" s="1"/>
  <c r="AB43"/>
  <c r="AC42"/>
  <c r="AE42" s="1"/>
  <c r="S39"/>
  <c r="BB10"/>
  <c r="BB26" s="1"/>
  <c r="BF9"/>
  <c r="N43"/>
  <c r="S40"/>
  <c r="AE57"/>
  <c r="S38"/>
  <c r="S41"/>
  <c r="AJ10" i="196"/>
  <c r="AC37"/>
  <c r="AE37" s="1"/>
  <c r="AC36"/>
  <c r="AE36" s="1"/>
  <c r="AD43" i="195"/>
  <c r="W43"/>
  <c r="X43" i="196"/>
  <c r="AD47"/>
  <c r="Q43" i="195"/>
  <c r="BC10" i="196"/>
  <c r="BG9"/>
  <c r="S37" i="195"/>
  <c r="AL26"/>
  <c r="BG17" i="196"/>
  <c r="BG20"/>
  <c r="AI24"/>
  <c r="S35" i="195"/>
  <c r="M43"/>
  <c r="BD24" i="196"/>
  <c r="BH18"/>
  <c r="BG18"/>
  <c r="AK24"/>
  <c r="AK26" s="1"/>
  <c r="BC24"/>
  <c r="BG19"/>
  <c r="Y26"/>
  <c r="Z43"/>
  <c r="AC35"/>
  <c r="AE35" s="1"/>
  <c r="W43"/>
  <c r="AB43"/>
  <c r="AC42"/>
  <c r="AE42" s="1"/>
  <c r="AW26"/>
  <c r="AE57"/>
  <c r="AD43"/>
  <c r="BF20"/>
  <c r="S39"/>
  <c r="P43"/>
  <c r="S38"/>
  <c r="BF9"/>
  <c r="BH20"/>
  <c r="AV26"/>
  <c r="AC41"/>
  <c r="AE41" s="1"/>
  <c r="AC39"/>
  <c r="AE39" s="1"/>
  <c r="S34"/>
  <c r="AH10"/>
  <c r="S37"/>
  <c r="N43"/>
  <c r="S36"/>
  <c r="BF19"/>
  <c r="S41"/>
  <c r="AT26"/>
  <c r="S57"/>
  <c r="S58" s="1"/>
  <c r="Q43"/>
  <c r="M43"/>
  <c r="J26"/>
  <c r="AK26" i="219"/>
  <c r="BI10"/>
  <c r="BG6"/>
  <c r="BI6"/>
  <c r="BG15"/>
  <c r="BI15"/>
  <c r="AC33"/>
  <c r="BF6"/>
  <c r="BH6"/>
  <c r="BF15"/>
  <c r="BH15"/>
  <c r="BH24" s="1"/>
  <c r="S33"/>
  <c r="AK26" i="209"/>
  <c r="BI10"/>
  <c r="BG6"/>
  <c r="BI6"/>
  <c r="BG15"/>
  <c r="BI15"/>
  <c r="BI24" s="1"/>
  <c r="AC33"/>
  <c r="BF6"/>
  <c r="BF10" s="1"/>
  <c r="BH6"/>
  <c r="BF15"/>
  <c r="BH15"/>
  <c r="S33"/>
  <c r="AK26" i="208"/>
  <c r="BI10"/>
  <c r="AJ26"/>
  <c r="BG6"/>
  <c r="BI6"/>
  <c r="BG15"/>
  <c r="BI15"/>
  <c r="BI24" s="1"/>
  <c r="AC33"/>
  <c r="BF6"/>
  <c r="BH6"/>
  <c r="BF15"/>
  <c r="BF24" s="1"/>
  <c r="BH15"/>
  <c r="S33"/>
  <c r="BG6" i="214"/>
  <c r="BT13"/>
  <c r="BG15"/>
  <c r="BI15"/>
  <c r="BI24" s="1"/>
  <c r="AC33"/>
  <c r="BF6"/>
  <c r="BF10" s="1"/>
  <c r="BS13"/>
  <c r="BF15"/>
  <c r="BH15"/>
  <c r="BH24" s="1"/>
  <c r="S33"/>
  <c r="AK26" i="207"/>
  <c r="BI10"/>
  <c r="BG6"/>
  <c r="BI6"/>
  <c r="BG15"/>
  <c r="BI15"/>
  <c r="AC33"/>
  <c r="BF6"/>
  <c r="BH6"/>
  <c r="BF15"/>
  <c r="BH15"/>
  <c r="S33"/>
  <c r="BI10" i="224"/>
  <c r="BG6"/>
  <c r="BI6"/>
  <c r="BG15"/>
  <c r="BI15"/>
  <c r="AC33"/>
  <c r="AE33" s="1"/>
  <c r="BF6"/>
  <c r="BH6"/>
  <c r="BF15"/>
  <c r="BH15"/>
  <c r="S33"/>
  <c r="AK26" i="206"/>
  <c r="BI10"/>
  <c r="BG6"/>
  <c r="BI6"/>
  <c r="BG15"/>
  <c r="BI15"/>
  <c r="AC33"/>
  <c r="BF6"/>
  <c r="BF15"/>
  <c r="BH15"/>
  <c r="BI10" i="205"/>
  <c r="BG6"/>
  <c r="BI6"/>
  <c r="BG15"/>
  <c r="BI15"/>
  <c r="AC33"/>
  <c r="BF6"/>
  <c r="BH6"/>
  <c r="BF15"/>
  <c r="BH15"/>
  <c r="BH24" s="1"/>
  <c r="S33"/>
  <c r="AK26" i="204"/>
  <c r="BI10"/>
  <c r="BG6"/>
  <c r="BI6"/>
  <c r="BG15"/>
  <c r="BI15"/>
  <c r="BI24" s="1"/>
  <c r="AC34"/>
  <c r="BF6"/>
  <c r="BF10" s="1"/>
  <c r="BH6"/>
  <c r="BF15"/>
  <c r="BH15"/>
  <c r="S34"/>
  <c r="AK26" i="203"/>
  <c r="BI10"/>
  <c r="BG6"/>
  <c r="BI6"/>
  <c r="BG15"/>
  <c r="BI15"/>
  <c r="AC33"/>
  <c r="BF6"/>
  <c r="BF10" s="1"/>
  <c r="BH6"/>
  <c r="BF15"/>
  <c r="BH15"/>
  <c r="BH24" s="1"/>
  <c r="S33"/>
  <c r="AK26" i="186"/>
  <c r="BI10"/>
  <c r="BG6"/>
  <c r="BI6"/>
  <c r="BG15"/>
  <c r="BI15"/>
  <c r="BI24" s="1"/>
  <c r="AC33"/>
  <c r="BF6"/>
  <c r="BH6"/>
  <c r="BF15"/>
  <c r="BH15"/>
  <c r="S33"/>
  <c r="AK26" i="223"/>
  <c r="BI10"/>
  <c r="BG6"/>
  <c r="BI6"/>
  <c r="BG15"/>
  <c r="BI15"/>
  <c r="BI24" s="1"/>
  <c r="AC33"/>
  <c r="BH6"/>
  <c r="BF15"/>
  <c r="BH15"/>
  <c r="S33"/>
  <c r="AK26" i="201"/>
  <c r="BI10"/>
  <c r="BG6"/>
  <c r="BI6"/>
  <c r="BG15"/>
  <c r="BI15"/>
  <c r="AC33"/>
  <c r="BF6"/>
  <c r="BH6"/>
  <c r="BF15"/>
  <c r="BH15"/>
  <c r="S33"/>
  <c r="AK26" i="185"/>
  <c r="BI10"/>
  <c r="BG6"/>
  <c r="BI6"/>
  <c r="BG15"/>
  <c r="BI15"/>
  <c r="AC33"/>
  <c r="BF6"/>
  <c r="BH6"/>
  <c r="BF15"/>
  <c r="S33"/>
  <c r="M43" i="184"/>
  <c r="O43"/>
  <c r="Q43"/>
  <c r="W43"/>
  <c r="Y43"/>
  <c r="AA43"/>
  <c r="AD43"/>
  <c r="S35"/>
  <c r="AC35"/>
  <c r="AE35" s="1"/>
  <c r="S37"/>
  <c r="AC37"/>
  <c r="AE37" s="1"/>
  <c r="S39"/>
  <c r="AC39"/>
  <c r="AE39" s="1"/>
  <c r="S41"/>
  <c r="AC41"/>
  <c r="AE41" s="1"/>
  <c r="AE57"/>
  <c r="AK26"/>
  <c r="BI10"/>
  <c r="BF6"/>
  <c r="BH6"/>
  <c r="BF15"/>
  <c r="BH15"/>
  <c r="AC33"/>
  <c r="BG6"/>
  <c r="BI6"/>
  <c r="BG15"/>
  <c r="BI15"/>
  <c r="BI24" s="1"/>
  <c r="S33"/>
  <c r="BF6" i="183"/>
  <c r="BH6"/>
  <c r="BF15"/>
  <c r="BH15"/>
  <c r="BH24" s="1"/>
  <c r="AC33"/>
  <c r="BG6"/>
  <c r="BI6"/>
  <c r="BG15"/>
  <c r="BI15"/>
  <c r="S33"/>
  <c r="BI10" i="181"/>
  <c r="BF6"/>
  <c r="BH6"/>
  <c r="BF15"/>
  <c r="BH15"/>
  <c r="AC33"/>
  <c r="BG6"/>
  <c r="BI6"/>
  <c r="BG15"/>
  <c r="BI15"/>
  <c r="S33"/>
  <c r="BI10" i="221"/>
  <c r="S58"/>
  <c r="AD58"/>
  <c r="BF6"/>
  <c r="BH6"/>
  <c r="BF15"/>
  <c r="BH15"/>
  <c r="BH24" s="1"/>
  <c r="AC33"/>
  <c r="BG6"/>
  <c r="BI6"/>
  <c r="BG15"/>
  <c r="BI15"/>
  <c r="BI24" s="1"/>
  <c r="S33"/>
  <c r="AJ26" i="179"/>
  <c r="AK26"/>
  <c r="BI10"/>
  <c r="BF6"/>
  <c r="BH6"/>
  <c r="BF15"/>
  <c r="BH15"/>
  <c r="AC33"/>
  <c r="BG6"/>
  <c r="BI6"/>
  <c r="BG15"/>
  <c r="BI15"/>
  <c r="S33"/>
  <c r="BI10" i="180"/>
  <c r="BF6"/>
  <c r="BH6"/>
  <c r="BF15"/>
  <c r="BH15"/>
  <c r="AC33"/>
  <c r="BG6"/>
  <c r="BI6"/>
  <c r="BG15"/>
  <c r="BI15"/>
  <c r="S33"/>
  <c r="BI10" i="177"/>
  <c r="BF6"/>
  <c r="BH6"/>
  <c r="BF15"/>
  <c r="BH15"/>
  <c r="AC33"/>
  <c r="BG6"/>
  <c r="BI6"/>
  <c r="BG15"/>
  <c r="BI15"/>
  <c r="BI24" s="1"/>
  <c r="S33"/>
  <c r="AK26" i="200"/>
  <c r="BI10"/>
  <c r="AD58"/>
  <c r="BF6"/>
  <c r="BH6"/>
  <c r="BF15"/>
  <c r="BH15"/>
  <c r="AC33"/>
  <c r="BG6"/>
  <c r="BI6"/>
  <c r="BG15"/>
  <c r="BI15"/>
  <c r="S33"/>
  <c r="AJ26" i="227"/>
  <c r="BI10"/>
  <c r="BF6"/>
  <c r="BH6"/>
  <c r="BF15"/>
  <c r="BH15"/>
  <c r="AC33"/>
  <c r="BG6"/>
  <c r="BI6"/>
  <c r="BG15"/>
  <c r="BI15"/>
  <c r="S33"/>
  <c r="AJ26" i="220"/>
  <c r="BH10"/>
  <c r="AK26"/>
  <c r="BI10"/>
  <c r="BF6"/>
  <c r="BH6"/>
  <c r="BF15"/>
  <c r="BH15"/>
  <c r="AC33"/>
  <c r="BG6"/>
  <c r="BI6"/>
  <c r="BG15"/>
  <c r="BI15"/>
  <c r="S33"/>
  <c r="AK26" i="176"/>
  <c r="BI10"/>
  <c r="BF6"/>
  <c r="BH6"/>
  <c r="BF15"/>
  <c r="BH15"/>
  <c r="BH24" s="1"/>
  <c r="AC33"/>
  <c r="BG6"/>
  <c r="BI6"/>
  <c r="BG15"/>
  <c r="BI15"/>
  <c r="S33"/>
  <c r="AK26" i="194"/>
  <c r="BI10"/>
  <c r="BF6"/>
  <c r="BH6"/>
  <c r="BF15"/>
  <c r="BH15"/>
  <c r="AC33"/>
  <c r="BG6"/>
  <c r="BI6"/>
  <c r="BG15"/>
  <c r="BI15"/>
  <c r="S33"/>
  <c r="AJ26" i="195"/>
  <c r="AK26"/>
  <c r="BI10"/>
  <c r="BF6"/>
  <c r="BH6"/>
  <c r="BF15"/>
  <c r="BH15"/>
  <c r="BH24" s="1"/>
  <c r="AC33"/>
  <c r="BG6"/>
  <c r="BI6"/>
  <c r="BG15"/>
  <c r="BI15"/>
  <c r="S33"/>
  <c r="BI10" i="196"/>
  <c r="BF6"/>
  <c r="BH6"/>
  <c r="BF15"/>
  <c r="BH15"/>
  <c r="AC33"/>
  <c r="BG6"/>
  <c r="BI6"/>
  <c r="BG15"/>
  <c r="BI15"/>
  <c r="S33"/>
  <c r="BF10" i="208" l="1"/>
  <c r="AK26" i="214"/>
  <c r="BC26"/>
  <c r="AJ26" i="206"/>
  <c r="BC26" i="221"/>
  <c r="L11" i="27"/>
  <c r="BH10" i="181"/>
  <c r="AA16" i="27"/>
  <c r="W11"/>
  <c r="AT10"/>
  <c r="AI26" i="200"/>
  <c r="BD26"/>
  <c r="BH10"/>
  <c r="AQ7" i="27"/>
  <c r="F18" i="82"/>
  <c r="E18"/>
  <c r="X16" i="71"/>
  <c r="T18"/>
  <c r="AQ14" i="27"/>
  <c r="X18"/>
  <c r="W16"/>
  <c r="S11"/>
  <c r="S18" s="1"/>
  <c r="T11"/>
  <c r="T18" s="1"/>
  <c r="V11"/>
  <c r="V18" s="1"/>
  <c r="AR13"/>
  <c r="N18"/>
  <c r="L18"/>
  <c r="K11"/>
  <c r="K18" s="1"/>
  <c r="AR8"/>
  <c r="AQ6"/>
  <c r="AQ9"/>
  <c r="AQ8"/>
  <c r="AQ13"/>
  <c r="AQ15"/>
  <c r="D11"/>
  <c r="AQ5"/>
  <c r="C11"/>
  <c r="AQ12"/>
  <c r="AQ16" s="1"/>
  <c r="D18" i="82"/>
  <c r="AI26" i="214"/>
  <c r="BI24" i="205"/>
  <c r="BI26" s="1"/>
  <c r="BF24" i="203"/>
  <c r="BF26" s="1"/>
  <c r="BB26" i="185"/>
  <c r="AS15" i="27"/>
  <c r="BC26" i="179"/>
  <c r="AI26"/>
  <c r="BC26" i="180"/>
  <c r="AR14" i="27"/>
  <c r="T73" i="227"/>
  <c r="AI26"/>
  <c r="L18" i="71"/>
  <c r="N18"/>
  <c r="P11" i="66"/>
  <c r="AF16"/>
  <c r="L11"/>
  <c r="AH26" i="208"/>
  <c r="BH10" i="206"/>
  <c r="AJ26" i="205"/>
  <c r="BH10" i="186"/>
  <c r="BH10" i="201"/>
  <c r="BJ9"/>
  <c r="AD59" i="183"/>
  <c r="AI26" i="221"/>
  <c r="BH10" i="227"/>
  <c r="BF24" i="220"/>
  <c r="AJ26" i="176"/>
  <c r="BC26" i="194"/>
  <c r="AJ16" i="66"/>
  <c r="BI24" i="227"/>
  <c r="BH10" i="208"/>
  <c r="BC26" i="186"/>
  <c r="T73" i="214"/>
  <c r="AI16" i="66"/>
  <c r="AJ26" i="201"/>
  <c r="AI26"/>
  <c r="BC26"/>
  <c r="BD26" i="177"/>
  <c r="BH10"/>
  <c r="AH26"/>
  <c r="BF10"/>
  <c r="BH10" i="176"/>
  <c r="BH26" s="1"/>
  <c r="BI24" i="181"/>
  <c r="BI26" s="1"/>
  <c r="BD26" i="196"/>
  <c r="BG10" i="204"/>
  <c r="AI26" i="186"/>
  <c r="S18" i="71"/>
  <c r="AH26" i="185"/>
  <c r="BB26" i="180"/>
  <c r="AJ26" i="177"/>
  <c r="AH26" i="180"/>
  <c r="BC26" i="200"/>
  <c r="U72" i="176"/>
  <c r="BI24" i="195"/>
  <c r="BI26" s="1"/>
  <c r="AD59" i="219"/>
  <c r="AH26" i="221"/>
  <c r="BF10" i="200"/>
  <c r="AD18" i="77"/>
  <c r="AB18"/>
  <c r="BG10" i="224"/>
  <c r="AH18" i="77"/>
  <c r="BG10" i="206"/>
  <c r="AH26" i="224"/>
  <c r="AI26" i="206"/>
  <c r="AE18" i="77"/>
  <c r="AC18"/>
  <c r="AI26" i="205"/>
  <c r="BC26"/>
  <c r="AH26" i="206"/>
  <c r="BF10" i="205"/>
  <c r="BH10" i="204"/>
  <c r="BC26" i="223"/>
  <c r="AJ26"/>
  <c r="BH24" i="184"/>
  <c r="BH26" s="1"/>
  <c r="BH24" i="181"/>
  <c r="AJ26" i="221"/>
  <c r="BF10" i="179"/>
  <c r="BB26"/>
  <c r="BC26" i="176"/>
  <c r="AI26"/>
  <c r="BF10" i="220"/>
  <c r="BG10" i="176"/>
  <c r="BB26"/>
  <c r="BF24" i="194"/>
  <c r="AI26" i="195"/>
  <c r="AI26" i="224"/>
  <c r="AI26" i="185"/>
  <c r="AJ26" i="184"/>
  <c r="BC26" i="219"/>
  <c r="BD26" i="209"/>
  <c r="AI26" i="208"/>
  <c r="BH10" i="214"/>
  <c r="BH26" s="1"/>
  <c r="BH10" i="207"/>
  <c r="AJ26"/>
  <c r="BC26" i="224"/>
  <c r="BG24"/>
  <c r="BF10" i="207"/>
  <c r="BG24" i="204"/>
  <c r="AJ26"/>
  <c r="BH24"/>
  <c r="BH24" i="186"/>
  <c r="BF10"/>
  <c r="BG24" i="223"/>
  <c r="AI26"/>
  <c r="BC26" i="185"/>
  <c r="BF10"/>
  <c r="BB26" i="184"/>
  <c r="BF10"/>
  <c r="BF24"/>
  <c r="AH26"/>
  <c r="BC26" i="181"/>
  <c r="BG10"/>
  <c r="AI26"/>
  <c r="AH26"/>
  <c r="BF10"/>
  <c r="AI26" i="177"/>
  <c r="BF24" i="200"/>
  <c r="BB26" i="227"/>
  <c r="BF10"/>
  <c r="BC26" i="220"/>
  <c r="BF24" i="227"/>
  <c r="AH26"/>
  <c r="AI26" i="220"/>
  <c r="BF10" i="194"/>
  <c r="AH26"/>
  <c r="BG24" i="195"/>
  <c r="BH10" i="209"/>
  <c r="AA18" i="77"/>
  <c r="W18"/>
  <c r="BH10" i="196"/>
  <c r="BG24"/>
  <c r="BH24" i="209"/>
  <c r="BG10"/>
  <c r="AJ26"/>
  <c r="BC26" i="208"/>
  <c r="BF24" i="209"/>
  <c r="BF26" s="1"/>
  <c r="BG10" i="214"/>
  <c r="AD58"/>
  <c r="BC26" i="206"/>
  <c r="BF24" i="205"/>
  <c r="AD59" i="203"/>
  <c r="U72" i="196"/>
  <c r="T74" s="1"/>
  <c r="BF24" i="195"/>
  <c r="BI24" i="183"/>
  <c r="BI26" s="1"/>
  <c r="BI24" i="194"/>
  <c r="BH24" i="177"/>
  <c r="BI24" i="180"/>
  <c r="S43" i="181"/>
  <c r="BF24" i="185"/>
  <c r="BI24" i="201"/>
  <c r="BG24" i="206"/>
  <c r="BH24" i="224"/>
  <c r="BI24" i="207"/>
  <c r="BI26" s="1"/>
  <c r="BG24" i="214"/>
  <c r="BH24" i="208"/>
  <c r="AD57" i="176"/>
  <c r="AD58" i="194"/>
  <c r="BF24" i="221"/>
  <c r="AD58" i="184"/>
  <c r="BF24" i="177"/>
  <c r="BH24" i="179"/>
  <c r="BF10" i="221"/>
  <c r="AD59" i="185"/>
  <c r="BG24" i="201"/>
  <c r="BI24" i="203"/>
  <c r="BI26" s="1"/>
  <c r="BI24" i="219"/>
  <c r="BF24" i="181"/>
  <c r="BG24" i="221"/>
  <c r="BG24" i="181"/>
  <c r="BH24" i="206"/>
  <c r="AD59" i="224"/>
  <c r="BH24" i="220"/>
  <c r="BI24" i="206"/>
  <c r="BI24" i="220"/>
  <c r="BH24" i="200"/>
  <c r="BH26" s="1"/>
  <c r="BH24" i="196"/>
  <c r="BG10" i="194"/>
  <c r="BG24" i="220"/>
  <c r="BG10" i="227"/>
  <c r="BF24" i="223"/>
  <c r="BG24" i="205"/>
  <c r="BF24" i="206"/>
  <c r="BH24" i="207"/>
  <c r="BI24" i="176"/>
  <c r="BI26" s="1"/>
  <c r="BI24" i="179"/>
  <c r="BI26" s="1"/>
  <c r="BF24" i="201"/>
  <c r="BG24" i="186"/>
  <c r="BF24" i="207"/>
  <c r="BH24" i="194"/>
  <c r="BG10" i="220"/>
  <c r="BH24" i="227"/>
  <c r="BG24" i="179"/>
  <c r="BF10" i="206"/>
  <c r="BI24" i="224"/>
  <c r="BI26" s="1"/>
  <c r="BG10" i="201"/>
  <c r="BG24" i="185"/>
  <c r="BF10" i="201"/>
  <c r="BG10" i="185"/>
  <c r="BI24"/>
  <c r="BI26" s="1"/>
  <c r="BG10" i="184"/>
  <c r="BG24"/>
  <c r="BC26" i="183"/>
  <c r="BG24"/>
  <c r="AK26"/>
  <c r="BB26"/>
  <c r="T73" i="221"/>
  <c r="BG10"/>
  <c r="BB26"/>
  <c r="BH10" i="179"/>
  <c r="BG10"/>
  <c r="BH24" i="180"/>
  <c r="AD59"/>
  <c r="BF10"/>
  <c r="AD59" i="200"/>
  <c r="AI26" i="196"/>
  <c r="BF10" i="195"/>
  <c r="AH26" i="196"/>
  <c r="BF10"/>
  <c r="S43"/>
  <c r="AH26" i="179"/>
  <c r="BG24" i="176"/>
  <c r="AJ26" i="219"/>
  <c r="BG24" i="208"/>
  <c r="BG10"/>
  <c r="AD58"/>
  <c r="AM18" i="77"/>
  <c r="BF24" i="219"/>
  <c r="BF24" i="214"/>
  <c r="BF26" s="1"/>
  <c r="BF10" i="219"/>
  <c r="BF24" i="224"/>
  <c r="AD59" i="209"/>
  <c r="AD60" i="204"/>
  <c r="AD59" i="220"/>
  <c r="BJ6" i="201"/>
  <c r="BG10" i="205"/>
  <c r="BG24" i="209"/>
  <c r="S43"/>
  <c r="AD58" i="205"/>
  <c r="BG10" i="186"/>
  <c r="AD57" i="201"/>
  <c r="AD58" s="1"/>
  <c r="W57"/>
  <c r="AD58" i="183"/>
  <c r="S43" i="221"/>
  <c r="BF24" i="179"/>
  <c r="S43"/>
  <c r="BG24" i="200"/>
  <c r="BB26"/>
  <c r="BG24" i="227"/>
  <c r="AH26" i="200"/>
  <c r="BF10" i="176"/>
  <c r="S43"/>
  <c r="BF24"/>
  <c r="AH26"/>
  <c r="BG24" i="194"/>
  <c r="AD59" i="186"/>
  <c r="AD59" i="223"/>
  <c r="BF10"/>
  <c r="BF26" s="1"/>
  <c r="BD26" i="185"/>
  <c r="AD59" i="184"/>
  <c r="AD59" i="177"/>
  <c r="AD59" i="194"/>
  <c r="S43" i="214"/>
  <c r="BG24" i="207"/>
  <c r="BG10"/>
  <c r="BC26"/>
  <c r="AI26"/>
  <c r="BH10" i="224"/>
  <c r="S43" i="207"/>
  <c r="AJ26" i="224"/>
  <c r="AD58"/>
  <c r="BB26"/>
  <c r="BF10"/>
  <c r="AJ26" i="203"/>
  <c r="AD58" i="204"/>
  <c r="AD59" s="1"/>
  <c r="AH26"/>
  <c r="BG10" i="203"/>
  <c r="BC26"/>
  <c r="AI26"/>
  <c r="BF24" i="204"/>
  <c r="BF26" s="1"/>
  <c r="S44"/>
  <c r="F18" i="77"/>
  <c r="AD50" i="203"/>
  <c r="W57"/>
  <c r="BG24"/>
  <c r="S43"/>
  <c r="BB26" i="186"/>
  <c r="BH10" i="223"/>
  <c r="BG10"/>
  <c r="BF24" i="186"/>
  <c r="BH24" i="223"/>
  <c r="AH26" i="186"/>
  <c r="AD57" i="223"/>
  <c r="AD58" s="1"/>
  <c r="BH10" i="185"/>
  <c r="BH24"/>
  <c r="AJ26"/>
  <c r="BG10" i="183"/>
  <c r="S43" i="184"/>
  <c r="BH10" i="183"/>
  <c r="BH26" s="1"/>
  <c r="AJ26"/>
  <c r="BF10"/>
  <c r="AH26"/>
  <c r="BF24"/>
  <c r="BG10" i="180"/>
  <c r="BG24"/>
  <c r="BH10"/>
  <c r="AJ26"/>
  <c r="AD57"/>
  <c r="AD58" s="1"/>
  <c r="BF24"/>
  <c r="BC26" i="177"/>
  <c r="BG24"/>
  <c r="BG10"/>
  <c r="AJ26" i="200"/>
  <c r="BG10"/>
  <c r="BI24"/>
  <c r="BI26" s="1"/>
  <c r="S43"/>
  <c r="AD57" i="196"/>
  <c r="AD58" s="1"/>
  <c r="AJ26"/>
  <c r="AH26" i="220"/>
  <c r="BG10" i="196"/>
  <c r="BC26"/>
  <c r="BI24"/>
  <c r="BI26" s="1"/>
  <c r="AD59" i="208"/>
  <c r="AD59" i="207"/>
  <c r="Z57" i="203"/>
  <c r="AD47"/>
  <c r="W57" i="223"/>
  <c r="S43" i="201"/>
  <c r="BH24"/>
  <c r="BJ15"/>
  <c r="S43" i="177"/>
  <c r="AD59" i="227"/>
  <c r="W57" i="195"/>
  <c r="BF24" i="196"/>
  <c r="AI26" i="219"/>
  <c r="BG10"/>
  <c r="BG24"/>
  <c r="AO18" i="77"/>
  <c r="AN18"/>
  <c r="W57" i="219"/>
  <c r="AD54"/>
  <c r="AD57" s="1"/>
  <c r="AD58" s="1"/>
  <c r="S43"/>
  <c r="AD48" i="209"/>
  <c r="AD57" s="1"/>
  <c r="AD58" s="1"/>
  <c r="S43" i="208"/>
  <c r="S43" i="224"/>
  <c r="AD59" i="206"/>
  <c r="AD58"/>
  <c r="S43"/>
  <c r="AD59" i="205"/>
  <c r="S43"/>
  <c r="W58" i="204"/>
  <c r="S43" i="186"/>
  <c r="AD58"/>
  <c r="S43" i="223"/>
  <c r="AD59" i="201"/>
  <c r="AD50" i="185"/>
  <c r="AD57" s="1"/>
  <c r="AD58" s="1"/>
  <c r="S43"/>
  <c r="S43" i="183"/>
  <c r="AD59" i="196"/>
  <c r="W57" i="179"/>
  <c r="AD47"/>
  <c r="AD57" s="1"/>
  <c r="AD58" s="1"/>
  <c r="AD58" i="176"/>
  <c r="W57" i="180"/>
  <c r="S43"/>
  <c r="W57" i="177"/>
  <c r="AD48"/>
  <c r="AD57" s="1"/>
  <c r="AD58" s="1"/>
  <c r="AD58" i="227"/>
  <c r="S43"/>
  <c r="AD58" i="220"/>
  <c r="S43"/>
  <c r="BH10" i="194"/>
  <c r="S43"/>
  <c r="AD57" i="195"/>
  <c r="AD58" s="1"/>
  <c r="AD59"/>
  <c r="BG10"/>
  <c r="W57" i="196"/>
  <c r="S43" i="195"/>
  <c r="AC43" i="219"/>
  <c r="AE43" s="1"/>
  <c r="AE33"/>
  <c r="BH26"/>
  <c r="BI26"/>
  <c r="AC43" i="209"/>
  <c r="AE43" s="1"/>
  <c r="AE33"/>
  <c r="BI26"/>
  <c r="AC43" i="208"/>
  <c r="AE43" s="1"/>
  <c r="AE33"/>
  <c r="BF26"/>
  <c r="BI26"/>
  <c r="AC43" i="214"/>
  <c r="AE43" s="1"/>
  <c r="AE33"/>
  <c r="BI26"/>
  <c r="AC43" i="207"/>
  <c r="AE43" s="1"/>
  <c r="AE33"/>
  <c r="AC43" i="224"/>
  <c r="AE43" s="1"/>
  <c r="AC43" i="206"/>
  <c r="AE43" s="1"/>
  <c r="AE33"/>
  <c r="BI26"/>
  <c r="AC43" i="205"/>
  <c r="AE43" s="1"/>
  <c r="AE33"/>
  <c r="BH26"/>
  <c r="AC44" i="204"/>
  <c r="AE44" s="1"/>
  <c r="AE34"/>
  <c r="BI26"/>
  <c r="AC43" i="203"/>
  <c r="AE43" s="1"/>
  <c r="AE33"/>
  <c r="BH26"/>
  <c r="AC43" i="186"/>
  <c r="AE43" s="1"/>
  <c r="AE33"/>
  <c r="BI26"/>
  <c r="AC43" i="223"/>
  <c r="AE43" s="1"/>
  <c r="AE33"/>
  <c r="BI26"/>
  <c r="AC43" i="201"/>
  <c r="AE43" s="1"/>
  <c r="AE33"/>
  <c r="BI26"/>
  <c r="AC43" i="185"/>
  <c r="AE43" s="1"/>
  <c r="AE33"/>
  <c r="AC43" i="184"/>
  <c r="AE43" s="1"/>
  <c r="AE33"/>
  <c r="BI26"/>
  <c r="AC43" i="183"/>
  <c r="AE43" s="1"/>
  <c r="AE33"/>
  <c r="AC43" i="181"/>
  <c r="AE43" s="1"/>
  <c r="AE33"/>
  <c r="AD59"/>
  <c r="AC43" i="221"/>
  <c r="AE43" s="1"/>
  <c r="AE33"/>
  <c r="AD59"/>
  <c r="BI26"/>
  <c r="BH26"/>
  <c r="AC43" i="179"/>
  <c r="AE43" s="1"/>
  <c r="AE33"/>
  <c r="AD59"/>
  <c r="AC43" i="180"/>
  <c r="AE43" s="1"/>
  <c r="AE33"/>
  <c r="BI26"/>
  <c r="AC43" i="177"/>
  <c r="AE43" s="1"/>
  <c r="AE33"/>
  <c r="BI26"/>
  <c r="AC43" i="200"/>
  <c r="AE43" s="1"/>
  <c r="AE33"/>
  <c r="AC43" i="227"/>
  <c r="AE43" s="1"/>
  <c r="AE33"/>
  <c r="BI26"/>
  <c r="AC43" i="220"/>
  <c r="AE43" s="1"/>
  <c r="AE33"/>
  <c r="BI26"/>
  <c r="BH26"/>
  <c r="AC43" i="176"/>
  <c r="AE43" s="1"/>
  <c r="AE33"/>
  <c r="AD59"/>
  <c r="AC43" i="194"/>
  <c r="AE43" s="1"/>
  <c r="AE33"/>
  <c r="BI26"/>
  <c r="AC43" i="195"/>
  <c r="AE43" s="1"/>
  <c r="AE33"/>
  <c r="BH26"/>
  <c r="AC43" i="196"/>
  <c r="AE43" s="1"/>
  <c r="AE33"/>
  <c r="AQ11" i="27" l="1"/>
  <c r="BH26" i="181"/>
  <c r="BH27" s="1"/>
  <c r="K18" i="71"/>
  <c r="W18" i="27"/>
  <c r="G18"/>
  <c r="H18"/>
  <c r="I18"/>
  <c r="D18"/>
  <c r="T73" i="176"/>
  <c r="T74"/>
  <c r="C18" i="27"/>
  <c r="J18"/>
  <c r="BH26" i="227"/>
  <c r="BH27" s="1"/>
  <c r="BH26" i="206"/>
  <c r="BH27" s="1"/>
  <c r="BH27" i="184"/>
  <c r="T73" i="224"/>
  <c r="BH26" i="186"/>
  <c r="BH27" s="1"/>
  <c r="BH26" i="201"/>
  <c r="BH27" s="1"/>
  <c r="BG26" i="183"/>
  <c r="BF26" i="177"/>
  <c r="BF26" i="220"/>
  <c r="BH26" i="208"/>
  <c r="BH27" s="1"/>
  <c r="C18" i="77"/>
  <c r="BH26" i="177"/>
  <c r="BH27" s="1"/>
  <c r="BG26" i="176"/>
  <c r="T73" i="196"/>
  <c r="BG26" i="204"/>
  <c r="BF26" i="194"/>
  <c r="BH26" i="204"/>
  <c r="BH27" s="1"/>
  <c r="BF26" i="200"/>
  <c r="BG26" i="224"/>
  <c r="AF18" i="77"/>
  <c r="AG18"/>
  <c r="BG26" i="206"/>
  <c r="BG26" i="205"/>
  <c r="BF26"/>
  <c r="BF26" i="181"/>
  <c r="BG26" i="221"/>
  <c r="BG26" i="179"/>
  <c r="BH26"/>
  <c r="BH27" s="1"/>
  <c r="BF26"/>
  <c r="BF26" i="196"/>
  <c r="BH26" i="207"/>
  <c r="BH27" s="1"/>
  <c r="BH26" i="224"/>
  <c r="BH27" s="1"/>
  <c r="BF26" i="207"/>
  <c r="X18" i="77"/>
  <c r="BF26" i="186"/>
  <c r="BG26"/>
  <c r="BG26" i="223"/>
  <c r="BF26" i="185"/>
  <c r="BF26" i="184"/>
  <c r="BG26" i="181"/>
  <c r="BG26" i="227"/>
  <c r="BF26"/>
  <c r="BG26" i="220"/>
  <c r="BH26" i="194"/>
  <c r="BH27" s="1"/>
  <c r="BG26" i="195"/>
  <c r="BH26" i="209"/>
  <c r="BH27" s="1"/>
  <c r="BG26" i="214"/>
  <c r="BH26" i="196"/>
  <c r="BH27" s="1"/>
  <c r="BG26"/>
  <c r="BG26" i="201"/>
  <c r="BF26" i="221"/>
  <c r="BG26" i="194"/>
  <c r="BG26" i="209"/>
  <c r="BH27" i="214"/>
  <c r="BF26" i="206"/>
  <c r="BF26" i="195"/>
  <c r="BF26" i="201"/>
  <c r="BF26" i="224"/>
  <c r="BG26" i="185"/>
  <c r="BG26" i="184"/>
  <c r="BH26" i="180"/>
  <c r="BH27" s="1"/>
  <c r="BF26"/>
  <c r="BG26" i="200"/>
  <c r="BG26" i="208"/>
  <c r="BF26" i="219"/>
  <c r="BH27" i="221"/>
  <c r="BF26" i="176"/>
  <c r="BG26" i="207"/>
  <c r="BG26" i="203"/>
  <c r="D18" i="77"/>
  <c r="E18"/>
  <c r="AD57" i="203"/>
  <c r="AD58" s="1"/>
  <c r="BH26" i="223"/>
  <c r="BH27" s="1"/>
  <c r="BH26" i="185"/>
  <c r="BH27" s="1"/>
  <c r="BF26" i="183"/>
  <c r="BG26" i="180"/>
  <c r="BG26" i="177"/>
  <c r="BH27" i="200"/>
  <c r="BH27" i="183"/>
  <c r="BG26" i="219"/>
  <c r="BH27"/>
  <c r="BH27" i="205"/>
  <c r="BH27" i="203"/>
  <c r="BH27" i="195"/>
  <c r="BH27" i="176"/>
  <c r="BH27" i="220"/>
  <c r="K18" i="77" l="1"/>
  <c r="J24" i="182" l="1"/>
  <c r="AP16" i="71" l="1"/>
  <c r="AP18" s="1"/>
  <c r="AL16"/>
  <c r="AL18" s="1"/>
  <c r="AH16"/>
  <c r="AD16"/>
  <c r="AH18" l="1"/>
  <c r="AD18"/>
  <c r="BD16" i="66"/>
  <c r="BC16"/>
  <c r="BB16"/>
  <c r="BA16"/>
  <c r="AZ16"/>
  <c r="BC18" l="1"/>
  <c r="BD18"/>
  <c r="BB18"/>
  <c r="BA18"/>
  <c r="AZ18"/>
  <c r="V18" i="37" l="1"/>
  <c r="U18"/>
  <c r="T18"/>
  <c r="S18"/>
  <c r="J18"/>
  <c r="I18"/>
  <c r="H18"/>
  <c r="G18"/>
  <c r="F18"/>
  <c r="E18"/>
  <c r="D18"/>
  <c r="C18"/>
  <c r="AC57" i="202"/>
  <c r="AA57"/>
  <c r="Z57"/>
  <c r="Y57"/>
  <c r="X57"/>
  <c r="W57"/>
  <c r="T57"/>
  <c r="R57"/>
  <c r="Q57"/>
  <c r="P57"/>
  <c r="O57"/>
  <c r="N57"/>
  <c r="M57"/>
  <c r="AE56"/>
  <c r="AD56"/>
  <c r="S56"/>
  <c r="AE55"/>
  <c r="AD55"/>
  <c r="S55"/>
  <c r="AE54"/>
  <c r="AD54"/>
  <c r="S54"/>
  <c r="AE53"/>
  <c r="AD53"/>
  <c r="S53"/>
  <c r="AE52"/>
  <c r="AD52"/>
  <c r="S52"/>
  <c r="AE51"/>
  <c r="AD51"/>
  <c r="S51"/>
  <c r="AE50"/>
  <c r="AD50"/>
  <c r="S50"/>
  <c r="AE49"/>
  <c r="AD49"/>
  <c r="S49"/>
  <c r="AE48"/>
  <c r="AD48"/>
  <c r="S48"/>
  <c r="AE47"/>
  <c r="AD47"/>
  <c r="S47"/>
  <c r="L45"/>
  <c r="AD42"/>
  <c r="AB42"/>
  <c r="AA42"/>
  <c r="Z42"/>
  <c r="Y42"/>
  <c r="X42"/>
  <c r="W42"/>
  <c r="R42"/>
  <c r="Q42"/>
  <c r="P42"/>
  <c r="N42"/>
  <c r="M42"/>
  <c r="AD41"/>
  <c r="AB41"/>
  <c r="AA41"/>
  <c r="Z41"/>
  <c r="Y41"/>
  <c r="X41"/>
  <c r="W41"/>
  <c r="R41"/>
  <c r="Q41"/>
  <c r="P41"/>
  <c r="M41"/>
  <c r="AD40"/>
  <c r="AB40"/>
  <c r="AA40"/>
  <c r="Z40"/>
  <c r="Y40"/>
  <c r="X40"/>
  <c r="W40"/>
  <c r="R40"/>
  <c r="Q40"/>
  <c r="P40"/>
  <c r="M40"/>
  <c r="AD39"/>
  <c r="AB39"/>
  <c r="AA39"/>
  <c r="Z39"/>
  <c r="Y39"/>
  <c r="X39"/>
  <c r="W39"/>
  <c r="R39"/>
  <c r="Q39"/>
  <c r="P39"/>
  <c r="M39"/>
  <c r="AD38"/>
  <c r="AB38"/>
  <c r="AA38"/>
  <c r="Z38"/>
  <c r="Y38"/>
  <c r="X38"/>
  <c r="W38"/>
  <c r="R38"/>
  <c r="Q38"/>
  <c r="P38"/>
  <c r="N38"/>
  <c r="M38"/>
  <c r="AD37"/>
  <c r="AB37"/>
  <c r="AA37"/>
  <c r="Z37"/>
  <c r="Y37"/>
  <c r="X37"/>
  <c r="W37"/>
  <c r="R37"/>
  <c r="Q37"/>
  <c r="AD36"/>
  <c r="AB36"/>
  <c r="AA36"/>
  <c r="Z36"/>
  <c r="Y36"/>
  <c r="X36"/>
  <c r="W36"/>
  <c r="R36"/>
  <c r="Q36"/>
  <c r="M36"/>
  <c r="AD35"/>
  <c r="AB35"/>
  <c r="AA35"/>
  <c r="Z35"/>
  <c r="Y35"/>
  <c r="X35"/>
  <c r="W35"/>
  <c r="R35"/>
  <c r="Q35"/>
  <c r="P35"/>
  <c r="M35"/>
  <c r="AD34"/>
  <c r="AB34"/>
  <c r="AA34"/>
  <c r="Z34"/>
  <c r="Y34"/>
  <c r="X34"/>
  <c r="W34"/>
  <c r="R34"/>
  <c r="Q34"/>
  <c r="M34"/>
  <c r="AD33"/>
  <c r="AB33"/>
  <c r="AA33"/>
  <c r="Z33"/>
  <c r="Y33"/>
  <c r="X33"/>
  <c r="W33"/>
  <c r="R33"/>
  <c r="Q33"/>
  <c r="M33"/>
  <c r="BC27"/>
  <c r="BA24"/>
  <c r="AZ24"/>
  <c r="AY24"/>
  <c r="AX24"/>
  <c r="AW24"/>
  <c r="AV24"/>
  <c r="AU24"/>
  <c r="AT24"/>
  <c r="AS24"/>
  <c r="AR24"/>
  <c r="AQ24"/>
  <c r="AP24"/>
  <c r="AO24"/>
  <c r="AN24"/>
  <c r="AM24"/>
  <c r="AL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BE23"/>
  <c r="BD23"/>
  <c r="BC23"/>
  <c r="BB23"/>
  <c r="AK23"/>
  <c r="BI23" s="1"/>
  <c r="AJ23"/>
  <c r="BH23" s="1"/>
  <c r="AI23"/>
  <c r="AH23"/>
  <c r="BE22"/>
  <c r="BD22"/>
  <c r="BC22"/>
  <c r="BB22"/>
  <c r="AK22"/>
  <c r="BI22" s="1"/>
  <c r="AJ22"/>
  <c r="BH22" s="1"/>
  <c r="AI22"/>
  <c r="AH22"/>
  <c r="BE21"/>
  <c r="BD21"/>
  <c r="BC21"/>
  <c r="BB21"/>
  <c r="AK21"/>
  <c r="BI21" s="1"/>
  <c r="AJ21"/>
  <c r="BH21" s="1"/>
  <c r="AI21"/>
  <c r="AH21"/>
  <c r="BE20"/>
  <c r="BD20"/>
  <c r="BC20"/>
  <c r="BB20"/>
  <c r="AK20"/>
  <c r="BI20" s="1"/>
  <c r="AJ20"/>
  <c r="BH20" s="1"/>
  <c r="AI20"/>
  <c r="AH20"/>
  <c r="BE19"/>
  <c r="BD19"/>
  <c r="BC19"/>
  <c r="BB19"/>
  <c r="AK19"/>
  <c r="BI19" s="1"/>
  <c r="AJ19"/>
  <c r="BH19" s="1"/>
  <c r="AI19"/>
  <c r="AH19"/>
  <c r="BE18"/>
  <c r="BD18"/>
  <c r="BC18"/>
  <c r="BB18"/>
  <c r="AK18"/>
  <c r="BI18" s="1"/>
  <c r="AJ18"/>
  <c r="BH18" s="1"/>
  <c r="AI18"/>
  <c r="AH18"/>
  <c r="BE17"/>
  <c r="BD17"/>
  <c r="BC17"/>
  <c r="BB17"/>
  <c r="AK17"/>
  <c r="BI17" s="1"/>
  <c r="AJ17"/>
  <c r="BH17" s="1"/>
  <c r="AI17"/>
  <c r="AH17"/>
  <c r="BE16"/>
  <c r="BD16"/>
  <c r="BC16"/>
  <c r="BB16"/>
  <c r="AK16"/>
  <c r="BI16" s="1"/>
  <c r="AJ16"/>
  <c r="BH16" s="1"/>
  <c r="AI16"/>
  <c r="AH16"/>
  <c r="BE15"/>
  <c r="BE24" s="1"/>
  <c r="BD15"/>
  <c r="BD24" s="1"/>
  <c r="BC15"/>
  <c r="BB15"/>
  <c r="AK15"/>
  <c r="AK24" s="1"/>
  <c r="AJ15"/>
  <c r="AJ24" s="1"/>
  <c r="AI15"/>
  <c r="AH15"/>
  <c r="BA10"/>
  <c r="BA26" s="1"/>
  <c r="AZ10"/>
  <c r="AZ26" s="1"/>
  <c r="AY10"/>
  <c r="AY26" s="1"/>
  <c r="AX10"/>
  <c r="AW10"/>
  <c r="AW26" s="1"/>
  <c r="V14" i="71" s="1"/>
  <c r="V16" s="1"/>
  <c r="V18" s="1"/>
  <c r="AV10" i="202"/>
  <c r="AV26" s="1"/>
  <c r="U14" i="71" s="1"/>
  <c r="U16" s="1"/>
  <c r="U18" s="1"/>
  <c r="AU10" i="202"/>
  <c r="AT10"/>
  <c r="AS10"/>
  <c r="AS26" s="1"/>
  <c r="AR10"/>
  <c r="AR26" s="1"/>
  <c r="AQ10"/>
  <c r="AP10"/>
  <c r="AP26" s="1"/>
  <c r="AO10"/>
  <c r="AO26" s="1"/>
  <c r="AN10"/>
  <c r="AN26" s="1"/>
  <c r="AM10"/>
  <c r="AM26" s="1"/>
  <c r="AL10"/>
  <c r="AL26" s="1"/>
  <c r="AG10"/>
  <c r="AG26" s="1"/>
  <c r="AF10"/>
  <c r="AF26" s="1"/>
  <c r="AE10"/>
  <c r="AE26" s="1"/>
  <c r="AD10"/>
  <c r="AD26" s="1"/>
  <c r="AC10"/>
  <c r="AC26" s="1"/>
  <c r="AB10"/>
  <c r="AB26" s="1"/>
  <c r="AA10"/>
  <c r="AA26" s="1"/>
  <c r="Z10"/>
  <c r="Z26" s="1"/>
  <c r="Y10"/>
  <c r="Y26" s="1"/>
  <c r="X10"/>
  <c r="X26" s="1"/>
  <c r="W10"/>
  <c r="W26" s="1"/>
  <c r="V10"/>
  <c r="U10"/>
  <c r="U26" s="1"/>
  <c r="T10"/>
  <c r="T26" s="1"/>
  <c r="S10"/>
  <c r="S26" s="1"/>
  <c r="R10"/>
  <c r="Q10"/>
  <c r="Q26" s="1"/>
  <c r="P10"/>
  <c r="P26" s="1"/>
  <c r="O10"/>
  <c r="O26" s="1"/>
  <c r="N10"/>
  <c r="N26" s="1"/>
  <c r="M10"/>
  <c r="M26" s="1"/>
  <c r="L10"/>
  <c r="L26" s="1"/>
  <c r="K10"/>
  <c r="J10"/>
  <c r="BE9"/>
  <c r="BD9"/>
  <c r="BC9"/>
  <c r="BB9"/>
  <c r="AK9"/>
  <c r="BI9" s="1"/>
  <c r="AJ9"/>
  <c r="BH9" s="1"/>
  <c r="AI9"/>
  <c r="AH9"/>
  <c r="BE8"/>
  <c r="BD8"/>
  <c r="BC8"/>
  <c r="BB8"/>
  <c r="AK8"/>
  <c r="BI8" s="1"/>
  <c r="AJ8"/>
  <c r="BH8" s="1"/>
  <c r="AI8"/>
  <c r="AH8"/>
  <c r="BE7"/>
  <c r="BD7"/>
  <c r="BC7"/>
  <c r="BB7"/>
  <c r="AK7"/>
  <c r="BI7" s="1"/>
  <c r="AJ7"/>
  <c r="BH7" s="1"/>
  <c r="AI7"/>
  <c r="AH7"/>
  <c r="BE6"/>
  <c r="BE10" s="1"/>
  <c r="BE26" s="1"/>
  <c r="BD6"/>
  <c r="BD10" s="1"/>
  <c r="BD26" s="1"/>
  <c r="BC6"/>
  <c r="BB6"/>
  <c r="AK6"/>
  <c r="AK10" s="1"/>
  <c r="AJ6"/>
  <c r="AJ10" s="1"/>
  <c r="AI6"/>
  <c r="AH6"/>
  <c r="AZ15" i="71"/>
  <c r="AY14"/>
  <c r="AZ13"/>
  <c r="AY13"/>
  <c r="AY10"/>
  <c r="AZ9"/>
  <c r="AY9"/>
  <c r="AX9"/>
  <c r="AZ8"/>
  <c r="AX7"/>
  <c r="AZ6"/>
  <c r="AC57" i="198"/>
  <c r="AA57"/>
  <c r="Z57"/>
  <c r="Y57"/>
  <c r="X57"/>
  <c r="W57"/>
  <c r="T57"/>
  <c r="R57"/>
  <c r="Q57"/>
  <c r="P57"/>
  <c r="O57"/>
  <c r="N57"/>
  <c r="M57"/>
  <c r="AE56"/>
  <c r="AD56"/>
  <c r="S56"/>
  <c r="AE55"/>
  <c r="AD55"/>
  <c r="S55"/>
  <c r="AE54"/>
  <c r="AD54"/>
  <c r="S54"/>
  <c r="AE53"/>
  <c r="AD53"/>
  <c r="S53"/>
  <c r="AE52"/>
  <c r="AD52"/>
  <c r="S52"/>
  <c r="AE51"/>
  <c r="AD51"/>
  <c r="S51"/>
  <c r="AE50"/>
  <c r="AD50"/>
  <c r="S50"/>
  <c r="AE49"/>
  <c r="AD49"/>
  <c r="S49"/>
  <c r="AE48"/>
  <c r="AD48"/>
  <c r="S48"/>
  <c r="AE47"/>
  <c r="AD47"/>
  <c r="S47"/>
  <c r="L45"/>
  <c r="AD42"/>
  <c r="AB42"/>
  <c r="AA42"/>
  <c r="Z42"/>
  <c r="Y42"/>
  <c r="X42"/>
  <c r="W42"/>
  <c r="R42"/>
  <c r="Q42"/>
  <c r="P42"/>
  <c r="O42"/>
  <c r="N42"/>
  <c r="M42"/>
  <c r="AD41"/>
  <c r="AB41"/>
  <c r="AA41"/>
  <c r="Z41"/>
  <c r="Y41"/>
  <c r="X41"/>
  <c r="W41"/>
  <c r="R41"/>
  <c r="Q41"/>
  <c r="P41"/>
  <c r="O41"/>
  <c r="N41"/>
  <c r="M41"/>
  <c r="AD40"/>
  <c r="AB40"/>
  <c r="AA40"/>
  <c r="Z40"/>
  <c r="Y40"/>
  <c r="X40"/>
  <c r="W40"/>
  <c r="R40"/>
  <c r="Q40"/>
  <c r="P40"/>
  <c r="O40"/>
  <c r="N40"/>
  <c r="M40"/>
  <c r="AD39"/>
  <c r="AB39"/>
  <c r="AA39"/>
  <c r="Z39"/>
  <c r="Y39"/>
  <c r="X39"/>
  <c r="W39"/>
  <c r="R39"/>
  <c r="Q39"/>
  <c r="P39"/>
  <c r="O39"/>
  <c r="N39"/>
  <c r="M39"/>
  <c r="AD38"/>
  <c r="AB38"/>
  <c r="Z38"/>
  <c r="Y38"/>
  <c r="X38"/>
  <c r="W38"/>
  <c r="R38"/>
  <c r="Q38"/>
  <c r="P38"/>
  <c r="O38"/>
  <c r="N38"/>
  <c r="M38"/>
  <c r="AD37"/>
  <c r="AB37"/>
  <c r="AA37"/>
  <c r="Z37"/>
  <c r="Y37"/>
  <c r="X37"/>
  <c r="W37"/>
  <c r="R37"/>
  <c r="Q37"/>
  <c r="P37"/>
  <c r="O37"/>
  <c r="N37"/>
  <c r="M37"/>
  <c r="AD36"/>
  <c r="AB36"/>
  <c r="AA36"/>
  <c r="Z36"/>
  <c r="Y36"/>
  <c r="X36"/>
  <c r="W36"/>
  <c r="R36"/>
  <c r="Q36"/>
  <c r="P36"/>
  <c r="O36"/>
  <c r="N36"/>
  <c r="M36"/>
  <c r="AD35"/>
  <c r="AB35"/>
  <c r="AA35"/>
  <c r="Z35"/>
  <c r="Y35"/>
  <c r="X35"/>
  <c r="W35"/>
  <c r="R35"/>
  <c r="Q35"/>
  <c r="P35"/>
  <c r="O35"/>
  <c r="N35"/>
  <c r="M35"/>
  <c r="AD34"/>
  <c r="AB34"/>
  <c r="AA34"/>
  <c r="Z34"/>
  <c r="Y34"/>
  <c r="X34"/>
  <c r="W34"/>
  <c r="R34"/>
  <c r="Q34"/>
  <c r="P34"/>
  <c r="O34"/>
  <c r="N34"/>
  <c r="M34"/>
  <c r="AD33"/>
  <c r="AB33"/>
  <c r="AA33"/>
  <c r="Z33"/>
  <c r="Y33"/>
  <c r="X33"/>
  <c r="W33"/>
  <c r="R33"/>
  <c r="Q33"/>
  <c r="P33"/>
  <c r="O33"/>
  <c r="N33"/>
  <c r="M33"/>
  <c r="BC27"/>
  <c r="BA24"/>
  <c r="AZ24"/>
  <c r="AY24"/>
  <c r="AX24"/>
  <c r="AW24"/>
  <c r="AV24"/>
  <c r="AU24"/>
  <c r="AT24"/>
  <c r="AS24"/>
  <c r="AR24"/>
  <c r="AQ24"/>
  <c r="AP24"/>
  <c r="AO24"/>
  <c r="AN24"/>
  <c r="AM24"/>
  <c r="AL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BE23"/>
  <c r="BD23"/>
  <c r="BC23"/>
  <c r="BB23"/>
  <c r="AK23"/>
  <c r="AJ23"/>
  <c r="AI23"/>
  <c r="AH23"/>
  <c r="BE22"/>
  <c r="BD22"/>
  <c r="BC22"/>
  <c r="BB22"/>
  <c r="AK22"/>
  <c r="AJ22"/>
  <c r="AI22"/>
  <c r="AH22"/>
  <c r="BE21"/>
  <c r="BD21"/>
  <c r="BC21"/>
  <c r="BB21"/>
  <c r="AK21"/>
  <c r="AJ21"/>
  <c r="AI21"/>
  <c r="AH21"/>
  <c r="BE20"/>
  <c r="BD20"/>
  <c r="BC20"/>
  <c r="BB20"/>
  <c r="AK20"/>
  <c r="AJ20"/>
  <c r="AI20"/>
  <c r="AH20"/>
  <c r="BE19"/>
  <c r="BD19"/>
  <c r="BC19"/>
  <c r="BB19"/>
  <c r="AK19"/>
  <c r="AJ19"/>
  <c r="AI19"/>
  <c r="AH19"/>
  <c r="BE18"/>
  <c r="BD18"/>
  <c r="BC18"/>
  <c r="BB18"/>
  <c r="AK18"/>
  <c r="AJ18"/>
  <c r="AI18"/>
  <c r="AH18"/>
  <c r="BE17"/>
  <c r="BD17"/>
  <c r="BC17"/>
  <c r="BB17"/>
  <c r="AK17"/>
  <c r="BI17" s="1"/>
  <c r="AJ17"/>
  <c r="AI17"/>
  <c r="AH17"/>
  <c r="BE16"/>
  <c r="BD16"/>
  <c r="BC16"/>
  <c r="BB16"/>
  <c r="AK16"/>
  <c r="BI16" s="1"/>
  <c r="AJ16"/>
  <c r="AI16"/>
  <c r="AH16"/>
  <c r="BE15"/>
  <c r="BE24" s="1"/>
  <c r="BD15"/>
  <c r="BD24" s="1"/>
  <c r="BC15"/>
  <c r="BB15"/>
  <c r="AK15"/>
  <c r="AK24" s="1"/>
  <c r="AJ15"/>
  <c r="AI15"/>
  <c r="AH15"/>
  <c r="BA10"/>
  <c r="BA26" s="1"/>
  <c r="AT15" i="71" s="1"/>
  <c r="AZ10" i="198"/>
  <c r="AZ26" s="1"/>
  <c r="AY10"/>
  <c r="AX10"/>
  <c r="AX26" s="1"/>
  <c r="AW10"/>
  <c r="AW26" s="1"/>
  <c r="AV10"/>
  <c r="AV26" s="1"/>
  <c r="AU10"/>
  <c r="AT10"/>
  <c r="AS10"/>
  <c r="AS26" s="1"/>
  <c r="AR10"/>
  <c r="AR26" s="1"/>
  <c r="AQ10"/>
  <c r="AP10"/>
  <c r="AO10"/>
  <c r="AO26" s="1"/>
  <c r="AN10"/>
  <c r="AN26" s="1"/>
  <c r="AM10"/>
  <c r="AL10"/>
  <c r="AL26" s="1"/>
  <c r="AG10"/>
  <c r="AG26" s="1"/>
  <c r="AT10" i="71" s="1"/>
  <c r="AF10" i="198"/>
  <c r="AF26" s="1"/>
  <c r="AE10"/>
  <c r="AD10"/>
  <c r="AD26" s="1"/>
  <c r="AC10"/>
  <c r="AC26" s="1"/>
  <c r="AB10"/>
  <c r="AB26" s="1"/>
  <c r="AA10"/>
  <c r="Z10"/>
  <c r="Z26" s="1"/>
  <c r="Y10"/>
  <c r="Y26" s="1"/>
  <c r="X10"/>
  <c r="X26" s="1"/>
  <c r="W10"/>
  <c r="W26" s="1"/>
  <c r="V10"/>
  <c r="U10"/>
  <c r="U26" s="1"/>
  <c r="T10"/>
  <c r="T26" s="1"/>
  <c r="S10"/>
  <c r="R10"/>
  <c r="R26" s="1"/>
  <c r="Q10"/>
  <c r="Q26" s="1"/>
  <c r="P10"/>
  <c r="P26" s="1"/>
  <c r="O10"/>
  <c r="N10"/>
  <c r="N26" s="1"/>
  <c r="M10"/>
  <c r="M26" s="1"/>
  <c r="L26"/>
  <c r="K10"/>
  <c r="J10"/>
  <c r="J26" s="1"/>
  <c r="BE9"/>
  <c r="BD9"/>
  <c r="BC9"/>
  <c r="BB9"/>
  <c r="AK9"/>
  <c r="BI9" s="1"/>
  <c r="AJ9"/>
  <c r="AI9"/>
  <c r="AH9"/>
  <c r="BE8"/>
  <c r="BD8"/>
  <c r="BC8"/>
  <c r="BB8"/>
  <c r="AK8"/>
  <c r="AJ8"/>
  <c r="AI8"/>
  <c r="AH8"/>
  <c r="BE7"/>
  <c r="BD7"/>
  <c r="BC7"/>
  <c r="BB7"/>
  <c r="AK7"/>
  <c r="AJ7"/>
  <c r="AI7"/>
  <c r="AH7"/>
  <c r="BE6"/>
  <c r="BD6"/>
  <c r="BC6"/>
  <c r="BB6"/>
  <c r="AK6"/>
  <c r="AK10" s="1"/>
  <c r="AJ6"/>
  <c r="AI6"/>
  <c r="AH6"/>
  <c r="AZ14" i="71" l="1"/>
  <c r="AZ7"/>
  <c r="AY6"/>
  <c r="AY7"/>
  <c r="AX26" i="202"/>
  <c r="K26" i="198"/>
  <c r="AY26"/>
  <c r="AA26"/>
  <c r="AR9" i="71" s="1"/>
  <c r="BD10" i="198"/>
  <c r="BD26" s="1"/>
  <c r="S26"/>
  <c r="AR7" i="71" s="1"/>
  <c r="BB24" i="202"/>
  <c r="AT26"/>
  <c r="V26"/>
  <c r="J26"/>
  <c r="AT5" i="27"/>
  <c r="AT11" s="1"/>
  <c r="AU26" i="198"/>
  <c r="AS12" i="27"/>
  <c r="AS16" s="1"/>
  <c r="AR5"/>
  <c r="AR11" s="1"/>
  <c r="AS5"/>
  <c r="AS11" s="1"/>
  <c r="AQ26" i="198"/>
  <c r="AT26"/>
  <c r="AQ6" i="71"/>
  <c r="AQ9"/>
  <c r="AQ10"/>
  <c r="AT7"/>
  <c r="AS9"/>
  <c r="BI7" i="198"/>
  <c r="AQ15" i="71"/>
  <c r="AT13"/>
  <c r="AT14"/>
  <c r="AS13"/>
  <c r="AS15"/>
  <c r="AR15"/>
  <c r="AS6"/>
  <c r="AS10"/>
  <c r="R26" i="202"/>
  <c r="AT6" i="71"/>
  <c r="AS7"/>
  <c r="AM26" i="198"/>
  <c r="AT9" i="71"/>
  <c r="AT8"/>
  <c r="AS14"/>
  <c r="AP26" i="198"/>
  <c r="AE26"/>
  <c r="AS8" i="71"/>
  <c r="AR8"/>
  <c r="BF7" i="198"/>
  <c r="BB10"/>
  <c r="AT5" i="71"/>
  <c r="AS5"/>
  <c r="AQ12"/>
  <c r="AT12"/>
  <c r="AS12"/>
  <c r="AU26" i="202"/>
  <c r="K26"/>
  <c r="AI10"/>
  <c r="V18" i="77"/>
  <c r="BI18" i="198"/>
  <c r="BE10"/>
  <c r="BE26" s="1"/>
  <c r="BI8"/>
  <c r="AX6" i="71"/>
  <c r="AX8"/>
  <c r="AX10"/>
  <c r="AY15"/>
  <c r="AX15"/>
  <c r="AW13"/>
  <c r="AQ26" i="202"/>
  <c r="AI24"/>
  <c r="S37"/>
  <c r="BI19" i="198"/>
  <c r="BI20"/>
  <c r="BI21"/>
  <c r="BI22"/>
  <c r="BI23"/>
  <c r="S34" i="202"/>
  <c r="S42"/>
  <c r="AJ24" i="198"/>
  <c r="BC10"/>
  <c r="O26"/>
  <c r="AI10"/>
  <c r="BB24"/>
  <c r="AI24"/>
  <c r="V26"/>
  <c r="AH24"/>
  <c r="AC36" i="202"/>
  <c r="BC10"/>
  <c r="BF8" i="198"/>
  <c r="BF9"/>
  <c r="BF17"/>
  <c r="BF22"/>
  <c r="BF23"/>
  <c r="AZ10" i="71"/>
  <c r="S35" i="202"/>
  <c r="S39"/>
  <c r="BG7" i="198"/>
  <c r="BG8"/>
  <c r="BG9"/>
  <c r="BG23"/>
  <c r="BF9" i="202"/>
  <c r="BF16"/>
  <c r="BF17"/>
  <c r="BF18"/>
  <c r="BF19"/>
  <c r="BF20"/>
  <c r="BF21"/>
  <c r="BF22"/>
  <c r="BF23"/>
  <c r="X43"/>
  <c r="S36"/>
  <c r="AC38"/>
  <c r="BH7" i="198"/>
  <c r="BH8"/>
  <c r="BH9"/>
  <c r="BH16"/>
  <c r="BH17"/>
  <c r="BH18"/>
  <c r="BH19"/>
  <c r="BH20"/>
  <c r="BH21"/>
  <c r="BH22"/>
  <c r="BH23"/>
  <c r="BG7" i="202"/>
  <c r="BG8"/>
  <c r="BG9"/>
  <c r="BG16"/>
  <c r="BG17"/>
  <c r="BG18"/>
  <c r="BG19"/>
  <c r="BG20"/>
  <c r="BG21"/>
  <c r="BG22"/>
  <c r="BG23"/>
  <c r="BC24"/>
  <c r="N43"/>
  <c r="Z43"/>
  <c r="S38"/>
  <c r="AC40"/>
  <c r="AB43"/>
  <c r="AC34"/>
  <c r="S41"/>
  <c r="AC42"/>
  <c r="AH10"/>
  <c r="S33"/>
  <c r="BF8"/>
  <c r="P43"/>
  <c r="S40"/>
  <c r="AH24"/>
  <c r="S57"/>
  <c r="S58" s="1"/>
  <c r="BB10"/>
  <c r="BF7"/>
  <c r="AW15" i="71"/>
  <c r="BF18" i="198"/>
  <c r="AH10"/>
  <c r="BL7" i="66"/>
  <c r="BL14"/>
  <c r="BL13"/>
  <c r="BL8"/>
  <c r="BL11"/>
  <c r="BL9"/>
  <c r="BL12"/>
  <c r="BL16"/>
  <c r="BL15"/>
  <c r="BL5"/>
  <c r="BL6"/>
  <c r="BL10"/>
  <c r="BG19" i="198"/>
  <c r="BG21"/>
  <c r="BF19"/>
  <c r="BC24"/>
  <c r="BG16"/>
  <c r="BG17"/>
  <c r="BG18"/>
  <c r="BG20"/>
  <c r="BG22"/>
  <c r="BF16"/>
  <c r="BF20"/>
  <c r="BF21"/>
  <c r="O18" i="77"/>
  <c r="AE57" i="202"/>
  <c r="R43"/>
  <c r="AJ10" i="198"/>
  <c r="BH10" s="1"/>
  <c r="AY5" i="71"/>
  <c r="AW6"/>
  <c r="AW7"/>
  <c r="AW8"/>
  <c r="AY8"/>
  <c r="AW9"/>
  <c r="AW10"/>
  <c r="AW12"/>
  <c r="AW14"/>
  <c r="AX5"/>
  <c r="AZ5"/>
  <c r="AX12"/>
  <c r="AZ12"/>
  <c r="AY12"/>
  <c r="N18" i="77"/>
  <c r="Z18"/>
  <c r="N43" i="198"/>
  <c r="P43"/>
  <c r="R43"/>
  <c r="X43"/>
  <c r="Z43"/>
  <c r="AB43"/>
  <c r="S34"/>
  <c r="AC34"/>
  <c r="S36"/>
  <c r="AC36"/>
  <c r="S38"/>
  <c r="AC38"/>
  <c r="S40"/>
  <c r="AC40"/>
  <c r="S42"/>
  <c r="AC42"/>
  <c r="S57"/>
  <c r="S58" s="1"/>
  <c r="AE57"/>
  <c r="M43"/>
  <c r="O43"/>
  <c r="Q43"/>
  <c r="W43"/>
  <c r="Y43"/>
  <c r="AA43"/>
  <c r="AD43"/>
  <c r="S35"/>
  <c r="AC35"/>
  <c r="S37"/>
  <c r="AC37"/>
  <c r="S39"/>
  <c r="AC39"/>
  <c r="S41"/>
  <c r="AC41"/>
  <c r="AD57"/>
  <c r="M43" i="202"/>
  <c r="O43"/>
  <c r="Q43"/>
  <c r="W43"/>
  <c r="Y43"/>
  <c r="AA43"/>
  <c r="AD43"/>
  <c r="AC35"/>
  <c r="AC37"/>
  <c r="AC39"/>
  <c r="AC41"/>
  <c r="AD57"/>
  <c r="AD59"/>
  <c r="AJ26"/>
  <c r="BH10"/>
  <c r="AK26"/>
  <c r="BI10"/>
  <c r="BF6"/>
  <c r="BH6"/>
  <c r="BF15"/>
  <c r="BH15"/>
  <c r="BH24" s="1"/>
  <c r="BG6"/>
  <c r="BI6"/>
  <c r="BG15"/>
  <c r="BI15"/>
  <c r="BI24" s="1"/>
  <c r="AC33"/>
  <c r="AK26" i="198"/>
  <c r="BF6"/>
  <c r="BH6"/>
  <c r="BF15"/>
  <c r="BH15"/>
  <c r="S33"/>
  <c r="BG6"/>
  <c r="BI6"/>
  <c r="AD59" s="1"/>
  <c r="BG15"/>
  <c r="BI15"/>
  <c r="AC33"/>
  <c r="AZ16" i="71" l="1"/>
  <c r="AZ18" s="1"/>
  <c r="AQ14"/>
  <c r="AQ5" i="77"/>
  <c r="BB26" i="202"/>
  <c r="AR10" i="71"/>
  <c r="AT12" i="27"/>
  <c r="AT16" s="1"/>
  <c r="AQ8" i="71"/>
  <c r="AR6"/>
  <c r="AQ13"/>
  <c r="AR12"/>
  <c r="AR12" i="27"/>
  <c r="AR16" s="1"/>
  <c r="Z18" i="71"/>
  <c r="AQ7"/>
  <c r="AR13"/>
  <c r="AT16"/>
  <c r="AT11"/>
  <c r="AS16"/>
  <c r="BB26" i="198"/>
  <c r="AS11" i="71"/>
  <c r="AR5"/>
  <c r="Y18"/>
  <c r="W18"/>
  <c r="AR14"/>
  <c r="AX14"/>
  <c r="T18" i="77"/>
  <c r="U18"/>
  <c r="AI26" i="202"/>
  <c r="S18" i="77"/>
  <c r="Q18"/>
  <c r="AY16" i="71"/>
  <c r="AY18" s="1"/>
  <c r="AX11"/>
  <c r="BI10" i="198"/>
  <c r="AX13" i="71"/>
  <c r="AD58" i="198"/>
  <c r="BG10"/>
  <c r="BH24"/>
  <c r="BH26" s="1"/>
  <c r="BG24" i="202"/>
  <c r="BG10"/>
  <c r="BI24" i="198"/>
  <c r="BF24" i="202"/>
  <c r="BC26" i="198"/>
  <c r="AI26"/>
  <c r="BF10"/>
  <c r="AH26"/>
  <c r="AZ11" i="71"/>
  <c r="R18" i="77"/>
  <c r="P18"/>
  <c r="AC43" i="202"/>
  <c r="BC26"/>
  <c r="AH26"/>
  <c r="AD58"/>
  <c r="BF10"/>
  <c r="S43"/>
  <c r="BG24" i="198"/>
  <c r="BF24"/>
  <c r="S43"/>
  <c r="I18" i="77"/>
  <c r="AJ26" i="198"/>
  <c r="AC43"/>
  <c r="Y18" i="77"/>
  <c r="M18"/>
  <c r="J18"/>
  <c r="AY11" i="71"/>
  <c r="AW16"/>
  <c r="AW18" s="1"/>
  <c r="L18" i="77"/>
  <c r="BI26" i="202"/>
  <c r="BH26"/>
  <c r="G18" i="77" l="1"/>
  <c r="AQ16" i="71"/>
  <c r="AW5"/>
  <c r="AW11" s="1"/>
  <c r="AQ5"/>
  <c r="AQ11" s="1"/>
  <c r="AR11"/>
  <c r="AR16"/>
  <c r="H18" i="77"/>
  <c r="AT18" i="71"/>
  <c r="AS18"/>
  <c r="X18"/>
  <c r="AX16"/>
  <c r="AX18" s="1"/>
  <c r="BG26" i="202"/>
  <c r="AY19" i="71"/>
  <c r="BI26" i="198"/>
  <c r="BH27" s="1"/>
  <c r="BG26"/>
  <c r="BF26" i="202"/>
  <c r="BF26" i="198"/>
  <c r="BH27" i="202"/>
  <c r="AQ18" i="71" l="1"/>
  <c r="AR18"/>
  <c r="BK20" i="229"/>
  <c r="Q18" i="37" l="1"/>
  <c r="P18"/>
  <c r="O18"/>
  <c r="M18"/>
  <c r="L18"/>
  <c r="K18"/>
  <c r="U36"/>
  <c r="T36"/>
  <c r="I36"/>
  <c r="U31"/>
  <c r="T31"/>
  <c r="I31"/>
  <c r="T37" l="1"/>
  <c r="I37"/>
  <c r="W18"/>
  <c r="Y18"/>
  <c r="X18"/>
  <c r="U37"/>
  <c r="K37"/>
  <c r="T38" l="1"/>
  <c r="AA18"/>
  <c r="AT17" i="82" l="1"/>
  <c r="AT17" i="77"/>
  <c r="BJ16"/>
  <c r="BI16"/>
  <c r="BH16"/>
  <c r="BD16"/>
  <c r="BC16"/>
  <c r="BA16"/>
  <c r="AZ16"/>
  <c r="BK15"/>
  <c r="BK14"/>
  <c r="BK13"/>
  <c r="BK12"/>
  <c r="BJ11"/>
  <c r="BI11"/>
  <c r="BH11"/>
  <c r="BK10"/>
  <c r="BK9"/>
  <c r="BK8"/>
  <c r="BK7"/>
  <c r="BK6"/>
  <c r="AT17" i="71"/>
  <c r="N18" i="37" s="1"/>
  <c r="BL16" i="71"/>
  <c r="BL18" s="1"/>
  <c r="BK16"/>
  <c r="AO16"/>
  <c r="AO18" s="1"/>
  <c r="AN16"/>
  <c r="AN18" s="1"/>
  <c r="AM16"/>
  <c r="AM18" s="1"/>
  <c r="AK16"/>
  <c r="AK18" s="1"/>
  <c r="AJ16"/>
  <c r="AJ18" s="1"/>
  <c r="AI16"/>
  <c r="AI18" s="1"/>
  <c r="AG16"/>
  <c r="AF16"/>
  <c r="AE16"/>
  <c r="AC16"/>
  <c r="AC18" s="1"/>
  <c r="AB16"/>
  <c r="AA16"/>
  <c r="BI15"/>
  <c r="BI14"/>
  <c r="BI13"/>
  <c r="BI12"/>
  <c r="BL11"/>
  <c r="BK11"/>
  <c r="AG18"/>
  <c r="AB18"/>
  <c r="BI10"/>
  <c r="BI9"/>
  <c r="BI8"/>
  <c r="BI7"/>
  <c r="BI6"/>
  <c r="BI5"/>
  <c r="BS20" i="27"/>
  <c r="AT17"/>
  <c r="BW16"/>
  <c r="BV16"/>
  <c r="BS16"/>
  <c r="BR16"/>
  <c r="BQ16"/>
  <c r="BP16"/>
  <c r="BO16"/>
  <c r="BN16"/>
  <c r="BH16"/>
  <c r="BG16"/>
  <c r="BD16"/>
  <c r="BC16"/>
  <c r="BB16"/>
  <c r="BA16"/>
  <c r="AZ16"/>
  <c r="AY16"/>
  <c r="BT15"/>
  <c r="BE15"/>
  <c r="BT14"/>
  <c r="BE14"/>
  <c r="BT13"/>
  <c r="BE13"/>
  <c r="BT12"/>
  <c r="BE12"/>
  <c r="BW11"/>
  <c r="BV11"/>
  <c r="BS11"/>
  <c r="BR11"/>
  <c r="BQ11"/>
  <c r="BQ18" s="1"/>
  <c r="BP11"/>
  <c r="BO11"/>
  <c r="BN11"/>
  <c r="BH11"/>
  <c r="BG11"/>
  <c r="BD11"/>
  <c r="BC11"/>
  <c r="BB11"/>
  <c r="BA11"/>
  <c r="AZ11"/>
  <c r="BT10"/>
  <c r="BT9"/>
  <c r="BT7"/>
  <c r="BT6"/>
  <c r="BT5"/>
  <c r="AP18" i="66"/>
  <c r="AL18"/>
  <c r="AO16"/>
  <c r="AN16"/>
  <c r="AM16"/>
  <c r="AO11"/>
  <c r="AN11"/>
  <c r="AN18" s="1"/>
  <c r="AK18"/>
  <c r="J15"/>
  <c r="I15"/>
  <c r="H15"/>
  <c r="G15"/>
  <c r="J14"/>
  <c r="I14"/>
  <c r="H14"/>
  <c r="G13"/>
  <c r="G10"/>
  <c r="J9"/>
  <c r="G6"/>
  <c r="F15"/>
  <c r="E15"/>
  <c r="D15"/>
  <c r="C15"/>
  <c r="F14"/>
  <c r="E14"/>
  <c r="D14"/>
  <c r="C14"/>
  <c r="F13"/>
  <c r="E13"/>
  <c r="D13"/>
  <c r="C13"/>
  <c r="F12"/>
  <c r="E12"/>
  <c r="D12"/>
  <c r="C12"/>
  <c r="F10"/>
  <c r="E10"/>
  <c r="D10"/>
  <c r="C10"/>
  <c r="F9"/>
  <c r="E9"/>
  <c r="D9"/>
  <c r="C9"/>
  <c r="F8"/>
  <c r="E8"/>
  <c r="D8"/>
  <c r="C8"/>
  <c r="F7"/>
  <c r="E7"/>
  <c r="D7"/>
  <c r="C7"/>
  <c r="F6"/>
  <c r="E6"/>
  <c r="D6"/>
  <c r="C6"/>
  <c r="F5"/>
  <c r="E5"/>
  <c r="D5"/>
  <c r="C5"/>
  <c r="BF16" i="77" l="1"/>
  <c r="AQ6" i="66"/>
  <c r="AQ10"/>
  <c r="C11" i="37" s="1"/>
  <c r="AQ13" i="66"/>
  <c r="C14" i="37" s="1"/>
  <c r="AQ15" i="66"/>
  <c r="AA18" i="71"/>
  <c r="AF18"/>
  <c r="AE18"/>
  <c r="BI11"/>
  <c r="BI16"/>
  <c r="C16" i="37"/>
  <c r="BT18" i="27"/>
  <c r="D16" i="66"/>
  <c r="AR14"/>
  <c r="D15" i="37" s="1"/>
  <c r="D11" i="66"/>
  <c r="E16"/>
  <c r="E11"/>
  <c r="AS14"/>
  <c r="E15" i="37" s="1"/>
  <c r="AM18" i="66"/>
  <c r="AT14"/>
  <c r="F15" i="37" s="1"/>
  <c r="C11" i="66"/>
  <c r="C16"/>
  <c r="AR15"/>
  <c r="D16" i="37" s="1"/>
  <c r="AT9" i="66"/>
  <c r="F10" i="37" s="1"/>
  <c r="AS15" i="66"/>
  <c r="E16" i="37" s="1"/>
  <c r="AT15" i="66"/>
  <c r="F16" i="37" s="1"/>
  <c r="F11" i="66"/>
  <c r="F16"/>
  <c r="AZ18" i="77"/>
  <c r="H18" i="82"/>
  <c r="AF18"/>
  <c r="AD18"/>
  <c r="BA18" i="77"/>
  <c r="BC18"/>
  <c r="BK5"/>
  <c r="BI18"/>
  <c r="BG18" i="27"/>
  <c r="BN18"/>
  <c r="BR18"/>
  <c r="BV18"/>
  <c r="BW18"/>
  <c r="BH18"/>
  <c r="BC18"/>
  <c r="BB18"/>
  <c r="AY18"/>
  <c r="J7" i="66"/>
  <c r="AT7" s="1"/>
  <c r="H12"/>
  <c r="J13"/>
  <c r="AT13" s="1"/>
  <c r="M8" i="37"/>
  <c r="M13"/>
  <c r="BB18" i="77"/>
  <c r="BH18"/>
  <c r="BJ18"/>
  <c r="I18" i="82"/>
  <c r="AE18"/>
  <c r="AJ18"/>
  <c r="AO18"/>
  <c r="AG18"/>
  <c r="J8" i="66"/>
  <c r="AT8" s="1"/>
  <c r="J10"/>
  <c r="AT10" s="1"/>
  <c r="J6"/>
  <c r="AT6" s="1"/>
  <c r="G7"/>
  <c r="AQ7" s="1"/>
  <c r="G5"/>
  <c r="AQ5" s="1"/>
  <c r="I7"/>
  <c r="AS7" s="1"/>
  <c r="H5"/>
  <c r="AR5" s="1"/>
  <c r="G18" i="82"/>
  <c r="AC18"/>
  <c r="AN18"/>
  <c r="AZ18" i="27"/>
  <c r="BO18"/>
  <c r="J13" i="37"/>
  <c r="BA18" i="27"/>
  <c r="BP18"/>
  <c r="BD18" i="77"/>
  <c r="AA18" i="82"/>
  <c r="AK18"/>
  <c r="AB18"/>
  <c r="AM18"/>
  <c r="J18"/>
  <c r="AP18"/>
  <c r="J5" i="66"/>
  <c r="H8"/>
  <c r="AR8" s="1"/>
  <c r="H10"/>
  <c r="AR10" s="1"/>
  <c r="I13"/>
  <c r="AS13" s="1"/>
  <c r="I8"/>
  <c r="AS8" s="1"/>
  <c r="I10"/>
  <c r="AS10" s="1"/>
  <c r="H6"/>
  <c r="AR6" s="1"/>
  <c r="H13"/>
  <c r="AR13" s="1"/>
  <c r="G9"/>
  <c r="AQ9" s="1"/>
  <c r="H9"/>
  <c r="AR9" s="1"/>
  <c r="I12"/>
  <c r="I6"/>
  <c r="AS6" s="1"/>
  <c r="H7"/>
  <c r="AR7" s="1"/>
  <c r="I9"/>
  <c r="AS9" s="1"/>
  <c r="J12"/>
  <c r="AI18" i="82"/>
  <c r="G16" i="37"/>
  <c r="M16"/>
  <c r="AO18" i="66"/>
  <c r="BD18" i="27"/>
  <c r="BS18"/>
  <c r="BE16"/>
  <c r="BT16"/>
  <c r="BU15" s="1"/>
  <c r="N8" i="37"/>
  <c r="AH18" i="82"/>
  <c r="AL18"/>
  <c r="R18" i="37"/>
  <c r="Z18" s="1"/>
  <c r="AW17" i="77"/>
  <c r="BK16"/>
  <c r="J7" i="37"/>
  <c r="J9"/>
  <c r="J10"/>
  <c r="G14"/>
  <c r="I14"/>
  <c r="I16"/>
  <c r="J14"/>
  <c r="J15"/>
  <c r="J16"/>
  <c r="L13"/>
  <c r="BE11" i="27"/>
  <c r="BT11"/>
  <c r="H6" i="37"/>
  <c r="H13"/>
  <c r="L8"/>
  <c r="L15"/>
  <c r="I8"/>
  <c r="I11"/>
  <c r="I15"/>
  <c r="I5" i="66"/>
  <c r="G8"/>
  <c r="AQ8" s="1"/>
  <c r="G12"/>
  <c r="AQ12" s="1"/>
  <c r="G14"/>
  <c r="AQ14" s="1"/>
  <c r="BA23" i="229"/>
  <c r="AZ23"/>
  <c r="AY23"/>
  <c r="AX23"/>
  <c r="AW23"/>
  <c r="AV23"/>
  <c r="AU23"/>
  <c r="AT23"/>
  <c r="AS23"/>
  <c r="AR23"/>
  <c r="AQ23"/>
  <c r="AP23"/>
  <c r="AO23"/>
  <c r="AN23"/>
  <c r="AM23"/>
  <c r="AL23"/>
  <c r="BA22"/>
  <c r="AZ22"/>
  <c r="AY22"/>
  <c r="AX22"/>
  <c r="AW22"/>
  <c r="AV22"/>
  <c r="AU22"/>
  <c r="AT22"/>
  <c r="AS22"/>
  <c r="AR22"/>
  <c r="AQ22"/>
  <c r="AP22"/>
  <c r="AO22"/>
  <c r="AN22"/>
  <c r="AM22"/>
  <c r="AL22"/>
  <c r="BA21"/>
  <c r="AZ21"/>
  <c r="AY21"/>
  <c r="AX21"/>
  <c r="AW21"/>
  <c r="AV21"/>
  <c r="AU21"/>
  <c r="AT21"/>
  <c r="AS21"/>
  <c r="AR21"/>
  <c r="AQ21"/>
  <c r="AP21"/>
  <c r="AO21"/>
  <c r="AN21"/>
  <c r="AM21"/>
  <c r="AL21"/>
  <c r="BA20"/>
  <c r="AZ20"/>
  <c r="AY20"/>
  <c r="AX20"/>
  <c r="AW20"/>
  <c r="AV20"/>
  <c r="AU20"/>
  <c r="AT20"/>
  <c r="AS20"/>
  <c r="AR20"/>
  <c r="AQ20"/>
  <c r="AP20"/>
  <c r="AO20"/>
  <c r="AN20"/>
  <c r="AM20"/>
  <c r="AL20"/>
  <c r="BA19"/>
  <c r="AZ19"/>
  <c r="AY19"/>
  <c r="AX19"/>
  <c r="AW19"/>
  <c r="AV19"/>
  <c r="AU19"/>
  <c r="AT19"/>
  <c r="AS19"/>
  <c r="AR19"/>
  <c r="AQ19"/>
  <c r="AP19"/>
  <c r="AO19"/>
  <c r="AN19"/>
  <c r="AM19"/>
  <c r="AL19"/>
  <c r="BA18"/>
  <c r="AZ18"/>
  <c r="AY18"/>
  <c r="AX18"/>
  <c r="AW18"/>
  <c r="AV18"/>
  <c r="AU18"/>
  <c r="AT18"/>
  <c r="AS18"/>
  <c r="AR18"/>
  <c r="AQ18"/>
  <c r="AP18"/>
  <c r="AO18"/>
  <c r="AN18"/>
  <c r="AM18"/>
  <c r="AL18"/>
  <c r="BA17"/>
  <c r="AZ17"/>
  <c r="AY17"/>
  <c r="AX17"/>
  <c r="AW17"/>
  <c r="AV17"/>
  <c r="AU17"/>
  <c r="AT17"/>
  <c r="AS17"/>
  <c r="AR17"/>
  <c r="AQ17"/>
  <c r="AP17"/>
  <c r="AO17"/>
  <c r="AN17"/>
  <c r="AM17"/>
  <c r="AL17"/>
  <c r="BA16"/>
  <c r="AZ16"/>
  <c r="AY16"/>
  <c r="AX16"/>
  <c r="AW16"/>
  <c r="AV16"/>
  <c r="AU16"/>
  <c r="AT16"/>
  <c r="AS16"/>
  <c r="AR16"/>
  <c r="AQ16"/>
  <c r="AP16"/>
  <c r="AO16"/>
  <c r="AN16"/>
  <c r="AM16"/>
  <c r="AL16"/>
  <c r="BA15"/>
  <c r="AZ15"/>
  <c r="AY15"/>
  <c r="AX15"/>
  <c r="AW15"/>
  <c r="AV15"/>
  <c r="AU15"/>
  <c r="AT15"/>
  <c r="AS15"/>
  <c r="AR15"/>
  <c r="AQ15"/>
  <c r="AP15"/>
  <c r="AO15"/>
  <c r="AN15"/>
  <c r="AM15"/>
  <c r="AL15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23"/>
  <c r="L23"/>
  <c r="K23"/>
  <c r="J23"/>
  <c r="M22"/>
  <c r="L22"/>
  <c r="K22"/>
  <c r="J22"/>
  <c r="M21"/>
  <c r="L21"/>
  <c r="K21"/>
  <c r="J21"/>
  <c r="M20"/>
  <c r="L20"/>
  <c r="K20"/>
  <c r="J20"/>
  <c r="M19"/>
  <c r="L19"/>
  <c r="K19"/>
  <c r="J19"/>
  <c r="M18"/>
  <c r="L18"/>
  <c r="K18"/>
  <c r="J18"/>
  <c r="M17"/>
  <c r="L17"/>
  <c r="K17"/>
  <c r="J17"/>
  <c r="M16"/>
  <c r="L16"/>
  <c r="K16"/>
  <c r="J16"/>
  <c r="M15"/>
  <c r="L15"/>
  <c r="K15"/>
  <c r="J15"/>
  <c r="BA9"/>
  <c r="AZ9"/>
  <c r="AY9"/>
  <c r="AX9"/>
  <c r="AW9"/>
  <c r="AV9"/>
  <c r="AU9"/>
  <c r="AT9"/>
  <c r="AS9"/>
  <c r="AR9"/>
  <c r="AQ9"/>
  <c r="AP9"/>
  <c r="AO9"/>
  <c r="AN9"/>
  <c r="AM9"/>
  <c r="AL9"/>
  <c r="BA8"/>
  <c r="AZ8"/>
  <c r="AY8"/>
  <c r="AX8"/>
  <c r="AW8"/>
  <c r="AV8"/>
  <c r="AU8"/>
  <c r="AT8"/>
  <c r="AS8"/>
  <c r="AR8"/>
  <c r="AQ8"/>
  <c r="AP8"/>
  <c r="AO8"/>
  <c r="AN8"/>
  <c r="AM8"/>
  <c r="AL8"/>
  <c r="BA7"/>
  <c r="AZ7"/>
  <c r="AY7"/>
  <c r="AX7"/>
  <c r="AW7"/>
  <c r="AV7"/>
  <c r="AU7"/>
  <c r="AT7"/>
  <c r="AS7"/>
  <c r="AR7"/>
  <c r="AQ7"/>
  <c r="AP7"/>
  <c r="AO7"/>
  <c r="AN7"/>
  <c r="AM7"/>
  <c r="AL7"/>
  <c r="BA6"/>
  <c r="AZ6"/>
  <c r="AY6"/>
  <c r="AX6"/>
  <c r="AW6"/>
  <c r="AU6"/>
  <c r="AT6"/>
  <c r="AS6"/>
  <c r="AR6"/>
  <c r="AQ6"/>
  <c r="AP6"/>
  <c r="AO6"/>
  <c r="AN6"/>
  <c r="AM6"/>
  <c r="AL6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9"/>
  <c r="L9"/>
  <c r="K9"/>
  <c r="J9"/>
  <c r="M8"/>
  <c r="L8"/>
  <c r="K8"/>
  <c r="J8"/>
  <c r="M7"/>
  <c r="L7"/>
  <c r="K7"/>
  <c r="J7"/>
  <c r="M6"/>
  <c r="L6"/>
  <c r="J6"/>
  <c r="K6"/>
  <c r="BF18" i="77" l="1"/>
  <c r="AU8" i="66"/>
  <c r="AQ11"/>
  <c r="AQ16"/>
  <c r="AR11"/>
  <c r="BI18" i="71"/>
  <c r="BE18" i="27"/>
  <c r="BE19" s="1"/>
  <c r="D18" i="66"/>
  <c r="BF11" i="27"/>
  <c r="BF16"/>
  <c r="BF15"/>
  <c r="BF5"/>
  <c r="BF9"/>
  <c r="BF8"/>
  <c r="BF7"/>
  <c r="BF12"/>
  <c r="BF6"/>
  <c r="BF10"/>
  <c r="BF14"/>
  <c r="BF13"/>
  <c r="BT19"/>
  <c r="BT21" s="1"/>
  <c r="BU12"/>
  <c r="BU8"/>
  <c r="BU13"/>
  <c r="BU11"/>
  <c r="BU9"/>
  <c r="BU7"/>
  <c r="BU5"/>
  <c r="BU16"/>
  <c r="BU14"/>
  <c r="BU10"/>
  <c r="BU6"/>
  <c r="H7" i="37"/>
  <c r="E18" i="66"/>
  <c r="AV15"/>
  <c r="C18"/>
  <c r="J16"/>
  <c r="AT12"/>
  <c r="J11"/>
  <c r="AT5"/>
  <c r="H16"/>
  <c r="AR12"/>
  <c r="F18"/>
  <c r="H11"/>
  <c r="D6" i="37"/>
  <c r="C13"/>
  <c r="G16" i="66"/>
  <c r="I16"/>
  <c r="AS12"/>
  <c r="G11"/>
  <c r="I11"/>
  <c r="AS5"/>
  <c r="E7" i="37"/>
  <c r="E14"/>
  <c r="F11"/>
  <c r="F14"/>
  <c r="D10"/>
  <c r="D9"/>
  <c r="C8"/>
  <c r="F8"/>
  <c r="C6"/>
  <c r="F7"/>
  <c r="F9"/>
  <c r="BK11" i="77"/>
  <c r="BA10" i="229"/>
  <c r="BA24"/>
  <c r="AS10"/>
  <c r="Q10"/>
  <c r="AW10"/>
  <c r="L6" i="37"/>
  <c r="K8"/>
  <c r="K10"/>
  <c r="L11"/>
  <c r="AU15" i="71"/>
  <c r="M14" i="37"/>
  <c r="N6"/>
  <c r="K14"/>
  <c r="K9"/>
  <c r="L10"/>
  <c r="L14"/>
  <c r="N7"/>
  <c r="N16"/>
  <c r="M10"/>
  <c r="L9"/>
  <c r="G15"/>
  <c r="E9"/>
  <c r="AU15" i="66"/>
  <c r="AV14"/>
  <c r="J6" i="37"/>
  <c r="I9"/>
  <c r="I10"/>
  <c r="H10"/>
  <c r="J17"/>
  <c r="H11"/>
  <c r="H9"/>
  <c r="N9"/>
  <c r="N14"/>
  <c r="AJ17" i="229"/>
  <c r="AJ21"/>
  <c r="Y10"/>
  <c r="BE7"/>
  <c r="BE8"/>
  <c r="BE9"/>
  <c r="AK15"/>
  <c r="AC24"/>
  <c r="AH21"/>
  <c r="BE16"/>
  <c r="BE18"/>
  <c r="BE23"/>
  <c r="AJ16"/>
  <c r="AJ18"/>
  <c r="P24"/>
  <c r="X24"/>
  <c r="AK18"/>
  <c r="D8" i="37"/>
  <c r="AV7" i="66"/>
  <c r="E10" i="37"/>
  <c r="AV9" i="66"/>
  <c r="C10" i="37"/>
  <c r="AU9" i="66"/>
  <c r="E11" i="37"/>
  <c r="AU10" i="66"/>
  <c r="E8" i="37"/>
  <c r="M9"/>
  <c r="G9"/>
  <c r="M15"/>
  <c r="AU7" i="27"/>
  <c r="M7" i="37"/>
  <c r="J8"/>
  <c r="BE21" i="229"/>
  <c r="H8" i="37"/>
  <c r="AK7" i="229"/>
  <c r="U10"/>
  <c r="AC10"/>
  <c r="AK22"/>
  <c r="Y24"/>
  <c r="G6" i="37"/>
  <c r="C7"/>
  <c r="N10"/>
  <c r="BB21" i="229"/>
  <c r="K7" i="37"/>
  <c r="J11"/>
  <c r="L16"/>
  <c r="AV15" i="71"/>
  <c r="AU14" i="66"/>
  <c r="C15" i="37"/>
  <c r="D14"/>
  <c r="D11"/>
  <c r="AV10" i="66"/>
  <c r="L7" i="37"/>
  <c r="BB7" i="229"/>
  <c r="K6" i="37"/>
  <c r="AV7" i="71"/>
  <c r="AI17" i="229"/>
  <c r="BC21"/>
  <c r="I7" i="37"/>
  <c r="K15"/>
  <c r="BD16" i="229"/>
  <c r="BD21"/>
  <c r="BD23"/>
  <c r="I13" i="37"/>
  <c r="K13"/>
  <c r="N15"/>
  <c r="AH18" i="229"/>
  <c r="N13" i="37"/>
  <c r="BD18" i="229"/>
  <c r="AJ15"/>
  <c r="N11" i="37"/>
  <c r="AR24" i="229"/>
  <c r="BD22"/>
  <c r="AJ19"/>
  <c r="S24"/>
  <c r="S10"/>
  <c r="T10"/>
  <c r="AJ22"/>
  <c r="AF24"/>
  <c r="BD15"/>
  <c r="BC15"/>
  <c r="AA24"/>
  <c r="AK23"/>
  <c r="AH17"/>
  <c r="AH22"/>
  <c r="R10"/>
  <c r="BB17"/>
  <c r="BC23"/>
  <c r="AA10"/>
  <c r="AJ20"/>
  <c r="T24"/>
  <c r="AK9"/>
  <c r="AK8"/>
  <c r="AG10"/>
  <c r="AK17"/>
  <c r="BB15"/>
  <c r="AK16"/>
  <c r="V24"/>
  <c r="Z10"/>
  <c r="AV15" i="27"/>
  <c r="H16" i="37"/>
  <c r="AV14" i="27"/>
  <c r="H15" i="37"/>
  <c r="AV13" i="27"/>
  <c r="H14" i="37"/>
  <c r="AU10" i="27"/>
  <c r="G11" i="37"/>
  <c r="G10"/>
  <c r="BD19" i="229"/>
  <c r="AO10"/>
  <c r="AZ24"/>
  <c r="BD20"/>
  <c r="AS24"/>
  <c r="BE22"/>
  <c r="AK6"/>
  <c r="BB19"/>
  <c r="U24"/>
  <c r="AK19"/>
  <c r="AO24"/>
  <c r="BE19"/>
  <c r="AI23"/>
  <c r="Q24"/>
  <c r="AX24"/>
  <c r="BB18"/>
  <c r="BC19"/>
  <c r="AY24"/>
  <c r="AG24"/>
  <c r="AK20"/>
  <c r="BE17"/>
  <c r="AE24"/>
  <c r="W10"/>
  <c r="BB16"/>
  <c r="N10"/>
  <c r="AJ7"/>
  <c r="AY10"/>
  <c r="AH19"/>
  <c r="Z24"/>
  <c r="AQ24"/>
  <c r="AI7"/>
  <c r="AE10"/>
  <c r="AF10"/>
  <c r="AZ10"/>
  <c r="P10"/>
  <c r="M24"/>
  <c r="AH9"/>
  <c r="V10"/>
  <c r="AU15" i="27"/>
  <c r="AU13"/>
  <c r="AU24" i="229"/>
  <c r="AW24"/>
  <c r="AP10"/>
  <c r="AP24"/>
  <c r="BB22"/>
  <c r="AH16"/>
  <c r="AD24"/>
  <c r="AJ9"/>
  <c r="X10"/>
  <c r="BD9"/>
  <c r="AH8"/>
  <c r="AD10"/>
  <c r="AX10"/>
  <c r="BB8"/>
  <c r="N24"/>
  <c r="AN10"/>
  <c r="AL10"/>
  <c r="AM24"/>
  <c r="AM10"/>
  <c r="BE20"/>
  <c r="AR10"/>
  <c r="AQ10"/>
  <c r="J24"/>
  <c r="K10"/>
  <c r="AT10"/>
  <c r="BB9"/>
  <c r="BB23"/>
  <c r="AT24"/>
  <c r="BB20"/>
  <c r="AV10"/>
  <c r="BD8"/>
  <c r="W24"/>
  <c r="AH20"/>
  <c r="R24"/>
  <c r="BC7"/>
  <c r="BC17"/>
  <c r="O10"/>
  <c r="O24"/>
  <c r="AV12" i="71"/>
  <c r="AJ23" i="229"/>
  <c r="AB24"/>
  <c r="AV24"/>
  <c r="BD17"/>
  <c r="AH6"/>
  <c r="AN24"/>
  <c r="G17" i="37"/>
  <c r="AK21" i="229"/>
  <c r="BE6"/>
  <c r="M10"/>
  <c r="BC9"/>
  <c r="BE15"/>
  <c r="J10"/>
  <c r="AU10"/>
  <c r="L24"/>
  <c r="AL24"/>
  <c r="AH23"/>
  <c r="AH7"/>
  <c r="AI19"/>
  <c r="AI21"/>
  <c r="AH15"/>
  <c r="BB6"/>
  <c r="BD7"/>
  <c r="BC18"/>
  <c r="BC20"/>
  <c r="BC22"/>
  <c r="BC8"/>
  <c r="BD6"/>
  <c r="BC16"/>
  <c r="BC6"/>
  <c r="AJ8"/>
  <c r="AB10"/>
  <c r="AI16"/>
  <c r="AI18"/>
  <c r="AI20"/>
  <c r="AI22"/>
  <c r="K24"/>
  <c r="AI9"/>
  <c r="AJ6"/>
  <c r="AI8"/>
  <c r="AI15"/>
  <c r="L10"/>
  <c r="AI6"/>
  <c r="BF19" i="77" l="1"/>
  <c r="BG28"/>
  <c r="BG36"/>
  <c r="BG29"/>
  <c r="BG26"/>
  <c r="BG32"/>
  <c r="BG25"/>
  <c r="BG27"/>
  <c r="BG35"/>
  <c r="BG33"/>
  <c r="BG30"/>
  <c r="BG34"/>
  <c r="BG31"/>
  <c r="E6" i="37"/>
  <c r="AS11" i="66"/>
  <c r="E13" i="37"/>
  <c r="AS16" i="66"/>
  <c r="F13" i="37"/>
  <c r="AT16" i="66"/>
  <c r="D13" i="37"/>
  <c r="AR16" i="66"/>
  <c r="F6" i="37"/>
  <c r="AT11" i="66"/>
  <c r="BJ11" i="71"/>
  <c r="BI19"/>
  <c r="I6" i="37"/>
  <c r="AV8" i="27"/>
  <c r="G7" i="37"/>
  <c r="AU8" i="27"/>
  <c r="G18" i="66"/>
  <c r="AV12"/>
  <c r="I18"/>
  <c r="J18"/>
  <c r="H18"/>
  <c r="AV8"/>
  <c r="BG16" i="77"/>
  <c r="AU13" i="66"/>
  <c r="AV13"/>
  <c r="AU7"/>
  <c r="AU6"/>
  <c r="AS26" i="229"/>
  <c r="BK18" i="77"/>
  <c r="BG15"/>
  <c r="BA26" i="229"/>
  <c r="AW26"/>
  <c r="Q26"/>
  <c r="BJ16" i="71"/>
  <c r="BG13" i="77"/>
  <c r="BG11"/>
  <c r="BG6"/>
  <c r="BG9"/>
  <c r="BG12"/>
  <c r="BG10"/>
  <c r="BG5"/>
  <c r="BG14"/>
  <c r="BG7"/>
  <c r="BG8"/>
  <c r="AV10" i="71"/>
  <c r="BJ8"/>
  <c r="AV5"/>
  <c r="BJ14"/>
  <c r="BJ7"/>
  <c r="BJ10"/>
  <c r="BJ12"/>
  <c r="BJ13"/>
  <c r="BJ5"/>
  <c r="BJ9"/>
  <c r="BJ6"/>
  <c r="BJ15"/>
  <c r="AU10"/>
  <c r="AV6" i="27"/>
  <c r="AU7" i="71"/>
  <c r="K16" i="37"/>
  <c r="L12"/>
  <c r="M11"/>
  <c r="AV9" i="71"/>
  <c r="AV12" i="27"/>
  <c r="AV16" s="1"/>
  <c r="AV8" i="71"/>
  <c r="AV13"/>
  <c r="AU9"/>
  <c r="AU13"/>
  <c r="K12" i="37"/>
  <c r="AV6" i="71"/>
  <c r="G8" i="37"/>
  <c r="K11"/>
  <c r="AV5" i="27"/>
  <c r="AU12" i="71"/>
  <c r="AV9" i="27"/>
  <c r="AV14" i="71"/>
  <c r="AU6"/>
  <c r="AU8"/>
  <c r="AV7" i="27"/>
  <c r="AV10"/>
  <c r="AU9"/>
  <c r="AU5"/>
  <c r="AU6"/>
  <c r="AU14"/>
  <c r="BI9" i="229"/>
  <c r="BH21"/>
  <c r="BH17"/>
  <c r="AU14" i="71"/>
  <c r="BI8" i="229"/>
  <c r="Y26"/>
  <c r="BI23"/>
  <c r="BI18"/>
  <c r="BF7"/>
  <c r="BI16"/>
  <c r="BI7"/>
  <c r="BE10"/>
  <c r="P26"/>
  <c r="BF21"/>
  <c r="AC26"/>
  <c r="BH16"/>
  <c r="X26"/>
  <c r="BH18"/>
  <c r="R26"/>
  <c r="BI22"/>
  <c r="BG17"/>
  <c r="BH15"/>
  <c r="BH22"/>
  <c r="BF19"/>
  <c r="U26"/>
  <c r="BF18"/>
  <c r="BH23"/>
  <c r="J26"/>
  <c r="AA26"/>
  <c r="BG21"/>
  <c r="AU12" i="66"/>
  <c r="G13" i="37"/>
  <c r="AU5" i="71"/>
  <c r="BF20" i="229"/>
  <c r="M6" i="37"/>
  <c r="AR26" i="229"/>
  <c r="N17" i="37"/>
  <c r="BI19" i="229"/>
  <c r="D7" i="37"/>
  <c r="AV6" i="66"/>
  <c r="N12" i="37"/>
  <c r="AV5" i="66"/>
  <c r="AU5"/>
  <c r="T26" i="229"/>
  <c r="AE26"/>
  <c r="C9" i="37"/>
  <c r="V26" i="229"/>
  <c r="AX26"/>
  <c r="AZ26"/>
  <c r="AF26"/>
  <c r="BI17"/>
  <c r="S26"/>
  <c r="BI20"/>
  <c r="BH20"/>
  <c r="BH7"/>
  <c r="AV26"/>
  <c r="AQ26"/>
  <c r="BF16"/>
  <c r="AY26"/>
  <c r="AG26"/>
  <c r="BG23"/>
  <c r="AK10"/>
  <c r="BH19"/>
  <c r="Z26"/>
  <c r="BF22"/>
  <c r="AK24"/>
  <c r="AP26"/>
  <c r="BD24"/>
  <c r="BF17"/>
  <c r="AL26"/>
  <c r="BB24"/>
  <c r="N26"/>
  <c r="BE24"/>
  <c r="O26"/>
  <c r="BG7"/>
  <c r="W26"/>
  <c r="AO26"/>
  <c r="BI21"/>
  <c r="BG19"/>
  <c r="BI6"/>
  <c r="AD26"/>
  <c r="AN26"/>
  <c r="K26"/>
  <c r="BF9"/>
  <c r="AM26"/>
  <c r="BF8"/>
  <c r="BH9"/>
  <c r="M26"/>
  <c r="BF23"/>
  <c r="AU26"/>
  <c r="BH8"/>
  <c r="AT26"/>
  <c r="BG9"/>
  <c r="BG18"/>
  <c r="BD10"/>
  <c r="AB26"/>
  <c r="AH10"/>
  <c r="AJ24"/>
  <c r="BF6"/>
  <c r="BI15"/>
  <c r="L26"/>
  <c r="BG6"/>
  <c r="AH24"/>
  <c r="BG22"/>
  <c r="BF15"/>
  <c r="BG16"/>
  <c r="BB10"/>
  <c r="BH6"/>
  <c r="BC24"/>
  <c r="BG20"/>
  <c r="BC10"/>
  <c r="BG8"/>
  <c r="AJ10"/>
  <c r="AI24"/>
  <c r="BG15"/>
  <c r="AI10"/>
  <c r="AU16" i="66" l="1"/>
  <c r="I17" i="37"/>
  <c r="AV11" i="66"/>
  <c r="AU11"/>
  <c r="AV16"/>
  <c r="K17" i="37"/>
  <c r="K19"/>
  <c r="L17"/>
  <c r="L19"/>
  <c r="M17"/>
  <c r="M19"/>
  <c r="AV16" i="71"/>
  <c r="AV18" s="1"/>
  <c r="N19" i="37"/>
  <c r="AV11" i="71"/>
  <c r="AU11"/>
  <c r="AU16"/>
  <c r="AU18" s="1"/>
  <c r="AV11" i="27"/>
  <c r="AV18" s="1"/>
  <c r="AU12"/>
  <c r="AU16" s="1"/>
  <c r="AU11"/>
  <c r="BE26" i="229"/>
  <c r="BI10"/>
  <c r="M12" i="37"/>
  <c r="BJ20" i="229"/>
  <c r="AK26"/>
  <c r="BH24"/>
  <c r="BB26"/>
  <c r="BI24"/>
  <c r="BD26"/>
  <c r="BF24"/>
  <c r="BF10"/>
  <c r="BH10"/>
  <c r="BG10"/>
  <c r="AH26"/>
  <c r="BC26"/>
  <c r="AJ26"/>
  <c r="BG24"/>
  <c r="AI26"/>
  <c r="AU18" i="66" l="1"/>
  <c r="AV18"/>
  <c r="O18" i="82"/>
  <c r="Z18"/>
  <c r="W18"/>
  <c r="AS7" i="77"/>
  <c r="AS9"/>
  <c r="Q10" i="37" s="1"/>
  <c r="AQ9" i="82"/>
  <c r="S10" i="37" s="1"/>
  <c r="AT15" i="82"/>
  <c r="V16" i="37" s="1"/>
  <c r="T18" i="82"/>
  <c r="V18"/>
  <c r="BH26" i="229"/>
  <c r="AU18" i="27"/>
  <c r="AR7" i="77"/>
  <c r="AT6" i="82"/>
  <c r="V7" i="37" s="1"/>
  <c r="AT8" i="82"/>
  <c r="V9" i="37" s="1"/>
  <c r="AQ14" i="82"/>
  <c r="S15" i="37" s="1"/>
  <c r="M20"/>
  <c r="Y18" i="82"/>
  <c r="BI26" i="229"/>
  <c r="U18" i="82"/>
  <c r="AQ6" i="77"/>
  <c r="O7" i="37" s="1"/>
  <c r="AQ10" i="77"/>
  <c r="O11" i="37" s="1"/>
  <c r="AQ7" i="77"/>
  <c r="O8" i="37" s="1"/>
  <c r="AQ9" i="77"/>
  <c r="AQ14"/>
  <c r="O15" i="37" s="1"/>
  <c r="AT15" i="77"/>
  <c r="R16" i="37" s="1"/>
  <c r="AR7" i="82"/>
  <c r="T8" i="37" s="1"/>
  <c r="AS13" i="82"/>
  <c r="U14" i="37" s="1"/>
  <c r="AS15" i="82"/>
  <c r="U16" i="37" s="1"/>
  <c r="AS7" i="82"/>
  <c r="U8" i="37" s="1"/>
  <c r="AS9" i="82"/>
  <c r="U10" i="37" s="1"/>
  <c r="AT5" i="82"/>
  <c r="V6" i="37" s="1"/>
  <c r="AT7" i="82"/>
  <c r="V8" i="37" s="1"/>
  <c r="AT14" i="82"/>
  <c r="V15" i="37" s="1"/>
  <c r="AT6" i="77"/>
  <c r="R7" i="37" s="1"/>
  <c r="AT8" i="77"/>
  <c r="R9" i="37" s="1"/>
  <c r="AT10" i="77"/>
  <c r="R11" i="37" s="1"/>
  <c r="O6"/>
  <c r="AQ12" i="77"/>
  <c r="O13" i="37" s="1"/>
  <c r="AR6" i="77"/>
  <c r="P7" i="37" s="1"/>
  <c r="AR8" i="77"/>
  <c r="P9" i="37" s="1"/>
  <c r="AR10" i="77"/>
  <c r="P11" i="37" s="1"/>
  <c r="AS15" i="77"/>
  <c r="AQ6" i="82"/>
  <c r="AQ8"/>
  <c r="AQ10"/>
  <c r="S11" i="37" s="1"/>
  <c r="AQ13" i="82"/>
  <c r="S14" i="37" s="1"/>
  <c r="AQ15" i="82"/>
  <c r="S16" i="37" s="1"/>
  <c r="AR5" i="82"/>
  <c r="AR12"/>
  <c r="T13" i="37" s="1"/>
  <c r="AT5" i="77"/>
  <c r="R6" i="37" s="1"/>
  <c r="AT7" i="77"/>
  <c r="R8" i="37" s="1"/>
  <c r="AT9" i="77"/>
  <c r="R10" i="37" s="1"/>
  <c r="AT14" i="77"/>
  <c r="R15" i="37" s="1"/>
  <c r="AS5" i="82"/>
  <c r="U6" i="37" s="1"/>
  <c r="P18" i="82"/>
  <c r="AQ15" i="77"/>
  <c r="O16" i="37" s="1"/>
  <c r="AS6" i="82"/>
  <c r="U7" i="37" s="1"/>
  <c r="AS8" i="82"/>
  <c r="U9" i="37" s="1"/>
  <c r="AQ5" i="82"/>
  <c r="S6" i="37" s="1"/>
  <c r="AQ12" i="82"/>
  <c r="S13" i="37" s="1"/>
  <c r="AR6" i="82"/>
  <c r="AR8"/>
  <c r="T9" i="37" s="1"/>
  <c r="AR10" i="82"/>
  <c r="T11" i="37" s="1"/>
  <c r="AR13" i="82"/>
  <c r="T14" i="37" s="1"/>
  <c r="AR15" i="82"/>
  <c r="AT9"/>
  <c r="V10" i="37" s="1"/>
  <c r="AS14" i="82"/>
  <c r="AT12"/>
  <c r="V13" i="37" s="1"/>
  <c r="AQ7" i="82"/>
  <c r="AT13"/>
  <c r="V14" i="37" s="1"/>
  <c r="AS12" i="82"/>
  <c r="AR9"/>
  <c r="AR14"/>
  <c r="AT10"/>
  <c r="V11" i="37" s="1"/>
  <c r="AQ8" i="77"/>
  <c r="O9" i="37" s="1"/>
  <c r="AQ13" i="77"/>
  <c r="O14" i="37" s="1"/>
  <c r="AS6" i="77"/>
  <c r="AS13"/>
  <c r="AS14"/>
  <c r="AS8"/>
  <c r="AR12"/>
  <c r="P13" i="37" s="1"/>
  <c r="AT12" i="77"/>
  <c r="R13" i="37" s="1"/>
  <c r="AR13" i="77"/>
  <c r="AS5"/>
  <c r="AR15"/>
  <c r="AS10"/>
  <c r="BF26" i="229"/>
  <c r="BG26"/>
  <c r="W6" i="37" l="1"/>
  <c r="D25" s="1"/>
  <c r="AV7" i="77"/>
  <c r="AR11" i="82"/>
  <c r="T12" i="37" s="1"/>
  <c r="X18" i="82"/>
  <c r="Z16" i="37"/>
  <c r="G35" s="1"/>
  <c r="P8"/>
  <c r="X8" s="1"/>
  <c r="E27" s="1"/>
  <c r="AW10" i="77"/>
  <c r="AS16" i="82"/>
  <c r="U17" i="37" s="1"/>
  <c r="Q18" i="82"/>
  <c r="AU14" i="77"/>
  <c r="AQ11"/>
  <c r="O12" i="37" s="1"/>
  <c r="Z11"/>
  <c r="Z9"/>
  <c r="G28" s="1"/>
  <c r="AU9" i="77"/>
  <c r="AU7"/>
  <c r="AS12"/>
  <c r="AW12" s="1"/>
  <c r="Q8" i="37"/>
  <c r="Y8" s="1"/>
  <c r="AR11" i="77"/>
  <c r="P12" i="37" s="1"/>
  <c r="AS10" i="82"/>
  <c r="AU10" s="1"/>
  <c r="AV15"/>
  <c r="AV6"/>
  <c r="Z15" i="37"/>
  <c r="G34" s="1"/>
  <c r="Z6"/>
  <c r="G25" s="1"/>
  <c r="X11"/>
  <c r="E30" s="1"/>
  <c r="T16"/>
  <c r="AU5" i="82"/>
  <c r="W15" i="37"/>
  <c r="D34" s="1"/>
  <c r="AV13" i="82"/>
  <c r="AU14"/>
  <c r="Z8" i="37"/>
  <c r="G27" s="1"/>
  <c r="Z7"/>
  <c r="G26" s="1"/>
  <c r="W11"/>
  <c r="D30" s="1"/>
  <c r="O10"/>
  <c r="W10" s="1"/>
  <c r="D29" s="1"/>
  <c r="AW5" i="77"/>
  <c r="Z10" i="37"/>
  <c r="G29" s="1"/>
  <c r="AR14" i="77"/>
  <c r="P15" i="37" s="1"/>
  <c r="AV5" i="82"/>
  <c r="Y10" i="37"/>
  <c r="F29" s="1"/>
  <c r="T6"/>
  <c r="AU15" i="82"/>
  <c r="R18"/>
  <c r="W14" i="37"/>
  <c r="D33" s="1"/>
  <c r="T7"/>
  <c r="X7" s="1"/>
  <c r="E26" s="1"/>
  <c r="AU9" i="82"/>
  <c r="W16" i="37"/>
  <c r="D35" s="1"/>
  <c r="AU13" i="82"/>
  <c r="AV7"/>
  <c r="X13" i="37"/>
  <c r="E32" s="1"/>
  <c r="Q16"/>
  <c r="Y16" s="1"/>
  <c r="F35" s="1"/>
  <c r="AU15" i="77"/>
  <c r="AW15"/>
  <c r="AV8" i="82"/>
  <c r="AR9" i="77"/>
  <c r="S18" i="82"/>
  <c r="AT11"/>
  <c r="V12" i="37" s="1"/>
  <c r="U15"/>
  <c r="X9"/>
  <c r="E28" s="1"/>
  <c r="AW9" i="77"/>
  <c r="S9" i="37"/>
  <c r="W9" s="1"/>
  <c r="D28" s="1"/>
  <c r="AU8" i="82"/>
  <c r="W13" i="37"/>
  <c r="AU6" i="82"/>
  <c r="S7" i="37"/>
  <c r="W7" s="1"/>
  <c r="AW7" i="77"/>
  <c r="AQ16" i="82"/>
  <c r="S17" i="37" s="1"/>
  <c r="AT13" i="77"/>
  <c r="R14" i="37" s="1"/>
  <c r="Z14" s="1"/>
  <c r="G33" s="1"/>
  <c r="AT11" i="77"/>
  <c r="R12" i="37" s="1"/>
  <c r="Z13"/>
  <c r="AU7" i="82"/>
  <c r="S8" i="37"/>
  <c r="W8" s="1"/>
  <c r="D27" s="1"/>
  <c r="K18" i="82"/>
  <c r="AQ11"/>
  <c r="N18"/>
  <c r="AT16"/>
  <c r="V17" i="37" s="1"/>
  <c r="U13"/>
  <c r="AU12" i="82"/>
  <c r="AV12"/>
  <c r="AV9"/>
  <c r="T10" i="37"/>
  <c r="M18" i="82"/>
  <c r="AS11"/>
  <c r="T15" i="37"/>
  <c r="AV14" i="82"/>
  <c r="L18"/>
  <c r="AR16"/>
  <c r="Q15" i="37"/>
  <c r="AW14" i="77"/>
  <c r="AU6"/>
  <c r="AW6"/>
  <c r="AV8"/>
  <c r="AW8"/>
  <c r="Q14" i="37"/>
  <c r="Y14" s="1"/>
  <c r="F33" s="1"/>
  <c r="AQ16" i="77"/>
  <c r="AU13"/>
  <c r="Q7" i="37"/>
  <c r="Y7" s="1"/>
  <c r="F26" s="1"/>
  <c r="AV6" i="77"/>
  <c r="Q9" i="37"/>
  <c r="Y9" s="1"/>
  <c r="F28" s="1"/>
  <c r="AU8" i="77"/>
  <c r="AT16"/>
  <c r="R17" i="37" s="1"/>
  <c r="P14"/>
  <c r="X14" s="1"/>
  <c r="E33" s="1"/>
  <c r="AV13" i="77"/>
  <c r="Q6" i="37"/>
  <c r="Y6" s="1"/>
  <c r="F25" s="1"/>
  <c r="AU5" i="77"/>
  <c r="AR5"/>
  <c r="AR16"/>
  <c r="P16" i="37"/>
  <c r="AV15" i="77"/>
  <c r="Q11" i="37"/>
  <c r="AV10" i="77"/>
  <c r="AU10"/>
  <c r="AS11"/>
  <c r="D26" i="37" l="1"/>
  <c r="W12"/>
  <c r="D32"/>
  <c r="W17"/>
  <c r="G32"/>
  <c r="Z17"/>
  <c r="G30"/>
  <c r="Z12"/>
  <c r="F27"/>
  <c r="H26"/>
  <c r="L26" s="1"/>
  <c r="H25"/>
  <c r="H28"/>
  <c r="L28" s="1"/>
  <c r="H29"/>
  <c r="L29" s="1"/>
  <c r="AV12" i="77"/>
  <c r="AV10" i="82"/>
  <c r="AV11" s="1"/>
  <c r="H35" i="37"/>
  <c r="L35" s="1"/>
  <c r="U11"/>
  <c r="Y11" s="1"/>
  <c r="F30" s="1"/>
  <c r="AU12" i="77"/>
  <c r="AU16" s="1"/>
  <c r="Q13" i="37"/>
  <c r="Y13" s="1"/>
  <c r="Y15"/>
  <c r="F34" s="1"/>
  <c r="H34" s="1"/>
  <c r="X15"/>
  <c r="X16"/>
  <c r="AS16" i="77"/>
  <c r="AW16" s="1"/>
  <c r="AV14"/>
  <c r="AW13"/>
  <c r="AT18" i="82"/>
  <c r="AT18" i="77"/>
  <c r="R19" i="37" s="1"/>
  <c r="M30"/>
  <c r="AU16" i="82"/>
  <c r="AU11"/>
  <c r="AA8" i="37"/>
  <c r="P10"/>
  <c r="X10" s="1"/>
  <c r="E29" s="1"/>
  <c r="AV9" i="77"/>
  <c r="V19" i="37"/>
  <c r="H33"/>
  <c r="N33" s="1"/>
  <c r="AQ18" i="82"/>
  <c r="S12" i="37"/>
  <c r="S19" s="1"/>
  <c r="M27"/>
  <c r="AV16" i="82"/>
  <c r="U12" i="37"/>
  <c r="U19" s="1"/>
  <c r="AS18" i="82"/>
  <c r="T17" i="37"/>
  <c r="T19" s="1"/>
  <c r="AR18" i="82"/>
  <c r="Q12" i="37"/>
  <c r="AW11" i="77"/>
  <c r="O17" i="37"/>
  <c r="AQ18" i="77"/>
  <c r="O19" i="37" s="1"/>
  <c r="AU11" i="77"/>
  <c r="AA7" i="37"/>
  <c r="AA9"/>
  <c r="M28"/>
  <c r="AA14"/>
  <c r="P6"/>
  <c r="AV5" i="77"/>
  <c r="P17" i="37"/>
  <c r="AR18" i="77"/>
  <c r="P19" i="37" s="1"/>
  <c r="H27" l="1"/>
  <c r="J27" s="1"/>
  <c r="E34"/>
  <c r="M34" s="1"/>
  <c r="AA16"/>
  <c r="E35"/>
  <c r="J35" s="1"/>
  <c r="M32"/>
  <c r="M26"/>
  <c r="Y12"/>
  <c r="W19"/>
  <c r="X17"/>
  <c r="E36" s="1"/>
  <c r="Z19"/>
  <c r="F32"/>
  <c r="H32" s="1"/>
  <c r="L32" s="1"/>
  <c r="Y17"/>
  <c r="H30"/>
  <c r="L30" s="1"/>
  <c r="N35"/>
  <c r="L25"/>
  <c r="O25"/>
  <c r="AV16" i="77"/>
  <c r="O29" i="37"/>
  <c r="P35"/>
  <c r="O35"/>
  <c r="N25"/>
  <c r="P25"/>
  <c r="J28"/>
  <c r="P28"/>
  <c r="AS18" i="77"/>
  <c r="AW18" s="1"/>
  <c r="N28" i="37"/>
  <c r="O28"/>
  <c r="AA15"/>
  <c r="N26"/>
  <c r="AU18" i="77"/>
  <c r="AV11"/>
  <c r="AU18" i="82"/>
  <c r="Q17" i="37"/>
  <c r="P29"/>
  <c r="J26"/>
  <c r="O26"/>
  <c r="P26"/>
  <c r="N29"/>
  <c r="J29"/>
  <c r="AA10"/>
  <c r="P33"/>
  <c r="J33"/>
  <c r="AV18" i="82"/>
  <c r="O33" i="37"/>
  <c r="L33"/>
  <c r="U20"/>
  <c r="AA11"/>
  <c r="AA13"/>
  <c r="P34"/>
  <c r="L34"/>
  <c r="O34"/>
  <c r="N34"/>
  <c r="M33"/>
  <c r="X6"/>
  <c r="V34" i="182"/>
  <c r="V37"/>
  <c r="V36"/>
  <c r="V35"/>
  <c r="V33"/>
  <c r="W38"/>
  <c r="V42"/>
  <c r="V43" s="1"/>
  <c r="W41"/>
  <c r="W43" s="1"/>
  <c r="P27" i="37" l="1"/>
  <c r="O27"/>
  <c r="N27"/>
  <c r="L27"/>
  <c r="J34"/>
  <c r="X12"/>
  <c r="E31" s="1"/>
  <c r="E25"/>
  <c r="J25" s="1"/>
  <c r="Y19"/>
  <c r="P32"/>
  <c r="O32"/>
  <c r="J32"/>
  <c r="N32"/>
  <c r="O30"/>
  <c r="P30"/>
  <c r="J30"/>
  <c r="N30"/>
  <c r="M29"/>
  <c r="AV18" i="77"/>
  <c r="Q19" i="37"/>
  <c r="Q20" s="1"/>
  <c r="AA17"/>
  <c r="M35"/>
  <c r="AA6"/>
  <c r="AA12" s="1"/>
  <c r="W44" i="182"/>
  <c r="V38"/>
  <c r="V44" s="1"/>
  <c r="U38"/>
  <c r="U43"/>
  <c r="T38"/>
  <c r="T43"/>
  <c r="X19" i="37" l="1"/>
  <c r="AA19"/>
  <c r="M25"/>
  <c r="T44" i="182"/>
  <c r="U44"/>
  <c r="C1" l="1"/>
  <c r="F40"/>
  <c r="D40"/>
  <c r="D39"/>
  <c r="E40"/>
  <c r="D32"/>
  <c r="E10" i="68" l="1"/>
  <c r="E15"/>
  <c r="I10"/>
  <c r="I15"/>
  <c r="M10"/>
  <c r="N10"/>
  <c r="M15"/>
  <c r="M17" s="1"/>
  <c r="N15"/>
  <c r="H9" i="182"/>
  <c r="H7"/>
  <c r="F36"/>
  <c r="F16"/>
  <c r="D33"/>
  <c r="E33"/>
  <c r="D14"/>
  <c r="D15"/>
  <c r="E35"/>
  <c r="D22"/>
  <c r="D21"/>
  <c r="F42"/>
  <c r="D8"/>
  <c r="E18"/>
  <c r="E16"/>
  <c r="H8"/>
  <c r="H14"/>
  <c r="E8"/>
  <c r="F34"/>
  <c r="H17"/>
  <c r="F9"/>
  <c r="H16"/>
  <c r="F8"/>
  <c r="E37"/>
  <c r="F15"/>
  <c r="F21"/>
  <c r="D42"/>
  <c r="D37"/>
  <c r="F18"/>
  <c r="E6"/>
  <c r="H20"/>
  <c r="F19"/>
  <c r="E42"/>
  <c r="D36"/>
  <c r="D7"/>
  <c r="F22"/>
  <c r="E9"/>
  <c r="E21"/>
  <c r="D41"/>
  <c r="D9"/>
  <c r="F14"/>
  <c r="F6"/>
  <c r="F35"/>
  <c r="D17"/>
  <c r="D20"/>
  <c r="D19"/>
  <c r="D6"/>
  <c r="F33"/>
  <c r="E17"/>
  <c r="F32"/>
  <c r="D16"/>
  <c r="F20"/>
  <c r="H21"/>
  <c r="F7"/>
  <c r="E22"/>
  <c r="E14"/>
  <c r="D18"/>
  <c r="E36"/>
  <c r="D35"/>
  <c r="E34"/>
  <c r="F41"/>
  <c r="F37"/>
  <c r="E19"/>
  <c r="F17"/>
  <c r="E20"/>
  <c r="E15"/>
  <c r="E7"/>
  <c r="E41"/>
  <c r="D34"/>
  <c r="J42" l="1"/>
  <c r="J34"/>
  <c r="J40"/>
  <c r="J41"/>
  <c r="J39"/>
  <c r="J37"/>
  <c r="J35"/>
  <c r="J36"/>
  <c r="J33"/>
  <c r="G42"/>
  <c r="J16"/>
  <c r="J20"/>
  <c r="J21"/>
  <c r="J17"/>
  <c r="J15"/>
  <c r="J14"/>
  <c r="J9"/>
  <c r="J19"/>
  <c r="J22"/>
  <c r="J18"/>
  <c r="J8"/>
  <c r="J7"/>
  <c r="J6"/>
  <c r="H23"/>
  <c r="H10"/>
  <c r="N17" i="68"/>
  <c r="E17"/>
  <c r="I17"/>
  <c r="H25" i="182" l="1"/>
  <c r="R43"/>
  <c r="R38" l="1"/>
  <c r="R44" l="1"/>
  <c r="BK15" i="68" l="1"/>
  <c r="BK10"/>
  <c r="BG15"/>
  <c r="BH15"/>
  <c r="BG10"/>
  <c r="BD15"/>
  <c r="BD10"/>
  <c r="AV15"/>
  <c r="AV10"/>
  <c r="AJ10"/>
  <c r="AJ15"/>
  <c r="AZ10"/>
  <c r="AZ15"/>
  <c r="AR15"/>
  <c r="AR10"/>
  <c r="BG17" l="1"/>
  <c r="BK17"/>
  <c r="AV17"/>
  <c r="AR17"/>
  <c r="BD17"/>
  <c r="AZ17"/>
  <c r="AJ17"/>
  <c r="EE14" l="1"/>
  <c r="EE13"/>
  <c r="EE12"/>
  <c r="EE11"/>
  <c r="EE9"/>
  <c r="EE8"/>
  <c r="EE7"/>
  <c r="EE6"/>
  <c r="EE5"/>
  <c r="EE4"/>
  <c r="ED16"/>
  <c r="EA14"/>
  <c r="EB14"/>
  <c r="EC14"/>
  <c r="EA13"/>
  <c r="EB13"/>
  <c r="EC13"/>
  <c r="EA12"/>
  <c r="EB12"/>
  <c r="EC12"/>
  <c r="EA11"/>
  <c r="EB11"/>
  <c r="EC11"/>
  <c r="EA9"/>
  <c r="EB9"/>
  <c r="EC9"/>
  <c r="EA8"/>
  <c r="EB8"/>
  <c r="EC8"/>
  <c r="EA7"/>
  <c r="EB7"/>
  <c r="EC7"/>
  <c r="EA6"/>
  <c r="EB6"/>
  <c r="EC6"/>
  <c r="EA5"/>
  <c r="EB5"/>
  <c r="EC5"/>
  <c r="EA4"/>
  <c r="EB4"/>
  <c r="EC4"/>
  <c r="DZ14"/>
  <c r="DZ13"/>
  <c r="DZ12"/>
  <c r="DZ11"/>
  <c r="DZ9"/>
  <c r="DZ8"/>
  <c r="DZ7"/>
  <c r="DZ6"/>
  <c r="DZ5"/>
  <c r="DZ4"/>
  <c r="EC10" l="1"/>
  <c r="ED5"/>
  <c r="EF5" s="1"/>
  <c r="EC15"/>
  <c r="EE15"/>
  <c r="ED13"/>
  <c r="EF13" s="1"/>
  <c r="ED7"/>
  <c r="ED9"/>
  <c r="EF9" s="1"/>
  <c r="ED12"/>
  <c r="EF12" s="1"/>
  <c r="ED14"/>
  <c r="EF14" s="1"/>
  <c r="ED4"/>
  <c r="EF4" s="1"/>
  <c r="ED6"/>
  <c r="EF6" s="1"/>
  <c r="ED8"/>
  <c r="EF8" s="1"/>
  <c r="ED11"/>
  <c r="DZ10"/>
  <c r="AF15"/>
  <c r="AF10"/>
  <c r="AE10"/>
  <c r="AE15"/>
  <c r="AG15"/>
  <c r="EH9" l="1"/>
  <c r="EH5"/>
  <c r="EH12"/>
  <c r="EH14"/>
  <c r="EG5"/>
  <c r="EG12"/>
  <c r="ED15"/>
  <c r="EG4"/>
  <c r="EG8"/>
  <c r="EH4"/>
  <c r="EG11"/>
  <c r="EG13"/>
  <c r="EG6"/>
  <c r="EG9"/>
  <c r="EH6"/>
  <c r="EH13"/>
  <c r="EH8"/>
  <c r="EF11"/>
  <c r="EG14"/>
  <c r="EH11"/>
  <c r="EH7"/>
  <c r="EF7"/>
  <c r="EG7"/>
  <c r="AF17"/>
  <c r="AE17"/>
  <c r="AA15" l="1"/>
  <c r="AA10"/>
  <c r="X15"/>
  <c r="X10"/>
  <c r="AA17" l="1"/>
  <c r="X17"/>
  <c r="R15"/>
  <c r="R10"/>
  <c r="EH16"/>
  <c r="V15"/>
  <c r="W15"/>
  <c r="V10"/>
  <c r="V17" s="1"/>
  <c r="W10"/>
  <c r="R17" l="1"/>
  <c r="W17"/>
  <c r="Q15" l="1"/>
  <c r="S15"/>
  <c r="Q10"/>
  <c r="S10"/>
  <c r="S17" l="1"/>
  <c r="Q17"/>
  <c r="L10"/>
  <c r="EB10" s="1"/>
  <c r="L15"/>
  <c r="K10"/>
  <c r="O10"/>
  <c r="L17" l="1"/>
  <c r="EG15" l="1"/>
  <c r="DY15" l="1"/>
  <c r="DY10"/>
  <c r="DY17" l="1"/>
  <c r="EF16" l="1"/>
  <c r="DU15"/>
  <c r="DU10"/>
  <c r="DU17" l="1"/>
  <c r="DQ15" l="1"/>
  <c r="DQ10"/>
  <c r="DQ17" l="1"/>
  <c r="DM15" l="1"/>
  <c r="DM10"/>
  <c r="DM17" l="1"/>
  <c r="DI15" l="1"/>
  <c r="DI10"/>
  <c r="DI17" l="1"/>
  <c r="CW15"/>
  <c r="CW10"/>
  <c r="CW17" l="1"/>
  <c r="CN15"/>
  <c r="CN10"/>
  <c r="CS15" l="1"/>
  <c r="CS10"/>
  <c r="CS17" l="1"/>
  <c r="CO15" l="1"/>
  <c r="CO10"/>
  <c r="CO17" l="1"/>
  <c r="CK15"/>
  <c r="CK10"/>
  <c r="CK17" l="1"/>
  <c r="H38" i="182" l="1"/>
  <c r="CC15" i="68" l="1"/>
  <c r="CC10"/>
  <c r="CG15"/>
  <c r="CG10"/>
  <c r="DB10"/>
  <c r="DC10"/>
  <c r="DD10"/>
  <c r="DB15"/>
  <c r="DC15"/>
  <c r="DD15"/>
  <c r="BQ10"/>
  <c r="BQ15"/>
  <c r="BU15"/>
  <c r="BU10"/>
  <c r="BY15"/>
  <c r="BY10"/>
  <c r="EA16"/>
  <c r="DX15"/>
  <c r="DW15"/>
  <c r="DV15"/>
  <c r="DT15"/>
  <c r="DS15"/>
  <c r="DR15"/>
  <c r="DP15"/>
  <c r="DO15"/>
  <c r="DN15"/>
  <c r="DL15"/>
  <c r="DK15"/>
  <c r="DJ15"/>
  <c r="DH15"/>
  <c r="DG15"/>
  <c r="DF15"/>
  <c r="CZ15"/>
  <c r="CY15"/>
  <c r="CX15"/>
  <c r="CV15"/>
  <c r="CU15"/>
  <c r="CT15"/>
  <c r="CR15"/>
  <c r="CQ15"/>
  <c r="CP15"/>
  <c r="CM15"/>
  <c r="CL15"/>
  <c r="CJ15"/>
  <c r="CI15"/>
  <c r="CH15"/>
  <c r="CF15"/>
  <c r="CE15"/>
  <c r="CD15"/>
  <c r="CB15"/>
  <c r="CA15"/>
  <c r="BZ15"/>
  <c r="BX15"/>
  <c r="BW15"/>
  <c r="BV15"/>
  <c r="BT15"/>
  <c r="BS15"/>
  <c r="BR15"/>
  <c r="BP15"/>
  <c r="BO15"/>
  <c r="BN15"/>
  <c r="BM15"/>
  <c r="BL15"/>
  <c r="BJ15"/>
  <c r="BI15"/>
  <c r="BF15"/>
  <c r="BE15"/>
  <c r="BC15"/>
  <c r="BB15"/>
  <c r="BA15"/>
  <c r="AY15"/>
  <c r="AX15"/>
  <c r="AW15"/>
  <c r="AU15"/>
  <c r="AT15"/>
  <c r="AS15"/>
  <c r="AQ15"/>
  <c r="AP15"/>
  <c r="AO15"/>
  <c r="AM15"/>
  <c r="AL15"/>
  <c r="AK15"/>
  <c r="AI15"/>
  <c r="AH15"/>
  <c r="AD15"/>
  <c r="AC15"/>
  <c r="AB15"/>
  <c r="Z15"/>
  <c r="Y15"/>
  <c r="U15"/>
  <c r="T15"/>
  <c r="P15"/>
  <c r="O15"/>
  <c r="O17" s="1"/>
  <c r="K15"/>
  <c r="J15"/>
  <c r="G15"/>
  <c r="F15"/>
  <c r="C15"/>
  <c r="DX10"/>
  <c r="DW10"/>
  <c r="DV10"/>
  <c r="DT10"/>
  <c r="DS10"/>
  <c r="DR10"/>
  <c r="DP10"/>
  <c r="DO10"/>
  <c r="DN10"/>
  <c r="DL10"/>
  <c r="DK10"/>
  <c r="DJ10"/>
  <c r="DH10"/>
  <c r="DG10"/>
  <c r="DF10"/>
  <c r="CZ10"/>
  <c r="CY10"/>
  <c r="CX10"/>
  <c r="CV10"/>
  <c r="CU10"/>
  <c r="CT10"/>
  <c r="CR10"/>
  <c r="CQ10"/>
  <c r="CP10"/>
  <c r="CM10"/>
  <c r="CL10"/>
  <c r="CJ10"/>
  <c r="CI10"/>
  <c r="CH10"/>
  <c r="CF10"/>
  <c r="CE10"/>
  <c r="CD10"/>
  <c r="CB10"/>
  <c r="CA10"/>
  <c r="BZ10"/>
  <c r="BX10"/>
  <c r="BW10"/>
  <c r="BV10"/>
  <c r="BT10"/>
  <c r="BS10"/>
  <c r="BR10"/>
  <c r="BP10"/>
  <c r="BO10"/>
  <c r="BN10"/>
  <c r="BM10"/>
  <c r="BL10"/>
  <c r="BJ10"/>
  <c r="BI10"/>
  <c r="BH10"/>
  <c r="BF10"/>
  <c r="BE10"/>
  <c r="BC10"/>
  <c r="BB10"/>
  <c r="BA10"/>
  <c r="AY10"/>
  <c r="AX10"/>
  <c r="AW10"/>
  <c r="AU10"/>
  <c r="AT10"/>
  <c r="AS10"/>
  <c r="AQ10"/>
  <c r="AP10"/>
  <c r="AO10"/>
  <c r="AM10"/>
  <c r="AL10"/>
  <c r="AK10"/>
  <c r="AI10"/>
  <c r="AH10"/>
  <c r="AG10"/>
  <c r="EE10" s="1"/>
  <c r="EE17" s="1"/>
  <c r="AD10"/>
  <c r="AC10"/>
  <c r="AB10"/>
  <c r="Z10"/>
  <c r="Y10"/>
  <c r="U10"/>
  <c r="T10"/>
  <c r="P10"/>
  <c r="K17"/>
  <c r="J10"/>
  <c r="G10"/>
  <c r="F10"/>
  <c r="F17" s="1"/>
  <c r="C10"/>
  <c r="C17" s="1"/>
  <c r="B15"/>
  <c r="B10"/>
  <c r="Y17" l="1"/>
  <c r="AD17"/>
  <c r="EC17"/>
  <c r="ED10"/>
  <c r="AH17"/>
  <c r="AK17"/>
  <c r="AM17"/>
  <c r="AP17"/>
  <c r="AS17"/>
  <c r="AU17"/>
  <c r="AX17"/>
  <c r="BA17"/>
  <c r="BC17"/>
  <c r="BF17"/>
  <c r="BI17"/>
  <c r="BL17"/>
  <c r="BP17"/>
  <c r="BS17"/>
  <c r="CA17"/>
  <c r="AG17"/>
  <c r="AB17"/>
  <c r="DB17"/>
  <c r="BQ17"/>
  <c r="EA10"/>
  <c r="U17"/>
  <c r="B17"/>
  <c r="DC17"/>
  <c r="EF15"/>
  <c r="EB15"/>
  <c r="G17"/>
  <c r="T17"/>
  <c r="Z17"/>
  <c r="AL17"/>
  <c r="AQ17"/>
  <c r="AW17"/>
  <c r="BB17"/>
  <c r="BH17"/>
  <c r="BM17"/>
  <c r="CC17"/>
  <c r="J17"/>
  <c r="P17"/>
  <c r="AC17"/>
  <c r="AI17"/>
  <c r="AO17"/>
  <c r="AT17"/>
  <c r="AY17"/>
  <c r="BE17"/>
  <c r="BJ17"/>
  <c r="DD17"/>
  <c r="CG17"/>
  <c r="BO17"/>
  <c r="BT17"/>
  <c r="BW17"/>
  <c r="BZ17"/>
  <c r="CB17"/>
  <c r="BX17"/>
  <c r="DZ15"/>
  <c r="BY17"/>
  <c r="BU17"/>
  <c r="EA15"/>
  <c r="CF17"/>
  <c r="CI17"/>
  <c r="CN17"/>
  <c r="CQ17"/>
  <c r="CV17"/>
  <c r="CY17"/>
  <c r="DL17"/>
  <c r="DO17"/>
  <c r="DT17"/>
  <c r="DW17"/>
  <c r="CE17"/>
  <c r="CJ17"/>
  <c r="CM17"/>
  <c r="CR17"/>
  <c r="CU17"/>
  <c r="CX17"/>
  <c r="CZ17"/>
  <c r="DK17"/>
  <c r="DP17"/>
  <c r="DS17"/>
  <c r="DX17"/>
  <c r="DH17"/>
  <c r="DG17"/>
  <c r="BR17"/>
  <c r="DV17"/>
  <c r="DR17"/>
  <c r="DN17"/>
  <c r="DJ17"/>
  <c r="DF17"/>
  <c r="CT17"/>
  <c r="CP17"/>
  <c r="CL17"/>
  <c r="CH17"/>
  <c r="CD17"/>
  <c r="BV17"/>
  <c r="BN17"/>
  <c r="ED17" l="1"/>
  <c r="EF10"/>
  <c r="EF17" s="1"/>
  <c r="EB17"/>
  <c r="EH15"/>
  <c r="EA17"/>
  <c r="DZ17"/>
  <c r="EH10" l="1"/>
  <c r="EG10"/>
  <c r="EG17" s="1"/>
  <c r="EH17"/>
  <c r="E3" i="182" l="1"/>
  <c r="E32"/>
  <c r="G32" l="1"/>
  <c r="D29"/>
  <c r="D30" s="1"/>
  <c r="I36"/>
  <c r="I39"/>
  <c r="I35"/>
  <c r="I37"/>
  <c r="I40"/>
  <c r="I42"/>
  <c r="I34"/>
  <c r="I33"/>
  <c r="I41"/>
  <c r="I32"/>
  <c r="G39"/>
  <c r="D38"/>
  <c r="E38"/>
  <c r="F38"/>
  <c r="D43"/>
  <c r="E43"/>
  <c r="F43"/>
  <c r="Q38"/>
  <c r="S38"/>
  <c r="Q43"/>
  <c r="S43"/>
  <c r="J38" l="1"/>
  <c r="J43"/>
  <c r="Q44"/>
  <c r="I38"/>
  <c r="I43"/>
  <c r="E44"/>
  <c r="D44"/>
  <c r="F44"/>
  <c r="S44"/>
  <c r="F23"/>
  <c r="G17"/>
  <c r="G16"/>
  <c r="G21"/>
  <c r="G20"/>
  <c r="I44" l="1"/>
  <c r="F10"/>
  <c r="F25" l="1"/>
  <c r="E25" i="193"/>
  <c r="F25"/>
  <c r="G25"/>
  <c r="H22"/>
  <c r="H23"/>
  <c r="H24"/>
  <c r="L25"/>
  <c r="AF14" i="67" l="1"/>
  <c r="AF13"/>
  <c r="AF12"/>
  <c r="AF11"/>
  <c r="AF9"/>
  <c r="AF8"/>
  <c r="AF7"/>
  <c r="AF6"/>
  <c r="AF5"/>
  <c r="AF4"/>
  <c r="H21" i="193" l="1"/>
  <c r="H20"/>
  <c r="H19"/>
  <c r="H25" l="1"/>
  <c r="D14"/>
  <c r="E14"/>
  <c r="F14"/>
  <c r="G14"/>
  <c r="H14"/>
  <c r="I14"/>
  <c r="J14"/>
  <c r="K14"/>
  <c r="C14"/>
  <c r="D9"/>
  <c r="E9"/>
  <c r="F9"/>
  <c r="G9"/>
  <c r="H9"/>
  <c r="I9"/>
  <c r="J9"/>
  <c r="K9"/>
  <c r="C9"/>
  <c r="L7"/>
  <c r="M7"/>
  <c r="N7"/>
  <c r="L8"/>
  <c r="M8"/>
  <c r="N8"/>
  <c r="L10"/>
  <c r="M10"/>
  <c r="N10"/>
  <c r="L11"/>
  <c r="M11"/>
  <c r="N11"/>
  <c r="L12"/>
  <c r="M12"/>
  <c r="N12"/>
  <c r="L13"/>
  <c r="M13"/>
  <c r="N13"/>
  <c r="M6"/>
  <c r="N6"/>
  <c r="L6"/>
  <c r="C15" l="1"/>
  <c r="D15"/>
  <c r="I15"/>
  <c r="E15"/>
  <c r="J15"/>
  <c r="L14"/>
  <c r="F15"/>
  <c r="N14"/>
  <c r="H15"/>
  <c r="M9"/>
  <c r="M14"/>
  <c r="N9"/>
  <c r="L9"/>
  <c r="K15"/>
  <c r="G15"/>
  <c r="AE14" i="67"/>
  <c r="AE13"/>
  <c r="AE12"/>
  <c r="AE11"/>
  <c r="AE9"/>
  <c r="AE8"/>
  <c r="AE7"/>
  <c r="AE6"/>
  <c r="AE5"/>
  <c r="AE4"/>
  <c r="L15" i="193" l="1"/>
  <c r="M15"/>
  <c r="N15"/>
  <c r="AD14" i="67" l="1"/>
  <c r="AD13"/>
  <c r="AD12"/>
  <c r="AD11"/>
  <c r="AD9"/>
  <c r="AD8"/>
  <c r="AD7"/>
  <c r="AD6"/>
  <c r="AD5"/>
  <c r="AD4"/>
  <c r="AC14" l="1"/>
  <c r="AC13"/>
  <c r="AC12"/>
  <c r="AC11"/>
  <c r="AC9"/>
  <c r="AC8"/>
  <c r="AC7"/>
  <c r="AC6"/>
  <c r="AC5"/>
  <c r="AC4"/>
  <c r="Z14" l="1"/>
  <c r="Z13"/>
  <c r="Z12"/>
  <c r="Z11"/>
  <c r="Z9"/>
  <c r="Z8"/>
  <c r="Z7"/>
  <c r="Z6"/>
  <c r="Z5"/>
  <c r="Z4"/>
  <c r="Y14" l="1"/>
  <c r="Y13"/>
  <c r="Y12"/>
  <c r="Y11"/>
  <c r="Y9"/>
  <c r="Y8"/>
  <c r="Y7"/>
  <c r="Y6"/>
  <c r="Y5"/>
  <c r="Y4"/>
  <c r="X14" l="1"/>
  <c r="X13"/>
  <c r="X12"/>
  <c r="X11"/>
  <c r="X9"/>
  <c r="X8"/>
  <c r="X7"/>
  <c r="X6"/>
  <c r="X5"/>
  <c r="X4"/>
  <c r="W14" l="1"/>
  <c r="W13"/>
  <c r="W12"/>
  <c r="W11"/>
  <c r="W9"/>
  <c r="W8"/>
  <c r="W7"/>
  <c r="W6"/>
  <c r="W5"/>
  <c r="W4"/>
  <c r="V14" l="1"/>
  <c r="V13"/>
  <c r="V12"/>
  <c r="V11"/>
  <c r="V9"/>
  <c r="V8"/>
  <c r="V7"/>
  <c r="V6"/>
  <c r="V5"/>
  <c r="V4"/>
  <c r="G33" i="182" l="1"/>
  <c r="G37"/>
  <c r="G34"/>
  <c r="G35"/>
  <c r="G36"/>
  <c r="G40"/>
  <c r="G41"/>
  <c r="G43"/>
  <c r="T14" i="67"/>
  <c r="T12"/>
  <c r="T11"/>
  <c r="T9"/>
  <c r="T7"/>
  <c r="T6"/>
  <c r="T5"/>
  <c r="T4"/>
  <c r="G8" i="182" l="1"/>
  <c r="G19"/>
  <c r="G15"/>
  <c r="G22"/>
  <c r="G14"/>
  <c r="G18"/>
  <c r="G9"/>
  <c r="G7"/>
  <c r="G6"/>
  <c r="G38" l="1"/>
  <c r="G44" s="1"/>
  <c r="H44" l="1"/>
  <c r="F45" s="1"/>
  <c r="P14" i="67"/>
  <c r="P13"/>
  <c r="P12"/>
  <c r="P11"/>
  <c r="P9"/>
  <c r="P8"/>
  <c r="P7"/>
  <c r="P6"/>
  <c r="P5"/>
  <c r="S14"/>
  <c r="S13"/>
  <c r="S12"/>
  <c r="S11"/>
  <c r="S9"/>
  <c r="S8"/>
  <c r="S7"/>
  <c r="S6"/>
  <c r="S5"/>
  <c r="S4"/>
  <c r="P4"/>
  <c r="K14" l="1"/>
  <c r="K13"/>
  <c r="K12"/>
  <c r="K11"/>
  <c r="K9"/>
  <c r="K8"/>
  <c r="K7"/>
  <c r="K6"/>
  <c r="K5"/>
  <c r="K4"/>
  <c r="L14"/>
  <c r="L13"/>
  <c r="L12"/>
  <c r="L11"/>
  <c r="L9"/>
  <c r="L8"/>
  <c r="L7"/>
  <c r="L6"/>
  <c r="L5"/>
  <c r="L4"/>
  <c r="O14"/>
  <c r="O13"/>
  <c r="O12"/>
  <c r="O11"/>
  <c r="O9"/>
  <c r="O8"/>
  <c r="O7"/>
  <c r="O6"/>
  <c r="O5"/>
  <c r="O4"/>
  <c r="J14" l="1"/>
  <c r="J13"/>
  <c r="J12"/>
  <c r="J11"/>
  <c r="J9"/>
  <c r="J8"/>
  <c r="J7"/>
  <c r="J6"/>
  <c r="J5"/>
  <c r="J4"/>
  <c r="I14" l="1"/>
  <c r="I13"/>
  <c r="I12"/>
  <c r="I11"/>
  <c r="I9"/>
  <c r="I8"/>
  <c r="I7"/>
  <c r="I6"/>
  <c r="I5"/>
  <c r="I4"/>
  <c r="H14"/>
  <c r="H13"/>
  <c r="H12"/>
  <c r="H11"/>
  <c r="H9"/>
  <c r="H8"/>
  <c r="H7"/>
  <c r="H6"/>
  <c r="H5"/>
  <c r="H4"/>
  <c r="D23" i="182" l="1"/>
  <c r="D10"/>
  <c r="D25" l="1"/>
  <c r="E23"/>
  <c r="G23" s="1"/>
  <c r="E10"/>
  <c r="G10" s="1"/>
  <c r="G25" l="1"/>
  <c r="E25"/>
  <c r="AF16" i="67" l="1"/>
  <c r="AC16" l="1"/>
  <c r="AB16"/>
  <c r="AA16"/>
  <c r="V16" l="1"/>
  <c r="U16"/>
  <c r="T16"/>
  <c r="S16"/>
  <c r="V10" l="1"/>
  <c r="P16" i="164" l="1"/>
  <c r="M16"/>
  <c r="S15"/>
  <c r="S14"/>
  <c r="S13"/>
  <c r="S12"/>
  <c r="S11"/>
  <c r="S10"/>
  <c r="S9"/>
  <c r="S8"/>
  <c r="S7"/>
  <c r="S6"/>
  <c r="S5"/>
  <c r="J16" l="1"/>
  <c r="L12"/>
  <c r="L13"/>
  <c r="L14"/>
  <c r="L15"/>
  <c r="L6"/>
  <c r="L7"/>
  <c r="L8"/>
  <c r="L9"/>
  <c r="L10"/>
  <c r="L11"/>
  <c r="L5"/>
  <c r="K16"/>
  <c r="I16"/>
  <c r="H16"/>
  <c r="G16"/>
  <c r="F16"/>
  <c r="F20" i="163"/>
  <c r="G20"/>
  <c r="H20"/>
  <c r="K20"/>
  <c r="J20"/>
  <c r="L16" i="164" l="1"/>
  <c r="S16" s="1"/>
  <c r="P16" i="67" l="1"/>
  <c r="O16"/>
  <c r="N16"/>
  <c r="M16"/>
  <c r="L16"/>
  <c r="K16"/>
  <c r="H16" l="1"/>
  <c r="G16" l="1"/>
  <c r="F16"/>
  <c r="E16"/>
  <c r="D16"/>
  <c r="G14"/>
  <c r="F14"/>
  <c r="E14"/>
  <c r="D14"/>
  <c r="G13"/>
  <c r="F13"/>
  <c r="E13"/>
  <c r="D13"/>
  <c r="G12"/>
  <c r="F12"/>
  <c r="E12"/>
  <c r="D12"/>
  <c r="G11"/>
  <c r="F11"/>
  <c r="E11"/>
  <c r="D11"/>
  <c r="G9"/>
  <c r="F9"/>
  <c r="E9"/>
  <c r="D9"/>
  <c r="G8"/>
  <c r="F8"/>
  <c r="E8"/>
  <c r="D8"/>
  <c r="G7"/>
  <c r="F7"/>
  <c r="E7"/>
  <c r="D7"/>
  <c r="G6"/>
  <c r="F6"/>
  <c r="E6"/>
  <c r="D6"/>
  <c r="G5"/>
  <c r="F5"/>
  <c r="E5"/>
  <c r="D5"/>
  <c r="G4"/>
  <c r="F4"/>
  <c r="E4"/>
  <c r="D4"/>
  <c r="N16" i="146" l="1"/>
  <c r="N15"/>
  <c r="N14"/>
  <c r="N13"/>
  <c r="N11"/>
  <c r="N10"/>
  <c r="N9"/>
  <c r="N8"/>
  <c r="N7"/>
  <c r="N6"/>
  <c r="K16"/>
  <c r="K15"/>
  <c r="K14"/>
  <c r="K13"/>
  <c r="K11"/>
  <c r="K10"/>
  <c r="K9"/>
  <c r="K8"/>
  <c r="K7"/>
  <c r="K6"/>
  <c r="H16"/>
  <c r="H15"/>
  <c r="H14"/>
  <c r="H13"/>
  <c r="H11"/>
  <c r="H10"/>
  <c r="H9"/>
  <c r="H8"/>
  <c r="H7"/>
  <c r="H6"/>
  <c r="E16"/>
  <c r="E15"/>
  <c r="E14"/>
  <c r="E13"/>
  <c r="E11"/>
  <c r="E10"/>
  <c r="E9"/>
  <c r="E8"/>
  <c r="E7"/>
  <c r="E6"/>
  <c r="S16"/>
  <c r="S15"/>
  <c r="S14"/>
  <c r="S13"/>
  <c r="S11"/>
  <c r="S10"/>
  <c r="S9"/>
  <c r="S8"/>
  <c r="S7"/>
  <c r="S6"/>
  <c r="M17"/>
  <c r="M12"/>
  <c r="O6" l="1"/>
  <c r="O10"/>
  <c r="O9"/>
  <c r="O14"/>
  <c r="O13"/>
  <c r="O8"/>
  <c r="O16"/>
  <c r="O7"/>
  <c r="O11"/>
  <c r="O15"/>
  <c r="M18"/>
  <c r="R16" l="1"/>
  <c r="R15"/>
  <c r="R14"/>
  <c r="R13"/>
  <c r="R11"/>
  <c r="R10"/>
  <c r="R9"/>
  <c r="R8"/>
  <c r="R7"/>
  <c r="R6"/>
  <c r="D17"/>
  <c r="F17"/>
  <c r="G17"/>
  <c r="I17"/>
  <c r="J17"/>
  <c r="L17"/>
  <c r="N17" s="1"/>
  <c r="P17"/>
  <c r="Q17"/>
  <c r="D12"/>
  <c r="D18" s="1"/>
  <c r="F12"/>
  <c r="G12"/>
  <c r="I12"/>
  <c r="I18" s="1"/>
  <c r="J12"/>
  <c r="L12"/>
  <c r="P12"/>
  <c r="P18" s="1"/>
  <c r="Q12"/>
  <c r="C17"/>
  <c r="C12"/>
  <c r="H12" l="1"/>
  <c r="H17"/>
  <c r="K12"/>
  <c r="K17"/>
  <c r="E12"/>
  <c r="S12"/>
  <c r="E17"/>
  <c r="S17"/>
  <c r="L18"/>
  <c r="N18" s="1"/>
  <c r="N12"/>
  <c r="G18"/>
  <c r="Q18"/>
  <c r="J18"/>
  <c r="K18" s="1"/>
  <c r="F18"/>
  <c r="C18"/>
  <c r="E18" s="1"/>
  <c r="R17"/>
  <c r="R12"/>
  <c r="O12" l="1"/>
  <c r="H18"/>
  <c r="O18" s="1"/>
  <c r="O17"/>
  <c r="S18"/>
  <c r="R18"/>
  <c r="AG59" i="67" l="1"/>
  <c r="AG56"/>
  <c r="AF56" l="1"/>
  <c r="AF59"/>
  <c r="V56" l="1"/>
  <c r="W56"/>
  <c r="X56"/>
  <c r="Y56"/>
  <c r="Z56"/>
  <c r="AA56"/>
  <c r="AB56"/>
  <c r="AC56"/>
  <c r="AD56"/>
  <c r="AE56"/>
  <c r="V59"/>
  <c r="W59"/>
  <c r="AA59"/>
  <c r="AE59"/>
  <c r="Q56"/>
  <c r="R56"/>
  <c r="S56"/>
  <c r="T56"/>
  <c r="U56"/>
  <c r="Q59"/>
  <c r="S59" l="1"/>
  <c r="R59"/>
  <c r="U15" l="1"/>
  <c r="C15" l="1"/>
  <c r="D15"/>
  <c r="E15"/>
  <c r="F15"/>
  <c r="G15"/>
  <c r="C10"/>
  <c r="D10"/>
  <c r="E10"/>
  <c r="F10"/>
  <c r="G10"/>
  <c r="U21" l="1"/>
  <c r="V21"/>
  <c r="W21"/>
  <c r="H15"/>
  <c r="I15"/>
  <c r="H10"/>
  <c r="Q21" l="1"/>
  <c r="O21"/>
  <c r="K21"/>
  <c r="G21"/>
  <c r="R21"/>
  <c r="J21"/>
  <c r="P21"/>
  <c r="S21"/>
  <c r="T21"/>
  <c r="N21"/>
  <c r="M21"/>
  <c r="L21"/>
  <c r="H21"/>
  <c r="D21"/>
  <c r="E21"/>
  <c r="F21"/>
  <c r="I21"/>
  <c r="AH4" l="1"/>
  <c r="V15" l="1"/>
  <c r="V17" l="1"/>
  <c r="N15" l="1"/>
  <c r="O15"/>
  <c r="N10"/>
  <c r="O10"/>
  <c r="I10" l="1"/>
  <c r="I17" s="1"/>
  <c r="X21" l="1"/>
  <c r="Y21"/>
  <c r="J15"/>
  <c r="K15"/>
  <c r="L15"/>
  <c r="M15"/>
  <c r="P15"/>
  <c r="Q15"/>
  <c r="R15"/>
  <c r="S15"/>
  <c r="W15"/>
  <c r="X15"/>
  <c r="Y15"/>
  <c r="Z15"/>
  <c r="AA15"/>
  <c r="AB15"/>
  <c r="AC15"/>
  <c r="AD15"/>
  <c r="AE15"/>
  <c r="AF15"/>
  <c r="AG15"/>
  <c r="E17"/>
  <c r="F17"/>
  <c r="G17"/>
  <c r="J10"/>
  <c r="K10"/>
  <c r="L10"/>
  <c r="M10"/>
  <c r="O17"/>
  <c r="P10"/>
  <c r="Q10"/>
  <c r="R10"/>
  <c r="S10"/>
  <c r="U10"/>
  <c r="U17" s="1"/>
  <c r="W10"/>
  <c r="X10"/>
  <c r="Y10"/>
  <c r="Z10"/>
  <c r="AA10"/>
  <c r="AB10"/>
  <c r="AC10"/>
  <c r="AD10"/>
  <c r="AE10"/>
  <c r="AF10"/>
  <c r="AG10"/>
  <c r="AF21" l="1"/>
  <c r="AE17"/>
  <c r="AC21"/>
  <c r="J17"/>
  <c r="AA21"/>
  <c r="AE21"/>
  <c r="AD21"/>
  <c r="AG21"/>
  <c r="AB21"/>
  <c r="Z21"/>
  <c r="Z17"/>
  <c r="AA17"/>
  <c r="Q17"/>
  <c r="M17"/>
  <c r="AB17"/>
  <c r="AD17"/>
  <c r="W17"/>
  <c r="K17"/>
  <c r="D17"/>
  <c r="AG17"/>
  <c r="S17"/>
  <c r="AC17"/>
  <c r="AF17"/>
  <c r="Y17"/>
  <c r="X17"/>
  <c r="R17"/>
  <c r="N17"/>
  <c r="P17"/>
  <c r="L17"/>
  <c r="H17"/>
  <c r="M56" l="1"/>
  <c r="N56"/>
  <c r="O56"/>
  <c r="P56"/>
  <c r="C59" l="1"/>
  <c r="D56"/>
  <c r="E56"/>
  <c r="F56"/>
  <c r="G56"/>
  <c r="H56"/>
  <c r="I56"/>
  <c r="J56"/>
  <c r="K56"/>
  <c r="L56"/>
  <c r="C56"/>
  <c r="C21" l="1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C28" s="1"/>
  <c r="C29"/>
  <c r="D29" s="1"/>
  <c r="E29" s="1"/>
  <c r="F29" s="1"/>
  <c r="AI20"/>
  <c r="AK16"/>
  <c r="AH16"/>
  <c r="AK14"/>
  <c r="AH14"/>
  <c r="AK13"/>
  <c r="AH13"/>
  <c r="AK12"/>
  <c r="AH12"/>
  <c r="AK11"/>
  <c r="AH11"/>
  <c r="AE22"/>
  <c r="W22"/>
  <c r="S22"/>
  <c r="O22"/>
  <c r="AK9"/>
  <c r="AH9"/>
  <c r="AK8"/>
  <c r="AH8"/>
  <c r="AK7"/>
  <c r="AH7"/>
  <c r="AK6"/>
  <c r="AH6"/>
  <c r="AK5"/>
  <c r="AH5"/>
  <c r="AK4"/>
  <c r="W26" l="1"/>
  <c r="AM16"/>
  <c r="D28"/>
  <c r="E28" s="1"/>
  <c r="F28" s="1"/>
  <c r="G28" s="1"/>
  <c r="H28" s="1"/>
  <c r="I28" s="1"/>
  <c r="J28" s="1"/>
  <c r="AE26"/>
  <c r="S26"/>
  <c r="O26"/>
  <c r="N22"/>
  <c r="R22"/>
  <c r="R26" s="1"/>
  <c r="V22"/>
  <c r="V26" s="1"/>
  <c r="Z22"/>
  <c r="Z26" s="1"/>
  <c r="AD22"/>
  <c r="AD26" s="1"/>
  <c r="AK15"/>
  <c r="P22"/>
  <c r="L22"/>
  <c r="L26" s="1"/>
  <c r="AB22"/>
  <c r="AF22"/>
  <c r="AF26" s="1"/>
  <c r="M22"/>
  <c r="Q22"/>
  <c r="U22"/>
  <c r="Y22"/>
  <c r="AC22"/>
  <c r="C23"/>
  <c r="D23" s="1"/>
  <c r="E23" s="1"/>
  <c r="F23" s="1"/>
  <c r="G23" s="1"/>
  <c r="H23" s="1"/>
  <c r="I23" s="1"/>
  <c r="J23" s="1"/>
  <c r="K23" s="1"/>
  <c r="L23" s="1"/>
  <c r="M23" s="1"/>
  <c r="N23" s="1"/>
  <c r="O23" s="1"/>
  <c r="P23" s="1"/>
  <c r="Q23" s="1"/>
  <c r="R23" s="1"/>
  <c r="S23" s="1"/>
  <c r="T23" s="1"/>
  <c r="U23" s="1"/>
  <c r="V23" s="1"/>
  <c r="W23" s="1"/>
  <c r="X23" s="1"/>
  <c r="Y23" s="1"/>
  <c r="Z23" s="1"/>
  <c r="AA23" s="1"/>
  <c r="AB23" s="1"/>
  <c r="AC23" s="1"/>
  <c r="AD23" s="1"/>
  <c r="AE23" s="1"/>
  <c r="AF23" s="1"/>
  <c r="AG23" s="1"/>
  <c r="F22"/>
  <c r="C17"/>
  <c r="C22" s="1"/>
  <c r="G22"/>
  <c r="G26" s="1"/>
  <c r="I22"/>
  <c r="J22"/>
  <c r="J26" s="1"/>
  <c r="AA22"/>
  <c r="AA26" s="1"/>
  <c r="K22"/>
  <c r="K26" s="1"/>
  <c r="D22"/>
  <c r="D26" s="1"/>
  <c r="H22"/>
  <c r="H26" s="1"/>
  <c r="X22"/>
  <c r="X26" s="1"/>
  <c r="E22"/>
  <c r="AG22"/>
  <c r="AK10"/>
  <c r="AH15"/>
  <c r="AH10"/>
  <c r="AG26" l="1"/>
  <c r="Y26"/>
  <c r="U26"/>
  <c r="F26"/>
  <c r="AB26"/>
  <c r="N26"/>
  <c r="AC26"/>
  <c r="Q26"/>
  <c r="P26"/>
  <c r="M26"/>
  <c r="E26"/>
  <c r="I26"/>
  <c r="AK17"/>
  <c r="AJ21"/>
  <c r="C24"/>
  <c r="C26"/>
  <c r="C27" s="1"/>
  <c r="D27" s="1"/>
  <c r="AJ22"/>
  <c r="AH17"/>
  <c r="AI10" s="1"/>
  <c r="E27" l="1"/>
  <c r="F27" s="1"/>
  <c r="G27" s="1"/>
  <c r="H27" s="1"/>
  <c r="I27" s="1"/>
  <c r="J27" s="1"/>
  <c r="K27" s="1"/>
  <c r="L27" s="1"/>
  <c r="M27" s="1"/>
  <c r="N27" s="1"/>
  <c r="O27" s="1"/>
  <c r="P27" s="1"/>
  <c r="Q27" s="1"/>
  <c r="R27" s="1"/>
  <c r="S27" s="1"/>
  <c r="D24"/>
  <c r="C58"/>
  <c r="AK22"/>
  <c r="AI5"/>
  <c r="AI14"/>
  <c r="AI11"/>
  <c r="AI9"/>
  <c r="AI12"/>
  <c r="AI8"/>
  <c r="AI16"/>
  <c r="AI6"/>
  <c r="AI4"/>
  <c r="AI7"/>
  <c r="AI13"/>
  <c r="AI15"/>
  <c r="D59" l="1"/>
  <c r="C60"/>
  <c r="E24"/>
  <c r="D58"/>
  <c r="AI27"/>
  <c r="AI23"/>
  <c r="E59" l="1"/>
  <c r="D60"/>
  <c r="F24"/>
  <c r="E58"/>
  <c r="F59" l="1"/>
  <c r="E60"/>
  <c r="G24"/>
  <c r="F58"/>
  <c r="F60" l="1"/>
  <c r="G59"/>
  <c r="H24"/>
  <c r="G58"/>
  <c r="I24" l="1"/>
  <c r="H58"/>
  <c r="G60"/>
  <c r="H59"/>
  <c r="H60" l="1"/>
  <c r="I59"/>
  <c r="J24"/>
  <c r="I58"/>
  <c r="J59" l="1"/>
  <c r="I60"/>
  <c r="K24"/>
  <c r="J58"/>
  <c r="J60" l="1"/>
  <c r="K59"/>
  <c r="L24"/>
  <c r="K58"/>
  <c r="K60" l="1"/>
  <c r="L59"/>
  <c r="M24"/>
  <c r="L58"/>
  <c r="L60" l="1"/>
  <c r="M59"/>
  <c r="N24"/>
  <c r="M58"/>
  <c r="O24" l="1"/>
  <c r="N58"/>
  <c r="M60"/>
  <c r="N59"/>
  <c r="O59" l="1"/>
  <c r="N60"/>
  <c r="O58"/>
  <c r="P24"/>
  <c r="P58" s="1"/>
  <c r="P60" s="1"/>
  <c r="P59" l="1"/>
  <c r="O60"/>
  <c r="Q24"/>
  <c r="R24" l="1"/>
  <c r="Q58"/>
  <c r="Q60" s="1"/>
  <c r="S24" l="1"/>
  <c r="R58"/>
  <c r="R60" s="1"/>
  <c r="S58" l="1"/>
  <c r="T59" l="1"/>
  <c r="S60"/>
  <c r="U59" l="1"/>
  <c r="X59" l="1"/>
  <c r="Y59" l="1"/>
  <c r="Z59" l="1"/>
  <c r="AB59" l="1"/>
  <c r="AC59" l="1"/>
  <c r="AD59" l="1"/>
  <c r="AI24" l="1"/>
  <c r="AJ23" s="1"/>
  <c r="AK23" s="1"/>
  <c r="AJ24" l="1"/>
  <c r="AK24" s="1"/>
  <c r="F12" i="37"/>
  <c r="D12"/>
  <c r="C12" l="1"/>
  <c r="E12"/>
  <c r="F31" l="1"/>
  <c r="D31"/>
  <c r="G31"/>
  <c r="H31" l="1"/>
  <c r="M31"/>
  <c r="N31" l="1"/>
  <c r="L31"/>
  <c r="P31"/>
  <c r="J31"/>
  <c r="O31"/>
  <c r="F17" l="1"/>
  <c r="F19" l="1"/>
  <c r="G36"/>
  <c r="G37" s="1"/>
  <c r="E17" l="1"/>
  <c r="E19" l="1"/>
  <c r="AB13" l="1"/>
  <c r="AB14"/>
  <c r="AB9"/>
  <c r="AB12"/>
  <c r="AB6"/>
  <c r="AB19"/>
  <c r="AB7"/>
  <c r="AB16"/>
  <c r="AB10"/>
  <c r="AB11"/>
  <c r="AB18"/>
  <c r="AB15"/>
  <c r="AB8"/>
  <c r="AB17"/>
  <c r="F36"/>
  <c r="F37" l="1"/>
  <c r="H36"/>
  <c r="H37" l="1"/>
  <c r="L36"/>
  <c r="P36"/>
  <c r="P37" s="1"/>
  <c r="H40" l="1"/>
  <c r="L37"/>
  <c r="D36" l="1"/>
  <c r="O36" s="1"/>
  <c r="N36" l="1"/>
  <c r="D37"/>
  <c r="O37" s="1"/>
  <c r="N37" l="1"/>
  <c r="M36"/>
  <c r="J36" l="1"/>
  <c r="AA20"/>
  <c r="E37"/>
  <c r="M37" s="1"/>
  <c r="J37" l="1"/>
  <c r="T13" i="67" l="1"/>
  <c r="T15" s="1"/>
  <c r="E18" i="71" l="1"/>
  <c r="F18"/>
  <c r="D18"/>
  <c r="BI48" l="1"/>
  <c r="BK50" s="1"/>
  <c r="BN47"/>
  <c r="C17" i="37"/>
  <c r="C19" s="1"/>
  <c r="D17"/>
  <c r="D19" s="1"/>
  <c r="F20" s="1"/>
  <c r="AQ18" i="66"/>
  <c r="AT18"/>
  <c r="AS18"/>
  <c r="AR18"/>
  <c r="H17" i="37" l="1"/>
  <c r="I18" i="71"/>
  <c r="J18"/>
  <c r="H18"/>
  <c r="G18"/>
  <c r="AB18" i="27" l="1"/>
  <c r="H12" i="37"/>
  <c r="H19" s="1"/>
  <c r="AR18" i="27" l="1"/>
  <c r="AC18"/>
  <c r="AD18"/>
  <c r="AT18"/>
  <c r="J12" i="37" l="1"/>
  <c r="J19" s="1"/>
  <c r="I12"/>
  <c r="I19" s="1"/>
  <c r="J20" s="1"/>
  <c r="AS18" i="27"/>
  <c r="C18" i="71"/>
  <c r="T8" i="67"/>
  <c r="T10" s="1"/>
  <c r="T17" s="1"/>
  <c r="T22" s="1"/>
  <c r="T26" l="1"/>
  <c r="T27" s="1"/>
  <c r="U27" s="1"/>
  <c r="V27" s="1"/>
  <c r="W27" s="1"/>
  <c r="X27" s="1"/>
  <c r="Y27" s="1"/>
  <c r="Z27" s="1"/>
  <c r="AA27" s="1"/>
  <c r="AB27" s="1"/>
  <c r="AC27" s="1"/>
  <c r="T24"/>
  <c r="T58" l="1"/>
  <c r="T60" s="1"/>
  <c r="U24"/>
  <c r="U58" l="1"/>
  <c r="U60" s="1"/>
  <c r="V24"/>
  <c r="W24" l="1"/>
  <c r="V58"/>
  <c r="V60" s="1"/>
  <c r="X24" l="1"/>
  <c r="W58"/>
  <c r="W60" s="1"/>
  <c r="Y24" l="1"/>
  <c r="X58"/>
  <c r="X60" s="1"/>
  <c r="Y58" l="1"/>
  <c r="Y60" s="1"/>
  <c r="Z24"/>
  <c r="Z58" l="1"/>
  <c r="Z60" s="1"/>
  <c r="AA24"/>
  <c r="AB24" l="1"/>
  <c r="AA58"/>
  <c r="AA60" s="1"/>
  <c r="AC24" l="1"/>
  <c r="AB58"/>
  <c r="AB60" s="1"/>
  <c r="AC58" l="1"/>
  <c r="AC60" s="1"/>
  <c r="AD24"/>
  <c r="AE24" l="1"/>
  <c r="AD58"/>
  <c r="AD60" s="1"/>
  <c r="AE58" l="1"/>
  <c r="AE60" s="1"/>
  <c r="AF24"/>
  <c r="AG24" l="1"/>
  <c r="AG58" s="1"/>
  <c r="AG60" s="1"/>
  <c r="AF58"/>
  <c r="AF60" s="1"/>
  <c r="O18" i="71" l="1"/>
  <c r="R18"/>
  <c r="Q18"/>
  <c r="P18"/>
  <c r="AQ18" i="27"/>
  <c r="G12" i="37"/>
  <c r="G19" s="1"/>
  <c r="AA18" i="27"/>
  <c r="AA11"/>
</calcChain>
</file>

<file path=xl/sharedStrings.xml><?xml version="1.0" encoding="utf-8"?>
<sst xmlns="http://schemas.openxmlformats.org/spreadsheetml/2006/main" count="10646" uniqueCount="406">
  <si>
    <t>Location</t>
  </si>
  <si>
    <t>Plan</t>
  </si>
  <si>
    <t>Actual</t>
  </si>
  <si>
    <t>Thu</t>
  </si>
  <si>
    <t>Vijayawada</t>
  </si>
  <si>
    <t>Guntur</t>
  </si>
  <si>
    <t>Ongole</t>
  </si>
  <si>
    <t>Rajahmundry</t>
  </si>
  <si>
    <t>Kakinada</t>
  </si>
  <si>
    <t>Vizag</t>
  </si>
  <si>
    <t>Coastal AP Total</t>
  </si>
  <si>
    <t>RKT-Hyd</t>
  </si>
  <si>
    <t>Khammam</t>
  </si>
  <si>
    <t>YKT-Uppal</t>
  </si>
  <si>
    <t>YKT-Hyderguda</t>
  </si>
  <si>
    <t>Telangana Total</t>
  </si>
  <si>
    <t>U-Trust Total</t>
  </si>
  <si>
    <t>Group Total</t>
  </si>
  <si>
    <t>TOTAL</t>
  </si>
  <si>
    <t>OTHERS</t>
  </si>
  <si>
    <t>INDUS</t>
  </si>
  <si>
    <t>MAGMA</t>
  </si>
  <si>
    <t>TFS</t>
  </si>
  <si>
    <t>HDFC</t>
  </si>
  <si>
    <t>YES</t>
  </si>
  <si>
    <t>ICICI</t>
  </si>
  <si>
    <t>AXIS</t>
  </si>
  <si>
    <t>SFL</t>
  </si>
  <si>
    <t>TA</t>
  </si>
  <si>
    <t>CASH</t>
  </si>
  <si>
    <t>CHEQUE</t>
  </si>
  <si>
    <t>DD</t>
  </si>
  <si>
    <t>RTGS</t>
  </si>
  <si>
    <t>Mode</t>
  </si>
  <si>
    <t>HY03D</t>
  </si>
  <si>
    <t>HY03B</t>
  </si>
  <si>
    <t>KX01A</t>
  </si>
  <si>
    <t>HY03A</t>
  </si>
  <si>
    <t>VI01A</t>
  </si>
  <si>
    <t>KK01A</t>
  </si>
  <si>
    <t>RD01A</t>
  </si>
  <si>
    <t>ON01A</t>
  </si>
  <si>
    <t>GN01A</t>
  </si>
  <si>
    <t>VJ01A</t>
  </si>
  <si>
    <t>LOCATION:</t>
  </si>
  <si>
    <t>COLLECTION REPORT</t>
  </si>
  <si>
    <t>Day:</t>
  </si>
  <si>
    <t>RTGS TOTAL</t>
  </si>
  <si>
    <t>TA TOTAL</t>
  </si>
  <si>
    <t>GRAND TOTAL</t>
  </si>
  <si>
    <t>Fri</t>
  </si>
  <si>
    <t>Sat</t>
  </si>
  <si>
    <t>Mon</t>
  </si>
  <si>
    <t>Tue</t>
  </si>
  <si>
    <t>Wed</t>
  </si>
  <si>
    <t>Location
Share %</t>
  </si>
  <si>
    <t>1st</t>
  </si>
  <si>
    <t>3rd</t>
  </si>
  <si>
    <t>4th</t>
  </si>
  <si>
    <t>5th</t>
  </si>
  <si>
    <t>6th</t>
  </si>
  <si>
    <t>Week-1</t>
  </si>
  <si>
    <t>Week-2</t>
  </si>
  <si>
    <t>Week-3</t>
  </si>
  <si>
    <t>Week-4</t>
  </si>
  <si>
    <t>2nd</t>
  </si>
  <si>
    <t>Week-5</t>
  </si>
  <si>
    <t>MTD Total
Collection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</si>
  <si>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</si>
  <si>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</si>
  <si>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</si>
  <si>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</si>
  <si>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</si>
  <si>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</si>
  <si>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</si>
  <si>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</si>
  <si>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</si>
  <si>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</si>
  <si>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</si>
  <si>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</si>
  <si>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</si>
  <si>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</si>
  <si>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</si>
  <si>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</si>
  <si>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</si>
  <si>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</si>
  <si>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</si>
  <si>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</si>
  <si>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</si>
  <si>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</si>
  <si>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</si>
  <si>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</si>
  <si>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</si>
  <si>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MTD</t>
  </si>
  <si>
    <t>Plan by Management</t>
  </si>
  <si>
    <t>Reported Plan</t>
  </si>
  <si>
    <t>Reported Actual</t>
  </si>
  <si>
    <t>Cumulative Shortfall</t>
  </si>
  <si>
    <t>Outstanding/No evidence</t>
  </si>
  <si>
    <t>No evidence collection</t>
  </si>
  <si>
    <t>MTD PLAN</t>
  </si>
  <si>
    <t>MTD ACTUAL</t>
  </si>
  <si>
    <t>Daywise Shortfall</t>
  </si>
  <si>
    <t>No evidence</t>
  </si>
  <si>
    <t>Date</t>
  </si>
  <si>
    <t>Opening</t>
  </si>
  <si>
    <t>High</t>
  </si>
  <si>
    <t>Low</t>
  </si>
  <si>
    <t>Closing</t>
  </si>
  <si>
    <t>CASH/CARD</t>
  </si>
  <si>
    <t>Last Month Collection</t>
  </si>
  <si>
    <t>MTD TOTAL COLLECTION (in Lakhs)</t>
  </si>
  <si>
    <t>TA / DOs</t>
  </si>
  <si>
    <t xml:space="preserve">Same day Reflection </t>
  </si>
  <si>
    <t>Payment under process</t>
  </si>
  <si>
    <t>Same day reflection collection</t>
  </si>
  <si>
    <t>TA/DO TOTAL</t>
  </si>
  <si>
    <t>Financier/
Bank</t>
  </si>
  <si>
    <t>(Rs. in Lakhs)</t>
  </si>
  <si>
    <t>Radha Group Collection Report</t>
  </si>
  <si>
    <t>Date:</t>
  </si>
  <si>
    <t>Location
wise 
Share %</t>
  </si>
  <si>
    <t>AP Total</t>
  </si>
  <si>
    <t>TS Total</t>
  </si>
  <si>
    <t>Total Plan</t>
  </si>
  <si>
    <t>Gap
till date</t>
  </si>
  <si>
    <t>Revised Plan</t>
  </si>
  <si>
    <t>Actual
Plan</t>
  </si>
  <si>
    <t>Group Collection - 4th Week Plan - Actual vs. Revised plan mapping</t>
  </si>
  <si>
    <t>Diff
(+/-)</t>
  </si>
  <si>
    <t>Financier</t>
  </si>
  <si>
    <t>Customer Name</t>
  </si>
  <si>
    <t>Model</t>
  </si>
  <si>
    <t>Cheque</t>
  </si>
  <si>
    <t>DO</t>
  </si>
  <si>
    <t>PLAN</t>
  </si>
  <si>
    <t>ACTUAL</t>
  </si>
  <si>
    <t>S.No</t>
  </si>
  <si>
    <t>Amount</t>
  </si>
  <si>
    <t>Cash/
Card</t>
  </si>
  <si>
    <t>Details
(Receipt info)</t>
  </si>
  <si>
    <t>DAILY COLLECTION PLAN</t>
  </si>
  <si>
    <t>LOCATION</t>
  </si>
  <si>
    <t>DATE:</t>
  </si>
  <si>
    <t>Down Payment</t>
  </si>
  <si>
    <t>Financier/Bank Payment</t>
  </si>
  <si>
    <t>Receipt Info</t>
  </si>
  <si>
    <t>SRINIVAS</t>
  </si>
  <si>
    <t>CRYSTA</t>
  </si>
  <si>
    <t>Finance
Amount</t>
  </si>
  <si>
    <t>Down payment</t>
  </si>
  <si>
    <t>RKT-00001</t>
  </si>
  <si>
    <t>DISB. NO.56789</t>
  </si>
  <si>
    <t>TOTAL
ACTUAL</t>
  </si>
  <si>
    <t>RKT~ HYD Collection Plan Date:16-12-2019</t>
  </si>
  <si>
    <t>TOTAL 
PLAN</t>
  </si>
  <si>
    <t>Collection Actual &amp; Receipt Information</t>
  </si>
  <si>
    <t>30th Jan</t>
  </si>
  <si>
    <t>31st Jan</t>
  </si>
  <si>
    <t>1st Feb</t>
  </si>
  <si>
    <t>VIJAYAWADA</t>
  </si>
  <si>
    <t>RMT GROUP TOTAL</t>
  </si>
  <si>
    <t>ONGOLE</t>
  </si>
  <si>
    <t>GUNTUR</t>
  </si>
  <si>
    <t>RMT GROUP - COLLECTION PLAN</t>
  </si>
  <si>
    <t>VJA</t>
  </si>
  <si>
    <t>GNT</t>
  </si>
  <si>
    <t>ONG</t>
  </si>
  <si>
    <t>RMT GROUP COLLECTION PLAN 30th ~ 1st Feb -2020</t>
  </si>
  <si>
    <t>VIZAG</t>
  </si>
  <si>
    <t>RJY</t>
  </si>
  <si>
    <t>KKD</t>
  </si>
  <si>
    <t>31st Plan</t>
  </si>
  <si>
    <t>Branch</t>
  </si>
  <si>
    <t>Collection Plan</t>
  </si>
  <si>
    <t>Coastal Total</t>
  </si>
  <si>
    <t>TG Total</t>
  </si>
  <si>
    <t>Group</t>
  </si>
  <si>
    <t>MTD March
Collections</t>
  </si>
  <si>
    <t>Actual
Reflected</t>
  </si>
  <si>
    <t>Actual
Reported</t>
  </si>
  <si>
    <t>Reflection
Gap</t>
  </si>
  <si>
    <t>Reflected</t>
  </si>
  <si>
    <t>Gnt</t>
  </si>
  <si>
    <t>Ong</t>
  </si>
  <si>
    <t>RKT</t>
  </si>
  <si>
    <t>YKT</t>
  </si>
  <si>
    <t>Reflection</t>
  </si>
  <si>
    <t>Gap</t>
  </si>
  <si>
    <t>Vij</t>
  </si>
  <si>
    <t>VZG</t>
  </si>
  <si>
    <t>Total</t>
  </si>
  <si>
    <t>RDY</t>
  </si>
  <si>
    <t>% Of Achievement</t>
  </si>
  <si>
    <t>Act</t>
  </si>
  <si>
    <t>Cancellations</t>
  </si>
  <si>
    <t>Old</t>
  </si>
  <si>
    <t>Gap       (Actual to Reflection)</t>
  </si>
  <si>
    <t>Ref</t>
  </si>
  <si>
    <t>Daywise Collection Plan(According to week Plan)</t>
  </si>
  <si>
    <t>Rtgs</t>
  </si>
  <si>
    <t>CHQ</t>
  </si>
  <si>
    <t>KMM</t>
  </si>
  <si>
    <t>YKT 2</t>
  </si>
  <si>
    <t>Received Payments</t>
  </si>
  <si>
    <t>Cash/Card</t>
  </si>
  <si>
    <t>TA/DO</t>
  </si>
  <si>
    <t>Cont%</t>
  </si>
  <si>
    <t>Week Plan</t>
  </si>
  <si>
    <t xml:space="preserve">1st </t>
  </si>
  <si>
    <t>FIN</t>
  </si>
  <si>
    <t>Aug Old</t>
  </si>
  <si>
    <t>Aug Reflection</t>
  </si>
  <si>
    <t>Jul O/S Ref</t>
  </si>
  <si>
    <t>Jul O/S  Ref</t>
  </si>
  <si>
    <t>July Old</t>
  </si>
  <si>
    <t>Daywise Plan</t>
  </si>
  <si>
    <t>Gap   (Week Plan-Reflection)</t>
  </si>
  <si>
    <t>Overall Month Ref</t>
  </si>
  <si>
    <t>Jul O/s Reflection week-2</t>
  </si>
  <si>
    <t>Jul O/s Reflection week-1</t>
  </si>
  <si>
    <t>Total Old+New</t>
  </si>
  <si>
    <t>Overall Reflection(Day reflectin+old)</t>
  </si>
  <si>
    <t>Overall reflection</t>
  </si>
  <si>
    <t>% Act to Plan</t>
  </si>
  <si>
    <t>% Ref to Plan</t>
  </si>
  <si>
    <t xml:space="preserve">OLD </t>
  </si>
  <si>
    <t>W 1</t>
  </si>
  <si>
    <t>Gap       (Daywise Plan to Reflection)</t>
  </si>
  <si>
    <t>W 2</t>
  </si>
  <si>
    <t>W 3</t>
  </si>
  <si>
    <t>W 4</t>
  </si>
  <si>
    <t>Indus</t>
  </si>
  <si>
    <t>Current mnth Old</t>
  </si>
  <si>
    <t xml:space="preserve">                Collection Report as on</t>
  </si>
  <si>
    <t>Physical reflection</t>
  </si>
  <si>
    <t>Week 1</t>
  </si>
  <si>
    <t>Gap plan Act</t>
  </si>
  <si>
    <t>As per commitment</t>
  </si>
  <si>
    <t>New collection</t>
  </si>
  <si>
    <t>old</t>
  </si>
  <si>
    <t xml:space="preserve">total RTGS Conf </t>
  </si>
  <si>
    <t>Yet to rec</t>
  </si>
  <si>
    <t>REC</t>
  </si>
  <si>
    <t>CF&amp;Old</t>
  </si>
  <si>
    <t>OLD&amp;CF</t>
  </si>
  <si>
    <t xml:space="preserve">OLD&amp;CF </t>
  </si>
  <si>
    <t>Old&amp;CF</t>
  </si>
  <si>
    <t>Overall plan</t>
  </si>
  <si>
    <t>Collection Report - 30th  Nov 2020</t>
  </si>
  <si>
    <t>Received Payments-Status at 11.00 PM</t>
  </si>
  <si>
    <t>Group Collection - Dec 3rd to 5th Plan  (in Lakhs)</t>
  </si>
  <si>
    <t xml:space="preserve">Gap (Actual-Reflection)
</t>
  </si>
  <si>
    <t>Collection Report - MTD January 2021</t>
  </si>
  <si>
    <t>Overall Plan</t>
  </si>
  <si>
    <t>Gap (Plan To Act)</t>
  </si>
  <si>
    <t>Gap (Act To Ref)</t>
  </si>
  <si>
    <t>Week 3</t>
  </si>
  <si>
    <t>Thurs</t>
  </si>
  <si>
    <t>Target</t>
  </si>
  <si>
    <t>Same Day Ref</t>
  </si>
  <si>
    <t>Same Day Reflection</t>
  </si>
  <si>
    <t>Overall Reflection</t>
  </si>
  <si>
    <t>Act to Ref Gap details</t>
  </si>
  <si>
    <t>Physical Reflection</t>
  </si>
  <si>
    <t>Week 4</t>
  </si>
  <si>
    <t>Collection Report - 5th Week - Jan 2021</t>
  </si>
  <si>
    <t>Total Reflection</t>
  </si>
  <si>
    <t>Week 5</t>
  </si>
  <si>
    <t>Radha Group Collection Report - Feb 2020</t>
  </si>
  <si>
    <t>CF</t>
  </si>
  <si>
    <t>Yes</t>
  </si>
  <si>
    <t>Received Payments-Status at 5.30 PM</t>
  </si>
  <si>
    <t>Yes TA</t>
  </si>
  <si>
    <t>Week 2</t>
  </si>
  <si>
    <t>Collection Report - 1st Week - Mar 2021</t>
  </si>
  <si>
    <t>Collection Report - 2nd Week - Mar 2021</t>
  </si>
  <si>
    <t>Collection Report - 4th Week - Mar 2021</t>
  </si>
  <si>
    <t>Received Payments-Status at 7.00 Pm</t>
  </si>
  <si>
    <t>Received Payments-Status at 6.30 PM</t>
  </si>
  <si>
    <t>Tfs Ta</t>
  </si>
  <si>
    <t>Received Payments-Status at 7.30 PM</t>
  </si>
  <si>
    <t>Received Payments-Status at 4.00 PM</t>
  </si>
  <si>
    <t>Yes Ta</t>
  </si>
  <si>
    <t>TFS RTGS</t>
  </si>
  <si>
    <t>TFS TA</t>
  </si>
  <si>
    <t>TFS Rtgs</t>
  </si>
  <si>
    <t>TFSTA</t>
  </si>
  <si>
    <t>Hdfc Ta</t>
  </si>
  <si>
    <t>Collection Report - 30th  Mar 2021</t>
  </si>
  <si>
    <t>Last mnth</t>
  </si>
  <si>
    <t>Last mnth old</t>
  </si>
  <si>
    <t>Outstanding</t>
  </si>
  <si>
    <t>Collection Report - 15th  Mar 2021</t>
  </si>
  <si>
    <t>Received Payments-Status at 8.00 PM</t>
  </si>
  <si>
    <t>Received Payments-Status at 7.00 PM</t>
  </si>
  <si>
    <t>VSP</t>
  </si>
  <si>
    <t>YKT2</t>
  </si>
  <si>
    <t>Rec</t>
  </si>
  <si>
    <t>Loc</t>
  </si>
  <si>
    <t>Wed-Fri</t>
  </si>
  <si>
    <t>Tfs TA</t>
  </si>
  <si>
    <t>Old&amp;CF Break Up</t>
  </si>
  <si>
    <t>YES TA</t>
  </si>
  <si>
    <t xml:space="preserve"> </t>
  </si>
  <si>
    <t>Received Payments-Status at 7 PM</t>
  </si>
  <si>
    <t>Overall Total</t>
  </si>
  <si>
    <t>Received Payments-Status at 7.15 PM</t>
  </si>
  <si>
    <t>s</t>
  </si>
  <si>
    <t>Received Payments-Status at 12:30pm</t>
  </si>
  <si>
    <t>`</t>
  </si>
  <si>
    <t>Received Payments-Status at 12 PM</t>
  </si>
  <si>
    <t>Received Payments-Status at 12.30 PM</t>
  </si>
  <si>
    <t>Collection Report - 3rd Week - Mar 2018</t>
  </si>
  <si>
    <t>18st</t>
  </si>
  <si>
    <t>`Yes</t>
  </si>
  <si>
    <t>Jun MTD 
Collections as on 29/06/2021</t>
  </si>
  <si>
    <t>Cont %</t>
  </si>
  <si>
    <t>09th</t>
  </si>
  <si>
    <t xml:space="preserve"> Mode wise Payments -Status at 7 PM</t>
  </si>
  <si>
    <t>Old &amp; CF</t>
  </si>
  <si>
    <t xml:space="preserve"> Mode wise Payments -Status at 6.45 PM</t>
  </si>
  <si>
    <t>Collection</t>
  </si>
  <si>
    <t>Allocation</t>
  </si>
  <si>
    <t>Value</t>
  </si>
  <si>
    <t>Allotment %</t>
  </si>
  <si>
    <t>Grp Total</t>
  </si>
  <si>
    <t>TR Value</t>
  </si>
  <si>
    <t>No Of TR's</t>
  </si>
  <si>
    <t>Insurance</t>
  </si>
  <si>
    <t xml:space="preserve">                         </t>
  </si>
  <si>
    <t>Collection Vs Allotment as on 30th Aug'21</t>
  </si>
  <si>
    <t>Received Payments-Status at  7 PM</t>
  </si>
  <si>
    <t>Group Collection - nd Week Plan  (in Lakhs)</t>
  </si>
  <si>
    <t>Group Collection - OCT 2nd Week Plan  (in Lakhs)</t>
  </si>
  <si>
    <t>Group Collection - OCT 2nd Week Plan Vs Actuals  (in Lakhs)</t>
  </si>
  <si>
    <t>Reflec</t>
  </si>
  <si>
    <t>hdfc</t>
  </si>
  <si>
    <t>Bal to Rec</t>
  </si>
  <si>
    <t>Group Collection - Oct'21 3rd Week Plan Vs Actual  (in Lakhs)</t>
  </si>
  <si>
    <t>Mode wise Collection Plan-1-11-2021</t>
  </si>
  <si>
    <t>6TH</t>
  </si>
  <si>
    <t>saritha</t>
  </si>
  <si>
    <t>Mode wise Collection Plan-26-11-2021</t>
  </si>
  <si>
    <t xml:space="preserve"> Mode wise Payments -Status at 6.30 PM</t>
  </si>
  <si>
    <t>Mode wise Collection Plan-2-11-2021</t>
  </si>
  <si>
    <t>06th</t>
  </si>
  <si>
    <t>07th</t>
  </si>
  <si>
    <t>08th</t>
  </si>
  <si>
    <t>CF TFS</t>
  </si>
  <si>
    <t>Mode wise Collection Plan-8-12-2021</t>
  </si>
  <si>
    <t>Mode wise Collection Plan-9-12-2021</t>
  </si>
  <si>
    <t>Mode wise Collection Plan-14-12-2021</t>
  </si>
  <si>
    <t>Mode wise Collection Plan-15-12-2021</t>
  </si>
  <si>
    <t>Mode wise Collection Plan-16-12-2021</t>
  </si>
  <si>
    <t>CF &amp; Old</t>
  </si>
  <si>
    <t>Mode wise Collection Plan-22-12-2021</t>
  </si>
  <si>
    <t>Mode wise Collection Plan-23-12-2021</t>
  </si>
  <si>
    <t>24TH</t>
  </si>
  <si>
    <t>Group Collection Plan  - Dec 27th ~ 31st  (in Lakhs)</t>
  </si>
  <si>
    <t>FRI</t>
  </si>
  <si>
    <t>CF &amp; old</t>
  </si>
  <si>
    <t>Mode wise Collection Plan-29-12-2021</t>
  </si>
  <si>
    <t xml:space="preserve"> Mode wise Payments -Status at 6.50 PM</t>
  </si>
  <si>
    <t>Mode wise Collection Plan-30-12-2021</t>
  </si>
  <si>
    <t>Mode wise Collection Plan-31-12-2021</t>
  </si>
  <si>
    <t xml:space="preserve"> Mode wise Payments Status at 7 PM</t>
  </si>
  <si>
    <t>Mode wise Collection Plan-3-01-2022</t>
  </si>
  <si>
    <t>MDDP</t>
  </si>
  <si>
    <t>Standing Stock</t>
  </si>
  <si>
    <t>Key Stock</t>
  </si>
  <si>
    <t>Possibility</t>
  </si>
  <si>
    <t>Plan Given</t>
  </si>
  <si>
    <t>Bal to collect</t>
  </si>
  <si>
    <t>Group Collection Image - Jan 1st Week Plan  (in Lakhs)</t>
  </si>
  <si>
    <t>Mode wise Collection Plan-04-01-2022</t>
  </si>
  <si>
    <t>Week 1 Total</t>
  </si>
  <si>
    <t>Week 2  Total</t>
  </si>
  <si>
    <t>Mode wise Collection Plan-5-01-2022</t>
  </si>
  <si>
    <t>Mode wise Collection Plan-6-01-2022</t>
  </si>
  <si>
    <t xml:space="preserve"> Mode wise Payments Status at 7 PM </t>
  </si>
  <si>
    <t>rtgs</t>
  </si>
  <si>
    <t>Mode wise Collection Plan-7-01-2022</t>
  </si>
  <si>
    <t>ubi</t>
  </si>
  <si>
    <t>card</t>
  </si>
  <si>
    <t>Group Collection Image - Jan 2nd Week Plan  (in Lakhs)</t>
  </si>
  <si>
    <t>Mode wise Collection Plan-10-01-2022</t>
  </si>
  <si>
    <t>tfs</t>
  </si>
  <si>
    <t>Mode wise Collection Plan-11-01-2022</t>
  </si>
  <si>
    <t>Mode wise Collection Plan-12-01-2022</t>
  </si>
  <si>
    <t xml:space="preserve"> Mode wise Payments -Status at 6.15 PM</t>
  </si>
  <si>
    <t>Mode wise Collection Plan-13-01-2022</t>
  </si>
  <si>
    <t>Group Collection - Jan'22 3rd Week Plan  (in Lakhs)</t>
  </si>
  <si>
    <t>Mode wise Collection Plan-17-01-2022</t>
  </si>
  <si>
    <t>Mode wise Collection Plan-18-01-2022</t>
  </si>
  <si>
    <t>Mode wise Collection Plan-19-01-2022</t>
  </si>
  <si>
    <t>Received Payments-Status at 6.45 PM</t>
  </si>
  <si>
    <t>Mode wise Collection Plan-20-01-2022</t>
  </si>
  <si>
    <t>Mode wise Collection Plan-21-01-2022</t>
  </si>
  <si>
    <t>Group Collection - Jan 4th Week Plan  (in Lakhs)</t>
  </si>
  <si>
    <t>TFs</t>
  </si>
  <si>
    <t>Mode wise Collection Plan-24-01-2022</t>
  </si>
  <si>
    <t>Mode wise Collection Plan-25-01-2022</t>
  </si>
  <si>
    <t>Jan MTD 
Collections as on 25-01-2022</t>
  </si>
  <si>
    <t>Mode wise Collection Plan-27-01-2022</t>
  </si>
  <si>
    <t>Mode wise Collection Plan-28-01-2022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</si>
</sst>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64" formatCode="0.0"/>
    <numFmt numFmtId="165" formatCode="_ * #,##0_ ;_ * \-#,##0_ ;_ * &quot;-&quot;??_ ;_ @_ "/>
    <numFmt numFmtId="166" formatCode="0.0000000000000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3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8"/>
      <color theme="9" tint="-0.499984740745262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9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9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name val="Calibri"/>
      <family val="2"/>
      <scheme val="minor"/>
    </font>
    <font>
      <sz val="16"/>
      <name val="Calibri"/>
      <family val="2"/>
      <scheme val="minor"/>
    </font>
    <font>
      <b/>
      <sz val="8"/>
      <name val="Calibri"/>
      <family val="2"/>
      <scheme val="minor"/>
    </font>
    <font>
      <sz val="1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2"/>
      <color theme="9" tint="-0.499984740745262"/>
      <name val="Calibri"/>
      <family val="2"/>
      <scheme val="minor"/>
    </font>
    <font>
      <sz val="16"/>
      <color theme="9" tint="-0.49998474074526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b/>
      <sz val="26"/>
      <color theme="9" tint="-0.49998474074526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</fills>
  <borders count="19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auto="1"/>
      </bottom>
      <diagonal/>
    </border>
    <border>
      <left/>
      <right/>
      <top style="hair">
        <color indexed="64"/>
      </top>
      <bottom style="thin">
        <color auto="1"/>
      </bottom>
      <diagonal/>
    </border>
    <border>
      <left/>
      <right style="medium">
        <color indexed="64"/>
      </right>
      <top style="hair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 style="medium">
        <color auto="1"/>
      </right>
      <top style="hair">
        <color indexed="64"/>
      </top>
      <bottom style="thin">
        <color auto="1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auto="1"/>
      </left>
      <right style="thin">
        <color auto="1"/>
      </right>
      <top style="hair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auto="1"/>
      </right>
      <top style="hair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4" fillId="0" borderId="0"/>
  </cellStyleXfs>
  <cellXfs count="2077">
    <xf numFmtId="0" fontId="0" fillId="0" borderId="0" xfId="0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6" xfId="0" applyFont="1" applyFill="1" applyBorder="1" applyAlignment="1">
      <alignment horizontal="right" vertical="center"/>
    </xf>
    <xf numFmtId="1" fontId="2" fillId="0" borderId="37" xfId="0" applyNumberFormat="1" applyFont="1" applyFill="1" applyBorder="1" applyAlignment="1">
      <alignment horizontal="center" vertical="center"/>
    </xf>
    <xf numFmtId="1" fontId="2" fillId="0" borderId="40" xfId="0" applyNumberFormat="1" applyFont="1" applyBorder="1" applyAlignment="1">
      <alignment horizontal="center" vertical="center"/>
    </xf>
    <xf numFmtId="0" fontId="2" fillId="0" borderId="40" xfId="0" applyFont="1" applyFill="1" applyBorder="1" applyAlignment="1">
      <alignment horizontal="right" vertical="center"/>
    </xf>
    <xf numFmtId="1" fontId="2" fillId="0" borderId="41" xfId="0" applyNumberFormat="1" applyFont="1" applyFill="1" applyBorder="1" applyAlignment="1">
      <alignment horizontal="center" vertical="center"/>
    </xf>
    <xf numFmtId="1" fontId="2" fillId="0" borderId="45" xfId="0" applyNumberFormat="1" applyFont="1" applyBorder="1" applyAlignment="1">
      <alignment horizontal="center" vertical="center"/>
    </xf>
    <xf numFmtId="0" fontId="2" fillId="0" borderId="50" xfId="0" applyFont="1" applyFill="1" applyBorder="1" applyAlignment="1">
      <alignment horizontal="right" vertical="center"/>
    </xf>
    <xf numFmtId="1" fontId="2" fillId="0" borderId="51" xfId="0" applyNumberFormat="1" applyFont="1" applyFill="1" applyBorder="1" applyAlignment="1">
      <alignment horizontal="center" vertical="center"/>
    </xf>
    <xf numFmtId="0" fontId="2" fillId="7" borderId="52" xfId="0" applyFont="1" applyFill="1" applyBorder="1" applyAlignment="1">
      <alignment horizontal="right" vertical="center"/>
    </xf>
    <xf numFmtId="1" fontId="2" fillId="7" borderId="53" xfId="0" applyNumberFormat="1" applyFont="1" applyFill="1" applyBorder="1" applyAlignment="1">
      <alignment horizontal="center" vertical="center"/>
    </xf>
    <xf numFmtId="1" fontId="2" fillId="7" borderId="54" xfId="0" applyNumberFormat="1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right" vertical="center"/>
    </xf>
    <xf numFmtId="1" fontId="2" fillId="7" borderId="59" xfId="0" applyNumberFormat="1" applyFont="1" applyFill="1" applyBorder="1" applyAlignment="1">
      <alignment horizontal="center" vertical="center"/>
    </xf>
    <xf numFmtId="0" fontId="2" fillId="8" borderId="52" xfId="0" applyFont="1" applyFill="1" applyBorder="1" applyAlignment="1">
      <alignment horizontal="right" vertical="center"/>
    </xf>
    <xf numFmtId="0" fontId="5" fillId="9" borderId="21" xfId="0" applyFont="1" applyFill="1" applyBorder="1" applyAlignment="1">
      <alignment horizontal="right" vertical="center"/>
    </xf>
    <xf numFmtId="0" fontId="3" fillId="9" borderId="22" xfId="0" applyFont="1" applyFill="1" applyBorder="1" applyAlignment="1">
      <alignment horizontal="right" vertical="center"/>
    </xf>
    <xf numFmtId="1" fontId="3" fillId="9" borderId="23" xfId="0" applyNumberFormat="1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9" xfId="0" applyFont="1" applyBorder="1" applyAlignment="1">
      <alignment vertical="center"/>
    </xf>
    <xf numFmtId="0" fontId="7" fillId="3" borderId="70" xfId="0" applyFont="1" applyFill="1" applyBorder="1" applyAlignment="1">
      <alignment horizontal="center" vertical="center"/>
    </xf>
    <xf numFmtId="0" fontId="8" fillId="0" borderId="71" xfId="0" applyFont="1" applyBorder="1" applyAlignment="1">
      <alignment horizontal="center" vertical="center"/>
    </xf>
    <xf numFmtId="0" fontId="15" fillId="3" borderId="55" xfId="0" applyFont="1" applyFill="1" applyBorder="1" applyAlignment="1">
      <alignment horizontal="center"/>
    </xf>
    <xf numFmtId="0" fontId="16" fillId="3" borderId="53" xfId="0" applyFont="1" applyFill="1" applyBorder="1" applyAlignment="1">
      <alignment horizontal="center"/>
    </xf>
    <xf numFmtId="0" fontId="8" fillId="0" borderId="53" xfId="0" applyFont="1" applyBorder="1" applyAlignment="1">
      <alignment horizontal="right" vertical="center"/>
    </xf>
    <xf numFmtId="0" fontId="3" fillId="7" borderId="10" xfId="0" applyFont="1" applyFill="1" applyBorder="1" applyAlignment="1">
      <alignment horizontal="center" vertical="center"/>
    </xf>
    <xf numFmtId="1" fontId="7" fillId="9" borderId="24" xfId="0" applyNumberFormat="1" applyFont="1" applyFill="1" applyBorder="1" applyAlignment="1">
      <alignment horizontal="center" vertical="center"/>
    </xf>
    <xf numFmtId="9" fontId="3" fillId="0" borderId="38" xfId="1" applyFont="1" applyBorder="1" applyAlignment="1">
      <alignment horizontal="center" vertical="center"/>
    </xf>
    <xf numFmtId="9" fontId="3" fillId="0" borderId="35" xfId="1" applyFont="1" applyBorder="1" applyAlignment="1">
      <alignment horizontal="center" vertical="center"/>
    </xf>
    <xf numFmtId="9" fontId="3" fillId="0" borderId="47" xfId="1" applyFont="1" applyBorder="1" applyAlignment="1">
      <alignment horizontal="center" vertical="center"/>
    </xf>
    <xf numFmtId="9" fontId="3" fillId="7" borderId="10" xfId="1" applyFont="1" applyFill="1" applyBorder="1" applyAlignment="1">
      <alignment horizontal="center" vertical="center"/>
    </xf>
    <xf numFmtId="1" fontId="0" fillId="0" borderId="0" xfId="0" applyNumberFormat="1"/>
    <xf numFmtId="9" fontId="8" fillId="0" borderId="65" xfId="1" applyFont="1" applyBorder="1" applyAlignment="1">
      <alignment horizontal="center"/>
    </xf>
    <xf numFmtId="9" fontId="8" fillId="0" borderId="43" xfId="1" applyFont="1" applyBorder="1" applyAlignment="1">
      <alignment horizontal="center"/>
    </xf>
    <xf numFmtId="9" fontId="8" fillId="0" borderId="84" xfId="1" applyFont="1" applyBorder="1" applyAlignment="1">
      <alignment horizontal="center"/>
    </xf>
    <xf numFmtId="9" fontId="8" fillId="0" borderId="58" xfId="1" applyFont="1" applyBorder="1" applyAlignment="1">
      <alignment horizontal="center"/>
    </xf>
    <xf numFmtId="0" fontId="4" fillId="0" borderId="0" xfId="0" applyNumberFormat="1" applyFont="1"/>
    <xf numFmtId="0" fontId="9" fillId="0" borderId="0" xfId="0" applyNumberFormat="1" applyFont="1"/>
    <xf numFmtId="0" fontId="0" fillId="0" borderId="0" xfId="0" applyAlignment="1">
      <alignment horizontal="center"/>
    </xf>
    <xf numFmtId="0" fontId="2" fillId="0" borderId="0" xfId="0" applyNumberFormat="1" applyFont="1" applyAlignment="1">
      <alignment horizontal="center" vertical="center"/>
    </xf>
    <xf numFmtId="0" fontId="2" fillId="3" borderId="23" xfId="0" applyNumberFormat="1" applyFont="1" applyFill="1" applyBorder="1" applyAlignment="1">
      <alignment horizontal="center" vertical="center"/>
    </xf>
    <xf numFmtId="0" fontId="2" fillId="0" borderId="33" xfId="0" applyNumberFormat="1" applyFont="1" applyBorder="1" applyAlignment="1">
      <alignment horizontal="center" vertical="center"/>
    </xf>
    <xf numFmtId="0" fontId="2" fillId="0" borderId="41" xfId="0" applyNumberFormat="1" applyFont="1" applyBorder="1" applyAlignment="1">
      <alignment horizontal="center" vertical="center"/>
    </xf>
    <xf numFmtId="0" fontId="2" fillId="0" borderId="46" xfId="0" applyNumberFormat="1" applyFont="1" applyBorder="1" applyAlignment="1">
      <alignment horizontal="center" vertical="center"/>
    </xf>
    <xf numFmtId="0" fontId="2" fillId="5" borderId="54" xfId="0" applyNumberFormat="1" applyFont="1" applyFill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0" fontId="2" fillId="7" borderId="54" xfId="0" applyNumberFormat="1" applyFont="1" applyFill="1" applyBorder="1" applyAlignment="1">
      <alignment horizontal="center" vertical="center"/>
    </xf>
    <xf numFmtId="0" fontId="2" fillId="8" borderId="54" xfId="0" applyNumberFormat="1" applyFont="1" applyFill="1" applyBorder="1" applyAlignment="1">
      <alignment horizontal="center" vertical="center"/>
    </xf>
    <xf numFmtId="0" fontId="5" fillId="9" borderId="30" xfId="0" applyNumberFormat="1" applyFont="1" applyFill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2" fillId="0" borderId="42" xfId="0" applyNumberFormat="1" applyFont="1" applyBorder="1" applyAlignment="1">
      <alignment horizontal="center" vertical="center"/>
    </xf>
    <xf numFmtId="0" fontId="2" fillId="0" borderId="48" xfId="0" applyNumberFormat="1" applyFont="1" applyBorder="1" applyAlignment="1">
      <alignment horizontal="center" vertical="center"/>
    </xf>
    <xf numFmtId="0" fontId="2" fillId="0" borderId="64" xfId="0" applyNumberFormat="1" applyFont="1" applyBorder="1" applyAlignment="1">
      <alignment horizontal="center" vertical="center"/>
    </xf>
    <xf numFmtId="0" fontId="2" fillId="8" borderId="56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NumberFormat="1"/>
    <xf numFmtId="0" fontId="8" fillId="15" borderId="18" xfId="0" applyNumberFormat="1" applyFont="1" applyFill="1" applyBorder="1" applyAlignment="1">
      <alignment horizontal="center" vertical="center"/>
    </xf>
    <xf numFmtId="0" fontId="8" fillId="15" borderId="19" xfId="0" applyNumberFormat="1" applyFont="1" applyFill="1" applyBorder="1" applyAlignment="1">
      <alignment horizontal="center" vertical="center"/>
    </xf>
    <xf numFmtId="0" fontId="8" fillId="15" borderId="86" xfId="0" applyNumberFormat="1" applyFont="1" applyFill="1" applyBorder="1" applyAlignment="1">
      <alignment horizontal="center" vertical="center"/>
    </xf>
    <xf numFmtId="0" fontId="8" fillId="15" borderId="78" xfId="0" applyNumberFormat="1" applyFont="1" applyFill="1" applyBorder="1" applyAlignment="1">
      <alignment horizontal="center" vertical="center" wrapText="1"/>
    </xf>
    <xf numFmtId="0" fontId="8" fillId="4" borderId="78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vertical="center"/>
    </xf>
    <xf numFmtId="0" fontId="2" fillId="0" borderId="32" xfId="0" applyNumberFormat="1" applyFont="1" applyBorder="1" applyAlignment="1">
      <alignment horizontal="right" vertical="center"/>
    </xf>
    <xf numFmtId="0" fontId="2" fillId="0" borderId="87" xfId="0" applyNumberFormat="1" applyFont="1" applyBorder="1" applyAlignment="1">
      <alignment horizontal="center" vertical="center"/>
    </xf>
    <xf numFmtId="0" fontId="2" fillId="0" borderId="65" xfId="0" applyNumberFormat="1" applyFont="1" applyBorder="1" applyAlignment="1">
      <alignment horizontal="center" vertical="center"/>
    </xf>
    <xf numFmtId="0" fontId="2" fillId="0" borderId="40" xfId="0" applyNumberFormat="1" applyFont="1" applyBorder="1" applyAlignment="1">
      <alignment horizontal="right" vertical="center"/>
    </xf>
    <xf numFmtId="0" fontId="2" fillId="0" borderId="88" xfId="0" applyNumberFormat="1" applyFont="1" applyBorder="1" applyAlignment="1">
      <alignment horizontal="center" vertical="center"/>
    </xf>
    <xf numFmtId="0" fontId="2" fillId="0" borderId="43" xfId="0" applyNumberFormat="1" applyFont="1" applyBorder="1" applyAlignment="1">
      <alignment horizontal="center" vertical="center"/>
    </xf>
    <xf numFmtId="0" fontId="2" fillId="0" borderId="45" xfId="0" applyNumberFormat="1" applyFont="1" applyBorder="1" applyAlignment="1">
      <alignment horizontal="right" vertical="center"/>
    </xf>
    <xf numFmtId="0" fontId="2" fillId="0" borderId="89" xfId="0" applyNumberFormat="1" applyFont="1" applyBorder="1" applyAlignment="1">
      <alignment horizontal="center" vertical="center"/>
    </xf>
    <xf numFmtId="0" fontId="2" fillId="0" borderId="49" xfId="0" applyNumberFormat="1" applyFont="1" applyBorder="1" applyAlignment="1">
      <alignment horizontal="center" vertical="center"/>
    </xf>
    <xf numFmtId="9" fontId="8" fillId="0" borderId="49" xfId="1" applyFont="1" applyBorder="1" applyAlignment="1">
      <alignment horizontal="center"/>
    </xf>
    <xf numFmtId="0" fontId="2" fillId="5" borderId="53" xfId="0" applyNumberFormat="1" applyFont="1" applyFill="1" applyBorder="1" applyAlignment="1">
      <alignment horizontal="right" vertical="center"/>
    </xf>
    <xf numFmtId="0" fontId="2" fillId="5" borderId="58" xfId="0" applyNumberFormat="1" applyFont="1" applyFill="1" applyBorder="1" applyAlignment="1">
      <alignment horizontal="center" vertical="center"/>
    </xf>
    <xf numFmtId="9" fontId="8" fillId="15" borderId="58" xfId="1" applyFont="1" applyFill="1" applyBorder="1" applyAlignment="1">
      <alignment horizontal="center"/>
    </xf>
    <xf numFmtId="0" fontId="2" fillId="0" borderId="61" xfId="0" applyNumberFormat="1" applyFont="1" applyBorder="1" applyAlignment="1">
      <alignment horizontal="right" vertical="center"/>
    </xf>
    <xf numFmtId="0" fontId="2" fillId="0" borderId="90" xfId="0" applyNumberFormat="1" applyFont="1" applyBorder="1" applyAlignment="1">
      <alignment horizontal="center" vertical="center"/>
    </xf>
    <xf numFmtId="0" fontId="2" fillId="7" borderId="53" xfId="0" applyNumberFormat="1" applyFont="1" applyFill="1" applyBorder="1" applyAlignment="1">
      <alignment horizontal="right" vertical="center"/>
    </xf>
    <xf numFmtId="0" fontId="2" fillId="7" borderId="58" xfId="0" applyNumberFormat="1" applyFont="1" applyFill="1" applyBorder="1" applyAlignment="1">
      <alignment horizontal="center" vertical="center"/>
    </xf>
    <xf numFmtId="0" fontId="2" fillId="8" borderId="53" xfId="0" applyNumberFormat="1" applyFont="1" applyFill="1" applyBorder="1" applyAlignment="1">
      <alignment horizontal="right" vertical="center"/>
    </xf>
    <xf numFmtId="0" fontId="2" fillId="8" borderId="58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5" fillId="9" borderId="29" xfId="0" applyNumberFormat="1" applyFont="1" applyFill="1" applyBorder="1" applyAlignment="1">
      <alignment horizontal="right" vertical="center"/>
    </xf>
    <xf numFmtId="0" fontId="5" fillId="9" borderId="66" xfId="0" applyNumberFormat="1" applyFont="1" applyFill="1" applyBorder="1" applyAlignment="1">
      <alignment horizontal="center" vertical="center"/>
    </xf>
    <xf numFmtId="0" fontId="8" fillId="0" borderId="66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8" fillId="0" borderId="54" xfId="0" applyNumberFormat="1" applyFont="1" applyBorder="1" applyAlignment="1">
      <alignment horizontal="right"/>
    </xf>
    <xf numFmtId="0" fontId="8" fillId="0" borderId="54" xfId="0" applyNumberFormat="1" applyFont="1" applyBorder="1" applyAlignment="1">
      <alignment horizontal="center"/>
    </xf>
    <xf numFmtId="0" fontId="8" fillId="0" borderId="0" xfId="0" applyNumberFormat="1" applyFont="1" applyAlignment="1">
      <alignment horizontal="center"/>
    </xf>
    <xf numFmtId="0" fontId="8" fillId="2" borderId="54" xfId="0" applyNumberFormat="1" applyFont="1" applyFill="1" applyBorder="1" applyAlignment="1">
      <alignment horizontal="right"/>
    </xf>
    <xf numFmtId="0" fontId="8" fillId="2" borderId="54" xfId="0" applyNumberFormat="1" applyFont="1" applyFill="1" applyBorder="1" applyAlignment="1">
      <alignment horizontal="center"/>
    </xf>
    <xf numFmtId="0" fontId="8" fillId="0" borderId="0" xfId="0" applyNumberFormat="1" applyFont="1" applyAlignment="1">
      <alignment horizontal="left"/>
    </xf>
    <xf numFmtId="0" fontId="2" fillId="4" borderId="52" xfId="0" applyFont="1" applyFill="1" applyBorder="1" applyAlignment="1">
      <alignment horizontal="right" vertical="center"/>
    </xf>
    <xf numFmtId="0" fontId="2" fillId="4" borderId="54" xfId="0" applyNumberFormat="1" applyFont="1" applyFill="1" applyBorder="1" applyAlignment="1">
      <alignment horizontal="center" vertical="center"/>
    </xf>
    <xf numFmtId="1" fontId="2" fillId="4" borderId="53" xfId="0" applyNumberFormat="1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 vertical="center"/>
    </xf>
    <xf numFmtId="0" fontId="2" fillId="16" borderId="23" xfId="0" applyFont="1" applyFill="1" applyBorder="1" applyAlignment="1">
      <alignment horizontal="center" vertical="center"/>
    </xf>
    <xf numFmtId="0" fontId="2" fillId="0" borderId="37" xfId="0" applyNumberFormat="1" applyFont="1" applyFill="1" applyBorder="1" applyAlignment="1">
      <alignment horizontal="center" vertical="center"/>
    </xf>
    <xf numFmtId="0" fontId="3" fillId="0" borderId="38" xfId="0" applyNumberFormat="1" applyFont="1" applyBorder="1" applyAlignment="1">
      <alignment horizontal="center" vertical="center"/>
    </xf>
    <xf numFmtId="0" fontId="2" fillId="0" borderId="41" xfId="0" applyNumberFormat="1" applyFont="1" applyFill="1" applyBorder="1" applyAlignment="1">
      <alignment horizontal="center" vertical="center"/>
    </xf>
    <xf numFmtId="0" fontId="3" fillId="0" borderId="35" xfId="0" applyNumberFormat="1" applyFont="1" applyBorder="1" applyAlignment="1">
      <alignment horizontal="center" vertical="center"/>
    </xf>
    <xf numFmtId="0" fontId="2" fillId="0" borderId="51" xfId="0" applyNumberFormat="1" applyFont="1" applyFill="1" applyBorder="1" applyAlignment="1">
      <alignment horizontal="center" vertical="center"/>
    </xf>
    <xf numFmtId="0" fontId="3" fillId="0" borderId="47" xfId="0" applyNumberFormat="1" applyFont="1" applyBorder="1" applyAlignment="1">
      <alignment horizontal="center" vertical="center"/>
    </xf>
    <xf numFmtId="0" fontId="19" fillId="0" borderId="54" xfId="0" applyFont="1" applyBorder="1" applyAlignment="1">
      <alignment horizontal="center"/>
    </xf>
    <xf numFmtId="0" fontId="20" fillId="3" borderId="54" xfId="0" applyFont="1" applyFill="1" applyBorder="1" applyAlignment="1">
      <alignment horizontal="center" vertical="center"/>
    </xf>
    <xf numFmtId="0" fontId="12" fillId="3" borderId="22" xfId="0" applyNumberFormat="1" applyFont="1" applyFill="1" applyBorder="1" applyAlignment="1">
      <alignment horizontal="center" vertical="center" shrinkToFit="1"/>
    </xf>
    <xf numFmtId="0" fontId="8" fillId="0" borderId="0" xfId="0" applyFont="1" applyFill="1" applyBorder="1" applyAlignment="1">
      <alignment vertical="center"/>
    </xf>
    <xf numFmtId="0" fontId="8" fillId="0" borderId="9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2" fillId="13" borderId="12" xfId="0" applyNumberFormat="1" applyFont="1" applyFill="1" applyBorder="1" applyAlignment="1">
      <alignment horizontal="center" vertical="center" shrinkToFit="1"/>
    </xf>
    <xf numFmtId="0" fontId="10" fillId="12" borderId="96" xfId="0" applyNumberFormat="1" applyFont="1" applyFill="1" applyBorder="1" applyAlignment="1">
      <alignment horizontal="center" vertical="center" shrinkToFit="1"/>
    </xf>
    <xf numFmtId="0" fontId="12" fillId="0" borderId="0" xfId="0" applyNumberFormat="1" applyFont="1" applyFill="1" applyBorder="1" applyAlignment="1">
      <alignment horizontal="center" vertical="center" shrinkToFit="1"/>
    </xf>
    <xf numFmtId="0" fontId="11" fillId="0" borderId="0" xfId="0" applyNumberFormat="1" applyFont="1" applyFill="1" applyBorder="1" applyAlignment="1">
      <alignment horizontal="center" vertical="center" shrinkToFit="1"/>
    </xf>
    <xf numFmtId="1" fontId="12" fillId="13" borderId="12" xfId="0" applyNumberFormat="1" applyFont="1" applyFill="1" applyBorder="1" applyAlignment="1">
      <alignment horizontal="center" vertical="center" shrinkToFit="1"/>
    </xf>
    <xf numFmtId="0" fontId="12" fillId="3" borderId="53" xfId="0" applyNumberFormat="1" applyFont="1" applyFill="1" applyBorder="1" applyAlignment="1">
      <alignment horizontal="center" vertical="center" shrinkToFit="1"/>
    </xf>
    <xf numFmtId="2" fontId="0" fillId="0" borderId="0" xfId="0" applyNumberFormat="1"/>
    <xf numFmtId="0" fontId="25" fillId="0" borderId="0" xfId="0" applyFont="1"/>
    <xf numFmtId="0" fontId="2" fillId="0" borderId="100" xfId="0" applyFont="1" applyFill="1" applyBorder="1" applyAlignment="1">
      <alignment horizontal="right" vertical="center"/>
    </xf>
    <xf numFmtId="0" fontId="2" fillId="0" borderId="39" xfId="0" applyFont="1" applyFill="1" applyBorder="1" applyAlignment="1">
      <alignment horizontal="right" vertical="center"/>
    </xf>
    <xf numFmtId="0" fontId="2" fillId="0" borderId="15" xfId="0" applyFont="1" applyFill="1" applyBorder="1" applyAlignment="1">
      <alignment horizontal="right" vertical="center"/>
    </xf>
    <xf numFmtId="0" fontId="2" fillId="0" borderId="36" xfId="0" applyNumberFormat="1" applyFont="1" applyFill="1" applyBorder="1" applyAlignment="1">
      <alignment horizontal="center" vertical="center"/>
    </xf>
    <xf numFmtId="0" fontId="2" fillId="0" borderId="40" xfId="0" applyNumberFormat="1" applyFont="1" applyFill="1" applyBorder="1" applyAlignment="1">
      <alignment horizontal="center" vertical="center"/>
    </xf>
    <xf numFmtId="0" fontId="2" fillId="0" borderId="50" xfId="0" applyNumberFormat="1" applyFont="1" applyFill="1" applyBorder="1" applyAlignment="1">
      <alignment horizontal="center" vertical="center"/>
    </xf>
    <xf numFmtId="0" fontId="2" fillId="3" borderId="102" xfId="0" applyFont="1" applyFill="1" applyBorder="1" applyAlignment="1">
      <alignment horizontal="center" vertical="center" wrapText="1"/>
    </xf>
    <xf numFmtId="0" fontId="2" fillId="3" borderId="103" xfId="0" applyFont="1" applyFill="1" applyBorder="1" applyAlignment="1">
      <alignment horizontal="center" vertical="center" wrapText="1"/>
    </xf>
    <xf numFmtId="0" fontId="2" fillId="0" borderId="104" xfId="0" applyNumberFormat="1" applyFont="1" applyFill="1" applyBorder="1" applyAlignment="1">
      <alignment horizontal="center" vertical="center"/>
    </xf>
    <xf numFmtId="0" fontId="2" fillId="0" borderId="43" xfId="0" applyNumberFormat="1" applyFont="1" applyFill="1" applyBorder="1" applyAlignment="1">
      <alignment horizontal="center" vertical="center"/>
    </xf>
    <xf numFmtId="0" fontId="2" fillId="0" borderId="84" xfId="0" applyNumberFormat="1" applyFont="1" applyFill="1" applyBorder="1" applyAlignment="1">
      <alignment horizontal="center" vertical="center"/>
    </xf>
    <xf numFmtId="0" fontId="3" fillId="0" borderId="36" xfId="0" applyNumberFormat="1" applyFont="1" applyBorder="1" applyAlignment="1">
      <alignment horizontal="center" vertical="center"/>
    </xf>
    <xf numFmtId="0" fontId="3" fillId="0" borderId="40" xfId="0" applyNumberFormat="1" applyFont="1" applyBorder="1" applyAlignment="1">
      <alignment horizontal="center" vertical="center"/>
    </xf>
    <xf numFmtId="0" fontId="3" fillId="0" borderId="50" xfId="0" applyNumberFormat="1" applyFont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2" fillId="18" borderId="5" xfId="0" applyFont="1" applyFill="1" applyBorder="1" applyAlignment="1">
      <alignment horizontal="right" vertical="center"/>
    </xf>
    <xf numFmtId="0" fontId="2" fillId="18" borderId="9" xfId="0" applyNumberFormat="1" applyFont="1" applyFill="1" applyBorder="1" applyAlignment="1">
      <alignment horizontal="center" vertical="center"/>
    </xf>
    <xf numFmtId="0" fontId="2" fillId="18" borderId="59" xfId="0" applyNumberFormat="1" applyFont="1" applyFill="1" applyBorder="1" applyAlignment="1">
      <alignment horizontal="center" vertical="center"/>
    </xf>
    <xf numFmtId="0" fontId="2" fillId="18" borderId="11" xfId="0" applyNumberFormat="1" applyFont="1" applyFill="1" applyBorder="1" applyAlignment="1">
      <alignment horizontal="center" vertical="center"/>
    </xf>
    <xf numFmtId="0" fontId="2" fillId="18" borderId="101" xfId="0" applyNumberFormat="1" applyFont="1" applyFill="1" applyBorder="1" applyAlignment="1">
      <alignment horizontal="center" vertical="center"/>
    </xf>
    <xf numFmtId="0" fontId="7" fillId="21" borderId="98" xfId="0" applyFont="1" applyFill="1" applyBorder="1" applyAlignment="1">
      <alignment horizontal="right" vertical="center"/>
    </xf>
    <xf numFmtId="0" fontId="7" fillId="21" borderId="22" xfId="0" applyNumberFormat="1" applyFont="1" applyFill="1" applyBorder="1" applyAlignment="1">
      <alignment horizontal="center" vertical="center"/>
    </xf>
    <xf numFmtId="0" fontId="7" fillId="21" borderId="23" xfId="0" applyNumberFormat="1" applyFont="1" applyFill="1" applyBorder="1" applyAlignment="1">
      <alignment horizontal="center" vertical="center"/>
    </xf>
    <xf numFmtId="0" fontId="7" fillId="21" borderId="85" xfId="0" applyNumberFormat="1" applyFont="1" applyFill="1" applyBorder="1" applyAlignment="1">
      <alignment horizontal="center" vertical="center"/>
    </xf>
    <xf numFmtId="0" fontId="7" fillId="21" borderId="67" xfId="0" applyNumberFormat="1" applyFont="1" applyFill="1" applyBorder="1" applyAlignment="1">
      <alignment horizontal="center" vertical="center"/>
    </xf>
    <xf numFmtId="0" fontId="3" fillId="4" borderId="55" xfId="0" applyFont="1" applyFill="1" applyBorder="1" applyAlignment="1">
      <alignment horizontal="center" vertical="center" wrapText="1"/>
    </xf>
    <xf numFmtId="0" fontId="2" fillId="18" borderId="10" xfId="0" applyNumberFormat="1" applyFont="1" applyFill="1" applyBorder="1" applyAlignment="1">
      <alignment horizontal="center" vertical="center"/>
    </xf>
    <xf numFmtId="0" fontId="7" fillId="21" borderId="24" xfId="0" applyNumberFormat="1" applyFont="1" applyFill="1" applyBorder="1" applyAlignment="1">
      <alignment horizontal="center" vertical="center"/>
    </xf>
    <xf numFmtId="0" fontId="8" fillId="0" borderId="38" xfId="0" applyNumberFormat="1" applyFont="1" applyFill="1" applyBorder="1" applyAlignment="1">
      <alignment horizontal="center" vertical="center"/>
    </xf>
    <xf numFmtId="0" fontId="8" fillId="0" borderId="35" xfId="0" applyNumberFormat="1" applyFont="1" applyFill="1" applyBorder="1" applyAlignment="1">
      <alignment horizontal="center" vertical="center"/>
    </xf>
    <xf numFmtId="0" fontId="8" fillId="0" borderId="47" xfId="0" applyNumberFormat="1" applyFont="1" applyFill="1" applyBorder="1" applyAlignment="1">
      <alignment horizontal="center" vertical="center"/>
    </xf>
    <xf numFmtId="0" fontId="8" fillId="18" borderId="10" xfId="0" applyNumberFormat="1" applyFont="1" applyFill="1" applyBorder="1" applyAlignment="1">
      <alignment horizontal="center" vertical="center"/>
    </xf>
    <xf numFmtId="0" fontId="26" fillId="21" borderId="24" xfId="0" applyNumberFormat="1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 wrapText="1"/>
    </xf>
    <xf numFmtId="0" fontId="27" fillId="4" borderId="28" xfId="0" applyFont="1" applyFill="1" applyBorder="1" applyAlignment="1">
      <alignment horizontal="center" vertical="center" wrapText="1"/>
    </xf>
    <xf numFmtId="1" fontId="8" fillId="2" borderId="54" xfId="0" applyNumberFormat="1" applyFont="1" applyFill="1" applyBorder="1" applyAlignment="1">
      <alignment horizontal="center"/>
    </xf>
    <xf numFmtId="0" fontId="2" fillId="22" borderId="9" xfId="0" applyFont="1" applyFill="1" applyBorder="1" applyAlignment="1">
      <alignment horizontal="right" vertical="center"/>
    </xf>
    <xf numFmtId="1" fontId="2" fillId="22" borderId="59" xfId="0" applyNumberFormat="1" applyFont="1" applyFill="1" applyBorder="1" applyAlignment="1">
      <alignment horizontal="center" vertical="center"/>
    </xf>
    <xf numFmtId="0" fontId="3" fillId="22" borderId="10" xfId="0" applyFont="1" applyFill="1" applyBorder="1" applyAlignment="1">
      <alignment horizontal="center" vertical="center"/>
    </xf>
    <xf numFmtId="9" fontId="3" fillId="22" borderId="10" xfId="1" applyFont="1" applyFill="1" applyBorder="1" applyAlignment="1">
      <alignment horizontal="center" vertical="center"/>
    </xf>
    <xf numFmtId="43" fontId="2" fillId="0" borderId="33" xfId="0" applyNumberFormat="1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0" fillId="0" borderId="54" xfId="0" applyBorder="1"/>
    <xf numFmtId="0" fontId="8" fillId="0" borderId="72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/>
    </xf>
    <xf numFmtId="14" fontId="8" fillId="0" borderId="53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 wrapText="1"/>
    </xf>
    <xf numFmtId="0" fontId="8" fillId="0" borderId="55" xfId="0" applyFont="1" applyFill="1" applyBorder="1" applyAlignment="1">
      <alignment horizontal="center" vertical="center" wrapText="1"/>
    </xf>
    <xf numFmtId="0" fontId="0" fillId="0" borderId="55" xfId="0" applyBorder="1"/>
    <xf numFmtId="0" fontId="8" fillId="0" borderId="95" xfId="0" applyFont="1" applyBorder="1" applyAlignment="1">
      <alignment horizontal="center" vertical="center"/>
    </xf>
    <xf numFmtId="0" fontId="0" fillId="0" borderId="27" xfId="0" applyBorder="1"/>
    <xf numFmtId="0" fontId="0" fillId="0" borderId="28" xfId="0" applyBorder="1"/>
    <xf numFmtId="0" fontId="0" fillId="0" borderId="13" xfId="0" applyBorder="1"/>
    <xf numFmtId="0" fontId="0" fillId="0" borderId="14" xfId="0" applyBorder="1"/>
    <xf numFmtId="0" fontId="8" fillId="24" borderId="54" xfId="0" applyFont="1" applyFill="1" applyBorder="1" applyAlignment="1">
      <alignment horizontal="center" vertical="center"/>
    </xf>
    <xf numFmtId="0" fontId="8" fillId="24" borderId="27" xfId="0" applyFont="1" applyFill="1" applyBorder="1" applyAlignment="1">
      <alignment horizontal="center" vertical="center"/>
    </xf>
    <xf numFmtId="0" fontId="8" fillId="24" borderId="1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54" xfId="0" applyFill="1" applyBorder="1"/>
    <xf numFmtId="165" fontId="8" fillId="0" borderId="54" xfId="2" applyNumberFormat="1" applyFont="1" applyFill="1" applyBorder="1" applyAlignment="1">
      <alignment horizontal="center" vertical="center" wrapText="1"/>
    </xf>
    <xf numFmtId="165" fontId="0" fillId="0" borderId="0" xfId="2" applyNumberFormat="1" applyFont="1" applyAlignment="1">
      <alignment wrapText="1"/>
    </xf>
    <xf numFmtId="165" fontId="8" fillId="0" borderId="0" xfId="2" applyNumberFormat="1" applyFont="1" applyAlignment="1">
      <alignment horizontal="center" vertical="center" wrapText="1"/>
    </xf>
    <xf numFmtId="0" fontId="8" fillId="0" borderId="53" xfId="0" applyNumberFormat="1" applyFont="1" applyFill="1" applyBorder="1" applyAlignment="1">
      <alignment horizontal="center" vertical="center"/>
    </xf>
    <xf numFmtId="165" fontId="8" fillId="0" borderId="68" xfId="2" applyNumberFormat="1" applyFont="1" applyFill="1" applyBorder="1" applyAlignment="1">
      <alignment horizontal="center" vertical="center" wrapText="1"/>
    </xf>
    <xf numFmtId="0" fontId="8" fillId="0" borderId="109" xfId="0" applyNumberFormat="1" applyFont="1" applyFill="1" applyBorder="1" applyAlignment="1">
      <alignment horizontal="center" vertical="center"/>
    </xf>
    <xf numFmtId="0" fontId="8" fillId="0" borderId="72" xfId="0" applyFont="1" applyFill="1" applyBorder="1" applyAlignment="1">
      <alignment horizontal="center" vertical="center"/>
    </xf>
    <xf numFmtId="165" fontId="8" fillId="0" borderId="72" xfId="2" applyNumberFormat="1" applyFont="1" applyFill="1" applyBorder="1" applyAlignment="1">
      <alignment horizontal="center" vertical="center" wrapText="1"/>
    </xf>
    <xf numFmtId="165" fontId="8" fillId="0" borderId="107" xfId="2" applyNumberFormat="1" applyFont="1" applyFill="1" applyBorder="1" applyAlignment="1">
      <alignment horizontal="center" vertical="center" wrapText="1"/>
    </xf>
    <xf numFmtId="165" fontId="8" fillId="23" borderId="22" xfId="2" applyNumberFormat="1" applyFont="1" applyFill="1" applyBorder="1" applyAlignment="1">
      <alignment horizontal="center" vertical="center" wrapText="1"/>
    </xf>
    <xf numFmtId="0" fontId="8" fillId="23" borderId="23" xfId="0" applyFont="1" applyFill="1" applyBorder="1" applyAlignment="1">
      <alignment horizontal="center" vertical="center" wrapText="1"/>
    </xf>
    <xf numFmtId="165" fontId="8" fillId="0" borderId="108" xfId="2" applyNumberFormat="1" applyFont="1" applyFill="1" applyBorder="1" applyAlignment="1">
      <alignment horizontal="center" vertical="center" wrapText="1"/>
    </xf>
    <xf numFmtId="165" fontId="8" fillId="0" borderId="70" xfId="2" applyNumberFormat="1" applyFont="1" applyFill="1" applyBorder="1" applyAlignment="1">
      <alignment horizontal="center" vertical="center" wrapText="1"/>
    </xf>
    <xf numFmtId="165" fontId="8" fillId="25" borderId="79" xfId="2" applyNumberFormat="1" applyFont="1" applyFill="1" applyBorder="1" applyAlignment="1">
      <alignment horizontal="center" vertical="center" wrapText="1"/>
    </xf>
    <xf numFmtId="165" fontId="8" fillId="25" borderId="58" xfId="2" applyNumberFormat="1" applyFont="1" applyFill="1" applyBorder="1" applyAlignment="1">
      <alignment horizontal="center" vertical="center" wrapText="1"/>
    </xf>
    <xf numFmtId="0" fontId="8" fillId="23" borderId="110" xfId="0" applyFont="1" applyFill="1" applyBorder="1" applyAlignment="1">
      <alignment horizontal="center" vertical="center" wrapText="1"/>
    </xf>
    <xf numFmtId="0" fontId="8" fillId="0" borderId="108" xfId="0" applyFont="1" applyFill="1" applyBorder="1" applyAlignment="1">
      <alignment horizontal="center" vertical="center"/>
    </xf>
    <xf numFmtId="0" fontId="8" fillId="0" borderId="70" xfId="0" applyFont="1" applyFill="1" applyBorder="1" applyAlignment="1">
      <alignment horizontal="center" vertical="center"/>
    </xf>
    <xf numFmtId="165" fontId="8" fillId="23" borderId="79" xfId="2" applyNumberFormat="1" applyFont="1" applyFill="1" applyBorder="1" applyAlignment="1">
      <alignment horizontal="center" vertical="center" wrapText="1"/>
    </xf>
    <xf numFmtId="165" fontId="8" fillId="23" borderId="58" xfId="2" applyNumberFormat="1" applyFont="1" applyFill="1" applyBorder="1" applyAlignment="1">
      <alignment horizontal="center" vertical="center" wrapText="1"/>
    </xf>
    <xf numFmtId="0" fontId="8" fillId="0" borderId="26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165" fontId="8" fillId="0" borderId="27" xfId="2" applyNumberFormat="1" applyFont="1" applyFill="1" applyBorder="1" applyAlignment="1">
      <alignment horizontal="center" vertical="center" wrapText="1"/>
    </xf>
    <xf numFmtId="165" fontId="8" fillId="0" borderId="105" xfId="2" applyNumberFormat="1" applyFont="1" applyFill="1" applyBorder="1" applyAlignment="1">
      <alignment horizontal="center" vertical="center" wrapText="1"/>
    </xf>
    <xf numFmtId="165" fontId="8" fillId="25" borderId="103" xfId="2" applyNumberFormat="1" applyFont="1" applyFill="1" applyBorder="1" applyAlignment="1">
      <alignment horizontal="center" vertical="center" wrapText="1"/>
    </xf>
    <xf numFmtId="165" fontId="8" fillId="26" borderId="13" xfId="2" applyNumberFormat="1" applyFont="1" applyFill="1" applyBorder="1" applyAlignment="1">
      <alignment horizontal="center" vertical="center" wrapText="1"/>
    </xf>
    <xf numFmtId="165" fontId="8" fillId="26" borderId="95" xfId="2" applyNumberFormat="1" applyFont="1" applyFill="1" applyBorder="1" applyAlignment="1">
      <alignment horizontal="center" vertical="center" wrapText="1"/>
    </xf>
    <xf numFmtId="165" fontId="8" fillId="26" borderId="78" xfId="2" applyNumberFormat="1" applyFont="1" applyFill="1" applyBorder="1" applyAlignment="1">
      <alignment horizontal="center" vertical="center" wrapText="1"/>
    </xf>
    <xf numFmtId="165" fontId="8" fillId="0" borderId="106" xfId="2" applyNumberFormat="1" applyFont="1" applyFill="1" applyBorder="1" applyAlignment="1">
      <alignment horizontal="center" vertical="center" wrapText="1"/>
    </xf>
    <xf numFmtId="0" fontId="8" fillId="0" borderId="105" xfId="0" applyFont="1" applyFill="1" applyBorder="1" applyAlignment="1">
      <alignment horizontal="center" vertical="center"/>
    </xf>
    <xf numFmtId="165" fontId="8" fillId="23" borderId="103" xfId="2" applyNumberFormat="1" applyFont="1" applyFill="1" applyBorder="1" applyAlignment="1">
      <alignment horizontal="center" vertical="center" wrapText="1"/>
    </xf>
    <xf numFmtId="165" fontId="8" fillId="27" borderId="12" xfId="2" applyNumberFormat="1" applyFont="1" applyFill="1" applyBorder="1" applyAlignment="1">
      <alignment horizontal="center" vertical="center" wrapText="1"/>
    </xf>
    <xf numFmtId="165" fontId="8" fillId="27" borderId="78" xfId="2" applyNumberFormat="1" applyFont="1" applyFill="1" applyBorder="1" applyAlignment="1">
      <alignment horizontal="center" vertical="center" wrapText="1"/>
    </xf>
    <xf numFmtId="165" fontId="8" fillId="0" borderId="109" xfId="2" applyNumberFormat="1" applyFont="1" applyFill="1" applyBorder="1" applyAlignment="1">
      <alignment horizontal="center" vertical="center" wrapText="1"/>
    </xf>
    <xf numFmtId="165" fontId="8" fillId="0" borderId="53" xfId="2" applyNumberFormat="1" applyFont="1" applyFill="1" applyBorder="1" applyAlignment="1">
      <alignment horizontal="center" vertical="center" wrapText="1"/>
    </xf>
    <xf numFmtId="165" fontId="8" fillId="0" borderId="26" xfId="2" applyNumberFormat="1" applyFont="1" applyFill="1" applyBorder="1" applyAlignment="1">
      <alignment horizontal="center" vertical="center" wrapText="1"/>
    </xf>
    <xf numFmtId="0" fontId="8" fillId="24" borderId="54" xfId="0" applyFont="1" applyFill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8" fillId="18" borderId="54" xfId="0" applyFont="1" applyFill="1" applyBorder="1" applyAlignment="1">
      <alignment horizontal="center" vertical="center"/>
    </xf>
    <xf numFmtId="0" fontId="8" fillId="24" borderId="53" xfId="0" applyFont="1" applyFill="1" applyBorder="1" applyAlignment="1">
      <alignment horizontal="center" vertical="center"/>
    </xf>
    <xf numFmtId="0" fontId="8" fillId="24" borderId="55" xfId="0" applyFont="1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8" fillId="18" borderId="53" xfId="0" applyFont="1" applyFill="1" applyBorder="1" applyAlignment="1">
      <alignment horizontal="center" vertical="center"/>
    </xf>
    <xf numFmtId="0" fontId="8" fillId="18" borderId="55" xfId="0" applyFont="1" applyFill="1" applyBorder="1" applyAlignment="1">
      <alignment horizontal="center" vertical="center"/>
    </xf>
    <xf numFmtId="0" fontId="8" fillId="21" borderId="22" xfId="0" applyFont="1" applyFill="1" applyBorder="1" applyAlignment="1">
      <alignment horizontal="center" vertical="center"/>
    </xf>
    <xf numFmtId="0" fontId="8" fillId="21" borderId="23" xfId="0" applyFont="1" applyFill="1" applyBorder="1" applyAlignment="1">
      <alignment horizontal="center" vertical="center"/>
    </xf>
    <xf numFmtId="0" fontId="8" fillId="21" borderId="24" xfId="0" applyFont="1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8" fillId="18" borderId="58" xfId="0" applyFont="1" applyFill="1" applyBorder="1" applyAlignment="1">
      <alignment horizontal="center" vertical="center"/>
    </xf>
    <xf numFmtId="0" fontId="8" fillId="21" borderId="85" xfId="0" applyFont="1" applyFill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8" fillId="24" borderId="54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8" fillId="24" borderId="55" xfId="0" applyFont="1" applyFill="1" applyBorder="1" applyAlignment="1">
      <alignment horizontal="right" vertical="center"/>
    </xf>
    <xf numFmtId="0" fontId="0" fillId="0" borderId="55" xfId="0" applyBorder="1" applyAlignment="1">
      <alignment horizontal="right" vertical="center"/>
    </xf>
    <xf numFmtId="0" fontId="8" fillId="18" borderId="55" xfId="0" applyFont="1" applyFill="1" applyBorder="1" applyAlignment="1">
      <alignment horizontal="right" vertical="center"/>
    </xf>
    <xf numFmtId="0" fontId="8" fillId="21" borderId="24" xfId="0" applyFont="1" applyFill="1" applyBorder="1" applyAlignment="1">
      <alignment horizontal="right" vertical="center"/>
    </xf>
    <xf numFmtId="0" fontId="8" fillId="0" borderId="54" xfId="0" applyFont="1" applyBorder="1" applyAlignment="1">
      <alignment horizontal="right" vertical="center"/>
    </xf>
    <xf numFmtId="0" fontId="8" fillId="24" borderId="54" xfId="0" applyFont="1" applyFill="1" applyBorder="1" applyAlignment="1">
      <alignment horizontal="right" vertical="center"/>
    </xf>
    <xf numFmtId="0" fontId="20" fillId="0" borderId="2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right" vertical="center"/>
    </xf>
    <xf numFmtId="0" fontId="19" fillId="0" borderId="54" xfId="0" applyFont="1" applyBorder="1" applyAlignment="1">
      <alignment horizontal="center" vertical="center"/>
    </xf>
    <xf numFmtId="0" fontId="19" fillId="18" borderId="23" xfId="0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0" borderId="2" xfId="0" applyFont="1" applyBorder="1" applyAlignment="1">
      <alignment vertical="center"/>
    </xf>
    <xf numFmtId="0" fontId="18" fillId="0" borderId="2" xfId="0" applyFont="1" applyBorder="1" applyAlignment="1">
      <alignment horizontal="center" vertical="center"/>
    </xf>
    <xf numFmtId="14" fontId="19" fillId="2" borderId="0" xfId="0" applyNumberFormat="1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5" fillId="3" borderId="54" xfId="0" applyFont="1" applyFill="1" applyBorder="1" applyAlignment="1">
      <alignment horizontal="center"/>
    </xf>
    <xf numFmtId="0" fontId="11" fillId="3" borderId="23" xfId="0" applyNumberFormat="1" applyFont="1" applyFill="1" applyBorder="1" applyAlignment="1">
      <alignment horizontal="center" vertical="center" shrinkToFit="1"/>
    </xf>
    <xf numFmtId="0" fontId="11" fillId="3" borderId="54" xfId="0" applyNumberFormat="1" applyFont="1" applyFill="1" applyBorder="1" applyAlignment="1">
      <alignment horizontal="center" vertical="center" shrinkToFit="1"/>
    </xf>
    <xf numFmtId="0" fontId="16" fillId="4" borderId="53" xfId="0" applyFont="1" applyFill="1" applyBorder="1" applyAlignment="1">
      <alignment horizontal="center"/>
    </xf>
    <xf numFmtId="0" fontId="15" fillId="4" borderId="54" xfId="0" applyFont="1" applyFill="1" applyBorder="1" applyAlignment="1">
      <alignment horizontal="center"/>
    </xf>
    <xf numFmtId="0" fontId="12" fillId="4" borderId="53" xfId="0" applyNumberFormat="1" applyFont="1" applyFill="1" applyBorder="1" applyAlignment="1">
      <alignment horizontal="center" vertical="center" shrinkToFit="1"/>
    </xf>
    <xf numFmtId="0" fontId="11" fillId="4" borderId="54" xfId="0" applyNumberFormat="1" applyFont="1" applyFill="1" applyBorder="1" applyAlignment="1">
      <alignment horizontal="center" vertical="center" shrinkToFit="1"/>
    </xf>
    <xf numFmtId="0" fontId="12" fillId="4" borderId="22" xfId="0" applyNumberFormat="1" applyFont="1" applyFill="1" applyBorder="1" applyAlignment="1">
      <alignment horizontal="center" vertical="center" shrinkToFit="1"/>
    </xf>
    <xf numFmtId="0" fontId="11" fillId="4" borderId="23" xfId="0" applyNumberFormat="1" applyFont="1" applyFill="1" applyBorder="1" applyAlignment="1">
      <alignment horizontal="center" vertical="center" shrinkToFit="1"/>
    </xf>
    <xf numFmtId="0" fontId="11" fillId="13" borderId="95" xfId="0" applyNumberFormat="1" applyFont="1" applyFill="1" applyBorder="1" applyAlignment="1">
      <alignment horizontal="center" vertical="center" shrinkToFit="1"/>
    </xf>
    <xf numFmtId="0" fontId="19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4" fontId="19" fillId="0" borderId="2" xfId="0" applyNumberFormat="1" applyFont="1" applyFill="1" applyBorder="1" applyAlignment="1">
      <alignment vertical="center"/>
    </xf>
    <xf numFmtId="2" fontId="10" fillId="11" borderId="14" xfId="0" applyNumberFormat="1" applyFont="1" applyFill="1" applyBorder="1" applyAlignment="1">
      <alignment horizontal="center" vertical="center" shrinkToFit="1"/>
    </xf>
    <xf numFmtId="164" fontId="19" fillId="0" borderId="54" xfId="0" applyNumberFormat="1" applyFont="1" applyBorder="1" applyAlignment="1">
      <alignment horizontal="center"/>
    </xf>
    <xf numFmtId="0" fontId="2" fillId="0" borderId="60" xfId="0" applyFont="1" applyBorder="1" applyAlignment="1">
      <alignment horizontal="right" vertical="center"/>
    </xf>
    <xf numFmtId="0" fontId="2" fillId="0" borderId="39" xfId="0" applyFont="1" applyBorder="1" applyAlignment="1">
      <alignment horizontal="right" vertical="center"/>
    </xf>
    <xf numFmtId="0" fontId="2" fillId="0" borderId="44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9" fontId="2" fillId="8" borderId="56" xfId="1" applyFont="1" applyFill="1" applyBorder="1" applyAlignment="1">
      <alignment horizontal="center" vertical="center"/>
    </xf>
    <xf numFmtId="0" fontId="2" fillId="3" borderId="29" xfId="0" applyNumberFormat="1" applyFont="1" applyFill="1" applyBorder="1" applyAlignment="1">
      <alignment horizontal="center" vertical="center"/>
    </xf>
    <xf numFmtId="0" fontId="2" fillId="3" borderId="30" xfId="0" applyNumberFormat="1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67" xfId="0" applyFont="1" applyFill="1" applyBorder="1" applyAlignment="1">
      <alignment horizontal="center" vertical="center"/>
    </xf>
    <xf numFmtId="1" fontId="2" fillId="0" borderId="114" xfId="0" applyNumberFormat="1" applyFont="1" applyBorder="1" applyAlignment="1">
      <alignment horizontal="center" vertical="center"/>
    </xf>
    <xf numFmtId="1" fontId="2" fillId="0" borderId="115" xfId="0" applyNumberFormat="1" applyFont="1" applyBorder="1" applyAlignment="1">
      <alignment horizontal="center" vertical="center"/>
    </xf>
    <xf numFmtId="1" fontId="2" fillId="0" borderId="116" xfId="0" applyNumberFormat="1" applyFont="1" applyBorder="1" applyAlignment="1">
      <alignment horizontal="center" vertical="center"/>
    </xf>
    <xf numFmtId="1" fontId="2" fillId="4" borderId="68" xfId="0" applyNumberFormat="1" applyFont="1" applyFill="1" applyBorder="1" applyAlignment="1">
      <alignment horizontal="center" vertical="center"/>
    </xf>
    <xf numFmtId="1" fontId="2" fillId="0" borderId="83" xfId="0" applyNumberFormat="1" applyFont="1" applyBorder="1" applyAlignment="1">
      <alignment horizontal="center" vertical="center"/>
    </xf>
    <xf numFmtId="1" fontId="2" fillId="7" borderId="68" xfId="0" applyNumberFormat="1" applyFont="1" applyFill="1" applyBorder="1" applyAlignment="1">
      <alignment horizontal="center" vertical="center"/>
    </xf>
    <xf numFmtId="1" fontId="2" fillId="8" borderId="68" xfId="0" applyNumberFormat="1" applyFont="1" applyFill="1" applyBorder="1" applyAlignment="1">
      <alignment horizontal="center" vertical="center"/>
    </xf>
    <xf numFmtId="1" fontId="5" fillId="9" borderId="117" xfId="0" applyNumberFormat="1" applyFont="1" applyFill="1" applyBorder="1" applyAlignment="1">
      <alignment horizontal="center" vertical="center"/>
    </xf>
    <xf numFmtId="1" fontId="2" fillId="0" borderId="54" xfId="0" applyNumberFormat="1" applyFont="1" applyFill="1" applyBorder="1" applyAlignment="1">
      <alignment horizontal="center" vertical="center"/>
    </xf>
    <xf numFmtId="2" fontId="2" fillId="0" borderId="54" xfId="0" applyNumberFormat="1" applyFont="1" applyFill="1" applyBorder="1" applyAlignment="1">
      <alignment horizontal="center" vertical="center"/>
    </xf>
    <xf numFmtId="1" fontId="2" fillId="15" borderId="54" xfId="0" applyNumberFormat="1" applyFont="1" applyFill="1" applyBorder="1" applyAlignment="1">
      <alignment horizontal="center" vertical="center"/>
    </xf>
    <xf numFmtId="164" fontId="5" fillId="9" borderId="117" xfId="0" applyNumberFormat="1" applyFont="1" applyFill="1" applyBorder="1" applyAlignment="1">
      <alignment horizontal="center" vertical="center"/>
    </xf>
    <xf numFmtId="0" fontId="2" fillId="16" borderId="24" xfId="0" applyNumberFormat="1" applyFont="1" applyFill="1" applyBorder="1" applyAlignment="1">
      <alignment horizontal="center" vertical="center"/>
    </xf>
    <xf numFmtId="0" fontId="2" fillId="0" borderId="35" xfId="1" applyNumberFormat="1" applyFont="1" applyBorder="1" applyAlignment="1">
      <alignment horizontal="center" vertical="center"/>
    </xf>
    <xf numFmtId="0" fontId="2" fillId="6" borderId="55" xfId="1" applyNumberFormat="1" applyFont="1" applyFill="1" applyBorder="1" applyAlignment="1">
      <alignment horizontal="center" vertical="center"/>
    </xf>
    <xf numFmtId="2" fontId="2" fillId="6" borderId="55" xfId="1" applyNumberFormat="1" applyFont="1" applyFill="1" applyBorder="1" applyAlignment="1">
      <alignment horizontal="center" vertical="center"/>
    </xf>
    <xf numFmtId="2" fontId="2" fillId="8" borderId="55" xfId="1" applyNumberFormat="1" applyFont="1" applyFill="1" applyBorder="1" applyAlignment="1">
      <alignment horizontal="center" vertical="center"/>
    </xf>
    <xf numFmtId="2" fontId="6" fillId="10" borderId="31" xfId="1" applyNumberFormat="1" applyFont="1" applyFill="1" applyBorder="1" applyAlignment="1">
      <alignment horizontal="center" vertical="center"/>
    </xf>
    <xf numFmtId="0" fontId="2" fillId="28" borderId="34" xfId="1" applyNumberFormat="1" applyFont="1" applyFill="1" applyBorder="1" applyAlignment="1">
      <alignment horizontal="center" vertical="center"/>
    </xf>
    <xf numFmtId="0" fontId="2" fillId="28" borderId="35" xfId="1" applyNumberFormat="1" applyFont="1" applyFill="1" applyBorder="1" applyAlignment="1">
      <alignment horizontal="center" vertical="center"/>
    </xf>
    <xf numFmtId="0" fontId="31" fillId="27" borderId="21" xfId="1" applyNumberFormat="1" applyFont="1" applyFill="1" applyBorder="1" applyAlignment="1">
      <alignment horizontal="center" vertical="center"/>
    </xf>
    <xf numFmtId="1" fontId="34" fillId="0" borderId="32" xfId="0" applyNumberFormat="1" applyFont="1" applyBorder="1" applyAlignment="1">
      <alignment horizontal="center" vertical="center"/>
    </xf>
    <xf numFmtId="1" fontId="34" fillId="0" borderId="40" xfId="0" applyNumberFormat="1" applyFont="1" applyBorder="1" applyAlignment="1">
      <alignment horizontal="center" vertical="center"/>
    </xf>
    <xf numFmtId="1" fontId="34" fillId="0" borderId="45" xfId="0" applyNumberFormat="1" applyFont="1" applyBorder="1" applyAlignment="1">
      <alignment horizontal="center" vertical="center"/>
    </xf>
    <xf numFmtId="164" fontId="3" fillId="7" borderId="10" xfId="0" applyNumberFormat="1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/>
    </xf>
    <xf numFmtId="0" fontId="12" fillId="2" borderId="0" xfId="0" applyNumberFormat="1" applyFont="1" applyFill="1" applyBorder="1"/>
    <xf numFmtId="0" fontId="12" fillId="2" borderId="0" xfId="0" applyFont="1" applyFill="1" applyBorder="1"/>
    <xf numFmtId="0" fontId="11" fillId="2" borderId="0" xfId="0" applyFont="1" applyFill="1" applyBorder="1"/>
    <xf numFmtId="0" fontId="19" fillId="0" borderId="55" xfId="0" applyFont="1" applyBorder="1" applyAlignment="1">
      <alignment horizontal="center" vertical="center"/>
    </xf>
    <xf numFmtId="0" fontId="19" fillId="18" borderId="24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8" fillId="0" borderId="5" xfId="0" applyFont="1" applyBorder="1" applyAlignment="1">
      <alignment vertical="center"/>
    </xf>
    <xf numFmtId="0" fontId="18" fillId="0" borderId="3" xfId="0" applyFont="1" applyBorder="1" applyAlignment="1">
      <alignment horizontal="center" vertical="center"/>
    </xf>
    <xf numFmtId="2" fontId="24" fillId="3" borderId="14" xfId="0" applyNumberFormat="1" applyFont="1" applyFill="1" applyBorder="1" applyAlignment="1">
      <alignment horizontal="center" vertical="center"/>
    </xf>
    <xf numFmtId="0" fontId="2" fillId="16" borderId="98" xfId="0" applyFont="1" applyFill="1" applyBorder="1" applyAlignment="1">
      <alignment horizontal="center" vertical="center"/>
    </xf>
    <xf numFmtId="0" fontId="2" fillId="8" borderId="68" xfId="0" applyNumberFormat="1" applyFont="1" applyFill="1" applyBorder="1" applyAlignment="1">
      <alignment horizontal="center" vertical="center"/>
    </xf>
    <xf numFmtId="0" fontId="2" fillId="3" borderId="67" xfId="0" applyNumberFormat="1" applyFont="1" applyFill="1" applyBorder="1" applyAlignment="1">
      <alignment horizontal="center" vertical="center"/>
    </xf>
    <xf numFmtId="0" fontId="38" fillId="3" borderId="54" xfId="0" applyFont="1" applyFill="1" applyBorder="1" applyAlignment="1">
      <alignment horizontal="center" vertical="center"/>
    </xf>
    <xf numFmtId="0" fontId="16" fillId="2" borderId="0" xfId="0" applyNumberFormat="1" applyFont="1" applyFill="1"/>
    <xf numFmtId="0" fontId="2" fillId="0" borderId="54" xfId="2" applyNumberFormat="1" applyFont="1" applyBorder="1" applyAlignment="1">
      <alignment horizontal="center" vertical="center"/>
    </xf>
    <xf numFmtId="1" fontId="2" fillId="0" borderId="54" xfId="2" applyNumberFormat="1" applyFont="1" applyBorder="1" applyAlignment="1">
      <alignment horizontal="center" vertical="center"/>
    </xf>
    <xf numFmtId="164" fontId="2" fillId="0" borderId="54" xfId="2" applyNumberFormat="1" applyFont="1" applyBorder="1" applyAlignment="1">
      <alignment horizontal="center" vertical="center"/>
    </xf>
    <xf numFmtId="0" fontId="2" fillId="22" borderId="54" xfId="2" applyNumberFormat="1" applyFont="1" applyFill="1" applyBorder="1" applyAlignment="1">
      <alignment horizontal="center" vertical="center"/>
    </xf>
    <xf numFmtId="1" fontId="2" fillId="22" borderId="54" xfId="2" applyNumberFormat="1" applyFont="1" applyFill="1" applyBorder="1" applyAlignment="1">
      <alignment horizontal="center" vertical="center"/>
    </xf>
    <xf numFmtId="0" fontId="2" fillId="8" borderId="54" xfId="2" applyNumberFormat="1" applyFont="1" applyFill="1" applyBorder="1" applyAlignment="1">
      <alignment horizontal="center" vertical="center"/>
    </xf>
    <xf numFmtId="1" fontId="2" fillId="8" borderId="54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4" borderId="29" xfId="0" applyNumberFormat="1" applyFont="1" applyFill="1" applyBorder="1" applyAlignment="1">
      <alignment horizontal="center" vertical="center"/>
    </xf>
    <xf numFmtId="0" fontId="3" fillId="4" borderId="81" xfId="0" applyNumberFormat="1" applyFont="1" applyFill="1" applyBorder="1" applyAlignment="1">
      <alignment horizontal="center" vertical="center"/>
    </xf>
    <xf numFmtId="0" fontId="3" fillId="7" borderId="53" xfId="0" applyNumberFormat="1" applyFont="1" applyFill="1" applyBorder="1" applyAlignment="1">
      <alignment horizontal="center" vertical="center"/>
    </xf>
    <xf numFmtId="9" fontId="3" fillId="8" borderId="56" xfId="1" applyFont="1" applyFill="1" applyBorder="1" applyAlignment="1">
      <alignment horizontal="center" vertical="center"/>
    </xf>
    <xf numFmtId="0" fontId="3" fillId="8" borderId="53" xfId="0" applyNumberFormat="1" applyFont="1" applyFill="1" applyBorder="1" applyAlignment="1">
      <alignment horizontal="center" vertical="center"/>
    </xf>
    <xf numFmtId="0" fontId="3" fillId="8" borderId="55" xfId="0" applyNumberFormat="1" applyFont="1" applyFill="1" applyBorder="1" applyAlignment="1">
      <alignment horizontal="center" vertical="center"/>
    </xf>
    <xf numFmtId="0" fontId="3" fillId="9" borderId="29" xfId="0" applyNumberFormat="1" applyFont="1" applyFill="1" applyBorder="1" applyAlignment="1">
      <alignment horizontal="center" vertical="center"/>
    </xf>
    <xf numFmtId="0" fontId="3" fillId="9" borderId="31" xfId="0" applyNumberFormat="1" applyFont="1" applyFill="1" applyBorder="1" applyAlignment="1">
      <alignment horizontal="center" vertical="center"/>
    </xf>
    <xf numFmtId="1" fontId="3" fillId="0" borderId="32" xfId="0" applyNumberFormat="1" applyFont="1" applyBorder="1" applyAlignment="1">
      <alignment horizontal="center" vertical="center"/>
    </xf>
    <xf numFmtId="1" fontId="3" fillId="0" borderId="40" xfId="0" applyNumberFormat="1" applyFont="1" applyBorder="1" applyAlignment="1">
      <alignment horizontal="center" vertical="center"/>
    </xf>
    <xf numFmtId="1" fontId="3" fillId="0" borderId="45" xfId="0" applyNumberFormat="1" applyFont="1" applyBorder="1" applyAlignment="1">
      <alignment horizontal="center" vertical="center"/>
    </xf>
    <xf numFmtId="0" fontId="3" fillId="0" borderId="45" xfId="0" applyNumberFormat="1" applyFont="1" applyBorder="1" applyAlignment="1">
      <alignment horizontal="center" vertical="center"/>
    </xf>
    <xf numFmtId="1" fontId="3" fillId="4" borderId="53" xfId="0" applyNumberFormat="1" applyFont="1" applyFill="1" applyBorder="1" applyAlignment="1">
      <alignment horizontal="center" vertical="center"/>
    </xf>
    <xf numFmtId="0" fontId="5" fillId="9" borderId="23" xfId="2" applyNumberFormat="1" applyFont="1" applyFill="1" applyBorder="1" applyAlignment="1">
      <alignment horizontal="center" vertical="center"/>
    </xf>
    <xf numFmtId="1" fontId="5" fillId="9" borderId="23" xfId="2" applyNumberFormat="1" applyFont="1" applyFill="1" applyBorder="1" applyAlignment="1">
      <alignment horizontal="center" vertical="center"/>
    </xf>
    <xf numFmtId="0" fontId="2" fillId="0" borderId="6" xfId="0" applyNumberFormat="1" applyFont="1" applyBorder="1" applyAlignment="1">
      <alignment horizontal="right" vertical="center"/>
    </xf>
    <xf numFmtId="0" fontId="2" fillId="0" borderId="39" xfId="0" applyNumberFormat="1" applyFont="1" applyBorder="1" applyAlignment="1">
      <alignment horizontal="right" vertical="center"/>
    </xf>
    <xf numFmtId="0" fontId="2" fillId="0" borderId="44" xfId="0" applyNumberFormat="1" applyFont="1" applyBorder="1" applyAlignment="1">
      <alignment horizontal="right" vertical="center"/>
    </xf>
    <xf numFmtId="0" fontId="2" fillId="0" borderId="60" xfId="0" applyNumberFormat="1" applyFont="1" applyBorder="1" applyAlignment="1">
      <alignment horizontal="right" vertical="center"/>
    </xf>
    <xf numFmtId="0" fontId="2" fillId="0" borderId="120" xfId="0" applyNumberFormat="1" applyFont="1" applyBorder="1" applyAlignment="1">
      <alignment horizontal="center" vertical="center"/>
    </xf>
    <xf numFmtId="0" fontId="2" fillId="0" borderId="122" xfId="0" applyNumberFormat="1" applyFont="1" applyBorder="1" applyAlignment="1">
      <alignment horizontal="center" vertical="center"/>
    </xf>
    <xf numFmtId="0" fontId="2" fillId="8" borderId="5" xfId="0" applyNumberFormat="1" applyFont="1" applyFill="1" applyBorder="1" applyAlignment="1">
      <alignment horizontal="right" vertical="center"/>
    </xf>
    <xf numFmtId="0" fontId="2" fillId="8" borderId="80" xfId="0" applyNumberFormat="1" applyFont="1" applyFill="1" applyBorder="1" applyAlignment="1">
      <alignment horizontal="center" vertical="center"/>
    </xf>
    <xf numFmtId="0" fontId="2" fillId="0" borderId="121" xfId="0" applyNumberFormat="1" applyFont="1" applyBorder="1" applyAlignment="1">
      <alignment horizontal="center" vertical="center"/>
    </xf>
    <xf numFmtId="0" fontId="5" fillId="9" borderId="1" xfId="0" applyNumberFormat="1" applyFont="1" applyFill="1" applyBorder="1" applyAlignment="1">
      <alignment horizontal="right" vertical="center"/>
    </xf>
    <xf numFmtId="0" fontId="5" fillId="9" borderId="3" xfId="0" applyNumberFormat="1" applyFont="1" applyFill="1" applyBorder="1" applyAlignment="1">
      <alignment horizontal="center" vertical="center"/>
    </xf>
    <xf numFmtId="0" fontId="2" fillId="0" borderId="125" xfId="0" applyNumberFormat="1" applyFont="1" applyBorder="1" applyAlignment="1">
      <alignment horizontal="center" vertical="center"/>
    </xf>
    <xf numFmtId="0" fontId="2" fillId="0" borderId="123" xfId="0" applyNumberFormat="1" applyFont="1" applyBorder="1" applyAlignment="1">
      <alignment horizontal="center" vertical="center"/>
    </xf>
    <xf numFmtId="0" fontId="2" fillId="0" borderId="124" xfId="0" applyNumberFormat="1" applyFont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right" vertical="center"/>
    </xf>
    <xf numFmtId="0" fontId="2" fillId="0" borderId="131" xfId="0" applyNumberFormat="1" applyFont="1" applyBorder="1" applyAlignment="1">
      <alignment horizontal="center" vertical="center"/>
    </xf>
    <xf numFmtId="0" fontId="2" fillId="0" borderId="129" xfId="0" applyNumberFormat="1" applyFont="1" applyBorder="1" applyAlignment="1">
      <alignment horizontal="center" vertical="center"/>
    </xf>
    <xf numFmtId="0" fontId="2" fillId="0" borderId="130" xfId="0" applyNumberFormat="1" applyFont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right" vertical="center"/>
    </xf>
    <xf numFmtId="0" fontId="2" fillId="5" borderId="128" xfId="0" applyNumberFormat="1" applyFont="1" applyFill="1" applyBorder="1" applyAlignment="1">
      <alignment horizontal="center" vertical="center"/>
    </xf>
    <xf numFmtId="0" fontId="2" fillId="5" borderId="126" xfId="0" applyNumberFormat="1" applyFont="1" applyFill="1" applyBorder="1" applyAlignment="1">
      <alignment horizontal="center" vertical="center"/>
    </xf>
    <xf numFmtId="0" fontId="2" fillId="5" borderId="127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7" borderId="3" xfId="0" applyNumberFormat="1" applyFont="1" applyFill="1" applyBorder="1" applyAlignment="1">
      <alignment horizontal="center" vertical="center"/>
    </xf>
    <xf numFmtId="0" fontId="2" fillId="7" borderId="12" xfId="0" applyNumberFormat="1" applyFont="1" applyFill="1" applyBorder="1" applyAlignment="1">
      <alignment horizontal="center" vertical="center"/>
    </xf>
    <xf numFmtId="0" fontId="2" fillId="7" borderId="96" xfId="0" applyNumberFormat="1" applyFont="1" applyFill="1" applyBorder="1" applyAlignment="1">
      <alignment horizontal="center" vertical="center"/>
    </xf>
    <xf numFmtId="0" fontId="2" fillId="8" borderId="132" xfId="0" applyNumberFormat="1" applyFont="1" applyFill="1" applyBorder="1" applyAlignment="1">
      <alignment horizontal="center" vertical="center"/>
    </xf>
    <xf numFmtId="0" fontId="2" fillId="8" borderId="101" xfId="0" applyNumberFormat="1" applyFont="1" applyFill="1" applyBorder="1" applyAlignment="1">
      <alignment horizontal="center" vertical="center"/>
    </xf>
    <xf numFmtId="0" fontId="5" fillId="9" borderId="12" xfId="0" applyNumberFormat="1" applyFont="1" applyFill="1" applyBorder="1" applyAlignment="1">
      <alignment horizontal="center" vertical="center"/>
    </xf>
    <xf numFmtId="0" fontId="5" fillId="9" borderId="96" xfId="0" applyNumberFormat="1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16" fillId="2" borderId="0" xfId="0" applyFont="1" applyFill="1"/>
    <xf numFmtId="0" fontId="35" fillId="25" borderId="12" xfId="0" applyNumberFormat="1" applyFont="1" applyFill="1" applyBorder="1" applyAlignment="1">
      <alignment horizontal="center" vertical="center"/>
    </xf>
    <xf numFmtId="0" fontId="35" fillId="25" borderId="13" xfId="0" applyNumberFormat="1" applyFont="1" applyFill="1" applyBorder="1" applyAlignment="1">
      <alignment horizontal="center" vertical="center"/>
    </xf>
    <xf numFmtId="0" fontId="35" fillId="25" borderId="14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5" fillId="25" borderId="96" xfId="0" applyNumberFormat="1" applyFont="1" applyFill="1" applyBorder="1" applyAlignment="1">
      <alignment horizontal="center" vertical="center"/>
    </xf>
    <xf numFmtId="0" fontId="0" fillId="0" borderId="133" xfId="0" applyNumberFormat="1" applyBorder="1" applyAlignment="1">
      <alignment horizontal="center" vertical="center"/>
    </xf>
    <xf numFmtId="1" fontId="34" fillId="0" borderId="129" xfId="0" applyNumberFormat="1" applyFont="1" applyBorder="1" applyAlignment="1">
      <alignment horizontal="center" vertical="center"/>
    </xf>
    <xf numFmtId="1" fontId="34" fillId="0" borderId="130" xfId="0" applyNumberFormat="1" applyFont="1" applyBorder="1" applyAlignment="1">
      <alignment horizontal="center" vertical="center"/>
    </xf>
    <xf numFmtId="1" fontId="34" fillId="0" borderId="134" xfId="0" applyNumberFormat="1" applyFont="1" applyBorder="1" applyAlignment="1">
      <alignment horizontal="center" vertical="center"/>
    </xf>
    <xf numFmtId="1" fontId="34" fillId="0" borderId="131" xfId="0" applyNumberFormat="1" applyFont="1" applyBorder="1" applyAlignment="1">
      <alignment horizontal="center" vertical="center"/>
    </xf>
    <xf numFmtId="1" fontId="34" fillId="0" borderId="121" xfId="0" applyNumberFormat="1" applyFont="1" applyBorder="1" applyAlignment="1">
      <alignment horizontal="center" vertical="center"/>
    </xf>
    <xf numFmtId="1" fontId="34" fillId="0" borderId="120" xfId="0" applyNumberFormat="1" applyFont="1" applyBorder="1" applyAlignment="1">
      <alignment horizontal="center" vertical="center"/>
    </xf>
    <xf numFmtId="1" fontId="34" fillId="0" borderId="135" xfId="0" applyNumberFormat="1" applyFont="1" applyBorder="1" applyAlignment="1">
      <alignment horizontal="center" vertical="center"/>
    </xf>
    <xf numFmtId="1" fontId="34" fillId="0" borderId="122" xfId="0" applyNumberFormat="1" applyFont="1" applyBorder="1" applyAlignment="1">
      <alignment horizontal="center" vertical="center"/>
    </xf>
    <xf numFmtId="1" fontId="34" fillId="0" borderId="123" xfId="0" applyNumberFormat="1" applyFont="1" applyBorder="1" applyAlignment="1">
      <alignment horizontal="center" vertical="center"/>
    </xf>
    <xf numFmtId="1" fontId="34" fillId="0" borderId="124" xfId="0" applyNumberFormat="1" applyFont="1" applyBorder="1" applyAlignment="1">
      <alignment horizontal="center" vertical="center"/>
    </xf>
    <xf numFmtId="1" fontId="34" fillId="0" borderId="136" xfId="0" applyNumberFormat="1" applyFont="1" applyBorder="1" applyAlignment="1">
      <alignment horizontal="center" vertical="center"/>
    </xf>
    <xf numFmtId="1" fontId="34" fillId="0" borderId="125" xfId="0" applyNumberFormat="1" applyFont="1" applyBorder="1" applyAlignment="1">
      <alignment horizontal="center" vertical="center"/>
    </xf>
    <xf numFmtId="1" fontId="2" fillId="5" borderId="126" xfId="0" applyNumberFormat="1" applyFont="1" applyFill="1" applyBorder="1" applyAlignment="1">
      <alignment horizontal="center" vertical="center"/>
    </xf>
    <xf numFmtId="1" fontId="2" fillId="5" borderId="127" xfId="0" applyNumberFormat="1" applyFont="1" applyFill="1" applyBorder="1" applyAlignment="1">
      <alignment horizontal="center" vertical="center"/>
    </xf>
    <xf numFmtId="1" fontId="2" fillId="5" borderId="137" xfId="0" applyNumberFormat="1" applyFont="1" applyFill="1" applyBorder="1" applyAlignment="1">
      <alignment horizontal="center" vertical="center"/>
    </xf>
    <xf numFmtId="1" fontId="2" fillId="5" borderId="128" xfId="0" applyNumberFormat="1" applyFont="1" applyFill="1" applyBorder="1" applyAlignment="1">
      <alignment horizontal="center" vertical="center"/>
    </xf>
    <xf numFmtId="1" fontId="2" fillId="7" borderId="12" xfId="0" applyNumberFormat="1" applyFont="1" applyFill="1" applyBorder="1" applyAlignment="1">
      <alignment horizontal="center" vertical="center"/>
    </xf>
    <xf numFmtId="1" fontId="2" fillId="7" borderId="96" xfId="0" applyNumberFormat="1" applyFont="1" applyFill="1" applyBorder="1" applyAlignment="1">
      <alignment horizontal="center" vertical="center"/>
    </xf>
    <xf numFmtId="1" fontId="2" fillId="7" borderId="14" xfId="0" applyNumberFormat="1" applyFont="1" applyFill="1" applyBorder="1" applyAlignment="1">
      <alignment horizontal="center" vertical="center"/>
    </xf>
    <xf numFmtId="1" fontId="2" fillId="8" borderId="132" xfId="0" applyNumberFormat="1" applyFont="1" applyFill="1" applyBorder="1" applyAlignment="1">
      <alignment horizontal="center" vertical="center"/>
    </xf>
    <xf numFmtId="1" fontId="2" fillId="8" borderId="101" xfId="0" applyNumberFormat="1" applyFont="1" applyFill="1" applyBorder="1" applyAlignment="1">
      <alignment horizontal="center" vertical="center"/>
    </xf>
    <xf numFmtId="1" fontId="2" fillId="8" borderId="10" xfId="0" applyNumberFormat="1" applyFont="1" applyFill="1" applyBorder="1" applyAlignment="1">
      <alignment horizontal="center" vertical="center"/>
    </xf>
    <xf numFmtId="1" fontId="2" fillId="8" borderId="0" xfId="0" applyNumberFormat="1" applyFont="1" applyFill="1" applyBorder="1" applyAlignment="1">
      <alignment horizontal="center" vertical="center"/>
    </xf>
    <xf numFmtId="1" fontId="2" fillId="8" borderId="80" xfId="0" applyNumberFormat="1" applyFont="1" applyFill="1" applyBorder="1" applyAlignment="1">
      <alignment horizontal="center" vertical="center"/>
    </xf>
    <xf numFmtId="1" fontId="5" fillId="9" borderId="12" xfId="0" applyNumberFormat="1" applyFont="1" applyFill="1" applyBorder="1" applyAlignment="1">
      <alignment horizontal="center" vertical="center"/>
    </xf>
    <xf numFmtId="1" fontId="5" fillId="9" borderId="96" xfId="0" applyNumberFormat="1" applyFont="1" applyFill="1" applyBorder="1" applyAlignment="1">
      <alignment horizontal="center" vertical="center"/>
    </xf>
    <xf numFmtId="1" fontId="5" fillId="9" borderId="14" xfId="0" applyNumberFormat="1" applyFont="1" applyFill="1" applyBorder="1" applyAlignment="1">
      <alignment horizontal="center" vertical="center"/>
    </xf>
    <xf numFmtId="1" fontId="5" fillId="9" borderId="3" xfId="0" applyNumberFormat="1" applyFont="1" applyFill="1" applyBorder="1" applyAlignment="1">
      <alignment horizontal="center" vertical="center"/>
    </xf>
    <xf numFmtId="1" fontId="3" fillId="7" borderId="78" xfId="0" applyNumberFormat="1" applyFont="1" applyFill="1" applyBorder="1" applyAlignment="1">
      <alignment horizontal="center" vertical="center"/>
    </xf>
    <xf numFmtId="1" fontId="35" fillId="0" borderId="11" xfId="0" applyNumberFormat="1" applyFont="1" applyBorder="1" applyAlignment="1">
      <alignment horizontal="center" vertical="center"/>
    </xf>
    <xf numFmtId="1" fontId="3" fillId="9" borderId="78" xfId="0" applyNumberFormat="1" applyFont="1" applyFill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1" fontId="35" fillId="0" borderId="72" xfId="0" applyNumberFormat="1" applyFont="1" applyBorder="1" applyAlignment="1">
      <alignment horizontal="center" vertical="center"/>
    </xf>
    <xf numFmtId="0" fontId="8" fillId="16" borderId="31" xfId="0" applyFont="1" applyFill="1" applyBorder="1" applyAlignment="1">
      <alignment horizontal="center" vertical="center" wrapText="1"/>
    </xf>
    <xf numFmtId="164" fontId="39" fillId="24" borderId="13" xfId="0" applyNumberFormat="1" applyFont="1" applyFill="1" applyBorder="1" applyAlignment="1">
      <alignment horizontal="center" vertical="center"/>
    </xf>
    <xf numFmtId="0" fontId="15" fillId="2" borderId="0" xfId="0" applyFont="1" applyFill="1"/>
    <xf numFmtId="0" fontId="16" fillId="2" borderId="0" xfId="0" applyFont="1" applyFill="1" applyAlignment="1">
      <alignment horizontal="center"/>
    </xf>
    <xf numFmtId="0" fontId="42" fillId="28" borderId="72" xfId="0" applyFont="1" applyFill="1" applyBorder="1" applyAlignment="1">
      <alignment horizontal="center" vertical="center"/>
    </xf>
    <xf numFmtId="0" fontId="11" fillId="0" borderId="72" xfId="0" applyFont="1" applyBorder="1" applyAlignment="1">
      <alignment horizontal="center" vertical="center"/>
    </xf>
    <xf numFmtId="0" fontId="11" fillId="0" borderId="71" xfId="0" applyFont="1" applyBorder="1" applyAlignment="1">
      <alignment horizontal="center" vertical="center"/>
    </xf>
    <xf numFmtId="0" fontId="42" fillId="28" borderId="107" xfId="0" applyFont="1" applyFill="1" applyBorder="1" applyAlignment="1">
      <alignment horizontal="center" vertical="center"/>
    </xf>
    <xf numFmtId="0" fontId="41" fillId="0" borderId="68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30" fillId="0" borderId="85" xfId="0" applyFont="1" applyBorder="1" applyAlignment="1">
      <alignment horizontal="center" vertical="center"/>
    </xf>
    <xf numFmtId="0" fontId="33" fillId="0" borderId="67" xfId="0" applyFont="1" applyBorder="1" applyAlignment="1">
      <alignment horizontal="center" vertical="center"/>
    </xf>
    <xf numFmtId="0" fontId="33" fillId="0" borderId="23" xfId="0" applyFont="1" applyBorder="1" applyAlignment="1">
      <alignment horizontal="center" vertical="center"/>
    </xf>
    <xf numFmtId="1" fontId="33" fillId="0" borderId="23" xfId="0" applyNumberFormat="1" applyFont="1" applyBorder="1" applyAlignment="1">
      <alignment horizontal="center" vertical="center"/>
    </xf>
    <xf numFmtId="0" fontId="40" fillId="0" borderId="55" xfId="0" applyFont="1" applyBorder="1" applyAlignment="1">
      <alignment horizontal="center" vertical="center"/>
    </xf>
    <xf numFmtId="0" fontId="11" fillId="0" borderId="79" xfId="0" applyFont="1" applyBorder="1" applyAlignment="1">
      <alignment horizontal="center" vertical="center"/>
    </xf>
    <xf numFmtId="0" fontId="29" fillId="0" borderId="72" xfId="0" applyFont="1" applyBorder="1" applyAlignment="1">
      <alignment horizontal="center" vertical="center"/>
    </xf>
    <xf numFmtId="0" fontId="18" fillId="25" borderId="12" xfId="0" applyNumberFormat="1" applyFont="1" applyFill="1" applyBorder="1" applyAlignment="1">
      <alignment horizontal="center" vertical="center" wrapText="1"/>
    </xf>
    <xf numFmtId="0" fontId="29" fillId="0" borderId="79" xfId="0" applyFont="1" applyBorder="1" applyAlignment="1">
      <alignment horizontal="center" vertical="center"/>
    </xf>
    <xf numFmtId="164" fontId="40" fillId="0" borderId="24" xfId="0" applyNumberFormat="1" applyFont="1" applyBorder="1" applyAlignment="1">
      <alignment horizontal="center" vertical="center"/>
    </xf>
    <xf numFmtId="164" fontId="5" fillId="9" borderId="23" xfId="2" applyNumberFormat="1" applyFont="1" applyFill="1" applyBorder="1" applyAlignment="1">
      <alignment horizontal="center" vertical="center"/>
    </xf>
    <xf numFmtId="0" fontId="43" fillId="28" borderId="72" xfId="0" applyFont="1" applyFill="1" applyBorder="1" applyAlignment="1">
      <alignment horizontal="center" vertical="center"/>
    </xf>
    <xf numFmtId="0" fontId="15" fillId="0" borderId="72" xfId="0" applyFont="1" applyBorder="1" applyAlignment="1">
      <alignment horizontal="center" vertical="center" wrapText="1"/>
    </xf>
    <xf numFmtId="0" fontId="43" fillId="28" borderId="72" xfId="0" applyFont="1" applyFill="1" applyBorder="1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9" fontId="3" fillId="7" borderId="78" xfId="1" applyFont="1" applyFill="1" applyBorder="1" applyAlignment="1">
      <alignment horizontal="center" vertical="center"/>
    </xf>
    <xf numFmtId="9" fontId="35" fillId="0" borderId="11" xfId="1" applyFont="1" applyBorder="1" applyAlignment="1">
      <alignment horizontal="center" vertical="center"/>
    </xf>
    <xf numFmtId="9" fontId="3" fillId="9" borderId="78" xfId="1" applyFont="1" applyFill="1" applyBorder="1" applyAlignment="1">
      <alignment horizontal="center" vertical="center"/>
    </xf>
    <xf numFmtId="9" fontId="0" fillId="0" borderId="11" xfId="1" applyFont="1" applyBorder="1" applyAlignment="1">
      <alignment horizontal="center" vertical="center"/>
    </xf>
    <xf numFmtId="9" fontId="3" fillId="5" borderId="78" xfId="1" applyFont="1" applyFill="1" applyBorder="1" applyAlignment="1">
      <alignment horizontal="center" vertical="center"/>
    </xf>
    <xf numFmtId="0" fontId="12" fillId="28" borderId="53" xfId="0" applyNumberFormat="1" applyFont="1" applyFill="1" applyBorder="1" applyAlignment="1">
      <alignment horizontal="center" vertical="center" shrinkToFit="1"/>
    </xf>
    <xf numFmtId="0" fontId="11" fillId="28" borderId="54" xfId="0" applyNumberFormat="1" applyFont="1" applyFill="1" applyBorder="1" applyAlignment="1">
      <alignment horizontal="center" vertical="center" shrinkToFit="1"/>
    </xf>
    <xf numFmtId="0" fontId="8" fillId="28" borderId="0" xfId="0" applyFont="1" applyFill="1"/>
    <xf numFmtId="0" fontId="4" fillId="28" borderId="0" xfId="0" applyFont="1" applyFill="1"/>
    <xf numFmtId="0" fontId="9" fillId="28" borderId="0" xfId="0" applyFont="1" applyFill="1"/>
    <xf numFmtId="0" fontId="4" fillId="28" borderId="0" xfId="0" applyNumberFormat="1" applyFont="1" applyFill="1"/>
    <xf numFmtId="0" fontId="11" fillId="2" borderId="0" xfId="0" applyNumberFormat="1" applyFont="1" applyFill="1" applyBorder="1"/>
    <xf numFmtId="1" fontId="41" fillId="0" borderId="68" xfId="0" applyNumberFormat="1" applyFont="1" applyBorder="1" applyAlignment="1">
      <alignment horizontal="center" vertical="center"/>
    </xf>
    <xf numFmtId="0" fontId="41" fillId="0" borderId="56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/>
    </xf>
    <xf numFmtId="1" fontId="34" fillId="0" borderId="61" xfId="0" applyNumberFormat="1" applyFont="1" applyBorder="1" applyAlignment="1">
      <alignment horizontal="center" vertical="center"/>
    </xf>
    <xf numFmtId="1" fontId="34" fillId="0" borderId="39" xfId="0" applyNumberFormat="1" applyFont="1" applyBorder="1" applyAlignment="1">
      <alignment horizontal="center" vertical="center"/>
    </xf>
    <xf numFmtId="1" fontId="34" fillId="0" borderId="41" xfId="0" applyNumberFormat="1" applyFont="1" applyBorder="1" applyAlignment="1">
      <alignment horizontal="center" vertical="center"/>
    </xf>
    <xf numFmtId="1" fontId="34" fillId="0" borderId="44" xfId="0" applyNumberFormat="1" applyFont="1" applyBorder="1" applyAlignment="1">
      <alignment horizontal="center" vertical="center"/>
    </xf>
    <xf numFmtId="1" fontId="34" fillId="4" borderId="53" xfId="0" applyNumberFormat="1" applyFont="1" applyFill="1" applyBorder="1" applyAlignment="1">
      <alignment horizontal="center" vertical="center"/>
    </xf>
    <xf numFmtId="1" fontId="34" fillId="4" borderId="56" xfId="0" applyNumberFormat="1" applyFont="1" applyFill="1" applyBorder="1" applyAlignment="1">
      <alignment horizontal="center" vertical="center"/>
    </xf>
    <xf numFmtId="1" fontId="34" fillId="4" borderId="54" xfId="0" applyNumberFormat="1" applyFont="1" applyFill="1" applyBorder="1" applyAlignment="1">
      <alignment horizontal="center" vertical="center"/>
    </xf>
    <xf numFmtId="1" fontId="2" fillId="7" borderId="56" xfId="0" applyNumberFormat="1" applyFont="1" applyFill="1" applyBorder="1" applyAlignment="1">
      <alignment horizontal="center" vertical="center"/>
    </xf>
    <xf numFmtId="1" fontId="5" fillId="9" borderId="29" xfId="0" applyNumberFormat="1" applyFont="1" applyFill="1" applyBorder="1" applyAlignment="1">
      <alignment horizontal="center" vertical="center"/>
    </xf>
    <xf numFmtId="1" fontId="34" fillId="0" borderId="114" xfId="0" applyNumberFormat="1" applyFont="1" applyBorder="1" applyAlignment="1">
      <alignment horizontal="center" vertical="center"/>
    </xf>
    <xf numFmtId="1" fontId="34" fillId="0" borderId="115" xfId="0" applyNumberFormat="1" applyFont="1" applyBorder="1" applyAlignment="1">
      <alignment horizontal="center" vertical="center"/>
    </xf>
    <xf numFmtId="1" fontId="34" fillId="0" borderId="116" xfId="0" applyNumberFormat="1" applyFont="1" applyBorder="1" applyAlignment="1">
      <alignment horizontal="center" vertical="center"/>
    </xf>
    <xf numFmtId="1" fontId="34" fillId="0" borderId="46" xfId="0" applyNumberFormat="1" applyFont="1" applyBorder="1" applyAlignment="1">
      <alignment horizontal="center" vertical="center"/>
    </xf>
    <xf numFmtId="1" fontId="34" fillId="4" borderId="68" xfId="0" applyNumberFormat="1" applyFont="1" applyFill="1" applyBorder="1" applyAlignment="1">
      <alignment horizontal="center" vertical="center"/>
    </xf>
    <xf numFmtId="1" fontId="34" fillId="0" borderId="83" xfId="0" applyNumberFormat="1" applyFont="1" applyBorder="1" applyAlignment="1">
      <alignment horizontal="center" vertical="center"/>
    </xf>
    <xf numFmtId="1" fontId="2" fillId="0" borderId="61" xfId="0" applyNumberFormat="1" applyFont="1" applyBorder="1" applyAlignment="1">
      <alignment horizontal="center" vertical="center"/>
    </xf>
    <xf numFmtId="1" fontId="2" fillId="7" borderId="52" xfId="0" applyNumberFormat="1" applyFont="1" applyFill="1" applyBorder="1" applyAlignment="1">
      <alignment horizontal="center" vertical="center"/>
    </xf>
    <xf numFmtId="1" fontId="2" fillId="8" borderId="53" xfId="0" applyNumberFormat="1" applyFont="1" applyFill="1" applyBorder="1" applyAlignment="1">
      <alignment horizontal="center" vertical="center"/>
    </xf>
    <xf numFmtId="1" fontId="2" fillId="8" borderId="54" xfId="0" applyNumberFormat="1" applyFont="1" applyFill="1" applyBorder="1" applyAlignment="1">
      <alignment horizontal="center" vertical="center"/>
    </xf>
    <xf numFmtId="1" fontId="5" fillId="9" borderId="30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2" fillId="0" borderId="134" xfId="0" applyNumberFormat="1" applyFont="1" applyBorder="1" applyAlignment="1">
      <alignment horizontal="center" vertical="center"/>
    </xf>
    <xf numFmtId="0" fontId="2" fillId="0" borderId="135" xfId="0" applyNumberFormat="1" applyFont="1" applyBorder="1" applyAlignment="1">
      <alignment horizontal="center" vertical="center"/>
    </xf>
    <xf numFmtId="0" fontId="2" fillId="0" borderId="136" xfId="0" applyNumberFormat="1" applyFont="1" applyBorder="1" applyAlignment="1">
      <alignment horizontal="center" vertical="center"/>
    </xf>
    <xf numFmtId="0" fontId="2" fillId="5" borderId="137" xfId="0" applyNumberFormat="1" applyFont="1" applyFill="1" applyBorder="1" applyAlignment="1">
      <alignment horizontal="center" vertical="center"/>
    </xf>
    <xf numFmtId="0" fontId="2" fillId="7" borderId="2" xfId="0" applyNumberFormat="1" applyFont="1" applyFill="1" applyBorder="1" applyAlignment="1">
      <alignment horizontal="center" vertical="center"/>
    </xf>
    <xf numFmtId="0" fontId="2" fillId="8" borderId="0" xfId="0" applyNumberFormat="1" applyFont="1" applyFill="1" applyBorder="1" applyAlignment="1">
      <alignment horizontal="center" vertical="center"/>
    </xf>
    <xf numFmtId="0" fontId="5" fillId="9" borderId="2" xfId="0" applyNumberFormat="1" applyFont="1" applyFill="1" applyBorder="1" applyAlignment="1">
      <alignment horizontal="center" vertical="center"/>
    </xf>
    <xf numFmtId="0" fontId="2" fillId="0" borderId="138" xfId="0" applyNumberFormat="1" applyFont="1" applyBorder="1" applyAlignment="1">
      <alignment horizontal="center" vertical="center"/>
    </xf>
    <xf numFmtId="0" fontId="2" fillId="0" borderId="139" xfId="0" applyNumberFormat="1" applyFont="1" applyBorder="1" applyAlignment="1">
      <alignment horizontal="center" vertical="center"/>
    </xf>
    <xf numFmtId="0" fontId="2" fillId="0" borderId="140" xfId="0" applyNumberFormat="1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" fontId="2" fillId="0" borderId="141" xfId="0" applyNumberFormat="1" applyFont="1" applyBorder="1" applyAlignment="1">
      <alignment horizontal="center" vertical="center"/>
    </xf>
    <xf numFmtId="1" fontId="2" fillId="0" borderId="142" xfId="0" applyNumberFormat="1" applyFont="1" applyBorder="1" applyAlignment="1">
      <alignment horizontal="center" vertical="center"/>
    </xf>
    <xf numFmtId="1" fontId="2" fillId="0" borderId="143" xfId="0" applyNumberFormat="1" applyFont="1" applyBorder="1" applyAlignment="1">
      <alignment horizontal="center" vertical="center"/>
    </xf>
    <xf numFmtId="1" fontId="2" fillId="5" borderId="12" xfId="0" applyNumberFormat="1" applyFont="1" applyFill="1" applyBorder="1" applyAlignment="1">
      <alignment horizontal="center" vertical="center"/>
    </xf>
    <xf numFmtId="1" fontId="2" fillId="0" borderId="144" xfId="0" applyNumberFormat="1" applyFont="1" applyBorder="1" applyAlignment="1">
      <alignment horizontal="center" vertical="center"/>
    </xf>
    <xf numFmtId="1" fontId="2" fillId="0" borderId="145" xfId="0" applyNumberFormat="1" applyFont="1" applyBorder="1" applyAlignment="1">
      <alignment horizontal="center" vertical="center"/>
    </xf>
    <xf numFmtId="1" fontId="2" fillId="0" borderId="146" xfId="0" applyNumberFormat="1" applyFont="1" applyBorder="1" applyAlignment="1">
      <alignment horizontal="center" vertical="center"/>
    </xf>
    <xf numFmtId="1" fontId="2" fillId="5" borderId="13" xfId="0" applyNumberFormat="1" applyFont="1" applyFill="1" applyBorder="1" applyAlignment="1">
      <alignment horizontal="center" vertical="center"/>
    </xf>
    <xf numFmtId="1" fontId="2" fillId="0" borderId="147" xfId="0" applyNumberFormat="1" applyFont="1" applyBorder="1" applyAlignment="1">
      <alignment horizontal="center" vertical="center"/>
    </xf>
    <xf numFmtId="1" fontId="2" fillId="7" borderId="13" xfId="0" applyNumberFormat="1" applyFont="1" applyFill="1" applyBorder="1" applyAlignment="1">
      <alignment horizontal="center" vertical="center"/>
    </xf>
    <xf numFmtId="1" fontId="2" fillId="0" borderId="148" xfId="0" applyNumberFormat="1" applyFont="1" applyBorder="1" applyAlignment="1">
      <alignment horizontal="center" vertical="center"/>
    </xf>
    <xf numFmtId="0" fontId="35" fillId="25" borderId="13" xfId="0" applyNumberFormat="1" applyFont="1" applyFill="1" applyBorder="1" applyAlignment="1">
      <alignment horizontal="center" vertical="center" wrapText="1"/>
    </xf>
    <xf numFmtId="0" fontId="11" fillId="28" borderId="55" xfId="0" applyFont="1" applyFill="1" applyBorder="1" applyAlignment="1">
      <alignment horizontal="center"/>
    </xf>
    <xf numFmtId="0" fontId="35" fillId="25" borderId="14" xfId="0" applyNumberFormat="1" applyFont="1" applyFill="1" applyBorder="1" applyAlignment="1">
      <alignment horizontal="center" vertical="center" wrapText="1"/>
    </xf>
    <xf numFmtId="9" fontId="0" fillId="0" borderId="149" xfId="1" applyFont="1" applyBorder="1" applyAlignment="1">
      <alignment horizontal="center" vertical="center"/>
    </xf>
    <xf numFmtId="9" fontId="0" fillId="0" borderId="150" xfId="1" applyFont="1" applyBorder="1" applyAlignment="1">
      <alignment horizontal="center" vertical="center"/>
    </xf>
    <xf numFmtId="1" fontId="2" fillId="0" borderId="152" xfId="0" applyNumberFormat="1" applyFont="1" applyBorder="1" applyAlignment="1">
      <alignment horizontal="center" vertical="center"/>
    </xf>
    <xf numFmtId="1" fontId="2" fillId="0" borderId="153" xfId="0" applyNumberFormat="1" applyFont="1" applyBorder="1" applyAlignment="1">
      <alignment horizontal="center" vertical="center"/>
    </xf>
    <xf numFmtId="1" fontId="2" fillId="0" borderId="154" xfId="0" applyNumberFormat="1" applyFont="1" applyBorder="1" applyAlignment="1">
      <alignment horizontal="center" vertical="center"/>
    </xf>
    <xf numFmtId="1" fontId="2" fillId="7" borderId="2" xfId="0" applyNumberFormat="1" applyFont="1" applyFill="1" applyBorder="1" applyAlignment="1">
      <alignment horizontal="center" vertical="center"/>
    </xf>
    <xf numFmtId="1" fontId="5" fillId="9" borderId="2" xfId="0" applyNumberFormat="1" applyFont="1" applyFill="1" applyBorder="1" applyAlignment="1">
      <alignment horizontal="center" vertical="center"/>
    </xf>
    <xf numFmtId="1" fontId="3" fillId="0" borderId="150" xfId="0" applyNumberFormat="1" applyFont="1" applyBorder="1" applyAlignment="1">
      <alignment horizontal="center" vertical="center"/>
    </xf>
    <xf numFmtId="1" fontId="3" fillId="0" borderId="149" xfId="0" applyNumberFormat="1" applyFont="1" applyBorder="1" applyAlignment="1">
      <alignment horizontal="center" vertical="center"/>
    </xf>
    <xf numFmtId="1" fontId="3" fillId="0" borderId="151" xfId="0" applyNumberFormat="1" applyFont="1" applyBorder="1" applyAlignment="1">
      <alignment horizontal="center" vertical="center"/>
    </xf>
    <xf numFmtId="1" fontId="3" fillId="5" borderId="78" xfId="0" applyNumberFormat="1" applyFont="1" applyFill="1" applyBorder="1" applyAlignment="1">
      <alignment horizontal="center" vertical="center"/>
    </xf>
    <xf numFmtId="1" fontId="2" fillId="0" borderId="15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34" fillId="4" borderId="52" xfId="0" applyNumberFormat="1" applyFont="1" applyFill="1" applyBorder="1" applyAlignment="1">
      <alignment horizontal="center" vertical="center"/>
    </xf>
    <xf numFmtId="1" fontId="5" fillId="9" borderId="21" xfId="0" applyNumberFormat="1" applyFont="1" applyFill="1" applyBorder="1" applyAlignment="1">
      <alignment horizontal="center" vertical="center"/>
    </xf>
    <xf numFmtId="1" fontId="34" fillId="0" borderId="42" xfId="0" applyNumberFormat="1" applyFont="1" applyBorder="1" applyAlignment="1">
      <alignment horizontal="center" vertical="center"/>
    </xf>
    <xf numFmtId="1" fontId="34" fillId="0" borderId="48" xfId="0" applyNumberFormat="1" applyFont="1" applyBorder="1" applyAlignment="1">
      <alignment horizontal="center" vertical="center"/>
    </xf>
    <xf numFmtId="1" fontId="34" fillId="0" borderId="37" xfId="0" applyNumberFormat="1" applyFont="1" applyBorder="1" applyAlignment="1">
      <alignment horizontal="center" vertical="center"/>
    </xf>
    <xf numFmtId="1" fontId="34" fillId="0" borderId="6" xfId="0" applyNumberFormat="1" applyFont="1" applyBorder="1" applyAlignment="1">
      <alignment horizontal="center" vertical="center"/>
    </xf>
    <xf numFmtId="0" fontId="2" fillId="3" borderId="59" xfId="0" applyNumberFormat="1" applyFont="1" applyFill="1" applyBorder="1" applyAlignment="1">
      <alignment horizontal="center" vertical="center"/>
    </xf>
    <xf numFmtId="0" fontId="2" fillId="3" borderId="91" xfId="0" applyNumberFormat="1" applyFont="1" applyFill="1" applyBorder="1" applyAlignment="1">
      <alignment horizontal="center" vertical="center"/>
    </xf>
    <xf numFmtId="0" fontId="2" fillId="4" borderId="68" xfId="0" applyNumberFormat="1" applyFont="1" applyFill="1" applyBorder="1" applyAlignment="1">
      <alignment horizontal="center" vertical="center"/>
    </xf>
    <xf numFmtId="0" fontId="2" fillId="0" borderId="55" xfId="0" applyFont="1" applyFill="1" applyBorder="1" applyAlignment="1">
      <alignment horizontal="center" vertical="center"/>
    </xf>
    <xf numFmtId="0" fontId="2" fillId="4" borderId="55" xfId="0" applyNumberFormat="1" applyFont="1" applyFill="1" applyBorder="1" applyAlignment="1">
      <alignment horizontal="center" vertical="center"/>
    </xf>
    <xf numFmtId="0" fontId="2" fillId="15" borderId="55" xfId="0" applyFont="1" applyFill="1" applyBorder="1" applyAlignment="1">
      <alignment horizontal="center" vertical="center"/>
    </xf>
    <xf numFmtId="0" fontId="31" fillId="27" borderId="66" xfId="1" applyNumberFormat="1" applyFont="1" applyFill="1" applyBorder="1" applyAlignment="1">
      <alignment horizontal="center" vertical="center"/>
    </xf>
    <xf numFmtId="0" fontId="2" fillId="0" borderId="156" xfId="0" applyNumberFormat="1" applyFont="1" applyBorder="1" applyAlignment="1">
      <alignment horizontal="center" vertical="center"/>
    </xf>
    <xf numFmtId="0" fontId="2" fillId="0" borderId="157" xfId="0" applyNumberFormat="1" applyFont="1" applyBorder="1" applyAlignment="1">
      <alignment horizontal="center" vertical="center"/>
    </xf>
    <xf numFmtId="0" fontId="2" fillId="0" borderId="158" xfId="0" applyNumberFormat="1" applyFont="1" applyBorder="1" applyAlignment="1">
      <alignment horizontal="center" vertical="center"/>
    </xf>
    <xf numFmtId="0" fontId="2" fillId="0" borderId="159" xfId="0" applyNumberFormat="1" applyFont="1" applyBorder="1" applyAlignment="1">
      <alignment horizontal="center" vertical="center"/>
    </xf>
    <xf numFmtId="0" fontId="2" fillId="0" borderId="160" xfId="0" applyNumberFormat="1" applyFont="1" applyBorder="1" applyAlignment="1">
      <alignment horizontal="center" vertical="center"/>
    </xf>
    <xf numFmtId="0" fontId="2" fillId="0" borderId="161" xfId="0" applyNumberFormat="1" applyFont="1" applyBorder="1" applyAlignment="1">
      <alignment horizontal="center" vertical="center"/>
    </xf>
    <xf numFmtId="0" fontId="2" fillId="5" borderId="162" xfId="0" applyNumberFormat="1" applyFont="1" applyFill="1" applyBorder="1" applyAlignment="1">
      <alignment horizontal="center" vertical="center"/>
    </xf>
    <xf numFmtId="0" fontId="2" fillId="0" borderId="152" xfId="0" applyNumberFormat="1" applyFont="1" applyBorder="1" applyAlignment="1">
      <alignment horizontal="center" vertical="center"/>
    </xf>
    <xf numFmtId="0" fontId="2" fillId="0" borderId="153" xfId="0" applyNumberFormat="1" applyFont="1" applyBorder="1" applyAlignment="1">
      <alignment horizontal="center" vertical="center"/>
    </xf>
    <xf numFmtId="0" fontId="2" fillId="0" borderId="154" xfId="0" applyNumberFormat="1" applyFont="1" applyBorder="1" applyAlignment="1">
      <alignment horizontal="center" vertical="center"/>
    </xf>
    <xf numFmtId="0" fontId="2" fillId="0" borderId="163" xfId="0" applyNumberFormat="1" applyFont="1" applyBorder="1" applyAlignment="1">
      <alignment horizontal="center" vertical="center"/>
    </xf>
    <xf numFmtId="0" fontId="35" fillId="23" borderId="2" xfId="0" applyNumberFormat="1" applyFont="1" applyFill="1" applyBorder="1" applyAlignment="1">
      <alignment horizontal="center" vertical="center" wrapText="1"/>
    </xf>
    <xf numFmtId="0" fontId="2" fillId="5" borderId="3" xfId="0" applyNumberFormat="1" applyFont="1" applyFill="1" applyBorder="1" applyAlignment="1">
      <alignment horizontal="center" vertical="center"/>
    </xf>
    <xf numFmtId="0" fontId="2" fillId="3" borderId="59" xfId="0" applyFont="1" applyFill="1" applyBorder="1" applyAlignment="1">
      <alignment horizontal="center" vertical="center" wrapText="1"/>
    </xf>
    <xf numFmtId="0" fontId="2" fillId="3" borderId="141" xfId="0" applyFont="1" applyFill="1" applyBorder="1" applyAlignment="1">
      <alignment horizontal="center" vertical="center" wrapText="1"/>
    </xf>
    <xf numFmtId="1" fontId="2" fillId="0" borderId="164" xfId="0" applyNumberFormat="1" applyFont="1" applyBorder="1" applyAlignment="1">
      <alignment horizontal="center" vertical="center"/>
    </xf>
    <xf numFmtId="1" fontId="2" fillId="0" borderId="165" xfId="0" applyNumberFormat="1" applyFont="1" applyBorder="1" applyAlignment="1">
      <alignment horizontal="center" vertical="center"/>
    </xf>
    <xf numFmtId="1" fontId="2" fillId="0" borderId="166" xfId="0" applyNumberFormat="1" applyFont="1" applyBorder="1" applyAlignment="1">
      <alignment horizontal="center" vertical="center"/>
    </xf>
    <xf numFmtId="1" fontId="2" fillId="0" borderId="167" xfId="0" applyNumberFormat="1" applyFont="1" applyBorder="1" applyAlignment="1">
      <alignment horizontal="center" vertical="center"/>
    </xf>
    <xf numFmtId="1" fontId="2" fillId="5" borderId="2" xfId="0" applyNumberFormat="1" applyFont="1" applyFill="1" applyBorder="1" applyAlignment="1">
      <alignment horizontal="center" vertical="center"/>
    </xf>
    <xf numFmtId="0" fontId="35" fillId="25" borderId="111" xfId="0" applyNumberFormat="1" applyFont="1" applyFill="1" applyBorder="1" applyAlignment="1">
      <alignment horizontal="center" vertical="center"/>
    </xf>
    <xf numFmtId="1" fontId="2" fillId="0" borderId="168" xfId="0" applyNumberFormat="1" applyFont="1" applyBorder="1" applyAlignment="1">
      <alignment horizontal="center" vertical="center"/>
    </xf>
    <xf numFmtId="0" fontId="35" fillId="23" borderId="96" xfId="0" applyNumberFormat="1" applyFont="1" applyFill="1" applyBorder="1" applyAlignment="1">
      <alignment horizontal="center" vertical="center" wrapText="1"/>
    </xf>
    <xf numFmtId="1" fontId="2" fillId="0" borderId="169" xfId="0" applyNumberFormat="1" applyFont="1" applyBorder="1" applyAlignment="1">
      <alignment horizontal="center" vertical="center"/>
    </xf>
    <xf numFmtId="0" fontId="40" fillId="0" borderId="54" xfId="0" applyFont="1" applyBorder="1" applyAlignment="1">
      <alignment horizontal="center" vertical="center"/>
    </xf>
    <xf numFmtId="0" fontId="41" fillId="0" borderId="107" xfId="0" applyFont="1" applyBorder="1" applyAlignment="1">
      <alignment horizontal="center" vertical="center"/>
    </xf>
    <xf numFmtId="0" fontId="41" fillId="0" borderId="72" xfId="0" applyFont="1" applyBorder="1" applyAlignment="1">
      <alignment horizontal="center" vertical="center"/>
    </xf>
    <xf numFmtId="0" fontId="15" fillId="0" borderId="78" xfId="0" applyFont="1" applyBorder="1" applyAlignment="1">
      <alignment horizontal="center" vertical="center"/>
    </xf>
    <xf numFmtId="0" fontId="42" fillId="28" borderId="96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43" fillId="28" borderId="13" xfId="0" applyFont="1" applyFill="1" applyBorder="1" applyAlignment="1">
      <alignment horizontal="center" vertical="center"/>
    </xf>
    <xf numFmtId="1" fontId="41" fillId="0" borderId="54" xfId="0" applyNumberFormat="1" applyFont="1" applyBorder="1" applyAlignment="1">
      <alignment horizontal="center" vertical="center"/>
    </xf>
    <xf numFmtId="0" fontId="8" fillId="28" borderId="0" xfId="0" applyFont="1" applyFill="1" applyAlignment="1">
      <alignment horizontal="center"/>
    </xf>
    <xf numFmtId="0" fontId="17" fillId="28" borderId="0" xfId="0" applyFont="1" applyFill="1" applyBorder="1" applyAlignment="1">
      <alignment horizontal="center"/>
    </xf>
    <xf numFmtId="0" fontId="12" fillId="28" borderId="0" xfId="0" applyFont="1" applyFill="1" applyBorder="1"/>
    <xf numFmtId="0" fontId="11" fillId="28" borderId="0" xfId="0" applyFont="1" applyFill="1" applyBorder="1"/>
    <xf numFmtId="0" fontId="12" fillId="28" borderId="0" xfId="0" applyNumberFormat="1" applyFont="1" applyFill="1" applyBorder="1"/>
    <xf numFmtId="0" fontId="11" fillId="28" borderId="0" xfId="0" applyNumberFormat="1" applyFont="1" applyFill="1" applyBorder="1"/>
    <xf numFmtId="0" fontId="16" fillId="28" borderId="0" xfId="0" applyFont="1" applyFill="1"/>
    <xf numFmtId="0" fontId="15" fillId="28" borderId="0" xfId="0" applyFont="1" applyFill="1"/>
    <xf numFmtId="0" fontId="16" fillId="28" borderId="0" xfId="0" applyFont="1" applyFill="1" applyAlignment="1">
      <alignment horizontal="center"/>
    </xf>
    <xf numFmtId="0" fontId="24" fillId="28" borderId="0" xfId="0" applyFont="1" applyFill="1"/>
    <xf numFmtId="0" fontId="11" fillId="0" borderId="53" xfId="0" applyFont="1" applyBorder="1" applyAlignment="1">
      <alignment horizontal="center" vertical="center"/>
    </xf>
    <xf numFmtId="0" fontId="30" fillId="28" borderId="55" xfId="0" applyFont="1" applyFill="1" applyBorder="1" applyAlignment="1">
      <alignment horizontal="center"/>
    </xf>
    <xf numFmtId="0" fontId="30" fillId="0" borderId="22" xfId="0" applyFont="1" applyBorder="1" applyAlignment="1">
      <alignment horizontal="center" vertical="center"/>
    </xf>
    <xf numFmtId="2" fontId="33" fillId="0" borderId="23" xfId="0" applyNumberFormat="1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99" xfId="0" applyFont="1" applyBorder="1" applyAlignment="1">
      <alignment horizontal="center" vertical="center"/>
    </xf>
    <xf numFmtId="0" fontId="27" fillId="24" borderId="1" xfId="0" applyFont="1" applyFill="1" applyBorder="1" applyAlignment="1">
      <alignment horizontal="center" vertical="center"/>
    </xf>
    <xf numFmtId="0" fontId="7" fillId="27" borderId="21" xfId="0" applyFont="1" applyFill="1" applyBorder="1" applyAlignment="1">
      <alignment horizontal="center" vertical="center"/>
    </xf>
    <xf numFmtId="164" fontId="39" fillId="24" borderId="12" xfId="0" applyNumberFormat="1" applyFont="1" applyFill="1" applyBorder="1" applyAlignment="1">
      <alignment horizontal="center" vertical="center"/>
    </xf>
    <xf numFmtId="164" fontId="39" fillId="24" borderId="14" xfId="0" applyNumberFormat="1" applyFont="1" applyFill="1" applyBorder="1" applyAlignment="1">
      <alignment horizontal="center" vertical="center"/>
    </xf>
    <xf numFmtId="0" fontId="15" fillId="0" borderId="109" xfId="0" applyFont="1" applyBorder="1" applyAlignment="1">
      <alignment horizontal="center" vertical="center"/>
    </xf>
    <xf numFmtId="0" fontId="8" fillId="16" borderId="30" xfId="0" applyFont="1" applyFill="1" applyBorder="1" applyAlignment="1">
      <alignment horizontal="center" vertical="center" wrapText="1"/>
    </xf>
    <xf numFmtId="1" fontId="35" fillId="0" borderId="54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8" fillId="16" borderId="75" xfId="0" applyFont="1" applyFill="1" applyBorder="1" applyAlignment="1">
      <alignment vertical="center" wrapText="1"/>
    </xf>
    <xf numFmtId="0" fontId="8" fillId="16" borderId="77" xfId="0" applyFont="1" applyFill="1" applyBorder="1" applyAlignment="1">
      <alignment vertical="center" wrapText="1"/>
    </xf>
    <xf numFmtId="0" fontId="8" fillId="16" borderId="91" xfId="0" applyFont="1" applyFill="1" applyBorder="1" applyAlignment="1">
      <alignment vertical="center" wrapText="1"/>
    </xf>
    <xf numFmtId="0" fontId="8" fillId="16" borderId="81" xfId="0" applyFont="1" applyFill="1" applyBorder="1" applyAlignment="1">
      <alignment vertical="center" wrapText="1"/>
    </xf>
    <xf numFmtId="1" fontId="35" fillId="0" borderId="73" xfId="0" applyNumberFormat="1" applyFont="1" applyBorder="1" applyAlignment="1">
      <alignment horizontal="center" vertical="center"/>
    </xf>
    <xf numFmtId="164" fontId="35" fillId="0" borderId="73" xfId="0" applyNumberFormat="1" applyFont="1" applyBorder="1" applyAlignment="1">
      <alignment horizontal="center" vertical="center"/>
    </xf>
    <xf numFmtId="164" fontId="35" fillId="0" borderId="0" xfId="0" applyNumberFormat="1" applyFont="1" applyBorder="1" applyAlignment="1">
      <alignment horizontal="center" vertical="center"/>
    </xf>
    <xf numFmtId="164" fontId="39" fillId="24" borderId="2" xfId="0" applyNumberFormat="1" applyFont="1" applyFill="1" applyBorder="1" applyAlignment="1">
      <alignment horizontal="center" vertical="center"/>
    </xf>
    <xf numFmtId="0" fontId="8" fillId="16" borderId="29" xfId="0" applyFont="1" applyFill="1" applyBorder="1" applyAlignment="1">
      <alignment horizontal="center" vertical="center" wrapText="1"/>
    </xf>
    <xf numFmtId="1" fontId="7" fillId="0" borderId="37" xfId="0" applyNumberFormat="1" applyFont="1" applyFill="1" applyBorder="1" applyAlignment="1">
      <alignment horizontal="center" vertical="center"/>
    </xf>
    <xf numFmtId="1" fontId="7" fillId="0" borderId="41" xfId="0" applyNumberFormat="1" applyFont="1" applyFill="1" applyBorder="1" applyAlignment="1">
      <alignment horizontal="center" vertical="center"/>
    </xf>
    <xf numFmtId="1" fontId="7" fillId="7" borderId="59" xfId="0" applyNumberFormat="1" applyFont="1" applyFill="1" applyBorder="1" applyAlignment="1">
      <alignment horizontal="center" vertical="center"/>
    </xf>
    <xf numFmtId="1" fontId="7" fillId="28" borderId="0" xfId="0" applyNumberFormat="1" applyFont="1" applyFill="1" applyBorder="1" applyAlignment="1">
      <alignment horizontal="center" vertical="center"/>
    </xf>
    <xf numFmtId="1" fontId="35" fillId="0" borderId="59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/>
    </xf>
    <xf numFmtId="1" fontId="26" fillId="27" borderId="29" xfId="0" applyNumberFormat="1" applyFont="1" applyFill="1" applyBorder="1" applyAlignment="1">
      <alignment horizontal="center" vertical="center"/>
    </xf>
    <xf numFmtId="1" fontId="26" fillId="27" borderId="30" xfId="0" applyNumberFormat="1" applyFont="1" applyFill="1" applyBorder="1" applyAlignment="1">
      <alignment horizontal="center" vertical="center"/>
    </xf>
    <xf numFmtId="1" fontId="35" fillId="0" borderId="109" xfId="0" applyNumberFormat="1" applyFont="1" applyBorder="1" applyAlignment="1">
      <alignment horizontal="center" vertical="center"/>
    </xf>
    <xf numFmtId="1" fontId="35" fillId="0" borderId="9" xfId="0" applyNumberFormat="1" applyFont="1" applyBorder="1" applyAlignment="1">
      <alignment horizontal="center" vertical="center"/>
    </xf>
    <xf numFmtId="1" fontId="35" fillId="0" borderId="53" xfId="0" applyNumberFormat="1" applyFont="1" applyBorder="1" applyAlignment="1">
      <alignment horizontal="center" vertical="center"/>
    </xf>
    <xf numFmtId="1" fontId="35" fillId="0" borderId="26" xfId="0" applyNumberFormat="1" applyFont="1" applyBorder="1" applyAlignment="1">
      <alignment horizontal="center" vertical="center"/>
    </xf>
    <xf numFmtId="0" fontId="11" fillId="28" borderId="0" xfId="0" applyNumberFormat="1" applyFont="1" applyFill="1" applyBorder="1" applyAlignment="1">
      <alignment horizontal="center" shrinkToFit="1"/>
    </xf>
    <xf numFmtId="0" fontId="42" fillId="2" borderId="0" xfId="0" applyNumberFormat="1" applyFont="1" applyFill="1" applyBorder="1"/>
    <xf numFmtId="0" fontId="45" fillId="0" borderId="13" xfId="0" applyFont="1" applyBorder="1" applyAlignment="1">
      <alignment horizontal="center" vertical="center" wrapText="1"/>
    </xf>
    <xf numFmtId="0" fontId="2" fillId="28" borderId="0" xfId="0" applyFont="1" applyFill="1" applyAlignment="1">
      <alignment horizontal="center" vertical="center"/>
    </xf>
    <xf numFmtId="0" fontId="2" fillId="28" borderId="0" xfId="0" applyFont="1" applyFill="1" applyAlignment="1">
      <alignment vertical="center"/>
    </xf>
    <xf numFmtId="0" fontId="18" fillId="28" borderId="0" xfId="0" applyFont="1" applyFill="1" applyAlignment="1">
      <alignment vertical="center"/>
    </xf>
    <xf numFmtId="0" fontId="8" fillId="28" borderId="0" xfId="0" applyFont="1" applyFill="1" applyBorder="1" applyAlignment="1">
      <alignment horizontal="center"/>
    </xf>
    <xf numFmtId="14" fontId="2" fillId="28" borderId="0" xfId="0" applyNumberFormat="1" applyFont="1" applyFill="1" applyBorder="1" applyAlignment="1">
      <alignment horizontal="center" vertical="center"/>
    </xf>
    <xf numFmtId="0" fontId="2" fillId="28" borderId="0" xfId="0" applyFont="1" applyFill="1" applyBorder="1" applyAlignment="1">
      <alignment horizontal="center" vertical="center"/>
    </xf>
    <xf numFmtId="2" fontId="40" fillId="0" borderId="23" xfId="0" applyNumberFormat="1" applyFont="1" applyBorder="1" applyAlignment="1">
      <alignment horizontal="center" vertical="center"/>
    </xf>
    <xf numFmtId="2" fontId="33" fillId="0" borderId="24" xfId="0" applyNumberFormat="1" applyFont="1" applyBorder="1" applyAlignment="1">
      <alignment horizontal="center" vertical="center"/>
    </xf>
    <xf numFmtId="0" fontId="2" fillId="0" borderId="54" xfId="0" applyFont="1" applyFill="1" applyBorder="1" applyAlignment="1">
      <alignment horizontal="center" vertical="center"/>
    </xf>
    <xf numFmtId="0" fontId="49" fillId="28" borderId="0" xfId="0" applyFont="1" applyFill="1" applyAlignment="1">
      <alignment vertical="center"/>
    </xf>
    <xf numFmtId="0" fontId="2" fillId="15" borderId="54" xfId="0" applyFont="1" applyFill="1" applyBorder="1" applyAlignment="1">
      <alignment horizontal="center" vertical="center"/>
    </xf>
    <xf numFmtId="1" fontId="35" fillId="0" borderId="82" xfId="0" applyNumberFormat="1" applyFont="1" applyBorder="1" applyAlignment="1">
      <alignment horizontal="center" vertical="center"/>
    </xf>
    <xf numFmtId="164" fontId="35" fillId="0" borderId="82" xfId="0" applyNumberFormat="1" applyFont="1" applyBorder="1" applyAlignment="1">
      <alignment horizontal="center" vertical="center"/>
    </xf>
    <xf numFmtId="164" fontId="35" fillId="0" borderId="80" xfId="0" applyNumberFormat="1" applyFont="1" applyBorder="1" applyAlignment="1">
      <alignment horizontal="center" vertical="center"/>
    </xf>
    <xf numFmtId="164" fontId="39" fillId="24" borderId="3" xfId="0" applyNumberFormat="1" applyFont="1" applyFill="1" applyBorder="1" applyAlignment="1">
      <alignment horizontal="center" vertical="center"/>
    </xf>
    <xf numFmtId="1" fontId="26" fillId="27" borderId="81" xfId="0" applyNumberFormat="1" applyFont="1" applyFill="1" applyBorder="1" applyAlignment="1">
      <alignment horizontal="center" vertical="center"/>
    </xf>
    <xf numFmtId="0" fontId="8" fillId="16" borderId="12" xfId="0" applyFont="1" applyFill="1" applyBorder="1" applyAlignment="1">
      <alignment horizontal="center" vertical="center" wrapText="1"/>
    </xf>
    <xf numFmtId="0" fontId="8" fillId="16" borderId="13" xfId="0" applyFont="1" applyFill="1" applyBorder="1" applyAlignment="1">
      <alignment horizontal="center" vertical="center" wrapText="1"/>
    </xf>
    <xf numFmtId="0" fontId="8" fillId="16" borderId="14" xfId="0" applyFont="1" applyFill="1" applyBorder="1" applyAlignment="1">
      <alignment horizontal="center" vertical="center" wrapText="1"/>
    </xf>
    <xf numFmtId="0" fontId="24" fillId="16" borderId="54" xfId="0" applyFont="1" applyFill="1" applyBorder="1" applyAlignment="1">
      <alignment horizontal="center" vertical="center" wrapText="1"/>
    </xf>
    <xf numFmtId="1" fontId="26" fillId="27" borderId="27" xfId="0" applyNumberFormat="1" applyFont="1" applyFill="1" applyBorder="1" applyAlignment="1">
      <alignment horizontal="center" vertical="center"/>
    </xf>
    <xf numFmtId="1" fontId="24" fillId="3" borderId="13" xfId="0" applyNumberFormat="1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2" fillId="28" borderId="0" xfId="0" applyFont="1" applyFill="1" applyBorder="1" applyAlignment="1">
      <alignment horizontal="right" vertical="center"/>
    </xf>
    <xf numFmtId="1" fontId="35" fillId="0" borderId="0" xfId="0" applyNumberFormat="1" applyFont="1" applyBorder="1" applyAlignment="1">
      <alignment horizontal="center" vertical="center"/>
    </xf>
    <xf numFmtId="0" fontId="18" fillId="0" borderId="3" xfId="0" applyFont="1" applyBorder="1" applyAlignment="1">
      <alignment vertical="center"/>
    </xf>
    <xf numFmtId="0" fontId="8" fillId="16" borderId="95" xfId="0" applyFont="1" applyFill="1" applyBorder="1" applyAlignment="1">
      <alignment horizontal="center" vertical="center" wrapText="1"/>
    </xf>
    <xf numFmtId="0" fontId="3" fillId="28" borderId="0" xfId="0" applyFont="1" applyFill="1" applyBorder="1" applyAlignment="1">
      <alignment horizontal="right" vertical="center"/>
    </xf>
    <xf numFmtId="1" fontId="3" fillId="28" borderId="0" xfId="0" applyNumberFormat="1" applyFont="1" applyFill="1" applyBorder="1" applyAlignment="1">
      <alignment horizontal="center" vertical="center"/>
    </xf>
    <xf numFmtId="0" fontId="3" fillId="28" borderId="0" xfId="0" applyFont="1" applyFill="1" applyBorder="1" applyAlignment="1">
      <alignment vertical="center"/>
    </xf>
    <xf numFmtId="0" fontId="2" fillId="28" borderId="0" xfId="0" applyFont="1" applyFill="1" applyBorder="1" applyAlignment="1">
      <alignment vertical="center"/>
    </xf>
    <xf numFmtId="0" fontId="4" fillId="0" borderId="54" xfId="0" applyFont="1" applyBorder="1" applyAlignment="1">
      <alignment horizontal="center"/>
    </xf>
    <xf numFmtId="164" fontId="24" fillId="3" borderId="13" xfId="0" applyNumberFormat="1" applyFont="1" applyFill="1" applyBorder="1" applyAlignment="1">
      <alignment horizontal="center" vertical="center"/>
    </xf>
    <xf numFmtId="0" fontId="0" fillId="0" borderId="0" xfId="0" applyBorder="1"/>
    <xf numFmtId="1" fontId="34" fillId="0" borderId="7" xfId="0" applyNumberFormat="1" applyFont="1" applyBorder="1" applyAlignment="1">
      <alignment horizontal="center" vertical="center"/>
    </xf>
    <xf numFmtId="0" fontId="0" fillId="28" borderId="0" xfId="0" applyFill="1"/>
    <xf numFmtId="0" fontId="24" fillId="28" borderId="0" xfId="0" applyFont="1" applyFill="1" applyBorder="1" applyAlignment="1">
      <alignment horizontal="center" vertical="center" wrapText="1"/>
    </xf>
    <xf numFmtId="0" fontId="2" fillId="28" borderId="0" xfId="0" applyNumberFormat="1" applyFont="1" applyFill="1" applyBorder="1" applyAlignment="1">
      <alignment horizontal="center" vertical="center"/>
    </xf>
    <xf numFmtId="1" fontId="26" fillId="28" borderId="0" xfId="0" applyNumberFormat="1" applyFont="1" applyFill="1" applyBorder="1" applyAlignment="1">
      <alignment horizontal="center" vertical="center"/>
    </xf>
    <xf numFmtId="0" fontId="0" fillId="28" borderId="0" xfId="0" applyFill="1" applyBorder="1" applyAlignment="1"/>
    <xf numFmtId="1" fontId="46" fillId="28" borderId="0" xfId="0" applyNumberFormat="1" applyFont="1" applyFill="1" applyBorder="1" applyAlignment="1"/>
    <xf numFmtId="1" fontId="35" fillId="30" borderId="71" xfId="0" applyNumberFormat="1" applyFont="1" applyFill="1" applyBorder="1" applyAlignment="1">
      <alignment horizontal="center" vertical="center"/>
    </xf>
    <xf numFmtId="0" fontId="41" fillId="0" borderId="40" xfId="0" applyFont="1" applyFill="1" applyBorder="1" applyAlignment="1">
      <alignment horizontal="right" vertical="center"/>
    </xf>
    <xf numFmtId="1" fontId="41" fillId="0" borderId="41" xfId="0" applyNumberFormat="1" applyFont="1" applyFill="1" applyBorder="1" applyAlignment="1">
      <alignment horizontal="center" vertical="center"/>
    </xf>
    <xf numFmtId="0" fontId="41" fillId="0" borderId="50" xfId="0" applyFont="1" applyFill="1" applyBorder="1" applyAlignment="1">
      <alignment horizontal="right" vertical="center"/>
    </xf>
    <xf numFmtId="1" fontId="41" fillId="0" borderId="51" xfId="0" applyNumberFormat="1" applyFont="1" applyFill="1" applyBorder="1" applyAlignment="1">
      <alignment horizontal="center" vertical="center"/>
    </xf>
    <xf numFmtId="0" fontId="41" fillId="22" borderId="9" xfId="0" applyFont="1" applyFill="1" applyBorder="1" applyAlignment="1">
      <alignment horizontal="right" vertical="center"/>
    </xf>
    <xf numFmtId="1" fontId="41" fillId="22" borderId="59" xfId="0" applyNumberFormat="1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right" vertical="center"/>
    </xf>
    <xf numFmtId="1" fontId="41" fillId="0" borderId="37" xfId="0" applyNumberFormat="1" applyFont="1" applyFill="1" applyBorder="1" applyAlignment="1">
      <alignment horizontal="center" vertical="center"/>
    </xf>
    <xf numFmtId="0" fontId="41" fillId="7" borderId="9" xfId="0" applyFont="1" applyFill="1" applyBorder="1" applyAlignment="1">
      <alignment horizontal="right" vertical="center"/>
    </xf>
    <xf numFmtId="1" fontId="41" fillId="7" borderId="59" xfId="0" applyNumberFormat="1" applyFont="1" applyFill="1" applyBorder="1" applyAlignment="1">
      <alignment horizontal="center" vertical="center"/>
    </xf>
    <xf numFmtId="0" fontId="41" fillId="7" borderId="10" xfId="0" applyFont="1" applyFill="1" applyBorder="1" applyAlignment="1">
      <alignment horizontal="center" vertical="center"/>
    </xf>
    <xf numFmtId="0" fontId="5" fillId="28" borderId="0" xfId="0" applyFont="1" applyFill="1" applyBorder="1" applyAlignment="1">
      <alignment horizontal="right" vertical="center"/>
    </xf>
    <xf numFmtId="1" fontId="5" fillId="28" borderId="0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16" borderId="54" xfId="0" applyFont="1" applyFill="1" applyBorder="1" applyAlignment="1">
      <alignment horizontal="center" vertical="center" wrapText="1"/>
    </xf>
    <xf numFmtId="2" fontId="40" fillId="2" borderId="0" xfId="0" applyNumberFormat="1" applyFont="1" applyFill="1"/>
    <xf numFmtId="1" fontId="2" fillId="8" borderId="68" xfId="2" applyNumberFormat="1" applyFont="1" applyFill="1" applyBorder="1" applyAlignment="1">
      <alignment horizontal="center" vertical="center"/>
    </xf>
    <xf numFmtId="1" fontId="5" fillId="9" borderId="67" xfId="2" applyNumberFormat="1" applyFont="1" applyFill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164" fontId="40" fillId="0" borderId="0" xfId="0" applyNumberFormat="1" applyFont="1" applyBorder="1" applyAlignment="1">
      <alignment horizontal="center" vertical="center"/>
    </xf>
    <xf numFmtId="0" fontId="11" fillId="2" borderId="0" xfId="0" applyNumberFormat="1" applyFont="1" applyFill="1" applyBorder="1" applyAlignment="1">
      <alignment horizontal="right" vertical="center" shrinkToFit="1"/>
    </xf>
    <xf numFmtId="0" fontId="0" fillId="0" borderId="0" xfId="0"/>
    <xf numFmtId="0" fontId="15" fillId="3" borderId="56" xfId="0" applyFont="1" applyFill="1" applyBorder="1" applyAlignment="1">
      <alignment horizontal="center"/>
    </xf>
    <xf numFmtId="0" fontId="11" fillId="28" borderId="68" xfId="0" applyNumberFormat="1" applyFont="1" applyFill="1" applyBorder="1" applyAlignment="1">
      <alignment horizontal="center" vertical="center" shrinkToFit="1"/>
    </xf>
    <xf numFmtId="0" fontId="11" fillId="28" borderId="56" xfId="0" applyNumberFormat="1" applyFont="1" applyFill="1" applyBorder="1" applyAlignment="1">
      <alignment horizontal="center" vertical="center" shrinkToFit="1"/>
    </xf>
    <xf numFmtId="0" fontId="15" fillId="3" borderId="70" xfId="0" applyFont="1" applyFill="1" applyBorder="1" applyAlignment="1">
      <alignment horizontal="center"/>
    </xf>
    <xf numFmtId="0" fontId="11" fillId="3" borderId="57" xfId="0" applyNumberFormat="1" applyFont="1" applyFill="1" applyBorder="1" applyAlignment="1">
      <alignment horizontal="center" vertical="center" shrinkToFit="1"/>
    </xf>
    <xf numFmtId="0" fontId="11" fillId="3" borderId="119" xfId="0" applyNumberFormat="1" applyFont="1" applyFill="1" applyBorder="1" applyAlignment="1">
      <alignment horizontal="center" vertical="center" shrinkToFit="1"/>
    </xf>
    <xf numFmtId="0" fontId="11" fillId="13" borderId="3" xfId="0" applyNumberFormat="1" applyFont="1" applyFill="1" applyBorder="1" applyAlignment="1">
      <alignment horizontal="center" vertical="center" shrinkToFit="1"/>
    </xf>
    <xf numFmtId="0" fontId="11" fillId="13" borderId="13" xfId="0" applyNumberFormat="1" applyFont="1" applyFill="1" applyBorder="1" applyAlignment="1">
      <alignment horizontal="center" vertical="center" shrinkToFit="1"/>
    </xf>
    <xf numFmtId="0" fontId="15" fillId="4" borderId="68" xfId="0" applyFont="1" applyFill="1" applyBorder="1" applyAlignment="1">
      <alignment horizontal="center"/>
    </xf>
    <xf numFmtId="0" fontId="11" fillId="4" borderId="68" xfId="0" applyNumberFormat="1" applyFont="1" applyFill="1" applyBorder="1" applyAlignment="1">
      <alignment horizontal="center" vertical="center" shrinkToFit="1"/>
    </xf>
    <xf numFmtId="0" fontId="11" fillId="4" borderId="67" xfId="0" applyNumberFormat="1" applyFont="1" applyFill="1" applyBorder="1" applyAlignment="1">
      <alignment horizontal="center" vertical="center" shrinkToFit="1"/>
    </xf>
    <xf numFmtId="2" fontId="11" fillId="4" borderId="54" xfId="0" applyNumberFormat="1" applyFont="1" applyFill="1" applyBorder="1" applyAlignment="1">
      <alignment horizontal="center" vertical="center" shrinkToFit="1"/>
    </xf>
    <xf numFmtId="2" fontId="11" fillId="4" borderId="23" xfId="0" applyNumberFormat="1" applyFont="1" applyFill="1" applyBorder="1" applyAlignment="1">
      <alignment horizontal="center" vertical="center" shrinkToFit="1"/>
    </xf>
    <xf numFmtId="0" fontId="15" fillId="4" borderId="57" xfId="0" applyFont="1" applyFill="1" applyBorder="1" applyAlignment="1">
      <alignment horizontal="center"/>
    </xf>
    <xf numFmtId="0" fontId="11" fillId="4" borderId="57" xfId="0" applyNumberFormat="1" applyFont="1" applyFill="1" applyBorder="1" applyAlignment="1">
      <alignment horizontal="center" vertical="center" shrinkToFit="1"/>
    </xf>
    <xf numFmtId="0" fontId="11" fillId="4" borderId="119" xfId="0" applyNumberFormat="1" applyFont="1" applyFill="1" applyBorder="1" applyAlignment="1">
      <alignment horizontal="center" vertical="center" shrinkToFit="1"/>
    </xf>
    <xf numFmtId="2" fontId="10" fillId="11" borderId="95" xfId="0" applyNumberFormat="1" applyFont="1" applyFill="1" applyBorder="1" applyAlignment="1">
      <alignment horizontal="center" vertical="center" shrinkToFit="1"/>
    </xf>
    <xf numFmtId="0" fontId="10" fillId="11" borderId="13" xfId="0" applyNumberFormat="1" applyFont="1" applyFill="1" applyBorder="1" applyAlignment="1">
      <alignment horizontal="center" vertical="center" shrinkToFit="1"/>
    </xf>
    <xf numFmtId="1" fontId="3" fillId="22" borderId="10" xfId="0" applyNumberFormat="1" applyFont="1" applyFill="1" applyBorder="1" applyAlignment="1">
      <alignment horizontal="center" vertical="center"/>
    </xf>
    <xf numFmtId="0" fontId="2" fillId="28" borderId="80" xfId="0" applyFont="1" applyFill="1" applyBorder="1" applyAlignment="1">
      <alignment vertical="center"/>
    </xf>
    <xf numFmtId="0" fontId="7" fillId="31" borderId="21" xfId="0" applyFont="1" applyFill="1" applyBorder="1" applyAlignment="1">
      <alignment vertical="center"/>
    </xf>
    <xf numFmtId="0" fontId="2" fillId="0" borderId="91" xfId="0" applyFont="1" applyBorder="1" applyAlignment="1">
      <alignment vertical="center"/>
    </xf>
    <xf numFmtId="0" fontId="2" fillId="0" borderId="81" xfId="0" applyFont="1" applyBorder="1" applyAlignment="1">
      <alignment vertical="center"/>
    </xf>
    <xf numFmtId="0" fontId="7" fillId="31" borderId="76" xfId="0" applyFont="1" applyFill="1" applyBorder="1" applyAlignment="1">
      <alignment vertical="center"/>
    </xf>
    <xf numFmtId="0" fontId="7" fillId="31" borderId="77" xfId="0" applyFont="1" applyFill="1" applyBorder="1" applyAlignment="1">
      <alignment vertical="center"/>
    </xf>
    <xf numFmtId="1" fontId="7" fillId="31" borderId="81" xfId="0" applyNumberFormat="1" applyFont="1" applyFill="1" applyBorder="1" applyAlignment="1">
      <alignment vertical="center"/>
    </xf>
    <xf numFmtId="1" fontId="19" fillId="0" borderId="55" xfId="0" applyNumberFormat="1" applyFont="1" applyBorder="1" applyAlignment="1">
      <alignment horizontal="center" vertical="center"/>
    </xf>
    <xf numFmtId="0" fontId="42" fillId="28" borderId="95" xfId="0" applyFont="1" applyFill="1" applyBorder="1" applyAlignment="1">
      <alignment horizontal="center" vertical="center"/>
    </xf>
    <xf numFmtId="0" fontId="41" fillId="0" borderId="108" xfId="0" applyFont="1" applyBorder="1" applyAlignment="1">
      <alignment horizontal="center" vertical="center"/>
    </xf>
    <xf numFmtId="0" fontId="41" fillId="0" borderId="70" xfId="0" applyFont="1" applyBorder="1" applyAlignment="1">
      <alignment horizontal="center" vertical="center"/>
    </xf>
    <xf numFmtId="1" fontId="33" fillId="0" borderId="110" xfId="0" applyNumberFormat="1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/>
    </xf>
    <xf numFmtId="0" fontId="40" fillId="0" borderId="53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/>
    </xf>
    <xf numFmtId="2" fontId="47" fillId="2" borderId="0" xfId="0" applyNumberFormat="1" applyFont="1" applyFill="1" applyAlignment="1">
      <alignment vertical="center"/>
    </xf>
    <xf numFmtId="1" fontId="50" fillId="0" borderId="37" xfId="0" applyNumberFormat="1" applyFont="1" applyFill="1" applyBorder="1" applyAlignment="1">
      <alignment horizontal="center" vertical="center"/>
    </xf>
    <xf numFmtId="1" fontId="50" fillId="0" borderId="41" xfId="0" applyNumberFormat="1" applyFont="1" applyFill="1" applyBorder="1" applyAlignment="1">
      <alignment horizontal="center" vertical="center"/>
    </xf>
    <xf numFmtId="1" fontId="50" fillId="0" borderId="62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/>
    </xf>
    <xf numFmtId="0" fontId="8" fillId="0" borderId="72" xfId="0" applyFont="1" applyBorder="1" applyAlignment="1">
      <alignment horizontal="center" vertical="center"/>
    </xf>
    <xf numFmtId="0" fontId="2" fillId="28" borderId="0" xfId="0" applyFont="1" applyFill="1" applyBorder="1" applyAlignment="1">
      <alignment horizontal="center" vertical="center" wrapText="1"/>
    </xf>
    <xf numFmtId="0" fontId="3" fillId="28" borderId="0" xfId="0" applyFont="1" applyFill="1" applyBorder="1" applyAlignment="1">
      <alignment horizontal="center" vertical="center"/>
    </xf>
    <xf numFmtId="1" fontId="2" fillId="28" borderId="0" xfId="0" applyNumberFormat="1" applyFont="1" applyFill="1" applyBorder="1" applyAlignment="1">
      <alignment horizontal="center" vertical="center"/>
    </xf>
    <xf numFmtId="0" fontId="7" fillId="3" borderId="141" xfId="0" applyFont="1" applyFill="1" applyBorder="1" applyAlignment="1">
      <alignment horizontal="center" vertical="center" wrapText="1"/>
    </xf>
    <xf numFmtId="0" fontId="2" fillId="3" borderId="22" xfId="0" applyNumberFormat="1" applyFont="1" applyFill="1" applyBorder="1" applyAlignment="1">
      <alignment horizontal="center" vertical="center"/>
    </xf>
    <xf numFmtId="0" fontId="2" fillId="3" borderId="119" xfId="0" applyNumberFormat="1" applyFont="1" applyFill="1" applyBorder="1" applyAlignment="1">
      <alignment horizontal="center" vertical="center"/>
    </xf>
    <xf numFmtId="1" fontId="34" fillId="0" borderId="60" xfId="0" applyNumberFormat="1" applyFont="1" applyBorder="1" applyAlignment="1">
      <alignment horizontal="center" vertical="center"/>
    </xf>
    <xf numFmtId="1" fontId="34" fillId="0" borderId="62" xfId="0" applyNumberFormat="1" applyFont="1" applyBorder="1" applyAlignment="1">
      <alignment horizontal="center" vertical="center"/>
    </xf>
    <xf numFmtId="1" fontId="34" fillId="0" borderId="64" xfId="0" applyNumberFormat="1" applyFont="1" applyBorder="1" applyAlignment="1">
      <alignment horizontal="center" vertical="center"/>
    </xf>
    <xf numFmtId="1" fontId="50" fillId="0" borderId="51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22" borderId="59" xfId="0" applyNumberFormat="1" applyFont="1" applyFill="1" applyBorder="1" applyAlignment="1">
      <alignment horizontal="center" vertical="center"/>
    </xf>
    <xf numFmtId="1" fontId="7" fillId="9" borderId="23" xfId="0" applyNumberFormat="1" applyFont="1" applyFill="1" applyBorder="1" applyAlignment="1">
      <alignment horizontal="center" vertical="center"/>
    </xf>
    <xf numFmtId="0" fontId="5" fillId="28" borderId="0" xfId="0" applyNumberFormat="1" applyFont="1" applyFill="1" applyBorder="1" applyAlignment="1">
      <alignment horizontal="center" vertical="center"/>
    </xf>
    <xf numFmtId="9" fontId="2" fillId="28" borderId="0" xfId="1" applyFont="1" applyFill="1" applyAlignment="1">
      <alignment horizontal="center" vertical="center"/>
    </xf>
    <xf numFmtId="0" fontId="2" fillId="28" borderId="0" xfId="0" applyNumberFormat="1" applyFont="1" applyFill="1" applyAlignment="1">
      <alignment horizontal="center" vertical="center"/>
    </xf>
    <xf numFmtId="0" fontId="3" fillId="28" borderId="0" xfId="0" applyFont="1" applyFill="1" applyAlignment="1">
      <alignment horizontal="center" vertical="center"/>
    </xf>
    <xf numFmtId="0" fontId="3" fillId="28" borderId="0" xfId="0" applyNumberFormat="1" applyFont="1" applyFill="1" applyAlignment="1">
      <alignment horizontal="center" vertical="center"/>
    </xf>
    <xf numFmtId="1" fontId="7" fillId="28" borderId="75" xfId="0" applyNumberFormat="1" applyFont="1" applyFill="1" applyBorder="1" applyAlignment="1">
      <alignment horizontal="center" vertical="center"/>
    </xf>
    <xf numFmtId="1" fontId="2" fillId="28" borderId="0" xfId="0" applyNumberFormat="1" applyFont="1" applyFill="1" applyAlignment="1">
      <alignment horizontal="center" vertical="center"/>
    </xf>
    <xf numFmtId="0" fontId="2" fillId="28" borderId="0" xfId="0" applyFont="1" applyFill="1" applyAlignment="1">
      <alignment horizontal="right" vertical="center"/>
    </xf>
    <xf numFmtId="0" fontId="2" fillId="3" borderId="117" xfId="0" applyNumberFormat="1" applyFont="1" applyFill="1" applyBorder="1" applyAlignment="1">
      <alignment horizontal="center" vertical="center"/>
    </xf>
    <xf numFmtId="0" fontId="7" fillId="3" borderId="30" xfId="0" applyFont="1" applyFill="1" applyBorder="1" applyAlignment="1">
      <alignment horizontal="center" vertical="center" wrapText="1"/>
    </xf>
    <xf numFmtId="0" fontId="2" fillId="0" borderId="61" xfId="0" applyFont="1" applyFill="1" applyBorder="1" applyAlignment="1">
      <alignment horizontal="right" vertical="center"/>
    </xf>
    <xf numFmtId="0" fontId="41" fillId="3" borderId="141" xfId="0" applyFont="1" applyFill="1" applyBorder="1" applyAlignment="1">
      <alignment horizontal="center" vertical="center" wrapText="1"/>
    </xf>
    <xf numFmtId="0" fontId="41" fillId="3" borderId="59" xfId="0" applyFont="1" applyFill="1" applyBorder="1" applyAlignment="1">
      <alignment horizontal="center" vertical="center" wrapText="1"/>
    </xf>
    <xf numFmtId="1" fontId="51" fillId="0" borderId="37" xfId="0" applyNumberFormat="1" applyFont="1" applyFill="1" applyBorder="1" applyAlignment="1">
      <alignment horizontal="center" vertical="center"/>
    </xf>
    <xf numFmtId="1" fontId="51" fillId="0" borderId="41" xfId="0" applyNumberFormat="1" applyFont="1" applyFill="1" applyBorder="1" applyAlignment="1">
      <alignment horizontal="center" vertical="center"/>
    </xf>
    <xf numFmtId="1" fontId="51" fillId="0" borderId="51" xfId="0" applyNumberFormat="1" applyFont="1" applyFill="1" applyBorder="1" applyAlignment="1">
      <alignment horizontal="center" vertical="center"/>
    </xf>
    <xf numFmtId="1" fontId="41" fillId="22" borderId="10" xfId="0" applyNumberFormat="1" applyFont="1" applyFill="1" applyBorder="1" applyAlignment="1">
      <alignment horizontal="center" vertical="center"/>
    </xf>
    <xf numFmtId="164" fontId="41" fillId="7" borderId="10" xfId="0" applyNumberFormat="1" applyFont="1" applyFill="1" applyBorder="1" applyAlignment="1">
      <alignment horizontal="center" vertical="center"/>
    </xf>
    <xf numFmtId="0" fontId="41" fillId="9" borderId="22" xfId="0" applyFont="1" applyFill="1" applyBorder="1" applyAlignment="1">
      <alignment horizontal="right" vertical="center"/>
    </xf>
    <xf numFmtId="1" fontId="41" fillId="9" borderId="23" xfId="0" applyNumberFormat="1" applyFont="1" applyFill="1" applyBorder="1" applyAlignment="1">
      <alignment horizontal="center" vertical="center"/>
    </xf>
    <xf numFmtId="1" fontId="41" fillId="9" borderId="24" xfId="0" applyNumberFormat="1" applyFont="1" applyFill="1" applyBorder="1" applyAlignment="1">
      <alignment horizontal="center" vertical="center"/>
    </xf>
    <xf numFmtId="0" fontId="41" fillId="28" borderId="0" xfId="0" applyFont="1" applyFill="1" applyAlignment="1">
      <alignment vertical="center"/>
    </xf>
    <xf numFmtId="0" fontId="52" fillId="16" borderId="67" xfId="0" applyFont="1" applyFill="1" applyBorder="1" applyAlignment="1">
      <alignment horizontal="center" vertical="center"/>
    </xf>
    <xf numFmtId="1" fontId="2" fillId="0" borderId="42" xfId="0" applyNumberFormat="1" applyFont="1" applyBorder="1" applyAlignment="1">
      <alignment horizontal="center" vertical="center"/>
    </xf>
    <xf numFmtId="1" fontId="2" fillId="0" borderId="48" xfId="0" applyNumberFormat="1" applyFont="1" applyBorder="1" applyAlignment="1">
      <alignment horizontal="center" vertical="center"/>
    </xf>
    <xf numFmtId="1" fontId="2" fillId="0" borderId="64" xfId="0" applyNumberFormat="1" applyFont="1" applyBorder="1" applyAlignment="1">
      <alignment horizontal="center" vertical="center"/>
    </xf>
    <xf numFmtId="1" fontId="2" fillId="8" borderId="56" xfId="0" applyNumberFormat="1" applyFont="1" applyFill="1" applyBorder="1" applyAlignment="1">
      <alignment horizontal="center" vertical="center"/>
    </xf>
    <xf numFmtId="0" fontId="44" fillId="16" borderId="12" xfId="0" applyFont="1" applyFill="1" applyBorder="1" applyAlignment="1">
      <alignment horizontal="center" vertical="center" wrapText="1"/>
    </xf>
    <xf numFmtId="1" fontId="35" fillId="0" borderId="108" xfId="0" applyNumberFormat="1" applyFont="1" applyBorder="1" applyAlignment="1">
      <alignment horizontal="center" vertical="center"/>
    </xf>
    <xf numFmtId="1" fontId="35" fillId="0" borderId="107" xfId="0" applyNumberFormat="1" applyFont="1" applyBorder="1" applyAlignment="1">
      <alignment horizontal="center" vertical="center"/>
    </xf>
    <xf numFmtId="1" fontId="35" fillId="0" borderId="68" xfId="0" applyNumberFormat="1" applyFont="1" applyBorder="1" applyAlignment="1">
      <alignment horizontal="center" vertical="center"/>
    </xf>
    <xf numFmtId="1" fontId="35" fillId="0" borderId="170" xfId="0" applyNumberFormat="1" applyFont="1" applyBorder="1" applyAlignment="1">
      <alignment horizontal="center" vertical="center"/>
    </xf>
    <xf numFmtId="1" fontId="35" fillId="0" borderId="101" xfId="0" applyNumberFormat="1" applyFont="1" applyBorder="1" applyAlignment="1">
      <alignment horizontal="center" vertical="center"/>
    </xf>
    <xf numFmtId="164" fontId="39" fillId="24" borderId="95" xfId="0" applyNumberFormat="1" applyFont="1" applyFill="1" applyBorder="1" applyAlignment="1">
      <alignment horizontal="center" vertical="center"/>
    </xf>
    <xf numFmtId="164" fontId="39" fillId="24" borderId="96" xfId="0" applyNumberFormat="1" applyFont="1" applyFill="1" applyBorder="1" applyAlignment="1">
      <alignment horizontal="center" vertical="center"/>
    </xf>
    <xf numFmtId="1" fontId="35" fillId="0" borderId="70" xfId="0" applyNumberFormat="1" applyFont="1" applyBorder="1" applyAlignment="1">
      <alignment horizontal="center" vertical="center"/>
    </xf>
    <xf numFmtId="1" fontId="35" fillId="0" borderId="105" xfId="0" applyNumberFormat="1" applyFont="1" applyBorder="1" applyAlignment="1">
      <alignment horizontal="center" vertical="center"/>
    </xf>
    <xf numFmtId="1" fontId="35" fillId="0" borderId="106" xfId="0" applyNumberFormat="1" applyFont="1" applyBorder="1" applyAlignment="1">
      <alignment horizontal="center" vertical="center"/>
    </xf>
    <xf numFmtId="1" fontId="26" fillId="27" borderId="118" xfId="0" applyNumberFormat="1" applyFont="1" applyFill="1" applyBorder="1" applyAlignment="1">
      <alignment horizontal="center" vertical="center"/>
    </xf>
    <xf numFmtId="1" fontId="26" fillId="9" borderId="31" xfId="0" applyNumberFormat="1" applyFont="1" applyFill="1" applyBorder="1" applyAlignment="1">
      <alignment horizontal="center" vertical="center"/>
    </xf>
    <xf numFmtId="1" fontId="26" fillId="27" borderId="117" xfId="0" applyNumberFormat="1" applyFont="1" applyFill="1" applyBorder="1" applyAlignment="1">
      <alignment horizontal="center" vertical="center"/>
    </xf>
    <xf numFmtId="164" fontId="26" fillId="27" borderId="27" xfId="0" applyNumberFormat="1" applyFont="1" applyFill="1" applyBorder="1" applyAlignment="1">
      <alignment horizontal="center" vertical="center"/>
    </xf>
    <xf numFmtId="1" fontId="5" fillId="9" borderId="91" xfId="0" applyNumberFormat="1" applyFont="1" applyFill="1" applyBorder="1" applyAlignment="1">
      <alignment horizontal="center" vertical="center"/>
    </xf>
    <xf numFmtId="1" fontId="2" fillId="0" borderId="68" xfId="0" applyNumberFormat="1" applyFont="1" applyFill="1" applyBorder="1" applyAlignment="1">
      <alignment horizontal="center" vertical="center"/>
    </xf>
    <xf numFmtId="1" fontId="2" fillId="15" borderId="68" xfId="0" applyNumberFormat="1" applyFont="1" applyFill="1" applyBorder="1" applyAlignment="1">
      <alignment horizontal="center" vertical="center"/>
    </xf>
    <xf numFmtId="2" fontId="2" fillId="0" borderId="68" xfId="0" applyNumberFormat="1" applyFont="1" applyFill="1" applyBorder="1" applyAlignment="1">
      <alignment horizontal="center" vertical="center"/>
    </xf>
    <xf numFmtId="0" fontId="31" fillId="27" borderId="91" xfId="1" applyNumberFormat="1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vertical="center"/>
    </xf>
    <xf numFmtId="1" fontId="7" fillId="0" borderId="54" xfId="0" applyNumberFormat="1" applyFont="1" applyBorder="1" applyAlignment="1">
      <alignment horizontal="center" vertical="center"/>
    </xf>
    <xf numFmtId="1" fontId="7" fillId="0" borderId="53" xfId="0" applyNumberFormat="1" applyFont="1" applyBorder="1" applyAlignment="1">
      <alignment horizontal="center" vertical="center"/>
    </xf>
    <xf numFmtId="1" fontId="7" fillId="0" borderId="109" xfId="0" applyNumberFormat="1" applyFont="1" applyBorder="1" applyAlignment="1">
      <alignment horizontal="center" vertical="center"/>
    </xf>
    <xf numFmtId="1" fontId="7" fillId="0" borderId="72" xfId="0" applyNumberFormat="1" applyFont="1" applyBorder="1" applyAlignment="1">
      <alignment horizontal="center" vertical="center"/>
    </xf>
    <xf numFmtId="0" fontId="3" fillId="4" borderId="12" xfId="0" applyNumberFormat="1" applyFont="1" applyFill="1" applyBorder="1" applyAlignment="1">
      <alignment horizontal="center" vertical="center"/>
    </xf>
    <xf numFmtId="0" fontId="3" fillId="4" borderId="13" xfId="0" applyNumberFormat="1" applyFont="1" applyFill="1" applyBorder="1" applyAlignment="1">
      <alignment horizontal="center" vertical="center"/>
    </xf>
    <xf numFmtId="0" fontId="3" fillId="4" borderId="14" xfId="0" applyNumberFormat="1" applyFont="1" applyFill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right" vertical="center"/>
    </xf>
    <xf numFmtId="0" fontId="41" fillId="0" borderId="0" xfId="0" applyNumberFormat="1" applyFont="1" applyAlignment="1">
      <alignment horizontal="center" vertical="center"/>
    </xf>
    <xf numFmtId="0" fontId="41" fillId="0" borderId="0" xfId="0" applyFont="1" applyAlignment="1">
      <alignment vertical="center"/>
    </xf>
    <xf numFmtId="0" fontId="41" fillId="2" borderId="2" xfId="0" applyFont="1" applyFill="1" applyBorder="1" applyAlignment="1">
      <alignment vertical="center"/>
    </xf>
    <xf numFmtId="0" fontId="41" fillId="2" borderId="3" xfId="0" applyFont="1" applyFill="1" applyBorder="1" applyAlignment="1">
      <alignment vertical="center"/>
    </xf>
    <xf numFmtId="0" fontId="41" fillId="0" borderId="0" xfId="0" applyFont="1" applyFill="1" applyBorder="1" applyAlignment="1">
      <alignment vertical="center"/>
    </xf>
    <xf numFmtId="0" fontId="41" fillId="0" borderId="0" xfId="0" applyFont="1" applyFill="1" applyBorder="1" applyAlignment="1">
      <alignment horizontal="center" vertical="center"/>
    </xf>
    <xf numFmtId="0" fontId="41" fillId="3" borderId="22" xfId="0" applyNumberFormat="1" applyFont="1" applyFill="1" applyBorder="1" applyAlignment="1">
      <alignment horizontal="center" vertical="center"/>
    </xf>
    <xf numFmtId="0" fontId="41" fillId="3" borderId="23" xfId="0" applyNumberFormat="1" applyFont="1" applyFill="1" applyBorder="1" applyAlignment="1">
      <alignment horizontal="center" vertical="center"/>
    </xf>
    <xf numFmtId="0" fontId="41" fillId="3" borderId="119" xfId="0" applyNumberFormat="1" applyFont="1" applyFill="1" applyBorder="1" applyAlignment="1">
      <alignment horizontal="center" vertical="center"/>
    </xf>
    <xf numFmtId="0" fontId="41" fillId="3" borderId="29" xfId="0" applyNumberFormat="1" applyFont="1" applyFill="1" applyBorder="1" applyAlignment="1">
      <alignment horizontal="center" vertical="center"/>
    </xf>
    <xf numFmtId="0" fontId="41" fillId="3" borderId="59" xfId="0" applyNumberFormat="1" applyFont="1" applyFill="1" applyBorder="1" applyAlignment="1">
      <alignment horizontal="center" vertical="center"/>
    </xf>
    <xf numFmtId="0" fontId="41" fillId="3" borderId="30" xfId="0" applyNumberFormat="1" applyFont="1" applyFill="1" applyBorder="1" applyAlignment="1">
      <alignment horizontal="center" vertical="center"/>
    </xf>
    <xf numFmtId="0" fontId="41" fillId="3" borderId="117" xfId="0" applyNumberFormat="1" applyFont="1" applyFill="1" applyBorder="1" applyAlignment="1">
      <alignment horizontal="center" vertical="center"/>
    </xf>
    <xf numFmtId="0" fontId="41" fillId="4" borderId="29" xfId="0" applyNumberFormat="1" applyFont="1" applyFill="1" applyBorder="1" applyAlignment="1">
      <alignment horizontal="center" vertical="center"/>
    </xf>
    <xf numFmtId="0" fontId="41" fillId="4" borderId="81" xfId="0" applyNumberFormat="1" applyFont="1" applyFill="1" applyBorder="1" applyAlignment="1">
      <alignment horizontal="center" vertical="center"/>
    </xf>
    <xf numFmtId="1" fontId="51" fillId="0" borderId="6" xfId="0" applyNumberFormat="1" applyFont="1" applyBorder="1" applyAlignment="1">
      <alignment horizontal="center" vertical="center"/>
    </xf>
    <xf numFmtId="1" fontId="51" fillId="0" borderId="37" xfId="0" applyNumberFormat="1" applyFont="1" applyBorder="1" applyAlignment="1">
      <alignment horizontal="center" vertical="center"/>
    </xf>
    <xf numFmtId="1" fontId="51" fillId="0" borderId="114" xfId="0" applyNumberFormat="1" applyFont="1" applyBorder="1" applyAlignment="1">
      <alignment horizontal="center" vertical="center"/>
    </xf>
    <xf numFmtId="1" fontId="51" fillId="0" borderId="7" xfId="0" applyNumberFormat="1" applyFont="1" applyBorder="1" applyAlignment="1">
      <alignment horizontal="center" vertical="center"/>
    </xf>
    <xf numFmtId="1" fontId="41" fillId="0" borderId="54" xfId="0" applyNumberFormat="1" applyFont="1" applyFill="1" applyBorder="1" applyAlignment="1">
      <alignment horizontal="center" vertical="center"/>
    </xf>
    <xf numFmtId="0" fontId="41" fillId="0" borderId="55" xfId="0" applyFont="1" applyFill="1" applyBorder="1" applyAlignment="1">
      <alignment horizontal="center" vertical="center"/>
    </xf>
    <xf numFmtId="1" fontId="51" fillId="0" borderId="39" xfId="0" applyNumberFormat="1" applyFont="1" applyBorder="1" applyAlignment="1">
      <alignment horizontal="center" vertical="center"/>
    </xf>
    <xf numFmtId="1" fontId="51" fillId="0" borderId="41" xfId="0" applyNumberFormat="1" applyFont="1" applyBorder="1" applyAlignment="1">
      <alignment horizontal="center" vertical="center"/>
    </xf>
    <xf numFmtId="1" fontId="51" fillId="0" borderId="115" xfId="0" applyNumberFormat="1" applyFont="1" applyBorder="1" applyAlignment="1">
      <alignment horizontal="center" vertical="center"/>
    </xf>
    <xf numFmtId="1" fontId="51" fillId="0" borderId="42" xfId="0" applyNumberFormat="1" applyFont="1" applyBorder="1" applyAlignment="1">
      <alignment horizontal="center" vertical="center"/>
    </xf>
    <xf numFmtId="1" fontId="51" fillId="0" borderId="44" xfId="0" applyNumberFormat="1" applyFont="1" applyBorder="1" applyAlignment="1">
      <alignment horizontal="center" vertical="center"/>
    </xf>
    <xf numFmtId="1" fontId="51" fillId="0" borderId="46" xfId="0" applyNumberFormat="1" applyFont="1" applyBorder="1" applyAlignment="1">
      <alignment horizontal="center" vertical="center"/>
    </xf>
    <xf numFmtId="1" fontId="51" fillId="0" borderId="116" xfId="0" applyNumberFormat="1" applyFont="1" applyBorder="1" applyAlignment="1">
      <alignment horizontal="center" vertical="center"/>
    </xf>
    <xf numFmtId="1" fontId="51" fillId="0" borderId="48" xfId="0" applyNumberFormat="1" applyFont="1" applyBorder="1" applyAlignment="1">
      <alignment horizontal="center" vertical="center"/>
    </xf>
    <xf numFmtId="1" fontId="51" fillId="4" borderId="52" xfId="0" applyNumberFormat="1" applyFont="1" applyFill="1" applyBorder="1" applyAlignment="1">
      <alignment horizontal="center" vertical="center"/>
    </xf>
    <xf numFmtId="1" fontId="51" fillId="4" borderId="54" xfId="0" applyNumberFormat="1" applyFont="1" applyFill="1" applyBorder="1" applyAlignment="1">
      <alignment horizontal="center" vertical="center"/>
    </xf>
    <xf numFmtId="1" fontId="51" fillId="4" borderId="68" xfId="0" applyNumberFormat="1" applyFont="1" applyFill="1" applyBorder="1" applyAlignment="1">
      <alignment horizontal="center" vertical="center"/>
    </xf>
    <xf numFmtId="1" fontId="51" fillId="4" borderId="56" xfId="0" applyNumberFormat="1" applyFont="1" applyFill="1" applyBorder="1" applyAlignment="1">
      <alignment horizontal="center" vertical="center"/>
    </xf>
    <xf numFmtId="0" fontId="41" fillId="4" borderId="54" xfId="0" applyNumberFormat="1" applyFont="1" applyFill="1" applyBorder="1" applyAlignment="1">
      <alignment horizontal="center" vertical="center"/>
    </xf>
    <xf numFmtId="0" fontId="41" fillId="4" borderId="55" xfId="0" applyNumberFormat="1" applyFont="1" applyFill="1" applyBorder="1" applyAlignment="1">
      <alignment horizontal="center" vertical="center"/>
    </xf>
    <xf numFmtId="1" fontId="41" fillId="7" borderId="52" xfId="0" applyNumberFormat="1" applyFont="1" applyFill="1" applyBorder="1" applyAlignment="1">
      <alignment horizontal="center" vertical="center"/>
    </xf>
    <xf numFmtId="1" fontId="41" fillId="7" borderId="54" xfId="0" applyNumberFormat="1" applyFont="1" applyFill="1" applyBorder="1" applyAlignment="1">
      <alignment horizontal="center" vertical="center"/>
    </xf>
    <xf numFmtId="1" fontId="41" fillId="7" borderId="68" xfId="0" applyNumberFormat="1" applyFont="1" applyFill="1" applyBorder="1" applyAlignment="1">
      <alignment horizontal="center" vertical="center"/>
    </xf>
    <xf numFmtId="1" fontId="41" fillId="7" borderId="56" xfId="0" applyNumberFormat="1" applyFont="1" applyFill="1" applyBorder="1" applyAlignment="1">
      <alignment horizontal="center" vertical="center"/>
    </xf>
    <xf numFmtId="1" fontId="41" fillId="15" borderId="54" xfId="0" applyNumberFormat="1" applyFont="1" applyFill="1" applyBorder="1" applyAlignment="1">
      <alignment horizontal="center" vertical="center"/>
    </xf>
    <xf numFmtId="0" fontId="41" fillId="15" borderId="55" xfId="0" applyFont="1" applyFill="1" applyBorder="1" applyAlignment="1">
      <alignment horizontal="center" vertical="center"/>
    </xf>
    <xf numFmtId="9" fontId="41" fillId="8" borderId="56" xfId="1" applyFont="1" applyFill="1" applyBorder="1" applyAlignment="1">
      <alignment horizontal="center" vertical="center"/>
    </xf>
    <xf numFmtId="0" fontId="41" fillId="8" borderId="54" xfId="0" applyNumberFormat="1" applyFont="1" applyFill="1" applyBorder="1" applyAlignment="1">
      <alignment horizontal="center" vertical="center"/>
    </xf>
    <xf numFmtId="0" fontId="41" fillId="8" borderId="68" xfId="0" applyNumberFormat="1" applyFont="1" applyFill="1" applyBorder="1" applyAlignment="1">
      <alignment horizontal="center" vertical="center"/>
    </xf>
    <xf numFmtId="2" fontId="41" fillId="0" borderId="54" xfId="0" applyNumberFormat="1" applyFont="1" applyFill="1" applyBorder="1" applyAlignment="1">
      <alignment horizontal="center" vertical="center"/>
    </xf>
    <xf numFmtId="1" fontId="41" fillId="9" borderId="21" xfId="0" applyNumberFormat="1" applyFont="1" applyFill="1" applyBorder="1" applyAlignment="1">
      <alignment horizontal="center" vertical="center"/>
    </xf>
    <xf numFmtId="1" fontId="41" fillId="9" borderId="30" xfId="0" applyNumberFormat="1" applyFont="1" applyFill="1" applyBorder="1" applyAlignment="1">
      <alignment horizontal="center" vertical="center"/>
    </xf>
    <xf numFmtId="1" fontId="41" fillId="9" borderId="117" xfId="0" applyNumberFormat="1" applyFont="1" applyFill="1" applyBorder="1" applyAlignment="1">
      <alignment horizontal="center" vertical="center"/>
    </xf>
    <xf numFmtId="0" fontId="17" fillId="27" borderId="21" xfId="1" applyNumberFormat="1" applyFont="1" applyFill="1" applyBorder="1" applyAlignment="1">
      <alignment horizontal="center" vertical="center"/>
    </xf>
    <xf numFmtId="0" fontId="17" fillId="27" borderId="66" xfId="1" applyNumberFormat="1" applyFont="1" applyFill="1" applyBorder="1" applyAlignment="1">
      <alignment horizontal="center" vertical="center"/>
    </xf>
    <xf numFmtId="0" fontId="41" fillId="28" borderId="0" xfId="0" applyFont="1" applyFill="1" applyBorder="1" applyAlignment="1">
      <alignment horizontal="right" vertical="center"/>
    </xf>
    <xf numFmtId="1" fontId="41" fillId="28" borderId="0" xfId="0" applyNumberFormat="1" applyFont="1" applyFill="1" applyBorder="1" applyAlignment="1">
      <alignment horizontal="center" vertical="center"/>
    </xf>
    <xf numFmtId="0" fontId="41" fillId="28" borderId="0" xfId="0" applyNumberFormat="1" applyFont="1" applyFill="1" applyBorder="1" applyAlignment="1">
      <alignment horizontal="center" vertical="center"/>
    </xf>
    <xf numFmtId="9" fontId="41" fillId="28" borderId="0" xfId="1" applyFont="1" applyFill="1" applyAlignment="1">
      <alignment horizontal="center" vertical="center"/>
    </xf>
    <xf numFmtId="0" fontId="41" fillId="28" borderId="0" xfId="0" applyNumberFormat="1" applyFont="1" applyFill="1" applyAlignment="1">
      <alignment horizontal="center" vertical="center"/>
    </xf>
    <xf numFmtId="0" fontId="41" fillId="28" borderId="0" xfId="0" applyFont="1" applyFill="1" applyAlignment="1">
      <alignment horizontal="center" vertical="center"/>
    </xf>
    <xf numFmtId="1" fontId="41" fillId="28" borderId="0" xfId="0" applyNumberFormat="1" applyFont="1" applyFill="1" applyAlignment="1">
      <alignment horizontal="center" vertical="center"/>
    </xf>
    <xf numFmtId="0" fontId="41" fillId="28" borderId="0" xfId="0" applyFont="1" applyFill="1" applyBorder="1" applyAlignment="1">
      <alignment vertical="center"/>
    </xf>
    <xf numFmtId="0" fontId="41" fillId="28" borderId="0" xfId="0" applyFont="1" applyFill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1" fontId="41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4" fillId="0" borderId="6" xfId="0" applyFont="1" applyBorder="1" applyAlignment="1">
      <alignment horizontal="right" vertical="center"/>
    </xf>
    <xf numFmtId="0" fontId="14" fillId="0" borderId="39" xfId="0" applyFont="1" applyBorder="1" applyAlignment="1">
      <alignment horizontal="right" vertical="center"/>
    </xf>
    <xf numFmtId="0" fontId="14" fillId="0" borderId="44" xfId="0" applyFont="1" applyBorder="1" applyAlignment="1">
      <alignment horizontal="right" vertical="center"/>
    </xf>
    <xf numFmtId="0" fontId="14" fillId="4" borderId="52" xfId="0" applyFont="1" applyFill="1" applyBorder="1" applyAlignment="1">
      <alignment horizontal="right" vertical="center"/>
    </xf>
    <xf numFmtId="0" fontId="14" fillId="0" borderId="60" xfId="0" applyFont="1" applyBorder="1" applyAlignment="1">
      <alignment horizontal="right" vertical="center"/>
    </xf>
    <xf numFmtId="0" fontId="14" fillId="7" borderId="52" xfId="0" applyFont="1" applyFill="1" applyBorder="1" applyAlignment="1">
      <alignment horizontal="right" vertical="center"/>
    </xf>
    <xf numFmtId="0" fontId="14" fillId="8" borderId="52" xfId="0" applyFont="1" applyFill="1" applyBorder="1" applyAlignment="1">
      <alignment horizontal="right" vertical="center"/>
    </xf>
    <xf numFmtId="0" fontId="14" fillId="9" borderId="21" xfId="0" applyFont="1" applyFill="1" applyBorder="1" applyAlignment="1">
      <alignment horizontal="right" vertical="center"/>
    </xf>
    <xf numFmtId="0" fontId="14" fillId="28" borderId="0" xfId="0" applyFont="1" applyFill="1" applyBorder="1" applyAlignment="1">
      <alignment horizontal="right" vertical="center"/>
    </xf>
    <xf numFmtId="0" fontId="14" fillId="28" borderId="0" xfId="0" applyFont="1" applyFill="1" applyAlignment="1">
      <alignment horizontal="center" vertical="center"/>
    </xf>
    <xf numFmtId="0" fontId="14" fillId="28" borderId="0" xfId="0" applyFont="1" applyFill="1" applyAlignment="1">
      <alignment horizontal="right" vertical="center"/>
    </xf>
    <xf numFmtId="1" fontId="53" fillId="0" borderId="7" xfId="0" applyNumberFormat="1" applyFont="1" applyBorder="1" applyAlignment="1">
      <alignment horizontal="center" vertical="center"/>
    </xf>
    <xf numFmtId="1" fontId="53" fillId="0" borderId="42" xfId="0" applyNumberFormat="1" applyFont="1" applyBorder="1" applyAlignment="1">
      <alignment horizontal="center" vertical="center"/>
    </xf>
    <xf numFmtId="1" fontId="53" fillId="0" borderId="48" xfId="0" applyNumberFormat="1" applyFont="1" applyBorder="1" applyAlignment="1">
      <alignment horizontal="center" vertical="center"/>
    </xf>
    <xf numFmtId="1" fontId="53" fillId="4" borderId="52" xfId="0" applyNumberFormat="1" applyFont="1" applyFill="1" applyBorder="1" applyAlignment="1">
      <alignment horizontal="center" vertical="center"/>
    </xf>
    <xf numFmtId="1" fontId="53" fillId="4" borderId="54" xfId="0" applyNumberFormat="1" applyFont="1" applyFill="1" applyBorder="1" applyAlignment="1">
      <alignment horizontal="center" vertical="center"/>
    </xf>
    <xf numFmtId="1" fontId="53" fillId="4" borderId="56" xfId="0" applyNumberFormat="1" applyFont="1" applyFill="1" applyBorder="1" applyAlignment="1">
      <alignment horizontal="center" vertical="center"/>
    </xf>
    <xf numFmtId="1" fontId="14" fillId="7" borderId="52" xfId="0" applyNumberFormat="1" applyFont="1" applyFill="1" applyBorder="1" applyAlignment="1">
      <alignment horizontal="center" vertical="center"/>
    </xf>
    <xf numFmtId="1" fontId="14" fillId="7" borderId="54" xfId="0" applyNumberFormat="1" applyFont="1" applyFill="1" applyBorder="1" applyAlignment="1">
      <alignment horizontal="center" vertical="center"/>
    </xf>
    <xf numFmtId="1" fontId="14" fillId="7" borderId="56" xfId="0" applyNumberFormat="1" applyFont="1" applyFill="1" applyBorder="1" applyAlignment="1">
      <alignment horizontal="center" vertical="center"/>
    </xf>
    <xf numFmtId="9" fontId="14" fillId="8" borderId="56" xfId="1" applyFont="1" applyFill="1" applyBorder="1" applyAlignment="1">
      <alignment horizontal="center" vertical="center"/>
    </xf>
    <xf numFmtId="0" fontId="14" fillId="8" borderId="54" xfId="0" applyNumberFormat="1" applyFont="1" applyFill="1" applyBorder="1" applyAlignment="1">
      <alignment horizontal="center" vertical="center"/>
    </xf>
    <xf numFmtId="0" fontId="14" fillId="8" borderId="68" xfId="0" applyNumberFormat="1" applyFont="1" applyFill="1" applyBorder="1" applyAlignment="1">
      <alignment horizontal="center" vertical="center"/>
    </xf>
    <xf numFmtId="1" fontId="14" fillId="9" borderId="21" xfId="0" applyNumberFormat="1" applyFont="1" applyFill="1" applyBorder="1" applyAlignment="1">
      <alignment horizontal="center" vertical="center"/>
    </xf>
    <xf numFmtId="1" fontId="14" fillId="9" borderId="30" xfId="0" applyNumberFormat="1" applyFont="1" applyFill="1" applyBorder="1" applyAlignment="1">
      <alignment horizontal="center" vertical="center"/>
    </xf>
    <xf numFmtId="1" fontId="14" fillId="9" borderId="117" xfId="0" applyNumberFormat="1" applyFont="1" applyFill="1" applyBorder="1" applyAlignment="1">
      <alignment horizontal="center" vertical="center"/>
    </xf>
    <xf numFmtId="1" fontId="14" fillId="0" borderId="32" xfId="0" applyNumberFormat="1" applyFont="1" applyBorder="1" applyAlignment="1">
      <alignment horizontal="center" vertical="center"/>
    </xf>
    <xf numFmtId="1" fontId="14" fillId="0" borderId="40" xfId="0" applyNumberFormat="1" applyFont="1" applyBorder="1" applyAlignment="1">
      <alignment horizontal="center" vertical="center"/>
    </xf>
    <xf numFmtId="1" fontId="14" fillId="0" borderId="45" xfId="0" applyNumberFormat="1" applyFont="1" applyBorder="1" applyAlignment="1">
      <alignment horizontal="center" vertical="center"/>
    </xf>
    <xf numFmtId="1" fontId="14" fillId="4" borderId="53" xfId="0" applyNumberFormat="1" applyFont="1" applyFill="1" applyBorder="1" applyAlignment="1">
      <alignment horizontal="center" vertical="center"/>
    </xf>
    <xf numFmtId="0" fontId="14" fillId="0" borderId="45" xfId="0" applyNumberFormat="1" applyFont="1" applyBorder="1" applyAlignment="1">
      <alignment horizontal="center" vertical="center"/>
    </xf>
    <xf numFmtId="0" fontId="14" fillId="7" borderId="53" xfId="0" applyNumberFormat="1" applyFont="1" applyFill="1" applyBorder="1" applyAlignment="1">
      <alignment horizontal="center" vertical="center"/>
    </xf>
    <xf numFmtId="0" fontId="14" fillId="9" borderId="29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14" fillId="3" borderId="117" xfId="0" applyNumberFormat="1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3" fillId="16" borderId="109" xfId="0" applyFont="1" applyFill="1" applyBorder="1" applyAlignment="1">
      <alignment horizontal="center" vertical="center"/>
    </xf>
    <xf numFmtId="0" fontId="3" fillId="16" borderId="72" xfId="0" applyFont="1" applyFill="1" applyBorder="1" applyAlignment="1">
      <alignment horizontal="center" vertical="center" wrapText="1"/>
    </xf>
    <xf numFmtId="0" fontId="3" fillId="16" borderId="107" xfId="0" applyFont="1" applyFill="1" applyBorder="1" applyAlignment="1">
      <alignment horizontal="center" vertical="center" wrapText="1"/>
    </xf>
    <xf numFmtId="0" fontId="3" fillId="16" borderId="71" xfId="0" applyFont="1" applyFill="1" applyBorder="1" applyAlignment="1">
      <alignment horizontal="center" vertical="center" wrapText="1"/>
    </xf>
    <xf numFmtId="1" fontId="3" fillId="0" borderId="53" xfId="2" applyNumberFormat="1" applyFont="1" applyBorder="1" applyAlignment="1">
      <alignment horizontal="center" vertical="center"/>
    </xf>
    <xf numFmtId="1" fontId="3" fillId="0" borderId="54" xfId="2" applyNumberFormat="1" applyFont="1" applyBorder="1" applyAlignment="1">
      <alignment horizontal="center" vertical="center"/>
    </xf>
    <xf numFmtId="1" fontId="16" fillId="0" borderId="54" xfId="2" applyNumberFormat="1" applyFont="1" applyBorder="1" applyAlignment="1">
      <alignment horizontal="center" vertical="center"/>
    </xf>
    <xf numFmtId="1" fontId="3" fillId="22" borderId="54" xfId="2" applyNumberFormat="1" applyFont="1" applyFill="1" applyBorder="1" applyAlignment="1">
      <alignment horizontal="center" vertical="center"/>
    </xf>
    <xf numFmtId="1" fontId="16" fillId="22" borderId="54" xfId="2" applyNumberFormat="1" applyFont="1" applyFill="1" applyBorder="1" applyAlignment="1">
      <alignment horizontal="center" vertical="center"/>
    </xf>
    <xf numFmtId="1" fontId="3" fillId="22" borderId="55" xfId="2" applyNumberFormat="1" applyFont="1" applyFill="1" applyBorder="1" applyAlignment="1">
      <alignment horizontal="center" vertical="center"/>
    </xf>
    <xf numFmtId="1" fontId="3" fillId="8" borderId="54" xfId="2" applyNumberFormat="1" applyFont="1" applyFill="1" applyBorder="1" applyAlignment="1">
      <alignment horizontal="center" vertical="center"/>
    </xf>
    <xf numFmtId="1" fontId="16" fillId="8" borderId="54" xfId="2" applyNumberFormat="1" applyFont="1" applyFill="1" applyBorder="1" applyAlignment="1">
      <alignment horizontal="center" vertical="center"/>
    </xf>
    <xf numFmtId="1" fontId="3" fillId="8" borderId="55" xfId="2" applyNumberFormat="1" applyFont="1" applyFill="1" applyBorder="1" applyAlignment="1">
      <alignment horizontal="center" vertical="center"/>
    </xf>
    <xf numFmtId="1" fontId="3" fillId="9" borderId="22" xfId="2" applyNumberFormat="1" applyFont="1" applyFill="1" applyBorder="1" applyAlignment="1">
      <alignment horizontal="center" vertical="center"/>
    </xf>
    <xf numFmtId="1" fontId="3" fillId="9" borderId="23" xfId="2" applyNumberFormat="1" applyFont="1" applyFill="1" applyBorder="1" applyAlignment="1">
      <alignment horizontal="center" vertical="center"/>
    </xf>
    <xf numFmtId="1" fontId="16" fillId="9" borderId="23" xfId="2" applyNumberFormat="1" applyFont="1" applyFill="1" applyBorder="1" applyAlignment="1">
      <alignment horizontal="center" vertical="center"/>
    </xf>
    <xf numFmtId="1" fontId="3" fillId="9" borderId="24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8" fillId="16" borderId="118" xfId="0" applyFont="1" applyFill="1" applyBorder="1" applyAlignment="1">
      <alignment horizontal="center"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Border="1" applyAlignment="1">
      <alignment vertical="center" wrapText="1"/>
    </xf>
    <xf numFmtId="0" fontId="35" fillId="0" borderId="0" xfId="0" applyFont="1" applyAlignment="1">
      <alignment vertical="center"/>
    </xf>
    <xf numFmtId="0" fontId="35" fillId="28" borderId="0" xfId="0" applyFont="1" applyFill="1" applyAlignment="1">
      <alignment vertical="center"/>
    </xf>
    <xf numFmtId="9" fontId="0" fillId="0" borderId="72" xfId="1" applyFont="1" applyBorder="1" applyAlignment="1">
      <alignment horizontal="center" vertical="center"/>
    </xf>
    <xf numFmtId="9" fontId="0" fillId="0" borderId="54" xfId="1" applyFont="1" applyBorder="1" applyAlignment="1">
      <alignment horizontal="center" vertical="center"/>
    </xf>
    <xf numFmtId="9" fontId="0" fillId="0" borderId="27" xfId="1" applyFont="1" applyBorder="1" applyAlignment="1">
      <alignment horizontal="center" vertical="center"/>
    </xf>
    <xf numFmtId="9" fontId="27" fillId="24" borderId="12" xfId="1" applyFont="1" applyFill="1" applyBorder="1" applyAlignment="1">
      <alignment horizontal="center" vertical="center"/>
    </xf>
    <xf numFmtId="9" fontId="27" fillId="24" borderId="14" xfId="1" applyFont="1" applyFill="1" applyBorder="1" applyAlignment="1">
      <alignment horizontal="center" vertical="center"/>
    </xf>
    <xf numFmtId="9" fontId="8" fillId="27" borderId="12" xfId="1" applyFont="1" applyFill="1" applyBorder="1" applyAlignment="1">
      <alignment horizontal="center" vertical="center"/>
    </xf>
    <xf numFmtId="9" fontId="8" fillId="27" borderId="14" xfId="1" applyFont="1" applyFill="1" applyBorder="1" applyAlignment="1">
      <alignment horizontal="center" vertical="center"/>
    </xf>
    <xf numFmtId="1" fontId="22" fillId="0" borderId="72" xfId="0" applyNumberFormat="1" applyFont="1" applyBorder="1" applyAlignment="1">
      <alignment horizontal="center" vertical="center"/>
    </xf>
    <xf numFmtId="1" fontId="22" fillId="0" borderId="54" xfId="0" applyNumberFormat="1" applyFont="1" applyBorder="1" applyAlignment="1">
      <alignment horizontal="center" vertical="center"/>
    </xf>
    <xf numFmtId="1" fontId="22" fillId="0" borderId="59" xfId="0" applyNumberFormat="1" applyFont="1" applyBorder="1" applyAlignment="1">
      <alignment horizontal="center" vertical="center"/>
    </xf>
    <xf numFmtId="164" fontId="22" fillId="24" borderId="13" xfId="0" applyNumberFormat="1" applyFont="1" applyFill="1" applyBorder="1" applyAlignment="1">
      <alignment horizontal="center" vertical="center"/>
    </xf>
    <xf numFmtId="1" fontId="22" fillId="0" borderId="27" xfId="0" applyNumberFormat="1" applyFont="1" applyBorder="1" applyAlignment="1">
      <alignment horizontal="center" vertical="center"/>
    </xf>
    <xf numFmtId="0" fontId="2" fillId="3" borderId="12" xfId="0" applyNumberFormat="1" applyFont="1" applyFill="1" applyBorder="1" applyAlignment="1">
      <alignment horizontal="center" vertical="center"/>
    </xf>
    <xf numFmtId="0" fontId="2" fillId="3" borderId="13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8" fillId="0" borderId="55" xfId="0" applyFont="1" applyBorder="1" applyAlignment="1">
      <alignment horizontal="center"/>
    </xf>
    <xf numFmtId="0" fontId="8" fillId="0" borderId="72" xfId="0" applyFont="1" applyBorder="1" applyAlignment="1">
      <alignment horizontal="center" vertical="center"/>
    </xf>
    <xf numFmtId="0" fontId="7" fillId="16" borderId="78" xfId="0" applyFont="1" applyFill="1" applyBorder="1" applyAlignment="1">
      <alignment horizontal="center" vertical="center" wrapText="1"/>
    </xf>
    <xf numFmtId="0" fontId="9" fillId="0" borderId="54" xfId="0" applyFont="1" applyBorder="1" applyAlignment="1">
      <alignment horizontal="center"/>
    </xf>
    <xf numFmtId="0" fontId="9" fillId="28" borderId="68" xfId="0" applyFont="1" applyFill="1" applyBorder="1" applyAlignment="1">
      <alignment horizontal="center"/>
    </xf>
    <xf numFmtId="0" fontId="9" fillId="0" borderId="68" xfId="0" applyFont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7" fillId="0" borderId="0" xfId="0" applyFont="1" applyAlignment="1">
      <alignment horizontal="right" vertical="center"/>
    </xf>
    <xf numFmtId="0" fontId="7" fillId="0" borderId="36" xfId="0" applyFont="1" applyFill="1" applyBorder="1" applyAlignment="1">
      <alignment horizontal="right" vertical="center"/>
    </xf>
    <xf numFmtId="0" fontId="7" fillId="0" borderId="40" xfId="0" applyFont="1" applyFill="1" applyBorder="1" applyAlignment="1">
      <alignment horizontal="right" vertical="center"/>
    </xf>
    <xf numFmtId="0" fontId="7" fillId="0" borderId="50" xfId="0" applyFont="1" applyFill="1" applyBorder="1" applyAlignment="1">
      <alignment horizontal="right" vertical="center"/>
    </xf>
    <xf numFmtId="0" fontId="7" fillId="22" borderId="9" xfId="0" applyFont="1" applyFill="1" applyBorder="1" applyAlignment="1">
      <alignment horizontal="right" vertical="center"/>
    </xf>
    <xf numFmtId="0" fontId="7" fillId="7" borderId="9" xfId="0" applyFont="1" applyFill="1" applyBorder="1" applyAlignment="1">
      <alignment horizontal="right" vertical="center"/>
    </xf>
    <xf numFmtId="0" fontId="7" fillId="9" borderId="22" xfId="0" applyFont="1" applyFill="1" applyBorder="1" applyAlignment="1">
      <alignment horizontal="right" vertical="center"/>
    </xf>
    <xf numFmtId="0" fontId="7" fillId="28" borderId="75" xfId="0" applyFont="1" applyFill="1" applyBorder="1" applyAlignment="1">
      <alignment horizontal="right" vertical="center"/>
    </xf>
    <xf numFmtId="0" fontId="7" fillId="28" borderId="0" xfId="0" applyFont="1" applyFill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28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2" fillId="28" borderId="0" xfId="0" applyFont="1" applyFill="1" applyBorder="1" applyAlignment="1">
      <alignment horizontal="center" vertical="center" wrapText="1"/>
    </xf>
    <xf numFmtId="0" fontId="54" fillId="16" borderId="117" xfId="0" applyFont="1" applyFill="1" applyBorder="1" applyAlignment="1">
      <alignment horizontal="center" vertical="center" wrapText="1"/>
    </xf>
    <xf numFmtId="1" fontId="26" fillId="2" borderId="91" xfId="0" applyNumberFormat="1" applyFont="1" applyFill="1" applyBorder="1" applyAlignment="1">
      <alignment horizontal="center" vertical="center"/>
    </xf>
    <xf numFmtId="1" fontId="2" fillId="0" borderId="63" xfId="0" applyNumberFormat="1" applyFont="1" applyFill="1" applyBorder="1" applyAlignment="1">
      <alignment horizontal="center" vertical="center"/>
    </xf>
    <xf numFmtId="1" fontId="2" fillId="0" borderId="35" xfId="0" applyNumberFormat="1" applyFont="1" applyFill="1" applyBorder="1" applyAlignment="1">
      <alignment horizontal="center" vertical="center"/>
    </xf>
    <xf numFmtId="1" fontId="2" fillId="0" borderId="47" xfId="0" applyNumberFormat="1" applyFont="1" applyFill="1" applyBorder="1" applyAlignment="1">
      <alignment horizontal="center" vertical="center"/>
    </xf>
    <xf numFmtId="1" fontId="7" fillId="22" borderId="10" xfId="0" applyNumberFormat="1" applyFont="1" applyFill="1" applyBorder="1" applyAlignment="1">
      <alignment horizontal="center" vertical="center"/>
    </xf>
    <xf numFmtId="1" fontId="2" fillId="0" borderId="38" xfId="0" applyNumberFormat="1" applyFont="1" applyFill="1" applyBorder="1" applyAlignment="1">
      <alignment horizontal="center" vertical="center"/>
    </xf>
    <xf numFmtId="0" fontId="2" fillId="3" borderId="25" xfId="0" applyNumberFormat="1" applyFont="1" applyFill="1" applyBorder="1" applyAlignment="1">
      <alignment horizontal="center" vertical="center"/>
    </xf>
    <xf numFmtId="9" fontId="2" fillId="8" borderId="52" xfId="1" applyFont="1" applyFill="1" applyBorder="1" applyAlignment="1">
      <alignment horizontal="center" vertical="center"/>
    </xf>
    <xf numFmtId="0" fontId="2" fillId="8" borderId="57" xfId="0" applyNumberFormat="1" applyFont="1" applyFill="1" applyBorder="1" applyAlignment="1">
      <alignment horizontal="center" vertical="center"/>
    </xf>
    <xf numFmtId="0" fontId="2" fillId="3" borderId="81" xfId="0" applyNumberFormat="1" applyFont="1" applyFill="1" applyBorder="1" applyAlignment="1">
      <alignment horizontal="center" vertical="center"/>
    </xf>
    <xf numFmtId="0" fontId="2" fillId="16" borderId="54" xfId="0" applyFont="1" applyFill="1" applyBorder="1" applyAlignment="1">
      <alignment horizontal="center" vertical="center"/>
    </xf>
    <xf numFmtId="14" fontId="19" fillId="0" borderId="2" xfId="0" applyNumberFormat="1" applyFont="1" applyFill="1" applyBorder="1" applyAlignment="1">
      <alignment horizontal="left" vertical="center"/>
    </xf>
    <xf numFmtId="9" fontId="3" fillId="8" borderId="54" xfId="1" applyFont="1" applyFill="1" applyBorder="1" applyAlignment="1">
      <alignment horizontal="center" vertical="center"/>
    </xf>
    <xf numFmtId="0" fontId="3" fillId="8" borderId="54" xfId="0" applyNumberFormat="1" applyFont="1" applyFill="1" applyBorder="1" applyAlignment="1">
      <alignment horizontal="center" vertical="center"/>
    </xf>
    <xf numFmtId="1" fontId="7" fillId="4" borderId="53" xfId="0" applyNumberFormat="1" applyFont="1" applyFill="1" applyBorder="1" applyAlignment="1">
      <alignment horizontal="center" vertical="center"/>
    </xf>
    <xf numFmtId="9" fontId="3" fillId="8" borderId="53" xfId="1" applyFont="1" applyFill="1" applyBorder="1" applyAlignment="1">
      <alignment horizontal="center" vertical="center"/>
    </xf>
    <xf numFmtId="1" fontId="41" fillId="0" borderId="171" xfId="0" applyNumberFormat="1" applyFont="1" applyFill="1" applyBorder="1" applyAlignment="1">
      <alignment horizontal="center" vertical="center"/>
    </xf>
    <xf numFmtId="9" fontId="41" fillId="0" borderId="104" xfId="1" applyFont="1" applyBorder="1" applyAlignment="1">
      <alignment horizontal="center" vertical="center"/>
    </xf>
    <xf numFmtId="9" fontId="41" fillId="0" borderId="43" xfId="1" applyFont="1" applyBorder="1" applyAlignment="1">
      <alignment horizontal="center" vertical="center"/>
    </xf>
    <xf numFmtId="9" fontId="41" fillId="0" borderId="84" xfId="1" applyFont="1" applyBorder="1" applyAlignment="1">
      <alignment horizontal="center" vertical="center"/>
    </xf>
    <xf numFmtId="9" fontId="41" fillId="22" borderId="11" xfId="1" applyFont="1" applyFill="1" applyBorder="1" applyAlignment="1">
      <alignment horizontal="center" vertical="center"/>
    </xf>
    <xf numFmtId="9" fontId="41" fillId="7" borderId="11" xfId="1" applyFont="1" applyFill="1" applyBorder="1" applyAlignment="1">
      <alignment horizontal="center" vertical="center"/>
    </xf>
    <xf numFmtId="0" fontId="41" fillId="7" borderId="11" xfId="0" applyFont="1" applyFill="1" applyBorder="1" applyAlignment="1">
      <alignment horizontal="center" vertical="center"/>
    </xf>
    <xf numFmtId="1" fontId="41" fillId="9" borderId="85" xfId="0" applyNumberFormat="1" applyFont="1" applyFill="1" applyBorder="1" applyAlignment="1">
      <alignment horizontal="center" vertical="center"/>
    </xf>
    <xf numFmtId="1" fontId="41" fillId="7" borderId="170" xfId="0" applyNumberFormat="1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 vertical="center"/>
    </xf>
    <xf numFmtId="0" fontId="2" fillId="16" borderId="56" xfId="0" applyFont="1" applyFill="1" applyBorder="1" applyAlignment="1">
      <alignment horizontal="center" vertical="center" wrapText="1"/>
    </xf>
    <xf numFmtId="1" fontId="2" fillId="0" borderId="56" xfId="2" applyNumberFormat="1" applyFont="1" applyBorder="1" applyAlignment="1">
      <alignment horizontal="center" vertical="center"/>
    </xf>
    <xf numFmtId="1" fontId="2" fillId="22" borderId="56" xfId="2" applyNumberFormat="1" applyFont="1" applyFill="1" applyBorder="1" applyAlignment="1">
      <alignment horizontal="center" vertical="center"/>
    </xf>
    <xf numFmtId="0" fontId="18" fillId="0" borderId="54" xfId="0" applyFont="1" applyBorder="1" applyAlignment="1">
      <alignment horizontal="center" vertical="center"/>
    </xf>
    <xf numFmtId="164" fontId="18" fillId="0" borderId="54" xfId="0" applyNumberFormat="1" applyFont="1" applyBorder="1" applyAlignment="1">
      <alignment horizontal="center" vertical="center"/>
    </xf>
    <xf numFmtId="0" fontId="18" fillId="28" borderId="0" xfId="0" applyFont="1" applyFill="1" applyAlignment="1">
      <alignment horizontal="center" vertical="center"/>
    </xf>
    <xf numFmtId="0" fontId="0" fillId="0" borderId="181" xfId="0" applyBorder="1" applyAlignment="1">
      <alignment horizontal="center" vertical="center"/>
    </xf>
    <xf numFmtId="0" fontId="0" fillId="0" borderId="176" xfId="0" applyFont="1" applyBorder="1" applyAlignment="1">
      <alignment horizontal="center" vertical="center"/>
    </xf>
    <xf numFmtId="0" fontId="18" fillId="0" borderId="177" xfId="0" applyFont="1" applyBorder="1" applyAlignment="1">
      <alignment horizontal="center" vertical="center"/>
    </xf>
    <xf numFmtId="0" fontId="18" fillId="0" borderId="178" xfId="0" applyFont="1" applyBorder="1" applyAlignment="1">
      <alignment horizontal="center" vertical="center"/>
    </xf>
    <xf numFmtId="0" fontId="0" fillId="0" borderId="173" xfId="0" applyBorder="1" applyAlignment="1">
      <alignment horizontal="center" vertical="center"/>
    </xf>
    <xf numFmtId="0" fontId="18" fillId="0" borderId="179" xfId="0" applyFont="1" applyBorder="1" applyAlignment="1">
      <alignment horizontal="center" vertical="center"/>
    </xf>
    <xf numFmtId="0" fontId="18" fillId="0" borderId="18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" fontId="3" fillId="0" borderId="55" xfId="2" applyNumberFormat="1" applyFont="1" applyBorder="1" applyAlignment="1">
      <alignment horizontal="center" vertical="center"/>
    </xf>
    <xf numFmtId="0" fontId="29" fillId="0" borderId="102" xfId="0" applyFont="1" applyBorder="1" applyAlignment="1">
      <alignment horizontal="center" vertical="center"/>
    </xf>
    <xf numFmtId="0" fontId="12" fillId="28" borderId="53" xfId="0" applyNumberFormat="1" applyFont="1" applyFill="1" applyBorder="1" applyAlignment="1">
      <alignment horizontal="center" vertical="center" wrapText="1" shrinkToFit="1"/>
    </xf>
    <xf numFmtId="0" fontId="4" fillId="28" borderId="0" xfId="0" applyFont="1" applyFill="1" applyAlignment="1">
      <alignment vertical="center"/>
    </xf>
    <xf numFmtId="0" fontId="4" fillId="0" borderId="0" xfId="0" applyNumberFormat="1" applyFont="1" applyAlignment="1">
      <alignment horizontal="center"/>
    </xf>
    <xf numFmtId="2" fontId="33" fillId="0" borderId="54" xfId="0" applyNumberFormat="1" applyFont="1" applyBorder="1" applyAlignment="1">
      <alignment horizontal="center" vertical="center"/>
    </xf>
    <xf numFmtId="2" fontId="33" fillId="0" borderId="68" xfId="0" applyNumberFormat="1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8" fillId="0" borderId="72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/>
    </xf>
    <xf numFmtId="0" fontId="8" fillId="0" borderId="55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48" fillId="28" borderId="55" xfId="0" applyFont="1" applyFill="1" applyBorder="1" applyAlignment="1">
      <alignment horizontal="center"/>
    </xf>
    <xf numFmtId="43" fontId="4" fillId="0" borderId="0" xfId="2" applyFont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9" fillId="28" borderId="54" xfId="0" applyFont="1" applyFill="1" applyBorder="1" applyAlignment="1">
      <alignment horizontal="center" vertical="center"/>
    </xf>
    <xf numFmtId="0" fontId="9" fillId="28" borderId="54" xfId="0" applyFont="1" applyFill="1" applyBorder="1" applyAlignment="1">
      <alignment horizontal="center"/>
    </xf>
    <xf numFmtId="0" fontId="11" fillId="0" borderId="0" xfId="0" applyFont="1"/>
    <xf numFmtId="0" fontId="30" fillId="0" borderId="0" xfId="0" applyFont="1"/>
    <xf numFmtId="0" fontId="12" fillId="0" borderId="0" xfId="0" applyFont="1"/>
    <xf numFmtId="0" fontId="11" fillId="0" borderId="108" xfId="0" applyFont="1" applyBorder="1" applyAlignment="1">
      <alignment horizontal="center" vertical="center"/>
    </xf>
    <xf numFmtId="0" fontId="30" fillId="28" borderId="70" xfId="0" applyFont="1" applyFill="1" applyBorder="1" applyAlignment="1">
      <alignment horizontal="center"/>
    </xf>
    <xf numFmtId="0" fontId="30" fillId="28" borderId="54" xfId="0" applyFont="1" applyFill="1" applyBorder="1" applyAlignment="1">
      <alignment horizontal="center"/>
    </xf>
    <xf numFmtId="0" fontId="30" fillId="28" borderId="53" xfId="0" applyFont="1" applyFill="1" applyBorder="1" applyAlignment="1">
      <alignment horizontal="center"/>
    </xf>
    <xf numFmtId="0" fontId="30" fillId="28" borderId="22" xfId="0" applyFont="1" applyFill="1" applyBorder="1" applyAlignment="1">
      <alignment horizontal="center"/>
    </xf>
    <xf numFmtId="2" fontId="33" fillId="0" borderId="29" xfId="0" applyNumberFormat="1" applyFont="1" applyBorder="1" applyAlignment="1">
      <alignment horizontal="center" vertical="center"/>
    </xf>
    <xf numFmtId="0" fontId="30" fillId="28" borderId="109" xfId="0" applyFont="1" applyFill="1" applyBorder="1" applyAlignment="1">
      <alignment horizontal="center"/>
    </xf>
    <xf numFmtId="0" fontId="30" fillId="28" borderId="72" xfId="0" applyFont="1" applyFill="1" applyBorder="1" applyAlignment="1">
      <alignment horizontal="center"/>
    </xf>
    <xf numFmtId="0" fontId="30" fillId="28" borderId="71" xfId="0" applyFont="1" applyFill="1" applyBorder="1" applyAlignment="1">
      <alignment horizontal="center"/>
    </xf>
    <xf numFmtId="0" fontId="9" fillId="28" borderId="12" xfId="0" applyFont="1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8" fillId="0" borderId="54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8" fillId="0" borderId="72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/>
    </xf>
    <xf numFmtId="0" fontId="8" fillId="0" borderId="55" xfId="0" applyFont="1" applyBorder="1" applyAlignment="1">
      <alignment horizontal="center"/>
    </xf>
    <xf numFmtId="2" fontId="15" fillId="28" borderId="0" xfId="0" applyNumberFormat="1" applyFont="1" applyFill="1"/>
    <xf numFmtId="2" fontId="9" fillId="0" borderId="0" xfId="0" applyNumberFormat="1" applyFont="1"/>
    <xf numFmtId="0" fontId="48" fillId="4" borderId="67" xfId="0" applyNumberFormat="1" applyFont="1" applyFill="1" applyBorder="1" applyAlignment="1">
      <alignment horizontal="center" vertical="center" shrinkToFit="1"/>
    </xf>
    <xf numFmtId="0" fontId="48" fillId="4" borderId="119" xfId="0" applyNumberFormat="1" applyFont="1" applyFill="1" applyBorder="1" applyAlignment="1">
      <alignment horizontal="center" vertical="center" shrinkToFit="1"/>
    </xf>
    <xf numFmtId="2" fontId="56" fillId="11" borderId="14" xfId="0" applyNumberFormat="1" applyFont="1" applyFill="1" applyBorder="1" applyAlignment="1">
      <alignment horizontal="center" vertical="center" shrinkToFit="1"/>
    </xf>
    <xf numFmtId="0" fontId="26" fillId="0" borderId="0" xfId="0" applyFont="1"/>
    <xf numFmtId="0" fontId="26" fillId="0" borderId="0" xfId="0" applyFont="1" applyAlignment="1">
      <alignment vertical="center"/>
    </xf>
    <xf numFmtId="0" fontId="26" fillId="0" borderId="0" xfId="0" applyFont="1" applyFill="1" applyBorder="1" applyAlignment="1">
      <alignment vertical="center"/>
    </xf>
    <xf numFmtId="0" fontId="26" fillId="28" borderId="0" xfId="0" applyFont="1" applyFill="1"/>
    <xf numFmtId="0" fontId="29" fillId="0" borderId="0" xfId="0" applyFont="1"/>
    <xf numFmtId="0" fontId="17" fillId="0" borderId="0" xfId="0" applyFont="1"/>
    <xf numFmtId="0" fontId="17" fillId="0" borderId="0" xfId="0" applyFont="1" applyAlignment="1">
      <alignment vertical="center"/>
    </xf>
    <xf numFmtId="0" fontId="17" fillId="0" borderId="0" xfId="0" applyFont="1" applyFill="1" applyBorder="1" applyAlignment="1">
      <alignment vertical="center"/>
    </xf>
    <xf numFmtId="0" fontId="17" fillId="28" borderId="0" xfId="0" applyFont="1" applyFill="1"/>
    <xf numFmtId="2" fontId="26" fillId="0" borderId="0" xfId="0" applyNumberFormat="1" applyFont="1" applyAlignment="1">
      <alignment vertical="center"/>
    </xf>
    <xf numFmtId="2" fontId="11" fillId="28" borderId="54" xfId="0" applyNumberFormat="1" applyFont="1" applyFill="1" applyBorder="1" applyAlignment="1">
      <alignment horizontal="center" vertical="center" shrinkToFit="1"/>
    </xf>
    <xf numFmtId="0" fontId="8" fillId="0" borderId="54" xfId="0" applyFont="1" applyBorder="1" applyAlignment="1">
      <alignment horizontal="center"/>
    </xf>
    <xf numFmtId="0" fontId="29" fillId="0" borderId="54" xfId="0" applyFont="1" applyBorder="1" applyAlignment="1">
      <alignment horizontal="center"/>
    </xf>
    <xf numFmtId="0" fontId="29" fillId="28" borderId="68" xfId="0" applyFont="1" applyFill="1" applyBorder="1" applyAlignment="1">
      <alignment horizontal="center"/>
    </xf>
    <xf numFmtId="0" fontId="26" fillId="0" borderId="54" xfId="0" applyFont="1" applyBorder="1" applyAlignment="1">
      <alignment horizontal="center"/>
    </xf>
    <xf numFmtId="0" fontId="29" fillId="0" borderId="68" xfId="0" applyFont="1" applyBorder="1" applyAlignment="1">
      <alignment horizontal="center"/>
    </xf>
    <xf numFmtId="0" fontId="26" fillId="0" borderId="54" xfId="0" applyFont="1" applyBorder="1" applyAlignment="1">
      <alignment horizontal="center" vertical="center"/>
    </xf>
    <xf numFmtId="0" fontId="57" fillId="0" borderId="54" xfId="0" applyFont="1" applyBorder="1" applyAlignment="1">
      <alignment horizontal="center"/>
    </xf>
    <xf numFmtId="0" fontId="57" fillId="0" borderId="68" xfId="0" applyFont="1" applyBorder="1" applyAlignment="1">
      <alignment horizontal="center"/>
    </xf>
    <xf numFmtId="2" fontId="57" fillId="0" borderId="68" xfId="0" applyNumberFormat="1" applyFont="1" applyBorder="1" applyAlignment="1">
      <alignment horizontal="center" vertical="center"/>
    </xf>
    <xf numFmtId="2" fontId="57" fillId="0" borderId="54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1" fillId="28" borderId="0" xfId="0" applyFont="1" applyFill="1" applyAlignment="1">
      <alignment vertical="center"/>
    </xf>
    <xf numFmtId="0" fontId="12" fillId="28" borderId="0" xfId="0" applyFont="1" applyFill="1" applyAlignment="1">
      <alignment vertical="center"/>
    </xf>
    <xf numFmtId="0" fontId="12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1" fillId="28" borderId="0" xfId="0" applyFont="1" applyFill="1"/>
    <xf numFmtId="0" fontId="12" fillId="28" borderId="0" xfId="0" applyFont="1" applyFill="1"/>
    <xf numFmtId="0" fontId="12" fillId="0" borderId="0" xfId="0" applyFont="1" applyAlignment="1">
      <alignment horizontal="center"/>
    </xf>
    <xf numFmtId="0" fontId="12" fillId="0" borderId="0" xfId="0" applyNumberFormat="1" applyFont="1"/>
    <xf numFmtId="2" fontId="8" fillId="0" borderId="0" xfId="0" applyNumberFormat="1" applyFont="1" applyAlignment="1">
      <alignment vertical="center"/>
    </xf>
    <xf numFmtId="2" fontId="11" fillId="2" borderId="0" xfId="0" applyNumberFormat="1" applyFont="1" applyFill="1" applyBorder="1"/>
    <xf numFmtId="0" fontId="12" fillId="0" borderId="0" xfId="0" applyNumberFormat="1" applyFont="1" applyAlignment="1">
      <alignment horizontal="center"/>
    </xf>
    <xf numFmtId="0" fontId="11" fillId="28" borderId="54" xfId="0" applyFont="1" applyFill="1" applyBorder="1" applyAlignment="1">
      <alignment horizontal="center" vertical="center"/>
    </xf>
    <xf numFmtId="0" fontId="11" fillId="28" borderId="54" xfId="0" applyFont="1" applyFill="1" applyBorder="1" applyAlignment="1">
      <alignment horizontal="center"/>
    </xf>
    <xf numFmtId="0" fontId="11" fillId="28" borderId="54" xfId="0" applyFont="1" applyFill="1" applyBorder="1" applyAlignment="1">
      <alignment horizontal="right"/>
    </xf>
    <xf numFmtId="0" fontId="12" fillId="28" borderId="54" xfId="0" applyFont="1" applyFill="1" applyBorder="1" applyAlignment="1">
      <alignment horizontal="right"/>
    </xf>
    <xf numFmtId="0" fontId="30" fillId="28" borderId="54" xfId="0" applyFont="1" applyFill="1" applyBorder="1" applyAlignment="1">
      <alignment horizontal="right"/>
    </xf>
    <xf numFmtId="0" fontId="33" fillId="28" borderId="54" xfId="0" applyFont="1" applyFill="1" applyBorder="1" applyAlignment="1">
      <alignment horizontal="right"/>
    </xf>
    <xf numFmtId="0" fontId="15" fillId="28" borderId="54" xfId="0" applyFont="1" applyFill="1" applyBorder="1" applyAlignment="1">
      <alignment horizontal="center" vertical="center" wrapText="1"/>
    </xf>
    <xf numFmtId="0" fontId="12" fillId="28" borderId="54" xfId="0" applyFont="1" applyFill="1" applyBorder="1" applyAlignment="1">
      <alignment horizontal="center" vertical="center"/>
    </xf>
    <xf numFmtId="0" fontId="60" fillId="28" borderId="54" xfId="0" applyFont="1" applyFill="1" applyBorder="1" applyAlignment="1">
      <alignment horizontal="right"/>
    </xf>
    <xf numFmtId="0" fontId="11" fillId="28" borderId="0" xfId="0" applyFont="1" applyFill="1" applyAlignment="1">
      <alignment horizontal="left"/>
    </xf>
    <xf numFmtId="2" fontId="11" fillId="28" borderId="0" xfId="0" applyNumberFormat="1" applyFont="1" applyFill="1"/>
    <xf numFmtId="0" fontId="8" fillId="0" borderId="54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48" fillId="0" borderId="0" xfId="0" applyFont="1"/>
    <xf numFmtId="0" fontId="37" fillId="0" borderId="0" xfId="0" applyFont="1"/>
    <xf numFmtId="0" fontId="9" fillId="28" borderId="56" xfId="0" applyFont="1" applyFill="1" applyBorder="1" applyAlignment="1">
      <alignment horizontal="center"/>
    </xf>
    <xf numFmtId="0" fontId="48" fillId="28" borderId="70" xfId="0" applyFont="1" applyFill="1" applyBorder="1" applyAlignment="1">
      <alignment horizontal="center"/>
    </xf>
    <xf numFmtId="2" fontId="33" fillId="0" borderId="56" xfId="0" applyNumberFormat="1" applyFont="1" applyBorder="1" applyAlignment="1">
      <alignment horizontal="center" vertical="center"/>
    </xf>
    <xf numFmtId="0" fontId="48" fillId="28" borderId="54" xfId="0" applyFont="1" applyFill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29" fillId="0" borderId="54" xfId="0" applyFont="1" applyBorder="1" applyAlignment="1">
      <alignment horizontal="center"/>
    </xf>
    <xf numFmtId="0" fontId="30" fillId="0" borderId="54" xfId="0" applyFont="1" applyBorder="1" applyAlignment="1">
      <alignment horizontal="center"/>
    </xf>
    <xf numFmtId="0" fontId="58" fillId="0" borderId="67" xfId="0" applyFont="1" applyBorder="1" applyAlignment="1">
      <alignment horizontal="center" vertical="center"/>
    </xf>
    <xf numFmtId="0" fontId="8" fillId="0" borderId="72" xfId="0" applyFont="1" applyBorder="1" applyAlignment="1">
      <alignment horizontal="center"/>
    </xf>
    <xf numFmtId="0" fontId="9" fillId="28" borderId="109" xfId="0" applyFont="1" applyFill="1" applyBorder="1" applyAlignment="1">
      <alignment horizontal="center"/>
    </xf>
    <xf numFmtId="2" fontId="33" fillId="0" borderId="22" xfId="0" applyNumberFormat="1" applyFont="1" applyBorder="1" applyAlignment="1">
      <alignment horizontal="center" vertical="center"/>
    </xf>
    <xf numFmtId="0" fontId="29" fillId="0" borderId="53" xfId="0" applyFont="1" applyBorder="1" applyAlignment="1">
      <alignment horizontal="center"/>
    </xf>
    <xf numFmtId="0" fontId="57" fillId="0" borderId="53" xfId="0" applyFont="1" applyBorder="1" applyAlignment="1">
      <alignment horizontal="center"/>
    </xf>
    <xf numFmtId="0" fontId="29" fillId="28" borderId="53" xfId="0" applyFont="1" applyFill="1" applyBorder="1" applyAlignment="1">
      <alignment horizontal="center"/>
    </xf>
    <xf numFmtId="2" fontId="16" fillId="28" borderId="0" xfId="0" applyNumberFormat="1" applyFont="1" applyFill="1" applyAlignment="1">
      <alignment horizontal="center"/>
    </xf>
    <xf numFmtId="0" fontId="8" fillId="0" borderId="54" xfId="0" applyFont="1" applyBorder="1" applyAlignment="1">
      <alignment horizontal="center"/>
    </xf>
    <xf numFmtId="2" fontId="8" fillId="0" borderId="0" xfId="0" applyNumberFormat="1" applyFont="1"/>
    <xf numFmtId="0" fontId="33" fillId="0" borderId="0" xfId="0" applyFont="1"/>
    <xf numFmtId="0" fontId="9" fillId="0" borderId="0" xfId="0" applyFont="1" applyAlignment="1">
      <alignment horizontal="center"/>
    </xf>
    <xf numFmtId="0" fontId="8" fillId="0" borderId="54" xfId="0" applyFont="1" applyBorder="1" applyAlignment="1">
      <alignment horizontal="center"/>
    </xf>
    <xf numFmtId="0" fontId="32" fillId="0" borderId="54" xfId="0" applyFont="1" applyBorder="1" applyAlignment="1">
      <alignment horizontal="center" vertical="center"/>
    </xf>
    <xf numFmtId="0" fontId="33" fillId="0" borderId="54" xfId="0" applyFont="1" applyBorder="1" applyAlignment="1">
      <alignment horizontal="center"/>
    </xf>
    <xf numFmtId="2" fontId="41" fillId="0" borderId="54" xfId="0" applyNumberFormat="1" applyFont="1" applyBorder="1" applyAlignment="1">
      <alignment horizontal="center" vertical="center"/>
    </xf>
    <xf numFmtId="0" fontId="8" fillId="0" borderId="54" xfId="0" applyFont="1" applyBorder="1" applyAlignment="1">
      <alignment horizontal="center"/>
    </xf>
    <xf numFmtId="0" fontId="39" fillId="4" borderId="29" xfId="0" applyNumberFormat="1" applyFont="1" applyFill="1" applyBorder="1" applyAlignment="1">
      <alignment horizontal="center" vertical="center"/>
    </xf>
    <xf numFmtId="0" fontId="39" fillId="4" borderId="81" xfId="0" applyNumberFormat="1" applyFont="1" applyFill="1" applyBorder="1" applyAlignment="1">
      <alignment horizontal="center" vertical="center"/>
    </xf>
    <xf numFmtId="1" fontId="39" fillId="0" borderId="32" xfId="0" applyNumberFormat="1" applyFont="1" applyBorder="1" applyAlignment="1">
      <alignment horizontal="center" vertical="center"/>
    </xf>
    <xf numFmtId="1" fontId="39" fillId="0" borderId="40" xfId="0" applyNumberFormat="1" applyFont="1" applyBorder="1" applyAlignment="1">
      <alignment horizontal="center" vertical="center"/>
    </xf>
    <xf numFmtId="1" fontId="39" fillId="0" borderId="45" xfId="0" applyNumberFormat="1" applyFont="1" applyBorder="1" applyAlignment="1">
      <alignment horizontal="center" vertical="center"/>
    </xf>
    <xf numFmtId="1" fontId="39" fillId="4" borderId="53" xfId="0" applyNumberFormat="1" applyFont="1" applyFill="1" applyBorder="1" applyAlignment="1">
      <alignment horizontal="center" vertical="center"/>
    </xf>
    <xf numFmtId="0" fontId="39" fillId="0" borderId="45" xfId="0" applyNumberFormat="1" applyFont="1" applyBorder="1" applyAlignment="1">
      <alignment horizontal="center" vertical="center"/>
    </xf>
    <xf numFmtId="0" fontId="39" fillId="7" borderId="53" xfId="0" applyNumberFormat="1" applyFont="1" applyFill="1" applyBorder="1" applyAlignment="1">
      <alignment horizontal="center" vertical="center"/>
    </xf>
    <xf numFmtId="0" fontId="39" fillId="8" borderId="53" xfId="0" applyNumberFormat="1" applyFont="1" applyFill="1" applyBorder="1" applyAlignment="1">
      <alignment horizontal="center" vertical="center"/>
    </xf>
    <xf numFmtId="0" fontId="39" fillId="8" borderId="55" xfId="0" applyNumberFormat="1" applyFont="1" applyFill="1" applyBorder="1" applyAlignment="1">
      <alignment horizontal="center" vertical="center"/>
    </xf>
    <xf numFmtId="1" fontId="39" fillId="9" borderId="29" xfId="0" applyNumberFormat="1" applyFont="1" applyFill="1" applyBorder="1" applyAlignment="1">
      <alignment horizontal="center" vertical="center"/>
    </xf>
    <xf numFmtId="1" fontId="39" fillId="9" borderId="9" xfId="0" applyNumberFormat="1" applyFont="1" applyFill="1" applyBorder="1" applyAlignment="1">
      <alignment horizontal="center" vertical="center"/>
    </xf>
    <xf numFmtId="0" fontId="2" fillId="0" borderId="70" xfId="0" applyFont="1" applyFill="1" applyBorder="1" applyAlignment="1">
      <alignment horizontal="center" vertical="center"/>
    </xf>
    <xf numFmtId="0" fontId="2" fillId="4" borderId="70" xfId="0" applyNumberFormat="1" applyFont="1" applyFill="1" applyBorder="1" applyAlignment="1">
      <alignment horizontal="center" vertical="center"/>
    </xf>
    <xf numFmtId="0" fontId="2" fillId="15" borderId="70" xfId="0" applyFont="1" applyFill="1" applyBorder="1" applyAlignment="1">
      <alignment horizontal="center" vertical="center"/>
    </xf>
    <xf numFmtId="0" fontId="2" fillId="2" borderId="76" xfId="0" applyFont="1" applyFill="1" applyBorder="1" applyAlignment="1">
      <alignment vertical="center"/>
    </xf>
    <xf numFmtId="0" fontId="2" fillId="2" borderId="77" xfId="0" applyFont="1" applyFill="1" applyBorder="1" applyAlignment="1">
      <alignment vertical="center"/>
    </xf>
    <xf numFmtId="1" fontId="39" fillId="0" borderId="183" xfId="0" applyNumberFormat="1" applyFont="1" applyBorder="1" applyAlignment="1">
      <alignment horizontal="center" vertical="center"/>
    </xf>
    <xf numFmtId="1" fontId="39" fillId="0" borderId="43" xfId="0" applyNumberFormat="1" applyFont="1" applyBorder="1" applyAlignment="1">
      <alignment horizontal="center" vertical="center"/>
    </xf>
    <xf numFmtId="1" fontId="39" fillId="0" borderId="49" xfId="0" applyNumberFormat="1" applyFont="1" applyBorder="1" applyAlignment="1">
      <alignment horizontal="center" vertical="center"/>
    </xf>
    <xf numFmtId="1" fontId="39" fillId="4" borderId="58" xfId="0" applyNumberFormat="1" applyFont="1" applyFill="1" applyBorder="1" applyAlignment="1">
      <alignment horizontal="center" vertical="center"/>
    </xf>
    <xf numFmtId="0" fontId="39" fillId="0" borderId="49" xfId="0" applyNumberFormat="1" applyFont="1" applyBorder="1" applyAlignment="1">
      <alignment horizontal="center" vertical="center"/>
    </xf>
    <xf numFmtId="0" fontId="39" fillId="7" borderId="58" xfId="0" applyNumberFormat="1" applyFont="1" applyFill="1" applyBorder="1" applyAlignment="1">
      <alignment horizontal="center" vertical="center"/>
    </xf>
    <xf numFmtId="9" fontId="39" fillId="8" borderId="52" xfId="1" applyFont="1" applyFill="1" applyBorder="1" applyAlignment="1">
      <alignment horizontal="center" vertical="center"/>
    </xf>
    <xf numFmtId="1" fontId="39" fillId="9" borderId="11" xfId="0" applyNumberFormat="1" applyFont="1" applyFill="1" applyBorder="1" applyAlignment="1">
      <alignment horizontal="center" vertical="center"/>
    </xf>
    <xf numFmtId="0" fontId="2" fillId="28" borderId="21" xfId="0" applyFont="1" applyFill="1" applyBorder="1" applyAlignment="1">
      <alignment horizontal="center" vertical="center"/>
    </xf>
    <xf numFmtId="0" fontId="2" fillId="28" borderId="91" xfId="0" applyFont="1" applyFill="1" applyBorder="1" applyAlignment="1">
      <alignment horizontal="center" vertical="center"/>
    </xf>
    <xf numFmtId="0" fontId="8" fillId="0" borderId="54" xfId="0" applyFont="1" applyBorder="1" applyAlignment="1">
      <alignment horizontal="center"/>
    </xf>
    <xf numFmtId="164" fontId="11" fillId="13" borderId="95" xfId="0" applyNumberFormat="1" applyFont="1" applyFill="1" applyBorder="1" applyAlignment="1">
      <alignment horizontal="center" vertical="center" shrinkToFit="1"/>
    </xf>
    <xf numFmtId="0" fontId="11" fillId="0" borderId="54" xfId="0" applyFont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164" fontId="40" fillId="0" borderId="23" xfId="0" applyNumberFormat="1" applyFont="1" applyBorder="1" applyAlignment="1">
      <alignment horizontal="center" vertical="center"/>
    </xf>
    <xf numFmtId="0" fontId="11" fillId="0" borderId="109" xfId="0" applyFont="1" applyBorder="1" applyAlignment="1">
      <alignment horizontal="center" vertical="center"/>
    </xf>
    <xf numFmtId="0" fontId="40" fillId="0" borderId="72" xfId="0" applyFont="1" applyBorder="1" applyAlignment="1">
      <alignment horizontal="center" vertical="center"/>
    </xf>
    <xf numFmtId="0" fontId="40" fillId="0" borderId="71" xfId="0" applyFont="1" applyBorder="1" applyAlignment="1">
      <alignment horizontal="center" vertical="center"/>
    </xf>
    <xf numFmtId="0" fontId="42" fillId="28" borderId="13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 wrapText="1"/>
    </xf>
    <xf numFmtId="0" fontId="43" fillId="28" borderId="13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1" fontId="50" fillId="0" borderId="55" xfId="0" applyNumberFormat="1" applyFont="1" applyFill="1" applyBorder="1" applyAlignment="1">
      <alignment horizontal="center" vertical="center"/>
    </xf>
    <xf numFmtId="0" fontId="2" fillId="28" borderId="0" xfId="0" applyFont="1" applyFill="1" applyBorder="1" applyAlignment="1">
      <alignment horizontal="center" vertical="center" wrapText="1"/>
    </xf>
    <xf numFmtId="0" fontId="0" fillId="28" borderId="0" xfId="0" applyFill="1" applyBorder="1"/>
    <xf numFmtId="0" fontId="11" fillId="28" borderId="0" xfId="0" applyFont="1" applyFill="1" applyBorder="1" applyAlignment="1">
      <alignment horizontal="center"/>
    </xf>
    <xf numFmtId="0" fontId="62" fillId="13" borderId="95" xfId="0" applyNumberFormat="1" applyFont="1" applyFill="1" applyBorder="1" applyAlignment="1">
      <alignment horizontal="center" vertical="center" shrinkToFit="1"/>
    </xf>
    <xf numFmtId="0" fontId="19" fillId="0" borderId="2" xfId="0" applyFont="1" applyFill="1" applyBorder="1" applyAlignment="1">
      <alignment horizontal="center" vertical="center"/>
    </xf>
    <xf numFmtId="1" fontId="7" fillId="0" borderId="171" xfId="0" applyNumberFormat="1" applyFont="1" applyFill="1" applyBorder="1" applyAlignment="1">
      <alignment horizontal="center" vertical="center"/>
    </xf>
    <xf numFmtId="1" fontId="7" fillId="0" borderId="88" xfId="0" applyNumberFormat="1" applyFont="1" applyFill="1" applyBorder="1" applyAlignment="1">
      <alignment horizontal="center" vertical="center"/>
    </xf>
    <xf numFmtId="1" fontId="7" fillId="0" borderId="172" xfId="0" applyNumberFormat="1" applyFont="1" applyFill="1" applyBorder="1" applyAlignment="1">
      <alignment horizontal="center" vertical="center"/>
    </xf>
    <xf numFmtId="0" fontId="7" fillId="22" borderId="170" xfId="0" applyFont="1" applyFill="1" applyBorder="1" applyAlignment="1">
      <alignment horizontal="center" vertical="center"/>
    </xf>
    <xf numFmtId="164" fontId="3" fillId="7" borderId="80" xfId="0" applyNumberFormat="1" applyFont="1" applyFill="1" applyBorder="1" applyAlignment="1">
      <alignment horizontal="center" vertical="center"/>
    </xf>
    <xf numFmtId="9" fontId="3" fillId="7" borderId="85" xfId="1" applyFont="1" applyFill="1" applyBorder="1" applyAlignment="1">
      <alignment horizontal="center" vertical="center"/>
    </xf>
    <xf numFmtId="9" fontId="3" fillId="0" borderId="52" xfId="1" applyFont="1" applyBorder="1" applyAlignment="1">
      <alignment horizontal="center" vertical="center"/>
    </xf>
    <xf numFmtId="9" fontId="3" fillId="22" borderId="52" xfId="1" applyFont="1" applyFill="1" applyBorder="1" applyAlignment="1">
      <alignment horizontal="center" vertical="center"/>
    </xf>
    <xf numFmtId="1" fontId="2" fillId="0" borderId="53" xfId="0" applyNumberFormat="1" applyFont="1" applyFill="1" applyBorder="1" applyAlignment="1">
      <alignment horizontal="center" vertical="center"/>
    </xf>
    <xf numFmtId="1" fontId="2" fillId="0" borderId="55" xfId="0" applyNumberFormat="1" applyFont="1" applyFill="1" applyBorder="1" applyAlignment="1">
      <alignment horizontal="center" vertical="center"/>
    </xf>
    <xf numFmtId="1" fontId="3" fillId="22" borderId="53" xfId="0" applyNumberFormat="1" applyFont="1" applyFill="1" applyBorder="1" applyAlignment="1">
      <alignment horizontal="center" vertical="center"/>
    </xf>
    <xf numFmtId="1" fontId="3" fillId="22" borderId="55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1" fontId="2" fillId="0" borderId="24" xfId="0" applyNumberFormat="1" applyFont="1" applyFill="1" applyBorder="1" applyAlignment="1">
      <alignment horizontal="center" vertical="center"/>
    </xf>
    <xf numFmtId="1" fontId="7" fillId="0" borderId="90" xfId="0" applyNumberFormat="1" applyFont="1" applyFill="1" applyBorder="1" applyAlignment="1">
      <alignment horizontal="center" vertical="center"/>
    </xf>
    <xf numFmtId="0" fontId="7" fillId="7" borderId="170" xfId="0" applyFont="1" applyFill="1" applyBorder="1" applyAlignment="1">
      <alignment horizontal="center" vertical="center"/>
    </xf>
    <xf numFmtId="1" fontId="7" fillId="9" borderId="110" xfId="0" applyNumberFormat="1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1" fontId="7" fillId="9" borderId="85" xfId="0" applyNumberFormat="1" applyFont="1" applyFill="1" applyBorder="1" applyAlignment="1">
      <alignment horizontal="center" vertical="center"/>
    </xf>
    <xf numFmtId="0" fontId="24" fillId="16" borderId="77" xfId="0" applyFont="1" applyFill="1" applyBorder="1" applyAlignment="1">
      <alignment vertical="center" wrapText="1"/>
    </xf>
    <xf numFmtId="0" fontId="24" fillId="16" borderId="81" xfId="0" applyFont="1" applyFill="1" applyBorder="1" applyAlignment="1">
      <alignment vertical="center" wrapText="1"/>
    </xf>
    <xf numFmtId="0" fontId="3" fillId="16" borderId="21" xfId="0" applyFont="1" applyFill="1" applyBorder="1" applyAlignment="1">
      <alignment vertical="center"/>
    </xf>
    <xf numFmtId="0" fontId="3" fillId="16" borderId="91" xfId="0" applyFont="1" applyFill="1" applyBorder="1" applyAlignment="1">
      <alignment vertical="center"/>
    </xf>
    <xf numFmtId="0" fontId="3" fillId="16" borderId="81" xfId="0" applyFont="1" applyFill="1" applyBorder="1" applyAlignment="1">
      <alignment vertical="center"/>
    </xf>
    <xf numFmtId="14" fontId="3" fillId="16" borderId="75" xfId="0" applyNumberFormat="1" applyFont="1" applyFill="1" applyBorder="1" applyAlignment="1">
      <alignment vertical="center"/>
    </xf>
    <xf numFmtId="14" fontId="3" fillId="16" borderId="77" xfId="0" applyNumberFormat="1" applyFont="1" applyFill="1" applyBorder="1" applyAlignment="1">
      <alignment vertical="center"/>
    </xf>
    <xf numFmtId="14" fontId="63" fillId="16" borderId="76" xfId="0" applyNumberFormat="1" applyFont="1" applyFill="1" applyBorder="1" applyAlignment="1">
      <alignment vertical="center"/>
    </xf>
    <xf numFmtId="0" fontId="14" fillId="0" borderId="54" xfId="0" applyFont="1" applyBorder="1" applyAlignment="1">
      <alignment horizontal="center" vertical="center"/>
    </xf>
    <xf numFmtId="2" fontId="37" fillId="0" borderId="23" xfId="0" applyNumberFormat="1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0" fontId="59" fillId="0" borderId="54" xfId="0" applyFont="1" applyBorder="1" applyAlignment="1">
      <alignment horizontal="center" vertical="center"/>
    </xf>
    <xf numFmtId="2" fontId="59" fillId="0" borderId="23" xfId="0" applyNumberFormat="1" applyFont="1" applyBorder="1" applyAlignment="1">
      <alignment horizontal="center" vertical="center"/>
    </xf>
    <xf numFmtId="2" fontId="37" fillId="0" borderId="24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1" fontId="12" fillId="28" borderId="53" xfId="0" applyNumberFormat="1" applyFont="1" applyFill="1" applyBorder="1" applyAlignment="1">
      <alignment horizontal="center" vertical="center" wrapText="1" shrinkToFit="1"/>
    </xf>
    <xf numFmtId="0" fontId="40" fillId="0" borderId="55" xfId="0" applyFont="1" applyFill="1" applyBorder="1" applyAlignment="1">
      <alignment horizontal="center" vertical="center"/>
    </xf>
    <xf numFmtId="2" fontId="47" fillId="2" borderId="0" xfId="0" applyNumberFormat="1" applyFont="1" applyFill="1" applyBorder="1" applyAlignment="1">
      <alignment horizontal="center" vertical="center"/>
    </xf>
    <xf numFmtId="1" fontId="7" fillId="7" borderId="170" xfId="0" applyNumberFormat="1" applyFont="1" applyFill="1" applyBorder="1" applyAlignment="1">
      <alignment horizontal="center" vertical="center"/>
    </xf>
    <xf numFmtId="1" fontId="7" fillId="0" borderId="53" xfId="0" applyNumberFormat="1" applyFont="1" applyFill="1" applyBorder="1" applyAlignment="1">
      <alignment horizontal="center" vertical="center"/>
    </xf>
    <xf numFmtId="1" fontId="7" fillId="22" borderId="53" xfId="0" applyNumberFormat="1" applyFont="1" applyFill="1" applyBorder="1" applyAlignment="1">
      <alignment horizontal="center" vertical="center"/>
    </xf>
    <xf numFmtId="1" fontId="7" fillId="22" borderId="70" xfId="0" applyNumberFormat="1" applyFont="1" applyFill="1" applyBorder="1" applyAlignment="1">
      <alignment horizontal="center" vertical="center"/>
    </xf>
    <xf numFmtId="1" fontId="50" fillId="0" borderId="53" xfId="0" applyNumberFormat="1" applyFont="1" applyFill="1" applyBorder="1" applyAlignment="1">
      <alignment horizontal="center" vertical="center"/>
    </xf>
    <xf numFmtId="1" fontId="7" fillId="9" borderId="14" xfId="0" applyNumberFormat="1" applyFont="1" applyFill="1" applyBorder="1" applyAlignment="1">
      <alignment horizontal="center" vertical="center"/>
    </xf>
    <xf numFmtId="1" fontId="50" fillId="0" borderId="26" xfId="0" applyNumberFormat="1" applyFont="1" applyFill="1" applyBorder="1" applyAlignment="1">
      <alignment horizontal="center" vertical="center"/>
    </xf>
    <xf numFmtId="1" fontId="50" fillId="0" borderId="28" xfId="0" applyNumberFormat="1" applyFont="1" applyFill="1" applyBorder="1" applyAlignment="1">
      <alignment horizontal="center" vertical="center"/>
    </xf>
    <xf numFmtId="1" fontId="7" fillId="22" borderId="12" xfId="0" applyNumberFormat="1" applyFont="1" applyFill="1" applyBorder="1" applyAlignment="1">
      <alignment horizontal="center" vertical="center"/>
    </xf>
    <xf numFmtId="1" fontId="7" fillId="7" borderId="132" xfId="0" applyNumberFormat="1" applyFont="1" applyFill="1" applyBorder="1" applyAlignment="1">
      <alignment horizontal="center" vertical="center"/>
    </xf>
    <xf numFmtId="1" fontId="7" fillId="7" borderId="112" xfId="0" applyNumberFormat="1" applyFont="1" applyFill="1" applyBorder="1" applyAlignment="1">
      <alignment horizontal="center" vertical="center"/>
    </xf>
    <xf numFmtId="1" fontId="7" fillId="9" borderId="12" xfId="0" applyNumberFormat="1" applyFont="1" applyFill="1" applyBorder="1" applyAlignment="1">
      <alignment horizontal="center" vertical="center"/>
    </xf>
    <xf numFmtId="1" fontId="7" fillId="9" borderId="96" xfId="0" applyNumberFormat="1" applyFont="1" applyFill="1" applyBorder="1" applyAlignment="1">
      <alignment horizontal="center" vertical="center"/>
    </xf>
    <xf numFmtId="1" fontId="50" fillId="0" borderId="56" xfId="0" applyNumberFormat="1" applyFont="1" applyFill="1" applyBorder="1" applyAlignment="1">
      <alignment horizontal="center" vertical="center"/>
    </xf>
    <xf numFmtId="1" fontId="50" fillId="0" borderId="94" xfId="0" applyNumberFormat="1" applyFont="1" applyFill="1" applyBorder="1" applyAlignment="1">
      <alignment horizontal="center" vertical="center"/>
    </xf>
    <xf numFmtId="1" fontId="50" fillId="0" borderId="109" xfId="0" applyNumberFormat="1" applyFont="1" applyFill="1" applyBorder="1" applyAlignment="1">
      <alignment horizontal="center" vertical="center"/>
    </xf>
    <xf numFmtId="1" fontId="41" fillId="9" borderId="78" xfId="0" applyNumberFormat="1" applyFont="1" applyFill="1" applyBorder="1" applyAlignment="1">
      <alignment horizontal="center" vertical="center"/>
    </xf>
    <xf numFmtId="1" fontId="41" fillId="0" borderId="184" xfId="0" applyNumberFormat="1" applyFont="1" applyFill="1" applyBorder="1" applyAlignment="1">
      <alignment horizontal="center" vertical="center"/>
    </xf>
    <xf numFmtId="1" fontId="41" fillId="0" borderId="115" xfId="0" applyNumberFormat="1" applyFont="1" applyFill="1" applyBorder="1" applyAlignment="1">
      <alignment horizontal="center" vertical="center"/>
    </xf>
    <xf numFmtId="1" fontId="41" fillId="0" borderId="185" xfId="0" applyNumberFormat="1" applyFont="1" applyFill="1" applyBorder="1" applyAlignment="1">
      <alignment horizontal="center" vertical="center"/>
    </xf>
    <xf numFmtId="0" fontId="41" fillId="22" borderId="101" xfId="0" applyFont="1" applyFill="1" applyBorder="1" applyAlignment="1">
      <alignment horizontal="center" vertical="center"/>
    </xf>
    <xf numFmtId="0" fontId="41" fillId="7" borderId="101" xfId="0" applyFont="1" applyFill="1" applyBorder="1" applyAlignment="1">
      <alignment horizontal="center" vertical="center"/>
    </xf>
    <xf numFmtId="0" fontId="41" fillId="9" borderId="67" xfId="0" applyFont="1" applyFill="1" applyBorder="1" applyAlignment="1">
      <alignment horizontal="center" vertical="center"/>
    </xf>
    <xf numFmtId="0" fontId="41" fillId="0" borderId="104" xfId="0" applyFont="1" applyFill="1" applyBorder="1" applyAlignment="1">
      <alignment horizontal="center" vertical="center"/>
    </xf>
    <xf numFmtId="0" fontId="41" fillId="0" borderId="43" xfId="0" applyFont="1" applyFill="1" applyBorder="1" applyAlignment="1">
      <alignment horizontal="center" vertical="center"/>
    </xf>
    <xf numFmtId="0" fontId="41" fillId="0" borderId="84" xfId="0" applyFont="1" applyFill="1" applyBorder="1" applyAlignment="1">
      <alignment horizontal="center" vertical="center"/>
    </xf>
    <xf numFmtId="0" fontId="41" fillId="22" borderId="11" xfId="0" applyFont="1" applyFill="1" applyBorder="1" applyAlignment="1">
      <alignment horizontal="center" vertical="center"/>
    </xf>
    <xf numFmtId="0" fontId="41" fillId="9" borderId="85" xfId="0" applyFont="1" applyFill="1" applyBorder="1" applyAlignment="1">
      <alignment horizontal="center" vertical="center"/>
    </xf>
    <xf numFmtId="1" fontId="41" fillId="7" borderId="11" xfId="0" applyNumberFormat="1" applyFont="1" applyFill="1" applyBorder="1" applyAlignment="1">
      <alignment horizontal="center" vertical="center"/>
    </xf>
    <xf numFmtId="0" fontId="26" fillId="2" borderId="1" xfId="0" applyFont="1" applyFill="1" applyBorder="1" applyAlignment="1"/>
    <xf numFmtId="0" fontId="26" fillId="2" borderId="2" xfId="0" applyFont="1" applyFill="1" applyBorder="1" applyAlignment="1"/>
    <xf numFmtId="0" fontId="26" fillId="2" borderId="3" xfId="0" applyFont="1" applyFill="1" applyBorder="1" applyAlignment="1"/>
    <xf numFmtId="0" fontId="9" fillId="0" borderId="0" xfId="0" applyFont="1" applyFill="1"/>
    <xf numFmtId="0" fontId="48" fillId="0" borderId="0" xfId="0" applyFont="1" applyFill="1" applyBorder="1" applyAlignment="1">
      <alignment horizontal="center"/>
    </xf>
    <xf numFmtId="164" fontId="33" fillId="0" borderId="0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/>
    </xf>
    <xf numFmtId="0" fontId="15" fillId="0" borderId="9" xfId="0" applyFont="1" applyBorder="1" applyAlignment="1">
      <alignment horizontal="center" vertical="center"/>
    </xf>
    <xf numFmtId="0" fontId="30" fillId="0" borderId="29" xfId="0" applyFont="1" applyBorder="1" applyAlignment="1">
      <alignment horizontal="center" vertical="center"/>
    </xf>
    <xf numFmtId="0" fontId="11" fillId="0" borderId="102" xfId="0" applyFont="1" applyBorder="1" applyAlignment="1">
      <alignment horizontal="center" vertical="center"/>
    </xf>
    <xf numFmtId="0" fontId="11" fillId="0" borderId="85" xfId="0" applyFont="1" applyBorder="1" applyAlignment="1">
      <alignment horizontal="center" vertical="center"/>
    </xf>
    <xf numFmtId="0" fontId="33" fillId="2" borderId="1" xfId="0" applyFont="1" applyFill="1" applyBorder="1" applyAlignment="1"/>
    <xf numFmtId="0" fontId="33" fillId="2" borderId="2" xfId="0" applyFont="1" applyFill="1" applyBorder="1" applyAlignment="1"/>
    <xf numFmtId="0" fontId="2" fillId="28" borderId="0" xfId="0" applyFont="1" applyFill="1" applyBorder="1" applyAlignment="1">
      <alignment horizontal="center" vertical="center" wrapText="1"/>
    </xf>
    <xf numFmtId="1" fontId="7" fillId="7" borderId="54" xfId="0" applyNumberFormat="1" applyFont="1" applyFill="1" applyBorder="1" applyAlignment="1">
      <alignment horizontal="center" vertical="center"/>
    </xf>
    <xf numFmtId="1" fontId="7" fillId="7" borderId="53" xfId="0" applyNumberFormat="1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1" fontId="7" fillId="22" borderId="54" xfId="0" applyNumberFormat="1" applyFont="1" applyFill="1" applyBorder="1" applyAlignment="1">
      <alignment horizontal="center" vertical="center"/>
    </xf>
    <xf numFmtId="164" fontId="3" fillId="7" borderId="54" xfId="0" applyNumberFormat="1" applyFont="1" applyFill="1" applyBorder="1" applyAlignment="1">
      <alignment horizontal="center" vertical="center"/>
    </xf>
    <xf numFmtId="1" fontId="7" fillId="22" borderId="55" xfId="0" applyNumberFormat="1" applyFont="1" applyFill="1" applyBorder="1" applyAlignment="1">
      <alignment horizontal="center" vertical="center"/>
    </xf>
    <xf numFmtId="164" fontId="3" fillId="7" borderId="55" xfId="0" applyNumberFormat="1" applyFont="1" applyFill="1" applyBorder="1" applyAlignment="1">
      <alignment horizontal="center" vertical="center"/>
    </xf>
    <xf numFmtId="0" fontId="11" fillId="3" borderId="56" xfId="0" applyNumberFormat="1" applyFont="1" applyFill="1" applyBorder="1" applyAlignment="1">
      <alignment horizontal="center" vertical="center" shrinkToFit="1"/>
    </xf>
    <xf numFmtId="0" fontId="12" fillId="28" borderId="68" xfId="0" applyNumberFormat="1" applyFont="1" applyFill="1" applyBorder="1" applyAlignment="1">
      <alignment horizontal="center" vertical="center" shrinkToFit="1"/>
    </xf>
    <xf numFmtId="0" fontId="11" fillId="3" borderId="25" xfId="0" applyNumberFormat="1" applyFont="1" applyFill="1" applyBorder="1" applyAlignment="1">
      <alignment horizontal="center" vertical="center" shrinkToFit="1"/>
    </xf>
    <xf numFmtId="0" fontId="16" fillId="3" borderId="68" xfId="0" applyFont="1" applyFill="1" applyBorder="1" applyAlignment="1">
      <alignment horizontal="center"/>
    </xf>
    <xf numFmtId="0" fontId="12" fillId="3" borderId="67" xfId="0" applyNumberFormat="1" applyFont="1" applyFill="1" applyBorder="1" applyAlignment="1">
      <alignment horizontal="center" vertical="center" shrinkToFit="1"/>
    </xf>
    <xf numFmtId="0" fontId="11" fillId="28" borderId="55" xfId="0" applyNumberFormat="1" applyFont="1" applyFill="1" applyBorder="1" applyAlignment="1">
      <alignment horizontal="center" vertical="center" shrinkToFit="1"/>
    </xf>
    <xf numFmtId="0" fontId="11" fillId="3" borderId="24" xfId="0" applyNumberFormat="1" applyFont="1" applyFill="1" applyBorder="1" applyAlignment="1">
      <alignment horizontal="center" vertical="center" shrinkToFit="1"/>
    </xf>
    <xf numFmtId="1" fontId="11" fillId="13" borderId="95" xfId="0" applyNumberFormat="1" applyFont="1" applyFill="1" applyBorder="1" applyAlignment="1">
      <alignment horizontal="center" vertical="center" shrinkToFit="1"/>
    </xf>
    <xf numFmtId="0" fontId="48" fillId="0" borderId="81" xfId="0" applyFont="1" applyBorder="1" applyAlignment="1">
      <alignment horizontal="center" vertical="center"/>
    </xf>
    <xf numFmtId="0" fontId="9" fillId="28" borderId="21" xfId="0" applyFont="1" applyFill="1" applyBorder="1" applyAlignment="1">
      <alignment vertical="center"/>
    </xf>
    <xf numFmtId="0" fontId="9" fillId="28" borderId="91" xfId="0" applyFont="1" applyFill="1" applyBorder="1" applyAlignment="1">
      <alignment vertical="center"/>
    </xf>
    <xf numFmtId="1" fontId="37" fillId="0" borderId="23" xfId="0" applyNumberFormat="1" applyFont="1" applyBorder="1" applyAlignment="1">
      <alignment horizontal="center" vertical="center"/>
    </xf>
    <xf numFmtId="1" fontId="59" fillId="0" borderId="23" xfId="0" applyNumberFormat="1" applyFont="1" applyBorder="1" applyAlignment="1">
      <alignment horizontal="center" vertical="center"/>
    </xf>
    <xf numFmtId="0" fontId="11" fillId="0" borderId="0" xfId="0" applyFont="1" applyAlignment="1"/>
    <xf numFmtId="1" fontId="14" fillId="7" borderId="53" xfId="0" applyNumberFormat="1" applyFont="1" applyFill="1" applyBorder="1" applyAlignment="1">
      <alignment horizontal="center" vertical="center"/>
    </xf>
    <xf numFmtId="1" fontId="14" fillId="8" borderId="53" xfId="0" applyNumberFormat="1" applyFont="1" applyFill="1" applyBorder="1" applyAlignment="1">
      <alignment horizontal="center" vertical="center"/>
    </xf>
    <xf numFmtId="1" fontId="14" fillId="9" borderId="29" xfId="0" applyNumberFormat="1" applyFont="1" applyFill="1" applyBorder="1" applyAlignment="1">
      <alignment horizontal="center" vertical="center"/>
    </xf>
    <xf numFmtId="0" fontId="48" fillId="0" borderId="0" xfId="0" applyFont="1" applyAlignment="1"/>
    <xf numFmtId="0" fontId="41" fillId="0" borderId="56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0" fontId="9" fillId="0" borderId="0" xfId="0" applyFont="1" applyAlignment="1"/>
    <xf numFmtId="0" fontId="41" fillId="3" borderId="147" xfId="0" applyFont="1" applyFill="1" applyBorder="1" applyAlignment="1">
      <alignment horizontal="center" vertical="center" wrapText="1"/>
    </xf>
    <xf numFmtId="18" fontId="9" fillId="0" borderId="0" xfId="0" applyNumberFormat="1" applyFont="1"/>
    <xf numFmtId="18" fontId="4" fillId="0" borderId="0" xfId="0" applyNumberFormat="1" applyFont="1"/>
    <xf numFmtId="1" fontId="40" fillId="0" borderId="23" xfId="0" applyNumberFormat="1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/>
    </xf>
    <xf numFmtId="0" fontId="24" fillId="16" borderId="75" xfId="0" applyFont="1" applyFill="1" applyBorder="1" applyAlignment="1">
      <alignment vertical="center" wrapText="1"/>
    </xf>
    <xf numFmtId="0" fontId="24" fillId="16" borderId="91" xfId="0" applyFont="1" applyFill="1" applyBorder="1" applyAlignment="1">
      <alignment vertical="center" wrapText="1"/>
    </xf>
    <xf numFmtId="9" fontId="35" fillId="0" borderId="55" xfId="1" applyFont="1" applyFill="1" applyBorder="1" applyAlignment="1">
      <alignment horizontal="center" vertical="center"/>
    </xf>
    <xf numFmtId="0" fontId="27" fillId="24" borderId="22" xfId="0" applyFont="1" applyFill="1" applyBorder="1" applyAlignment="1">
      <alignment horizontal="center" vertical="center"/>
    </xf>
    <xf numFmtId="164" fontId="39" fillId="24" borderId="23" xfId="0" applyNumberFormat="1" applyFont="1" applyFill="1" applyBorder="1" applyAlignment="1">
      <alignment horizontal="center" vertical="center"/>
    </xf>
    <xf numFmtId="9" fontId="35" fillId="0" borderId="24" xfId="1" applyFont="1" applyFill="1" applyBorder="1" applyAlignment="1">
      <alignment horizontal="center" vertical="center"/>
    </xf>
    <xf numFmtId="0" fontId="7" fillId="16" borderId="26" xfId="0" applyFont="1" applyFill="1" applyBorder="1" applyAlignment="1">
      <alignment horizontal="center" vertical="center" wrapText="1"/>
    </xf>
    <xf numFmtId="0" fontId="8" fillId="16" borderId="27" xfId="0" applyFont="1" applyFill="1" applyBorder="1" applyAlignment="1">
      <alignment horizontal="center" vertical="center" wrapText="1"/>
    </xf>
    <xf numFmtId="0" fontId="44" fillId="16" borderId="27" xfId="0" applyFont="1" applyFill="1" applyBorder="1" applyAlignment="1">
      <alignment horizontal="center" vertical="center" wrapText="1"/>
    </xf>
    <xf numFmtId="0" fontId="8" fillId="16" borderId="28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1" fontId="35" fillId="0" borderId="19" xfId="0" applyNumberFormat="1" applyFont="1" applyBorder="1" applyAlignment="1">
      <alignment horizontal="center" vertical="center"/>
    </xf>
    <xf numFmtId="9" fontId="35" fillId="0" borderId="20" xfId="1" applyFont="1" applyFill="1" applyBorder="1" applyAlignment="1">
      <alignment horizontal="center" vertical="center"/>
    </xf>
    <xf numFmtId="1" fontId="39" fillId="24" borderId="23" xfId="0" applyNumberFormat="1" applyFont="1" applyFill="1" applyBorder="1" applyAlignment="1">
      <alignment horizontal="center" vertical="center"/>
    </xf>
    <xf numFmtId="0" fontId="7" fillId="27" borderId="29" xfId="0" applyFont="1" applyFill="1" applyBorder="1" applyAlignment="1">
      <alignment horizontal="center" vertical="center"/>
    </xf>
    <xf numFmtId="9" fontId="35" fillId="0" borderId="31" xfId="1" applyFont="1" applyFill="1" applyBorder="1" applyAlignment="1">
      <alignment horizontal="center" vertical="center"/>
    </xf>
    <xf numFmtId="1" fontId="41" fillId="0" borderId="56" xfId="0" applyNumberFormat="1" applyFont="1" applyBorder="1" applyAlignment="1">
      <alignment horizontal="center" vertical="center"/>
    </xf>
    <xf numFmtId="164" fontId="33" fillId="0" borderId="75" xfId="0" applyNumberFormat="1" applyFont="1" applyFill="1" applyBorder="1" applyAlignment="1">
      <alignment horizontal="center"/>
    </xf>
    <xf numFmtId="0" fontId="33" fillId="0" borderId="75" xfId="0" applyFont="1" applyFill="1" applyBorder="1" applyAlignment="1">
      <alignment horizontal="center"/>
    </xf>
    <xf numFmtId="1" fontId="30" fillId="28" borderId="55" xfId="0" applyNumberFormat="1" applyFont="1" applyFill="1" applyBorder="1" applyAlignment="1">
      <alignment horizontal="center"/>
    </xf>
    <xf numFmtId="1" fontId="11" fillId="28" borderId="54" xfId="0" applyNumberFormat="1" applyFont="1" applyFill="1" applyBorder="1" applyAlignment="1">
      <alignment horizontal="center" vertical="center" shrinkToFit="1"/>
    </xf>
    <xf numFmtId="1" fontId="11" fillId="3" borderId="23" xfId="0" applyNumberFormat="1" applyFont="1" applyFill="1" applyBorder="1" applyAlignment="1">
      <alignment horizontal="center" vertical="center" shrinkToFit="1"/>
    </xf>
    <xf numFmtId="1" fontId="2" fillId="0" borderId="0" xfId="0" applyNumberFormat="1" applyFont="1" applyAlignment="1">
      <alignment vertical="center"/>
    </xf>
    <xf numFmtId="1" fontId="3" fillId="7" borderId="53" xfId="0" applyNumberFormat="1" applyFont="1" applyFill="1" applyBorder="1" applyAlignment="1">
      <alignment horizontal="center" vertical="center"/>
    </xf>
    <xf numFmtId="1" fontId="3" fillId="9" borderId="29" xfId="0" applyNumberFormat="1" applyFont="1" applyFill="1" applyBorder="1" applyAlignment="1">
      <alignment horizontal="center" vertical="center"/>
    </xf>
    <xf numFmtId="1" fontId="3" fillId="22" borderId="53" xfId="2" applyNumberFormat="1" applyFont="1" applyFill="1" applyBorder="1" applyAlignment="1">
      <alignment horizontal="center" vertical="center"/>
    </xf>
    <xf numFmtId="1" fontId="3" fillId="8" borderId="53" xfId="2" applyNumberFormat="1" applyFont="1" applyFill="1" applyBorder="1" applyAlignment="1">
      <alignment horizontal="center" vertical="center"/>
    </xf>
    <xf numFmtId="0" fontId="41" fillId="0" borderId="45" xfId="0" applyFont="1" applyFill="1" applyBorder="1" applyAlignment="1">
      <alignment horizontal="right" vertical="center"/>
    </xf>
    <xf numFmtId="1" fontId="51" fillId="0" borderId="46" xfId="0" applyNumberFormat="1" applyFont="1" applyFill="1" applyBorder="1" applyAlignment="1">
      <alignment horizontal="center" vertical="center"/>
    </xf>
    <xf numFmtId="0" fontId="41" fillId="0" borderId="61" xfId="0" applyFont="1" applyFill="1" applyBorder="1" applyAlignment="1">
      <alignment horizontal="right" vertical="center"/>
    </xf>
    <xf numFmtId="1" fontId="51" fillId="0" borderId="62" xfId="0" applyNumberFormat="1" applyFont="1" applyFill="1" applyBorder="1" applyAlignment="1">
      <alignment horizontal="center" vertical="center"/>
    </xf>
    <xf numFmtId="0" fontId="41" fillId="22" borderId="12" xfId="0" applyFont="1" applyFill="1" applyBorder="1" applyAlignment="1">
      <alignment horizontal="right" vertical="center"/>
    </xf>
    <xf numFmtId="1" fontId="41" fillId="22" borderId="13" xfId="0" applyNumberFormat="1" applyFont="1" applyFill="1" applyBorder="1" applyAlignment="1">
      <alignment horizontal="center" vertical="center"/>
    </xf>
    <xf numFmtId="1" fontId="41" fillId="0" borderId="90" xfId="0" applyNumberFormat="1" applyFont="1" applyFill="1" applyBorder="1" applyAlignment="1">
      <alignment horizontal="center" vertical="center"/>
    </xf>
    <xf numFmtId="164" fontId="41" fillId="7" borderId="80" xfId="0" applyNumberFormat="1" applyFont="1" applyFill="1" applyBorder="1" applyAlignment="1">
      <alignment horizontal="center" vertical="center"/>
    </xf>
    <xf numFmtId="9" fontId="41" fillId="0" borderId="49" xfId="1" applyFont="1" applyBorder="1" applyAlignment="1">
      <alignment horizontal="center" vertical="center"/>
    </xf>
    <xf numFmtId="9" fontId="41" fillId="22" borderId="78" xfId="1" applyFont="1" applyFill="1" applyBorder="1" applyAlignment="1">
      <alignment horizontal="center" vertical="center"/>
    </xf>
    <xf numFmtId="9" fontId="41" fillId="0" borderId="65" xfId="1" applyFont="1" applyBorder="1" applyAlignment="1">
      <alignment horizontal="center" vertical="center"/>
    </xf>
    <xf numFmtId="9" fontId="41" fillId="7" borderId="66" xfId="1" applyFont="1" applyFill="1" applyBorder="1" applyAlignment="1">
      <alignment horizontal="center" vertical="center"/>
    </xf>
    <xf numFmtId="1" fontId="41" fillId="0" borderId="24" xfId="0" applyNumberFormat="1" applyFont="1" applyFill="1" applyBorder="1" applyAlignment="1">
      <alignment horizontal="center" vertical="center"/>
    </xf>
    <xf numFmtId="1" fontId="10" fillId="32" borderId="24" xfId="0" applyNumberFormat="1" applyFont="1" applyFill="1" applyBorder="1" applyAlignment="1">
      <alignment horizontal="center" vertical="center"/>
    </xf>
    <xf numFmtId="2" fontId="32" fillId="2" borderId="78" xfId="0" applyNumberFormat="1" applyFont="1" applyFill="1" applyBorder="1" applyAlignment="1">
      <alignment vertical="center"/>
    </xf>
    <xf numFmtId="2" fontId="48" fillId="23" borderId="78" xfId="0" applyNumberFormat="1" applyFont="1" applyFill="1" applyBorder="1" applyAlignment="1">
      <alignment vertical="center"/>
    </xf>
    <xf numFmtId="1" fontId="40" fillId="0" borderId="24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9" fontId="3" fillId="0" borderId="39" xfId="1" applyFont="1" applyBorder="1" applyAlignment="1">
      <alignment horizontal="center" vertical="center"/>
    </xf>
    <xf numFmtId="1" fontId="7" fillId="22" borderId="13" xfId="0" applyNumberFormat="1" applyFont="1" applyFill="1" applyBorder="1" applyAlignment="1">
      <alignment horizontal="center" vertical="center"/>
    </xf>
    <xf numFmtId="1" fontId="7" fillId="22" borderId="95" xfId="0" applyNumberFormat="1" applyFont="1" applyFill="1" applyBorder="1" applyAlignment="1">
      <alignment horizontal="center" vertical="center"/>
    </xf>
    <xf numFmtId="2" fontId="40" fillId="0" borderId="110" xfId="0" applyNumberFormat="1" applyFont="1" applyBorder="1" applyAlignment="1">
      <alignment horizontal="center" vertical="center"/>
    </xf>
    <xf numFmtId="0" fontId="9" fillId="0" borderId="58" xfId="0" applyFont="1" applyBorder="1" applyAlignment="1">
      <alignment horizontal="center"/>
    </xf>
    <xf numFmtId="0" fontId="4" fillId="0" borderId="58" xfId="0" applyFont="1" applyBorder="1" applyAlignment="1">
      <alignment horizontal="center"/>
    </xf>
    <xf numFmtId="0" fontId="9" fillId="28" borderId="58" xfId="0" applyFont="1" applyFill="1" applyBorder="1" applyAlignment="1">
      <alignment horizontal="center"/>
    </xf>
    <xf numFmtId="2" fontId="33" fillId="0" borderId="85" xfId="0" applyNumberFormat="1" applyFont="1" applyBorder="1" applyAlignment="1">
      <alignment horizontal="center" vertical="center"/>
    </xf>
    <xf numFmtId="0" fontId="7" fillId="3" borderId="54" xfId="0" applyFont="1" applyFill="1" applyBorder="1" applyAlignment="1">
      <alignment horizontal="center" vertical="center" wrapText="1"/>
    </xf>
    <xf numFmtId="1" fontId="50" fillId="0" borderId="54" xfId="0" applyNumberFormat="1" applyFont="1" applyFill="1" applyBorder="1" applyAlignment="1">
      <alignment horizontal="center" vertical="center"/>
    </xf>
    <xf numFmtId="1" fontId="7" fillId="0" borderId="54" xfId="0" applyNumberFormat="1" applyFont="1" applyFill="1" applyBorder="1" applyAlignment="1">
      <alignment horizontal="center" vertical="center"/>
    </xf>
    <xf numFmtId="9" fontId="3" fillId="0" borderId="54" xfId="1" applyFont="1" applyBorder="1" applyAlignment="1">
      <alignment horizontal="center" vertical="center"/>
    </xf>
    <xf numFmtId="1" fontId="3" fillId="22" borderId="54" xfId="0" applyNumberFormat="1" applyFont="1" applyFill="1" applyBorder="1" applyAlignment="1">
      <alignment horizontal="center" vertical="center"/>
    </xf>
    <xf numFmtId="0" fontId="7" fillId="0" borderId="53" xfId="0" applyFont="1" applyFill="1" applyBorder="1" applyAlignment="1">
      <alignment horizontal="right" vertical="center"/>
    </xf>
    <xf numFmtId="0" fontId="7" fillId="22" borderId="53" xfId="0" applyFont="1" applyFill="1" applyBorder="1" applyAlignment="1">
      <alignment horizontal="right" vertical="center"/>
    </xf>
    <xf numFmtId="0" fontId="7" fillId="7" borderId="53" xfId="0" applyFont="1" applyFill="1" applyBorder="1" applyAlignment="1">
      <alignment horizontal="right" vertical="center"/>
    </xf>
    <xf numFmtId="0" fontId="7" fillId="3" borderId="72" xfId="0" applyFont="1" applyFill="1" applyBorder="1" applyAlignment="1">
      <alignment horizontal="center" vertical="center" wrapText="1"/>
    </xf>
    <xf numFmtId="1" fontId="31" fillId="27" borderId="21" xfId="1" applyNumberFormat="1" applyFont="1" applyFill="1" applyBorder="1" applyAlignment="1">
      <alignment horizontal="center" vertical="center"/>
    </xf>
    <xf numFmtId="0" fontId="0" fillId="0" borderId="53" xfId="0" applyBorder="1"/>
    <xf numFmtId="0" fontId="0" fillId="0" borderId="109" xfId="0" applyBorder="1"/>
    <xf numFmtId="0" fontId="0" fillId="0" borderId="54" xfId="0" applyBorder="1"/>
    <xf numFmtId="0" fontId="0" fillId="0" borderId="27" xfId="0" applyBorder="1"/>
    <xf numFmtId="0" fontId="0" fillId="0" borderId="26" xfId="0" applyBorder="1"/>
    <xf numFmtId="0" fontId="0" fillId="0" borderId="72" xfId="0" applyBorder="1"/>
    <xf numFmtId="0" fontId="0" fillId="0" borderId="12" xfId="0" applyBorder="1"/>
    <xf numFmtId="0" fontId="8" fillId="0" borderId="12" xfId="0" applyFont="1" applyBorder="1"/>
    <xf numFmtId="0" fontId="8" fillId="0" borderId="13" xfId="0" applyFont="1" applyBorder="1"/>
    <xf numFmtId="0" fontId="8" fillId="0" borderId="132" xfId="0" applyFont="1" applyBorder="1"/>
    <xf numFmtId="0" fontId="8" fillId="0" borderId="111" xfId="0" applyFont="1" applyBorder="1"/>
    <xf numFmtId="0" fontId="24" fillId="0" borderId="12" xfId="0" applyFont="1" applyFill="1" applyBorder="1"/>
    <xf numFmtId="0" fontId="24" fillId="0" borderId="13" xfId="0" applyFont="1" applyBorder="1"/>
    <xf numFmtId="0" fontId="0" fillId="0" borderId="27" xfId="0" applyFill="1" applyBorder="1"/>
    <xf numFmtId="0" fontId="0" fillId="0" borderId="72" xfId="0" applyFill="1" applyBorder="1"/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9" fontId="0" fillId="0" borderId="108" xfId="1" applyFont="1" applyBorder="1"/>
    <xf numFmtId="9" fontId="0" fillId="0" borderId="70" xfId="1" applyFont="1" applyBorder="1"/>
    <xf numFmtId="9" fontId="0" fillId="0" borderId="105" xfId="1" applyFont="1" applyBorder="1"/>
    <xf numFmtId="9" fontId="8" fillId="0" borderId="95" xfId="1" applyFont="1" applyBorder="1"/>
    <xf numFmtId="9" fontId="8" fillId="0" borderId="182" xfId="1" applyFont="1" applyBorder="1"/>
    <xf numFmtId="9" fontId="24" fillId="0" borderId="95" xfId="1" applyFont="1" applyBorder="1"/>
    <xf numFmtId="0" fontId="24" fillId="0" borderId="14" xfId="0" applyFont="1" applyFill="1" applyBorder="1"/>
    <xf numFmtId="0" fontId="0" fillId="0" borderId="53" xfId="0" applyFill="1" applyBorder="1"/>
    <xf numFmtId="0" fontId="0" fillId="0" borderId="55" xfId="0" applyFill="1" applyBorder="1"/>
    <xf numFmtId="0" fontId="0" fillId="0" borderId="22" xfId="0" applyFill="1" applyBorder="1"/>
    <xf numFmtId="0" fontId="0" fillId="0" borderId="24" xfId="0" applyFill="1" applyBorder="1"/>
    <xf numFmtId="0" fontId="0" fillId="0" borderId="18" xfId="0" applyFill="1" applyBorder="1"/>
    <xf numFmtId="0" fontId="0" fillId="0" borderId="20" xfId="0" applyFill="1" applyBorder="1"/>
    <xf numFmtId="0" fontId="24" fillId="0" borderId="12" xfId="0" applyFont="1" applyBorder="1"/>
    <xf numFmtId="0" fontId="8" fillId="0" borderId="13" xfId="0" applyFont="1" applyBorder="1" applyAlignment="1">
      <alignment horizontal="right"/>
    </xf>
    <xf numFmtId="0" fontId="8" fillId="0" borderId="95" xfId="0" applyFont="1" applyBorder="1" applyAlignment="1">
      <alignment horizontal="right"/>
    </xf>
    <xf numFmtId="0" fontId="8" fillId="0" borderId="18" xfId="0" applyFont="1" applyFill="1" applyBorder="1" applyAlignment="1">
      <alignment horizontal="right"/>
    </xf>
    <xf numFmtId="0" fontId="8" fillId="0" borderId="20" xfId="0" applyFont="1" applyFill="1" applyBorder="1" applyAlignment="1">
      <alignment horizontal="right"/>
    </xf>
    <xf numFmtId="0" fontId="48" fillId="0" borderId="3" xfId="0" applyFont="1" applyBorder="1" applyAlignment="1">
      <alignment vertical="center" wrapText="1"/>
    </xf>
    <xf numFmtId="1" fontId="33" fillId="0" borderId="24" xfId="0" applyNumberFormat="1" applyFont="1" applyBorder="1" applyAlignment="1">
      <alignment horizontal="center" vertical="center"/>
    </xf>
    <xf numFmtId="0" fontId="65" fillId="13" borderId="95" xfId="0" applyNumberFormat="1" applyFont="1" applyFill="1" applyBorder="1" applyAlignment="1">
      <alignment horizontal="center" vertical="center" shrinkToFit="1"/>
    </xf>
    <xf numFmtId="0" fontId="48" fillId="3" borderId="23" xfId="0" applyNumberFormat="1" applyFont="1" applyFill="1" applyBorder="1" applyAlignment="1">
      <alignment horizontal="center" vertical="center" shrinkToFit="1"/>
    </xf>
    <xf numFmtId="0" fontId="48" fillId="13" borderId="95" xfId="0" applyNumberFormat="1" applyFont="1" applyFill="1" applyBorder="1" applyAlignment="1">
      <alignment horizontal="center" vertical="center" shrinkToFit="1"/>
    </xf>
    <xf numFmtId="0" fontId="7" fillId="3" borderId="70" xfId="0" applyFont="1" applyFill="1" applyBorder="1" applyAlignment="1">
      <alignment horizontal="center" vertical="center" wrapText="1"/>
    </xf>
    <xf numFmtId="1" fontId="50" fillId="0" borderId="70" xfId="0" applyNumberFormat="1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right" vertical="center"/>
    </xf>
    <xf numFmtId="0" fontId="7" fillId="22" borderId="52" xfId="0" applyFont="1" applyFill="1" applyBorder="1" applyAlignment="1">
      <alignment horizontal="right" vertical="center"/>
    </xf>
    <xf numFmtId="0" fontId="7" fillId="3" borderId="53" xfId="0" applyFont="1" applyFill="1" applyBorder="1" applyAlignment="1">
      <alignment horizontal="center" vertical="center" wrapText="1"/>
    </xf>
    <xf numFmtId="0" fontId="7" fillId="3" borderId="55" xfId="0" applyFont="1" applyFill="1" applyBorder="1" applyAlignment="1">
      <alignment horizontal="center" vertical="center" wrapText="1"/>
    </xf>
    <xf numFmtId="0" fontId="7" fillId="0" borderId="99" xfId="0" applyFont="1" applyFill="1" applyBorder="1" applyAlignment="1">
      <alignment horizontal="right" vertical="center"/>
    </xf>
    <xf numFmtId="1" fontId="50" fillId="0" borderId="105" xfId="0" applyNumberFormat="1" applyFont="1" applyFill="1" applyBorder="1" applyAlignment="1">
      <alignment horizontal="center" vertical="center"/>
    </xf>
    <xf numFmtId="9" fontId="3" fillId="0" borderId="57" xfId="1" applyFont="1" applyBorder="1" applyAlignment="1">
      <alignment horizontal="center" vertical="center"/>
    </xf>
    <xf numFmtId="1" fontId="7" fillId="0" borderId="55" xfId="0" applyNumberFormat="1" applyFont="1" applyFill="1" applyBorder="1" applyAlignment="1">
      <alignment horizontal="center" vertical="center"/>
    </xf>
    <xf numFmtId="1" fontId="7" fillId="0" borderId="26" xfId="0" applyNumberFormat="1" applyFont="1" applyFill="1" applyBorder="1" applyAlignment="1">
      <alignment horizontal="center" vertical="center"/>
    </xf>
    <xf numFmtId="1" fontId="7" fillId="0" borderId="28" xfId="0" applyNumberFormat="1" applyFont="1" applyFill="1" applyBorder="1" applyAlignment="1">
      <alignment horizontal="center" vertical="center"/>
    </xf>
    <xf numFmtId="0" fontId="7" fillId="7" borderId="76" xfId="0" applyFont="1" applyFill="1" applyBorder="1" applyAlignment="1">
      <alignment horizontal="right" vertical="center"/>
    </xf>
    <xf numFmtId="1" fontId="7" fillId="7" borderId="182" xfId="0" applyNumberFormat="1" applyFont="1" applyFill="1" applyBorder="1" applyAlignment="1">
      <alignment horizontal="center" vertical="center"/>
    </xf>
    <xf numFmtId="9" fontId="3" fillId="0" borderId="186" xfId="1" applyFont="1" applyBorder="1" applyAlignment="1">
      <alignment horizontal="center" vertical="center"/>
    </xf>
    <xf numFmtId="0" fontId="7" fillId="9" borderId="1" xfId="0" applyFont="1" applyFill="1" applyBorder="1" applyAlignment="1">
      <alignment horizontal="right" vertical="center"/>
    </xf>
    <xf numFmtId="1" fontId="7" fillId="9" borderId="1" xfId="0" applyNumberFormat="1" applyFont="1" applyFill="1" applyBorder="1" applyAlignment="1">
      <alignment horizontal="center" vertical="center"/>
    </xf>
    <xf numFmtId="9" fontId="7" fillId="9" borderId="3" xfId="1" applyFont="1" applyFill="1" applyBorder="1" applyAlignment="1">
      <alignment horizontal="center" vertical="center"/>
    </xf>
    <xf numFmtId="0" fontId="12" fillId="2" borderId="0" xfId="0" applyNumberFormat="1" applyFont="1" applyFill="1" applyBorder="1" applyAlignment="1">
      <alignment horizontal="center"/>
    </xf>
    <xf numFmtId="166" fontId="0" fillId="0" borderId="0" xfId="0" applyNumberFormat="1"/>
    <xf numFmtId="9" fontId="3" fillId="0" borderId="60" xfId="1" applyFont="1" applyBorder="1" applyAlignment="1">
      <alignment horizontal="center" vertical="center"/>
    </xf>
    <xf numFmtId="9" fontId="3" fillId="0" borderId="15" xfId="1" applyFont="1" applyBorder="1" applyAlignment="1">
      <alignment horizontal="center" vertical="center"/>
    </xf>
    <xf numFmtId="9" fontId="3" fillId="22" borderId="5" xfId="1" applyFont="1" applyFill="1" applyBorder="1" applyAlignment="1">
      <alignment horizontal="center" vertical="center"/>
    </xf>
    <xf numFmtId="9" fontId="3" fillId="0" borderId="100" xfId="1" applyFont="1" applyBorder="1" applyAlignment="1">
      <alignment horizontal="center" vertical="center"/>
    </xf>
    <xf numFmtId="9" fontId="3" fillId="7" borderId="5" xfId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1" fontId="7" fillId="9" borderId="98" xfId="0" applyNumberFormat="1" applyFont="1" applyFill="1" applyBorder="1" applyAlignment="1">
      <alignment horizontal="center" vertical="center"/>
    </xf>
    <xf numFmtId="1" fontId="2" fillId="0" borderId="61" xfId="0" applyNumberFormat="1" applyFont="1" applyFill="1" applyBorder="1" applyAlignment="1">
      <alignment horizontal="center" vertical="center"/>
    </xf>
    <xf numFmtId="1" fontId="2" fillId="0" borderId="40" xfId="0" applyNumberFormat="1" applyFont="1" applyFill="1" applyBorder="1" applyAlignment="1">
      <alignment horizontal="center" vertical="center"/>
    </xf>
    <xf numFmtId="1" fontId="2" fillId="0" borderId="50" xfId="0" applyNumberFormat="1" applyFont="1" applyFill="1" applyBorder="1" applyAlignment="1">
      <alignment horizontal="center" vertical="center"/>
    </xf>
    <xf numFmtId="1" fontId="7" fillId="22" borderId="9" xfId="0" applyNumberFormat="1" applyFont="1" applyFill="1" applyBorder="1" applyAlignment="1">
      <alignment horizontal="center" vertical="center"/>
    </xf>
    <xf numFmtId="1" fontId="2" fillId="0" borderId="36" xfId="0" applyNumberFormat="1" applyFont="1" applyFill="1" applyBorder="1" applyAlignment="1">
      <alignment horizontal="center" vertical="center"/>
    </xf>
    <xf numFmtId="164" fontId="3" fillId="7" borderId="11" xfId="0" applyNumberFormat="1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right" vertical="center"/>
    </xf>
    <xf numFmtId="0" fontId="2" fillId="22" borderId="53" xfId="0" applyFont="1" applyFill="1" applyBorder="1" applyAlignment="1">
      <alignment horizontal="right" vertical="center"/>
    </xf>
    <xf numFmtId="0" fontId="2" fillId="7" borderId="53" xfId="0" applyFont="1" applyFill="1" applyBorder="1" applyAlignment="1">
      <alignment horizontal="right" vertical="center"/>
    </xf>
    <xf numFmtId="1" fontId="50" fillId="23" borderId="54" xfId="0" applyNumberFormat="1" applyFont="1" applyFill="1" applyBorder="1" applyAlignment="1">
      <alignment horizontal="center" vertical="center"/>
    </xf>
    <xf numFmtId="1" fontId="41" fillId="0" borderId="55" xfId="0" applyNumberFormat="1" applyFont="1" applyFill="1" applyBorder="1" applyAlignment="1">
      <alignment horizontal="center" vertical="center"/>
    </xf>
    <xf numFmtId="1" fontId="41" fillId="22" borderId="55" xfId="0" applyNumberFormat="1" applyFont="1" applyFill="1" applyBorder="1" applyAlignment="1">
      <alignment horizontal="center" vertical="center"/>
    </xf>
    <xf numFmtId="164" fontId="41" fillId="7" borderId="55" xfId="0" applyNumberFormat="1" applyFont="1" applyFill="1" applyBorder="1" applyAlignment="1">
      <alignment horizontal="center" vertical="center"/>
    </xf>
    <xf numFmtId="9" fontId="2" fillId="0" borderId="0" xfId="1" applyFont="1" applyAlignment="1">
      <alignment vertical="center"/>
    </xf>
    <xf numFmtId="0" fontId="7" fillId="3" borderId="72" xfId="0" applyFont="1" applyFill="1" applyBorder="1" applyAlignment="1">
      <alignment horizontal="center" vertical="center" wrapText="1"/>
    </xf>
    <xf numFmtId="1" fontId="37" fillId="0" borderId="24" xfId="0" applyNumberFormat="1" applyFont="1" applyBorder="1" applyAlignment="1">
      <alignment horizontal="center" vertical="center"/>
    </xf>
    <xf numFmtId="1" fontId="0" fillId="0" borderId="173" xfId="0" applyNumberForma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0" fontId="24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horizontal="center"/>
    </xf>
    <xf numFmtId="1" fontId="46" fillId="0" borderId="0" xfId="0" applyNumberFormat="1" applyFont="1" applyFill="1" applyBorder="1" applyAlignment="1"/>
    <xf numFmtId="0" fontId="3" fillId="3" borderId="71" xfId="0" applyFont="1" applyFill="1" applyBorder="1" applyAlignment="1">
      <alignment horizontal="center" vertical="center" wrapText="1"/>
    </xf>
    <xf numFmtId="0" fontId="0" fillId="0" borderId="55" xfId="0" applyBorder="1"/>
    <xf numFmtId="0" fontId="14" fillId="2" borderId="0" xfId="0" applyFont="1" applyFill="1" applyBorder="1" applyAlignment="1">
      <alignment horizontal="center" vertical="center"/>
    </xf>
    <xf numFmtId="0" fontId="7" fillId="3" borderId="7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/>
    </xf>
    <xf numFmtId="1" fontId="3" fillId="22" borderId="0" xfId="0" applyNumberFormat="1" applyFont="1" applyFill="1" applyBorder="1" applyAlignment="1">
      <alignment horizontal="center" vertical="center"/>
    </xf>
    <xf numFmtId="164" fontId="3" fillId="7" borderId="0" xfId="0" applyNumberFormat="1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1" fontId="7" fillId="9" borderId="0" xfId="0" applyNumberFormat="1" applyFont="1" applyFill="1" applyBorder="1" applyAlignment="1">
      <alignment horizontal="center" vertical="center"/>
    </xf>
    <xf numFmtId="0" fontId="7" fillId="3" borderId="97" xfId="0" applyFont="1" applyFill="1" applyBorder="1" applyAlignment="1">
      <alignment horizontal="center" vertical="center" wrapText="1"/>
    </xf>
    <xf numFmtId="0" fontId="7" fillId="3" borderId="56" xfId="0" applyFont="1" applyFill="1" applyBorder="1" applyAlignment="1">
      <alignment horizontal="center" vertical="center" wrapText="1"/>
    </xf>
    <xf numFmtId="1" fontId="7" fillId="22" borderId="56" xfId="0" applyNumberFormat="1" applyFont="1" applyFill="1" applyBorder="1" applyAlignment="1">
      <alignment horizontal="center" vertical="center"/>
    </xf>
    <xf numFmtId="1" fontId="7" fillId="7" borderId="75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" fontId="18" fillId="0" borderId="0" xfId="0" applyNumberFormat="1" applyFont="1" applyAlignment="1">
      <alignment vertical="center"/>
    </xf>
    <xf numFmtId="0" fontId="14" fillId="2" borderId="64" xfId="0" applyFont="1" applyFill="1" applyBorder="1" applyAlignment="1">
      <alignment horizontal="center" vertical="center"/>
    </xf>
    <xf numFmtId="1" fontId="41" fillId="7" borderId="0" xfId="0" applyNumberFormat="1" applyFont="1" applyFill="1" applyBorder="1" applyAlignment="1">
      <alignment horizontal="center" vertical="center"/>
    </xf>
    <xf numFmtId="9" fontId="0" fillId="0" borderId="0" xfId="1" applyFont="1"/>
    <xf numFmtId="0" fontId="41" fillId="3" borderId="170" xfId="0" applyFont="1" applyFill="1" applyBorder="1" applyAlignment="1">
      <alignment horizontal="center" vertical="center" wrapText="1"/>
    </xf>
    <xf numFmtId="1" fontId="51" fillId="0" borderId="171" xfId="0" applyNumberFormat="1" applyFont="1" applyFill="1" applyBorder="1" applyAlignment="1">
      <alignment horizontal="center" vertical="center"/>
    </xf>
    <xf numFmtId="1" fontId="51" fillId="0" borderId="88" xfId="0" applyNumberFormat="1" applyFont="1" applyFill="1" applyBorder="1" applyAlignment="1">
      <alignment horizontal="center" vertical="center"/>
    </xf>
    <xf numFmtId="1" fontId="51" fillId="0" borderId="89" xfId="0" applyNumberFormat="1" applyFont="1" applyFill="1" applyBorder="1" applyAlignment="1">
      <alignment horizontal="center" vertical="center"/>
    </xf>
    <xf numFmtId="1" fontId="41" fillId="22" borderId="95" xfId="0" applyNumberFormat="1" applyFont="1" applyFill="1" applyBorder="1" applyAlignment="1">
      <alignment horizontal="center" vertical="center"/>
    </xf>
    <xf numFmtId="1" fontId="51" fillId="0" borderId="90" xfId="0" applyNumberFormat="1" applyFont="1" applyFill="1" applyBorder="1" applyAlignment="1">
      <alignment horizontal="center" vertical="center"/>
    </xf>
    <xf numFmtId="1" fontId="51" fillId="0" borderId="172" xfId="0" applyNumberFormat="1" applyFont="1" applyFill="1" applyBorder="1" applyAlignment="1">
      <alignment horizontal="center" vertical="center"/>
    </xf>
    <xf numFmtId="1" fontId="51" fillId="0" borderId="170" xfId="0" applyNumberFormat="1" applyFont="1" applyFill="1" applyBorder="1" applyAlignment="1">
      <alignment horizontal="center" vertical="center"/>
    </xf>
    <xf numFmtId="1" fontId="41" fillId="0" borderId="187" xfId="0" applyNumberFormat="1" applyFont="1" applyFill="1" applyBorder="1" applyAlignment="1">
      <alignment horizontal="center" vertical="center"/>
    </xf>
    <xf numFmtId="1" fontId="41" fillId="0" borderId="188" xfId="0" applyNumberFormat="1" applyFont="1" applyFill="1" applyBorder="1" applyAlignment="1">
      <alignment horizontal="center" vertical="center"/>
    </xf>
    <xf numFmtId="1" fontId="41" fillId="22" borderId="3" xfId="0" applyNumberFormat="1" applyFont="1" applyFill="1" applyBorder="1" applyAlignment="1">
      <alignment horizontal="center" vertical="center"/>
    </xf>
    <xf numFmtId="1" fontId="41" fillId="0" borderId="189" xfId="0" applyNumberFormat="1" applyFont="1" applyFill="1" applyBorder="1" applyAlignment="1">
      <alignment horizontal="center" vertical="center"/>
    </xf>
    <xf numFmtId="1" fontId="41" fillId="0" borderId="190" xfId="0" applyNumberFormat="1" applyFont="1" applyFill="1" applyBorder="1" applyAlignment="1">
      <alignment horizontal="center" vertical="center"/>
    </xf>
    <xf numFmtId="0" fontId="2" fillId="28" borderId="0" xfId="0" applyFont="1" applyFill="1" applyBorder="1" applyAlignment="1">
      <alignment horizontal="center" vertical="center" wrapText="1"/>
    </xf>
    <xf numFmtId="0" fontId="2" fillId="28" borderId="0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7" fillId="3" borderId="86" xfId="0" applyFont="1" applyFill="1" applyBorder="1" applyAlignment="1">
      <alignment horizontal="center" vertical="center" wrapText="1"/>
    </xf>
    <xf numFmtId="0" fontId="2" fillId="0" borderId="120" xfId="0" applyFont="1" applyBorder="1" applyAlignment="1">
      <alignment horizontal="center" vertical="center"/>
    </xf>
    <xf numFmtId="0" fontId="2" fillId="0" borderId="122" xfId="0" applyFont="1" applyBorder="1" applyAlignment="1">
      <alignment horizontal="center" vertical="center"/>
    </xf>
    <xf numFmtId="2" fontId="7" fillId="22" borderId="13" xfId="0" applyNumberFormat="1" applyFont="1" applyFill="1" applyBorder="1" applyAlignment="1">
      <alignment horizontal="center" vertical="center"/>
    </xf>
    <xf numFmtId="2" fontId="7" fillId="7" borderId="59" xfId="0" applyNumberFormat="1" applyFont="1" applyFill="1" applyBorder="1" applyAlignment="1">
      <alignment horizontal="center" vertical="center"/>
    </xf>
    <xf numFmtId="0" fontId="7" fillId="9" borderId="191" xfId="0" applyFont="1" applyFill="1" applyBorder="1" applyAlignment="1">
      <alignment horizontal="center" vertical="center"/>
    </xf>
    <xf numFmtId="0" fontId="7" fillId="9" borderId="192" xfId="0" applyFont="1" applyFill="1" applyBorder="1" applyAlignment="1">
      <alignment horizontal="center" vertical="center"/>
    </xf>
    <xf numFmtId="0" fontId="2" fillId="0" borderId="130" xfId="0" applyFont="1" applyBorder="1" applyAlignment="1">
      <alignment horizontal="center" vertical="center"/>
    </xf>
    <xf numFmtId="0" fontId="2" fillId="0" borderId="131" xfId="0" applyFont="1" applyBorder="1" applyAlignment="1">
      <alignment horizontal="center" vertical="center"/>
    </xf>
    <xf numFmtId="0" fontId="2" fillId="0" borderId="128" xfId="0" applyFont="1" applyBorder="1" applyAlignment="1">
      <alignment horizontal="center" vertical="center"/>
    </xf>
    <xf numFmtId="2" fontId="7" fillId="22" borderId="14" xfId="0" applyNumberFormat="1" applyFont="1" applyFill="1" applyBorder="1" applyAlignment="1">
      <alignment horizontal="center" vertical="center"/>
    </xf>
    <xf numFmtId="2" fontId="7" fillId="7" borderId="10" xfId="0" applyNumberFormat="1" applyFont="1" applyFill="1" applyBorder="1" applyAlignment="1">
      <alignment horizontal="center" vertical="center"/>
    </xf>
    <xf numFmtId="164" fontId="2" fillId="0" borderId="149" xfId="0" applyNumberFormat="1" applyFont="1" applyBorder="1" applyAlignment="1">
      <alignment horizontal="center" vertical="center"/>
    </xf>
    <xf numFmtId="2" fontId="7" fillId="22" borderId="78" xfId="0" applyNumberFormat="1" applyFont="1" applyFill="1" applyBorder="1" applyAlignment="1">
      <alignment horizontal="center" vertical="center"/>
    </xf>
    <xf numFmtId="2" fontId="7" fillId="7" borderId="11" xfId="0" applyNumberFormat="1" applyFont="1" applyFill="1" applyBorder="1" applyAlignment="1">
      <alignment horizontal="center" vertical="center"/>
    </xf>
    <xf numFmtId="1" fontId="2" fillId="0" borderId="149" xfId="0" applyNumberFormat="1" applyFont="1" applyBorder="1" applyAlignment="1">
      <alignment horizontal="center" vertical="center"/>
    </xf>
    <xf numFmtId="164" fontId="13" fillId="32" borderId="193" xfId="0" applyNumberFormat="1" applyFont="1" applyFill="1" applyBorder="1" applyAlignment="1">
      <alignment horizontal="center" vertical="center"/>
    </xf>
    <xf numFmtId="164" fontId="3" fillId="2" borderId="149" xfId="0" applyNumberFormat="1" applyFont="1" applyFill="1" applyBorder="1" applyAlignment="1">
      <alignment horizontal="center" vertical="center"/>
    </xf>
    <xf numFmtId="164" fontId="2" fillId="0" borderId="150" xfId="0" applyNumberFormat="1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 wrapText="1"/>
    </xf>
    <xf numFmtId="1" fontId="7" fillId="22" borderId="96" xfId="0" applyNumberFormat="1" applyFont="1" applyFill="1" applyBorder="1" applyAlignment="1">
      <alignment horizontal="center" vertical="center"/>
    </xf>
    <xf numFmtId="1" fontId="50" fillId="33" borderId="79" xfId="0" applyNumberFormat="1" applyFont="1" applyFill="1" applyBorder="1" applyAlignment="1">
      <alignment horizontal="center" vertical="center"/>
    </xf>
    <xf numFmtId="1" fontId="50" fillId="33" borderId="58" xfId="0" applyNumberFormat="1" applyFont="1" applyFill="1" applyBorder="1" applyAlignment="1">
      <alignment horizontal="center" vertical="center"/>
    </xf>
    <xf numFmtId="1" fontId="7" fillId="33" borderId="85" xfId="0" applyNumberFormat="1" applyFont="1" applyFill="1" applyBorder="1" applyAlignment="1">
      <alignment horizontal="center" vertical="center"/>
    </xf>
    <xf numFmtId="0" fontId="2" fillId="0" borderId="194" xfId="0" applyFont="1" applyBorder="1" applyAlignment="1">
      <alignment horizontal="center" vertical="center"/>
    </xf>
    <xf numFmtId="0" fontId="2" fillId="0" borderId="138" xfId="0" applyFont="1" applyBorder="1" applyAlignment="1">
      <alignment horizontal="center" vertical="center"/>
    </xf>
    <xf numFmtId="0" fontId="2" fillId="0" borderId="139" xfId="0" applyFont="1" applyBorder="1" applyAlignment="1">
      <alignment horizontal="center" vertical="center"/>
    </xf>
    <xf numFmtId="2" fontId="7" fillId="22" borderId="96" xfId="0" applyNumberFormat="1" applyFont="1" applyFill="1" applyBorder="1" applyAlignment="1">
      <alignment horizontal="center" vertical="center"/>
    </xf>
    <xf numFmtId="2" fontId="7" fillId="7" borderId="101" xfId="0" applyNumberFormat="1" applyFont="1" applyFill="1" applyBorder="1" applyAlignment="1">
      <alignment horizontal="center" vertical="center"/>
    </xf>
    <xf numFmtId="0" fontId="7" fillId="9" borderId="195" xfId="0" applyFont="1" applyFill="1" applyBorder="1" applyAlignment="1">
      <alignment horizontal="center" vertical="center"/>
    </xf>
    <xf numFmtId="0" fontId="14" fillId="2" borderId="76" xfId="0" applyFont="1" applyFill="1" applyBorder="1" applyAlignment="1">
      <alignment vertical="center"/>
    </xf>
    <xf numFmtId="0" fontId="14" fillId="2" borderId="75" xfId="0" applyFont="1" applyFill="1" applyBorder="1" applyAlignment="1">
      <alignment vertical="center"/>
    </xf>
    <xf numFmtId="0" fontId="14" fillId="2" borderId="77" xfId="0" applyFont="1" applyFill="1" applyBorder="1" applyAlignment="1">
      <alignment vertical="center"/>
    </xf>
    <xf numFmtId="0" fontId="7" fillId="3" borderId="19" xfId="0" applyFont="1" applyFill="1" applyBorder="1" applyAlignment="1">
      <alignment horizontal="center" vertical="center" wrapText="1"/>
    </xf>
    <xf numFmtId="9" fontId="3" fillId="0" borderId="55" xfId="1" applyFont="1" applyBorder="1" applyAlignment="1">
      <alignment horizontal="center" vertical="center"/>
    </xf>
    <xf numFmtId="1" fontId="7" fillId="9" borderId="55" xfId="0" applyNumberFormat="1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right" vertical="center"/>
    </xf>
    <xf numFmtId="0" fontId="3" fillId="9" borderId="52" xfId="0" applyFont="1" applyFill="1" applyBorder="1" applyAlignment="1">
      <alignment horizontal="right" vertical="center"/>
    </xf>
    <xf numFmtId="1" fontId="7" fillId="9" borderId="68" xfId="0" applyNumberFormat="1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 vertical="center"/>
    </xf>
    <xf numFmtId="1" fontId="7" fillId="9" borderId="22" xfId="0" applyNumberFormat="1" applyFont="1" applyFill="1" applyBorder="1" applyAlignment="1">
      <alignment horizontal="center" vertical="center"/>
    </xf>
    <xf numFmtId="1" fontId="7" fillId="0" borderId="68" xfId="0" applyNumberFormat="1" applyFont="1" applyFill="1" applyBorder="1" applyAlignment="1">
      <alignment horizontal="center" vertical="center"/>
    </xf>
    <xf numFmtId="0" fontId="2" fillId="0" borderId="127" xfId="0" applyFont="1" applyBorder="1" applyAlignment="1">
      <alignment horizontal="center" vertical="center" wrapText="1"/>
    </xf>
    <xf numFmtId="0" fontId="2" fillId="0" borderId="99" xfId="0" applyFont="1" applyFill="1" applyBorder="1" applyAlignment="1">
      <alignment horizontal="right" vertical="center"/>
    </xf>
    <xf numFmtId="1" fontId="2" fillId="0" borderId="26" xfId="0" applyNumberFormat="1" applyFont="1" applyFill="1" applyBorder="1" applyAlignment="1">
      <alignment horizontal="center" vertical="center"/>
    </xf>
    <xf numFmtId="1" fontId="50" fillId="0" borderId="27" xfId="0" applyNumberFormat="1" applyFont="1" applyFill="1" applyBorder="1" applyAlignment="1">
      <alignment horizontal="center" vertical="center"/>
    </xf>
    <xf numFmtId="1" fontId="50" fillId="33" borderId="103" xfId="0" applyNumberFormat="1" applyFont="1" applyFill="1" applyBorder="1" applyAlignment="1">
      <alignment horizontal="center" vertical="center"/>
    </xf>
    <xf numFmtId="1" fontId="7" fillId="0" borderId="106" xfId="0" applyNumberFormat="1" applyFont="1" applyFill="1" applyBorder="1" applyAlignment="1">
      <alignment horizontal="center" vertical="center"/>
    </xf>
    <xf numFmtId="9" fontId="3" fillId="0" borderId="28" xfId="1" applyFont="1" applyBorder="1" applyAlignment="1">
      <alignment horizontal="center" vertical="center"/>
    </xf>
    <xf numFmtId="0" fontId="2" fillId="0" borderId="69" xfId="0" applyFont="1" applyFill="1" applyBorder="1" applyAlignment="1">
      <alignment horizontal="right" vertical="center"/>
    </xf>
    <xf numFmtId="0" fontId="3" fillId="0" borderId="109" xfId="0" applyFont="1" applyFill="1" applyBorder="1" applyAlignment="1">
      <alignment horizontal="center" vertical="center"/>
    </xf>
    <xf numFmtId="1" fontId="50" fillId="0" borderId="72" xfId="0" applyNumberFormat="1" applyFont="1" applyFill="1" applyBorder="1" applyAlignment="1">
      <alignment horizontal="center" vertical="center"/>
    </xf>
    <xf numFmtId="1" fontId="50" fillId="0" borderId="108" xfId="0" applyNumberFormat="1" applyFont="1" applyFill="1" applyBorder="1" applyAlignment="1">
      <alignment horizontal="center" vertical="center"/>
    </xf>
    <xf numFmtId="1" fontId="7" fillId="0" borderId="107" xfId="0" applyNumberFormat="1" applyFont="1" applyFill="1" applyBorder="1" applyAlignment="1">
      <alignment horizontal="center" vertical="center"/>
    </xf>
    <xf numFmtId="9" fontId="3" fillId="0" borderId="71" xfId="1" applyFont="1" applyBorder="1" applyAlignment="1">
      <alignment horizontal="center" vertical="center"/>
    </xf>
    <xf numFmtId="0" fontId="2" fillId="22" borderId="1" xfId="0" applyFont="1" applyFill="1" applyBorder="1" applyAlignment="1">
      <alignment horizontal="right" vertical="center"/>
    </xf>
    <xf numFmtId="1" fontId="7" fillId="33" borderId="78" xfId="0" applyNumberFormat="1" applyFont="1" applyFill="1" applyBorder="1" applyAlignment="1">
      <alignment horizontal="center" vertical="center"/>
    </xf>
    <xf numFmtId="9" fontId="3" fillId="22" borderId="14" xfId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7" borderId="69" xfId="0" applyFont="1" applyFill="1" applyBorder="1" applyAlignment="1">
      <alignment horizontal="right" vertical="center"/>
    </xf>
    <xf numFmtId="1" fontId="7" fillId="7" borderId="109" xfId="0" applyNumberFormat="1" applyFont="1" applyFill="1" applyBorder="1" applyAlignment="1">
      <alignment horizontal="center" vertical="center"/>
    </xf>
    <xf numFmtId="1" fontId="7" fillId="7" borderId="72" xfId="0" applyNumberFormat="1" applyFont="1" applyFill="1" applyBorder="1" applyAlignment="1">
      <alignment horizontal="center" vertical="center"/>
    </xf>
    <xf numFmtId="1" fontId="7" fillId="7" borderId="108" xfId="0" applyNumberFormat="1" applyFont="1" applyFill="1" applyBorder="1" applyAlignment="1">
      <alignment horizontal="center" vertical="center"/>
    </xf>
    <xf numFmtId="1" fontId="7" fillId="33" borderId="79" xfId="0" applyNumberFormat="1" applyFont="1" applyFill="1" applyBorder="1" applyAlignment="1">
      <alignment horizontal="center" vertical="center"/>
    </xf>
    <xf numFmtId="0" fontId="7" fillId="7" borderId="107" xfId="0" applyFont="1" applyFill="1" applyBorder="1" applyAlignment="1">
      <alignment horizontal="center" vertical="center"/>
    </xf>
    <xf numFmtId="0" fontId="3" fillId="7" borderId="7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1" fontId="7" fillId="7" borderId="12" xfId="0" applyNumberFormat="1" applyFont="1" applyFill="1" applyBorder="1" applyAlignment="1">
      <alignment horizontal="center" vertical="center"/>
    </xf>
    <xf numFmtId="1" fontId="7" fillId="7" borderId="13" xfId="0" applyNumberFormat="1" applyFont="1" applyFill="1" applyBorder="1" applyAlignment="1">
      <alignment horizontal="center" vertical="center"/>
    </xf>
    <xf numFmtId="1" fontId="7" fillId="7" borderId="95" xfId="0" applyNumberFormat="1" applyFont="1" applyFill="1" applyBorder="1" applyAlignment="1">
      <alignment horizontal="center" vertical="center"/>
    </xf>
    <xf numFmtId="1" fontId="7" fillId="7" borderId="96" xfId="0" applyNumberFormat="1" applyFont="1" applyFill="1" applyBorder="1" applyAlignment="1">
      <alignment horizontal="center" vertical="center"/>
    </xf>
    <xf numFmtId="9" fontId="3" fillId="7" borderId="14" xfId="1" applyFont="1" applyFill="1" applyBorder="1" applyAlignment="1">
      <alignment horizontal="center" vertical="center"/>
    </xf>
    <xf numFmtId="1" fontId="41" fillId="0" borderId="196" xfId="0" applyNumberFormat="1" applyFont="1" applyFill="1" applyBorder="1" applyAlignment="1">
      <alignment horizontal="center" vertical="center"/>
    </xf>
    <xf numFmtId="1" fontId="41" fillId="0" borderId="17" xfId="0" applyNumberFormat="1" applyFont="1" applyFill="1" applyBorder="1" applyAlignment="1">
      <alignment horizontal="center" vertical="center"/>
    </xf>
    <xf numFmtId="0" fontId="41" fillId="3" borderId="54" xfId="0" applyFont="1" applyFill="1" applyBorder="1" applyAlignment="1">
      <alignment horizontal="center" vertical="center" wrapText="1"/>
    </xf>
    <xf numFmtId="1" fontId="41" fillId="22" borderId="54" xfId="0" applyNumberFormat="1" applyFont="1" applyFill="1" applyBorder="1" applyAlignment="1">
      <alignment horizontal="center" vertical="center"/>
    </xf>
    <xf numFmtId="0" fontId="14" fillId="2" borderId="64" xfId="0" applyFont="1" applyFill="1" applyBorder="1" applyAlignment="1">
      <alignment horizontal="center" vertical="center"/>
    </xf>
    <xf numFmtId="0" fontId="8" fillId="15" borderId="4" xfId="0" applyFont="1" applyFill="1" applyBorder="1" applyAlignment="1">
      <alignment horizontal="center" vertical="center" wrapText="1"/>
    </xf>
    <xf numFmtId="0" fontId="8" fillId="15" borderId="66" xfId="0" applyFont="1" applyFill="1" applyBorder="1" applyAlignment="1">
      <alignment horizontal="center" vertical="center" wrapText="1"/>
    </xf>
    <xf numFmtId="0" fontId="26" fillId="15" borderId="1" xfId="0" applyNumberFormat="1" applyFont="1" applyFill="1" applyBorder="1" applyAlignment="1">
      <alignment horizontal="center" vertical="center"/>
    </xf>
    <xf numFmtId="0" fontId="26" fillId="15" borderId="2" xfId="0" applyNumberFormat="1" applyFont="1" applyFill="1" applyBorder="1" applyAlignment="1">
      <alignment horizontal="center" vertical="center"/>
    </xf>
    <xf numFmtId="0" fontId="26" fillId="15" borderId="3" xfId="0" applyNumberFormat="1" applyFont="1" applyFill="1" applyBorder="1" applyAlignment="1">
      <alignment horizontal="center" vertical="center"/>
    </xf>
    <xf numFmtId="0" fontId="44" fillId="15" borderId="4" xfId="0" applyFont="1" applyFill="1" applyBorder="1" applyAlignment="1">
      <alignment horizontal="center" vertical="center" wrapText="1"/>
    </xf>
    <xf numFmtId="0" fontId="44" fillId="15" borderId="66" xfId="0" applyFont="1" applyFill="1" applyBorder="1" applyAlignment="1">
      <alignment horizontal="center" vertical="center" wrapText="1"/>
    </xf>
    <xf numFmtId="0" fontId="0" fillId="0" borderId="66" xfId="0" applyBorder="1"/>
    <xf numFmtId="0" fontId="0" fillId="0" borderId="2" xfId="0" applyBorder="1"/>
    <xf numFmtId="0" fontId="0" fillId="0" borderId="3" xfId="0" applyBorder="1"/>
    <xf numFmtId="0" fontId="26" fillId="2" borderId="5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8" fillId="15" borderId="4" xfId="0" applyNumberFormat="1" applyFont="1" applyFill="1" applyBorder="1" applyAlignment="1">
      <alignment horizontal="center" vertical="center"/>
    </xf>
    <xf numFmtId="0" fontId="8" fillId="15" borderId="66" xfId="0" applyNumberFormat="1" applyFont="1" applyFill="1" applyBorder="1" applyAlignment="1">
      <alignment horizontal="center" vertical="center"/>
    </xf>
    <xf numFmtId="0" fontId="26" fillId="15" borderId="76" xfId="0" applyNumberFormat="1" applyFont="1" applyFill="1" applyBorder="1" applyAlignment="1">
      <alignment horizontal="center" vertical="center"/>
    </xf>
    <xf numFmtId="0" fontId="26" fillId="15" borderId="75" xfId="0" applyNumberFormat="1" applyFont="1" applyFill="1" applyBorder="1" applyAlignment="1">
      <alignment horizontal="center" vertical="center"/>
    </xf>
    <xf numFmtId="0" fontId="26" fillId="15" borderId="77" xfId="0" applyNumberFormat="1" applyFont="1" applyFill="1" applyBorder="1" applyAlignment="1">
      <alignment horizontal="center" vertical="center"/>
    </xf>
    <xf numFmtId="0" fontId="3" fillId="28" borderId="98" xfId="0" applyFont="1" applyFill="1" applyBorder="1" applyAlignment="1">
      <alignment horizontal="center" vertical="center"/>
    </xf>
    <xf numFmtId="0" fontId="3" fillId="28" borderId="91" xfId="0" applyFont="1" applyFill="1" applyBorder="1" applyAlignment="1">
      <alignment horizontal="center" vertical="center"/>
    </xf>
    <xf numFmtId="0" fontId="3" fillId="28" borderId="117" xfId="0" applyFont="1" applyFill="1" applyBorder="1" applyAlignment="1">
      <alignment horizontal="center" vertical="center"/>
    </xf>
    <xf numFmtId="1" fontId="7" fillId="2" borderId="118" xfId="0" applyNumberFormat="1" applyFont="1" applyFill="1" applyBorder="1" applyAlignment="1">
      <alignment horizontal="center" vertical="center"/>
    </xf>
    <xf numFmtId="1" fontId="7" fillId="2" borderId="91" xfId="0" applyNumberFormat="1" applyFont="1" applyFill="1" applyBorder="1" applyAlignment="1">
      <alignment horizontal="center" vertical="center"/>
    </xf>
    <xf numFmtId="1" fontId="7" fillId="2" borderId="117" xfId="0" applyNumberFormat="1" applyFont="1" applyFill="1" applyBorder="1" applyAlignment="1">
      <alignment horizontal="center" vertical="center"/>
    </xf>
    <xf numFmtId="1" fontId="14" fillId="2" borderId="23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 vertical="center"/>
    </xf>
    <xf numFmtId="0" fontId="2" fillId="28" borderId="0" xfId="0" applyFont="1" applyFill="1" applyBorder="1" applyAlignment="1">
      <alignment horizontal="center" vertical="center" wrapText="1"/>
    </xf>
    <xf numFmtId="0" fontId="0" fillId="28" borderId="0" xfId="0" applyFill="1" applyBorder="1"/>
    <xf numFmtId="0" fontId="2" fillId="3" borderId="92" xfId="0" applyFont="1" applyFill="1" applyBorder="1" applyAlignment="1">
      <alignment horizontal="center" vertical="center" wrapText="1"/>
    </xf>
    <xf numFmtId="0" fontId="0" fillId="0" borderId="52" xfId="0" applyBorder="1"/>
    <xf numFmtId="0" fontId="2" fillId="2" borderId="1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4" fontId="2" fillId="3" borderId="70" xfId="0" applyNumberFormat="1" applyFont="1" applyFill="1" applyBorder="1" applyAlignment="1">
      <alignment horizontal="center" vertical="center"/>
    </xf>
    <xf numFmtId="14" fontId="2" fillId="3" borderId="56" xfId="0" applyNumberFormat="1" applyFont="1" applyFill="1" applyBorder="1" applyAlignment="1">
      <alignment horizontal="center" vertical="center"/>
    </xf>
    <xf numFmtId="14" fontId="2" fillId="3" borderId="68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 wrapText="1"/>
    </xf>
    <xf numFmtId="0" fontId="3" fillId="4" borderId="2" xfId="0" applyNumberFormat="1" applyFont="1" applyFill="1" applyBorder="1" applyAlignment="1">
      <alignment horizontal="center" vertical="center" wrapText="1"/>
    </xf>
    <xf numFmtId="0" fontId="3" fillId="4" borderId="3" xfId="0" applyNumberFormat="1" applyFont="1" applyFill="1" applyBorder="1" applyAlignment="1">
      <alignment horizontal="center" vertical="center" wrapText="1"/>
    </xf>
    <xf numFmtId="0" fontId="41" fillId="0" borderId="2" xfId="0" applyFont="1" applyBorder="1" applyAlignment="1">
      <alignment horizontal="center" vertical="center"/>
    </xf>
    <xf numFmtId="0" fontId="41" fillId="0" borderId="3" xfId="0" applyFont="1" applyBorder="1" applyAlignment="1">
      <alignment horizontal="center" vertical="center"/>
    </xf>
    <xf numFmtId="0" fontId="7" fillId="3" borderId="74" xfId="0" applyFont="1" applyFill="1" applyBorder="1" applyAlignment="1">
      <alignment horizontal="center" vertical="center" wrapText="1"/>
    </xf>
    <xf numFmtId="0" fontId="36" fillId="0" borderId="68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0" fillId="0" borderId="55" xfId="0" applyBorder="1"/>
    <xf numFmtId="0" fontId="2" fillId="3" borderId="5" xfId="0" applyFont="1" applyFill="1" applyBorder="1" applyAlignment="1">
      <alignment horizontal="center" vertical="center"/>
    </xf>
    <xf numFmtId="0" fontId="2" fillId="3" borderId="66" xfId="0" applyFont="1" applyFill="1" applyBorder="1" applyAlignment="1">
      <alignment horizontal="center" vertical="center"/>
    </xf>
    <xf numFmtId="0" fontId="7" fillId="33" borderId="102" xfId="0" applyFont="1" applyFill="1" applyBorder="1" applyAlignment="1">
      <alignment horizontal="center" vertical="center" wrapText="1"/>
    </xf>
    <xf numFmtId="0" fontId="7" fillId="33" borderId="58" xfId="0" applyFont="1" applyFill="1" applyBorder="1" applyAlignment="1">
      <alignment horizontal="center" vertical="center" wrapText="1"/>
    </xf>
    <xf numFmtId="0" fontId="20" fillId="4" borderId="132" xfId="0" applyFont="1" applyFill="1" applyBorder="1" applyAlignment="1">
      <alignment horizontal="center" vertical="center" wrapText="1"/>
    </xf>
    <xf numFmtId="0" fontId="20" fillId="4" borderId="109" xfId="0" applyFont="1" applyFill="1" applyBorder="1" applyAlignment="1">
      <alignment horizontal="center" vertical="center" wrapText="1"/>
    </xf>
    <xf numFmtId="0" fontId="20" fillId="4" borderId="112" xfId="0" applyFont="1" applyFill="1" applyBorder="1" applyAlignment="1">
      <alignment horizontal="center" vertical="center" wrapText="1"/>
    </xf>
    <xf numFmtId="0" fontId="20" fillId="4" borderId="71" xfId="0" applyFont="1" applyFill="1" applyBorder="1" applyAlignment="1">
      <alignment horizontal="center" vertical="center" wrapText="1"/>
    </xf>
    <xf numFmtId="1" fontId="7" fillId="2" borderId="95" xfId="0" applyNumberFormat="1" applyFont="1" applyFill="1" applyBorder="1" applyAlignment="1">
      <alignment horizontal="right" vertical="center"/>
    </xf>
    <xf numFmtId="1" fontId="7" fillId="2" borderId="2" xfId="0" applyNumberFormat="1" applyFont="1" applyFill="1" applyBorder="1" applyAlignment="1">
      <alignment horizontal="right" vertical="center"/>
    </xf>
    <xf numFmtId="1" fontId="7" fillId="2" borderId="96" xfId="0" applyNumberFormat="1" applyFont="1" applyFill="1" applyBorder="1" applyAlignment="1">
      <alignment horizontal="right" vertical="center"/>
    </xf>
    <xf numFmtId="0" fontId="20" fillId="4" borderId="113" xfId="0" applyFont="1" applyFill="1" applyBorder="1" applyAlignment="1">
      <alignment horizontal="center" vertical="center" wrapText="1"/>
    </xf>
    <xf numFmtId="0" fontId="20" fillId="4" borderId="107" xfId="0" applyFont="1" applyFill="1" applyBorder="1" applyAlignment="1">
      <alignment horizontal="center" vertical="center" wrapText="1"/>
    </xf>
    <xf numFmtId="0" fontId="7" fillId="3" borderId="132" xfId="0" applyFont="1" applyFill="1" applyBorder="1" applyAlignment="1">
      <alignment horizontal="center" vertical="center" wrapText="1"/>
    </xf>
    <xf numFmtId="0" fontId="36" fillId="0" borderId="109" xfId="0" applyFont="1" applyBorder="1"/>
    <xf numFmtId="0" fontId="3" fillId="3" borderId="112" xfId="0" applyFont="1" applyFill="1" applyBorder="1" applyAlignment="1">
      <alignment horizontal="center" vertical="center" wrapText="1"/>
    </xf>
    <xf numFmtId="0" fontId="0" fillId="0" borderId="71" xfId="0" applyBorder="1"/>
    <xf numFmtId="0" fontId="3" fillId="3" borderId="4" xfId="0" applyFont="1" applyFill="1" applyBorder="1" applyAlignment="1">
      <alignment horizontal="center" vertical="center" wrapText="1"/>
    </xf>
    <xf numFmtId="0" fontId="0" fillId="0" borderId="79" xfId="0" applyBorder="1"/>
    <xf numFmtId="1" fontId="7" fillId="2" borderId="75" xfId="0" applyNumberFormat="1" applyFont="1" applyFill="1" applyBorder="1" applyAlignment="1">
      <alignment horizontal="center" vertical="center"/>
    </xf>
    <xf numFmtId="0" fontId="7" fillId="2" borderId="75" xfId="0" applyFont="1" applyFill="1" applyBorder="1" applyAlignment="1">
      <alignment horizontal="center" vertical="center"/>
    </xf>
    <xf numFmtId="1" fontId="14" fillId="2" borderId="75" xfId="0" applyNumberFormat="1" applyFont="1" applyFill="1" applyBorder="1" applyAlignment="1">
      <alignment horizontal="center" vertical="center"/>
    </xf>
    <xf numFmtId="0" fontId="14" fillId="2" borderId="75" xfId="0" applyFont="1" applyFill="1" applyBorder="1" applyAlignment="1">
      <alignment horizontal="center" vertical="center"/>
    </xf>
    <xf numFmtId="1" fontId="14" fillId="2" borderId="76" xfId="0" applyNumberFormat="1" applyFont="1" applyFill="1" applyBorder="1" applyAlignment="1">
      <alignment horizontal="center" vertical="center"/>
    </xf>
    <xf numFmtId="0" fontId="14" fillId="2" borderId="77" xfId="0" applyFont="1" applyFill="1" applyBorder="1" applyAlignment="1">
      <alignment horizontal="center" vertical="center"/>
    </xf>
    <xf numFmtId="0" fontId="7" fillId="3" borderId="182" xfId="0" applyFont="1" applyFill="1" applyBorder="1" applyAlignment="1">
      <alignment horizontal="center" vertical="center" wrapText="1"/>
    </xf>
    <xf numFmtId="0" fontId="36" fillId="0" borderId="108" xfId="0" applyFont="1" applyBorder="1"/>
    <xf numFmtId="0" fontId="3" fillId="3" borderId="92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0" fillId="0" borderId="53" xfId="0" applyBorder="1"/>
    <xf numFmtId="0" fontId="2" fillId="3" borderId="132" xfId="0" applyFont="1" applyFill="1" applyBorder="1" applyAlignment="1">
      <alignment horizontal="center" vertical="center" wrapText="1"/>
    </xf>
    <xf numFmtId="0" fontId="0" fillId="0" borderId="109" xfId="0" applyBorder="1"/>
    <xf numFmtId="0" fontId="14" fillId="2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2" fillId="2" borderId="76" xfId="0" applyFont="1" applyFill="1" applyBorder="1" applyAlignment="1">
      <alignment horizontal="center" vertical="center"/>
    </xf>
    <xf numFmtId="14" fontId="2" fillId="3" borderId="86" xfId="0" applyNumberFormat="1" applyFont="1" applyFill="1" applyBorder="1" applyAlignment="1">
      <alignment horizontal="center" vertical="center"/>
    </xf>
    <xf numFmtId="14" fontId="2" fillId="3" borderId="97" xfId="0" applyNumberFormat="1" applyFont="1" applyFill="1" applyBorder="1" applyAlignment="1">
      <alignment horizontal="center" vertical="center"/>
    </xf>
    <xf numFmtId="14" fontId="2" fillId="3" borderId="74" xfId="0" applyNumberFormat="1" applyFont="1" applyFill="1" applyBorder="1" applyAlignment="1">
      <alignment horizontal="center" vertical="center"/>
    </xf>
    <xf numFmtId="0" fontId="3" fillId="4" borderId="12" xfId="0" applyNumberFormat="1" applyFont="1" applyFill="1" applyBorder="1" applyAlignment="1">
      <alignment horizontal="center" vertical="center" wrapText="1"/>
    </xf>
    <xf numFmtId="0" fontId="3" fillId="4" borderId="13" xfId="0" applyNumberFormat="1" applyFont="1" applyFill="1" applyBorder="1" applyAlignment="1">
      <alignment horizontal="center" vertical="center" wrapText="1"/>
    </xf>
    <xf numFmtId="0" fontId="3" fillId="4" borderId="14" xfId="0" applyNumberFormat="1" applyFont="1" applyFill="1" applyBorder="1" applyAlignment="1">
      <alignment horizontal="center" vertical="center" wrapText="1"/>
    </xf>
    <xf numFmtId="0" fontId="2" fillId="3" borderId="76" xfId="0" applyFont="1" applyFill="1" applyBorder="1" applyAlignment="1">
      <alignment horizontal="center" vertical="center"/>
    </xf>
    <xf numFmtId="0" fontId="3" fillId="3" borderId="71" xfId="0" applyFont="1" applyFill="1" applyBorder="1" applyAlignment="1">
      <alignment horizontal="center" vertical="center" wrapText="1"/>
    </xf>
    <xf numFmtId="1" fontId="7" fillId="2" borderId="0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1" fontId="14" fillId="2" borderId="0" xfId="0" applyNumberFormat="1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7" fillId="3" borderId="109" xfId="0" applyFont="1" applyFill="1" applyBorder="1" applyAlignment="1">
      <alignment horizontal="center" vertical="center" wrapText="1"/>
    </xf>
    <xf numFmtId="0" fontId="36" fillId="0" borderId="53" xfId="0" applyFont="1" applyBorder="1"/>
    <xf numFmtId="0" fontId="7" fillId="3" borderId="72" xfId="0" applyFont="1" applyFill="1" applyBorder="1" applyAlignment="1">
      <alignment horizontal="center" vertical="center" wrapText="1"/>
    </xf>
    <xf numFmtId="0" fontId="36" fillId="0" borderId="54" xfId="0" applyFont="1" applyBorder="1"/>
    <xf numFmtId="0" fontId="3" fillId="3" borderId="72" xfId="0" applyFont="1" applyFill="1" applyBorder="1" applyAlignment="1">
      <alignment horizontal="center" vertical="center" wrapText="1"/>
    </xf>
    <xf numFmtId="0" fontId="0" fillId="0" borderId="54" xfId="0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86" xfId="0" applyFont="1" applyFill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center" vertical="center"/>
    </xf>
    <xf numFmtId="0" fontId="14" fillId="2" borderId="111" xfId="0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 wrapText="1"/>
    </xf>
    <xf numFmtId="0" fontId="7" fillId="3" borderId="52" xfId="0" applyFont="1" applyFill="1" applyBorder="1" applyAlignment="1">
      <alignment horizontal="center" vertical="center" wrapText="1"/>
    </xf>
    <xf numFmtId="0" fontId="36" fillId="0" borderId="52" xfId="0" applyFont="1" applyBorder="1"/>
    <xf numFmtId="0" fontId="3" fillId="3" borderId="57" xfId="0" applyFont="1" applyFill="1" applyBorder="1" applyAlignment="1">
      <alignment horizontal="center" vertical="center" wrapText="1"/>
    </xf>
    <xf numFmtId="0" fontId="0" fillId="0" borderId="57" xfId="0" applyBorder="1"/>
    <xf numFmtId="1" fontId="41" fillId="2" borderId="21" xfId="0" applyNumberFormat="1" applyFont="1" applyFill="1" applyBorder="1" applyAlignment="1">
      <alignment horizontal="center" vertical="center"/>
    </xf>
    <xf numFmtId="1" fontId="41" fillId="2" borderId="91" xfId="0" applyNumberFormat="1" applyFont="1" applyFill="1" applyBorder="1" applyAlignment="1">
      <alignment horizontal="center" vertical="center"/>
    </xf>
    <xf numFmtId="1" fontId="41" fillId="2" borderId="81" xfId="0" applyNumberFormat="1" applyFont="1" applyFill="1" applyBorder="1" applyAlignment="1">
      <alignment horizontal="center" vertical="center"/>
    </xf>
    <xf numFmtId="0" fontId="41" fillId="2" borderId="91" xfId="0" applyFont="1" applyFill="1" applyBorder="1" applyAlignment="1">
      <alignment horizontal="center" vertical="center"/>
    </xf>
    <xf numFmtId="0" fontId="41" fillId="2" borderId="81" xfId="0" applyFont="1" applyFill="1" applyBorder="1" applyAlignment="1">
      <alignment horizontal="center" vertical="center"/>
    </xf>
    <xf numFmtId="1" fontId="41" fillId="2" borderId="1" xfId="0" applyNumberFormat="1" applyFont="1" applyFill="1" applyBorder="1" applyAlignment="1">
      <alignment horizontal="center" vertical="center"/>
    </xf>
    <xf numFmtId="1" fontId="41" fillId="2" borderId="2" xfId="0" applyNumberFormat="1" applyFont="1" applyFill="1" applyBorder="1" applyAlignment="1">
      <alignment horizontal="center" vertical="center"/>
    </xf>
    <xf numFmtId="1" fontId="41" fillId="2" borderId="3" xfId="0" applyNumberFormat="1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1" fontId="7" fillId="2" borderId="3" xfId="0" applyNumberFormat="1" applyFont="1" applyFill="1" applyBorder="1" applyAlignment="1">
      <alignment horizontal="center" vertical="center"/>
    </xf>
    <xf numFmtId="0" fontId="2" fillId="3" borderId="109" xfId="0" applyFont="1" applyFill="1" applyBorder="1" applyAlignment="1">
      <alignment horizontal="center" vertical="center" wrapText="1"/>
    </xf>
    <xf numFmtId="0" fontId="41" fillId="0" borderId="10" xfId="0" applyFont="1" applyBorder="1" applyAlignment="1">
      <alignment horizontal="center" vertical="center" wrapText="1"/>
    </xf>
    <xf numFmtId="0" fontId="41" fillId="0" borderId="71" xfId="0" applyFont="1" applyBorder="1" applyAlignment="1">
      <alignment horizontal="center" vertical="center" wrapText="1"/>
    </xf>
    <xf numFmtId="0" fontId="41" fillId="2" borderId="2" xfId="0" applyFont="1" applyFill="1" applyBorder="1" applyAlignment="1">
      <alignment horizontal="center" vertical="center"/>
    </xf>
    <xf numFmtId="0" fontId="41" fillId="2" borderId="3" xfId="0" applyFont="1" applyFill="1" applyBorder="1" applyAlignment="1">
      <alignment horizontal="center" vertical="center"/>
    </xf>
    <xf numFmtId="0" fontId="36" fillId="0" borderId="118" xfId="0" applyFont="1" applyBorder="1"/>
    <xf numFmtId="0" fontId="3" fillId="3" borderId="76" xfId="0" applyFont="1" applyFill="1" applyBorder="1" applyAlignment="1">
      <alignment horizontal="center" vertical="center" wrapText="1"/>
    </xf>
    <xf numFmtId="0" fontId="0" fillId="0" borderId="21" xfId="0" applyBorder="1"/>
    <xf numFmtId="0" fontId="20" fillId="4" borderId="182" xfId="0" applyFont="1" applyFill="1" applyBorder="1" applyAlignment="1">
      <alignment horizontal="center" vertical="center" wrapText="1"/>
    </xf>
    <xf numFmtId="0" fontId="20" fillId="4" borderId="108" xfId="0" applyFont="1" applyFill="1" applyBorder="1" applyAlignment="1">
      <alignment horizontal="center" vertical="center" wrapText="1"/>
    </xf>
    <xf numFmtId="0" fontId="0" fillId="0" borderId="29" xfId="0" applyBorder="1"/>
    <xf numFmtId="0" fontId="39" fillId="4" borderId="1" xfId="0" applyNumberFormat="1" applyFont="1" applyFill="1" applyBorder="1" applyAlignment="1">
      <alignment horizontal="center" vertical="center" wrapText="1"/>
    </xf>
    <xf numFmtId="0" fontId="39" fillId="4" borderId="2" xfId="0" applyNumberFormat="1" applyFont="1" applyFill="1" applyBorder="1" applyAlignment="1">
      <alignment horizontal="center" vertical="center" wrapText="1"/>
    </xf>
    <xf numFmtId="0" fontId="39" fillId="4" borderId="3" xfId="0" applyNumberFormat="1" applyFont="1" applyFill="1" applyBorder="1" applyAlignment="1">
      <alignment horizontal="center" vertical="center" wrapText="1"/>
    </xf>
    <xf numFmtId="1" fontId="7" fillId="2" borderId="12" xfId="0" applyNumberFormat="1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4" fontId="2" fillId="3" borderId="92" xfId="0" applyNumberFormat="1" applyFont="1" applyFill="1" applyBorder="1" applyAlignment="1">
      <alignment horizontal="center" vertical="center"/>
    </xf>
    <xf numFmtId="14" fontId="2" fillId="3" borderId="93" xfId="0" applyNumberFormat="1" applyFont="1" applyFill="1" applyBorder="1" applyAlignment="1">
      <alignment horizontal="center" vertical="center"/>
    </xf>
    <xf numFmtId="1" fontId="14" fillId="2" borderId="174" xfId="0" applyNumberFormat="1" applyFont="1" applyFill="1" applyBorder="1" applyAlignment="1">
      <alignment horizontal="center" vertical="center"/>
    </xf>
    <xf numFmtId="0" fontId="14" fillId="2" borderId="64" xfId="0" applyFont="1" applyFill="1" applyBorder="1" applyAlignment="1">
      <alignment horizontal="center" vertical="center"/>
    </xf>
    <xf numFmtId="1" fontId="55" fillId="2" borderId="174" xfId="0" applyNumberFormat="1" applyFont="1" applyFill="1" applyBorder="1" applyAlignment="1">
      <alignment horizontal="center" vertical="center"/>
    </xf>
    <xf numFmtId="0" fontId="55" fillId="2" borderId="64" xfId="0" applyFont="1" applyFill="1" applyBorder="1" applyAlignment="1">
      <alignment horizontal="center" vertical="center"/>
    </xf>
    <xf numFmtId="0" fontId="55" fillId="2" borderId="175" xfId="0" applyFont="1" applyFill="1" applyBorder="1" applyAlignment="1">
      <alignment horizontal="center" vertical="center"/>
    </xf>
    <xf numFmtId="0" fontId="55" fillId="2" borderId="1" xfId="0" applyFont="1" applyFill="1" applyBorder="1" applyAlignment="1">
      <alignment horizontal="center" vertical="center"/>
    </xf>
    <xf numFmtId="0" fontId="55" fillId="2" borderId="75" xfId="0" applyFont="1" applyFill="1" applyBorder="1" applyAlignment="1">
      <alignment horizontal="center" vertical="center"/>
    </xf>
    <xf numFmtId="0" fontId="55" fillId="2" borderId="2" xfId="0" applyFont="1" applyFill="1" applyBorder="1" applyAlignment="1">
      <alignment horizontal="center" vertical="center"/>
    </xf>
    <xf numFmtId="0" fontId="55" fillId="2" borderId="3" xfId="0" applyFont="1" applyFill="1" applyBorder="1" applyAlignment="1">
      <alignment horizontal="center" vertical="center"/>
    </xf>
    <xf numFmtId="0" fontId="41" fillId="3" borderId="132" xfId="0" applyFont="1" applyFill="1" applyBorder="1" applyAlignment="1">
      <alignment horizontal="center" vertical="center" wrapText="1"/>
    </xf>
    <xf numFmtId="0" fontId="46" fillId="0" borderId="109" xfId="0" applyFont="1" applyBorder="1"/>
    <xf numFmtId="0" fontId="41" fillId="3" borderId="77" xfId="0" applyFont="1" applyFill="1" applyBorder="1" applyAlignment="1">
      <alignment horizontal="center" vertical="center" wrapText="1"/>
    </xf>
    <xf numFmtId="0" fontId="46" fillId="0" borderId="82" xfId="0" applyFont="1" applyBorder="1"/>
    <xf numFmtId="0" fontId="41" fillId="3" borderId="4" xfId="0" applyFont="1" applyFill="1" applyBorder="1" applyAlignment="1">
      <alignment horizontal="center" vertical="center" wrapText="1"/>
    </xf>
    <xf numFmtId="0" fontId="46" fillId="0" borderId="79" xfId="0" applyFont="1" applyBorder="1"/>
    <xf numFmtId="0" fontId="41" fillId="3" borderId="112" xfId="0" applyFont="1" applyFill="1" applyBorder="1" applyAlignment="1">
      <alignment horizontal="center" vertical="center" wrapText="1"/>
    </xf>
    <xf numFmtId="0" fontId="46" fillId="0" borderId="71" xfId="0" applyFont="1" applyBorder="1"/>
    <xf numFmtId="0" fontId="41" fillId="4" borderId="132" xfId="0" applyFont="1" applyFill="1" applyBorder="1" applyAlignment="1">
      <alignment horizontal="center" vertical="center" wrapText="1"/>
    </xf>
    <xf numFmtId="0" fontId="41" fillId="4" borderId="109" xfId="0" applyFont="1" applyFill="1" applyBorder="1" applyAlignment="1">
      <alignment horizontal="center" vertical="center" wrapText="1"/>
    </xf>
    <xf numFmtId="0" fontId="41" fillId="4" borderId="112" xfId="0" applyFont="1" applyFill="1" applyBorder="1" applyAlignment="1">
      <alignment horizontal="center" vertical="center" wrapText="1"/>
    </xf>
    <xf numFmtId="0" fontId="41" fillId="4" borderId="71" xfId="0" applyFont="1" applyFill="1" applyBorder="1" applyAlignment="1">
      <alignment horizontal="center" vertical="center" wrapText="1"/>
    </xf>
    <xf numFmtId="0" fontId="41" fillId="2" borderId="1" xfId="0" applyFont="1" applyFill="1" applyBorder="1" applyAlignment="1">
      <alignment horizontal="center" vertical="center"/>
    </xf>
    <xf numFmtId="0" fontId="41" fillId="2" borderId="75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3" borderId="66" xfId="0" applyFont="1" applyFill="1" applyBorder="1" applyAlignment="1">
      <alignment horizontal="center" vertical="center"/>
    </xf>
    <xf numFmtId="14" fontId="41" fillId="3" borderId="70" xfId="0" applyNumberFormat="1" applyFont="1" applyFill="1" applyBorder="1" applyAlignment="1">
      <alignment horizontal="center" vertical="center"/>
    </xf>
    <xf numFmtId="14" fontId="41" fillId="3" borderId="56" xfId="0" applyNumberFormat="1" applyFont="1" applyFill="1" applyBorder="1" applyAlignment="1">
      <alignment horizontal="center" vertical="center"/>
    </xf>
    <xf numFmtId="14" fontId="41" fillId="3" borderId="68" xfId="0" applyNumberFormat="1" applyFont="1" applyFill="1" applyBorder="1" applyAlignment="1">
      <alignment horizontal="center" vertical="center"/>
    </xf>
    <xf numFmtId="0" fontId="41" fillId="4" borderId="1" xfId="0" applyNumberFormat="1" applyFont="1" applyFill="1" applyBorder="1" applyAlignment="1">
      <alignment horizontal="center" vertical="center" wrapText="1"/>
    </xf>
    <xf numFmtId="0" fontId="41" fillId="4" borderId="2" xfId="0" applyNumberFormat="1" applyFont="1" applyFill="1" applyBorder="1" applyAlignment="1">
      <alignment horizontal="center" vertical="center" wrapText="1"/>
    </xf>
    <xf numFmtId="0" fontId="41" fillId="4" borderId="3" xfId="0" applyNumberFormat="1" applyFont="1" applyFill="1" applyBorder="1" applyAlignment="1">
      <alignment horizontal="center" vertical="center" wrapText="1"/>
    </xf>
    <xf numFmtId="0" fontId="41" fillId="3" borderId="113" xfId="0" applyFont="1" applyFill="1" applyBorder="1" applyAlignment="1">
      <alignment horizontal="center" vertical="center" wrapText="1"/>
    </xf>
    <xf numFmtId="0" fontId="46" fillId="0" borderId="107" xfId="0" applyFont="1" applyBorder="1" applyAlignment="1">
      <alignment horizontal="center"/>
    </xf>
    <xf numFmtId="0" fontId="41" fillId="21" borderId="1" xfId="0" applyFont="1" applyFill="1" applyBorder="1" applyAlignment="1">
      <alignment horizontal="center" vertical="center"/>
    </xf>
    <xf numFmtId="0" fontId="41" fillId="21" borderId="2" xfId="0" applyFont="1" applyFill="1" applyBorder="1" applyAlignment="1">
      <alignment horizontal="center" vertical="center"/>
    </xf>
    <xf numFmtId="0" fontId="41" fillId="21" borderId="77" xfId="0" applyFont="1" applyFill="1" applyBorder="1" applyAlignment="1">
      <alignment horizontal="center" vertical="center"/>
    </xf>
    <xf numFmtId="1" fontId="55" fillId="2" borderId="2" xfId="0" applyNumberFormat="1" applyFont="1" applyFill="1" applyBorder="1" applyAlignment="1">
      <alignment horizontal="left" vertical="center"/>
    </xf>
    <xf numFmtId="1" fontId="55" fillId="2" borderId="3" xfId="0" applyNumberFormat="1" applyFont="1" applyFill="1" applyBorder="1" applyAlignment="1">
      <alignment horizontal="left" vertical="center"/>
    </xf>
    <xf numFmtId="0" fontId="41" fillId="3" borderId="9" xfId="0" applyFont="1" applyFill="1" applyBorder="1" applyAlignment="1">
      <alignment horizontal="center" vertical="center" wrapText="1"/>
    </xf>
    <xf numFmtId="0" fontId="41" fillId="3" borderId="109" xfId="0" applyFont="1" applyFill="1" applyBorder="1" applyAlignment="1">
      <alignment horizontal="center" vertical="center" wrapText="1"/>
    </xf>
    <xf numFmtId="0" fontId="41" fillId="3" borderId="170" xfId="0" applyFont="1" applyFill="1" applyBorder="1" applyAlignment="1">
      <alignment horizontal="center" vertical="center" wrapText="1"/>
    </xf>
    <xf numFmtId="0" fontId="41" fillId="3" borderId="108" xfId="0" applyFont="1" applyFill="1" applyBorder="1" applyAlignment="1">
      <alignment horizontal="center" vertical="center" wrapText="1"/>
    </xf>
    <xf numFmtId="0" fontId="41" fillId="3" borderId="79" xfId="0" applyFont="1" applyFill="1" applyBorder="1" applyAlignment="1">
      <alignment horizontal="center" vertical="center" wrapText="1"/>
    </xf>
    <xf numFmtId="0" fontId="41" fillId="3" borderId="93" xfId="0" applyFont="1" applyFill="1" applyBorder="1" applyAlignment="1">
      <alignment horizontal="center" vertical="center" wrapText="1"/>
    </xf>
    <xf numFmtId="0" fontId="41" fillId="3" borderId="186" xfId="0" applyFont="1" applyFill="1" applyBorder="1" applyAlignment="1">
      <alignment horizontal="center" vertical="center" wrapText="1"/>
    </xf>
    <xf numFmtId="1" fontId="14" fillId="2" borderId="1" xfId="0" applyNumberFormat="1" applyFont="1" applyFill="1" applyBorder="1" applyAlignment="1">
      <alignment horizontal="right" vertical="center"/>
    </xf>
    <xf numFmtId="1" fontId="14" fillId="2" borderId="2" xfId="0" applyNumberFormat="1" applyFont="1" applyFill="1" applyBorder="1" applyAlignment="1">
      <alignment horizontal="right" vertical="center"/>
    </xf>
    <xf numFmtId="14" fontId="2" fillId="3" borderId="105" xfId="0" applyNumberFormat="1" applyFont="1" applyFill="1" applyBorder="1" applyAlignment="1">
      <alignment horizontal="center" vertical="center"/>
    </xf>
    <xf numFmtId="14" fontId="2" fillId="3" borderId="94" xfId="0" applyNumberFormat="1" applyFont="1" applyFill="1" applyBorder="1" applyAlignment="1">
      <alignment horizontal="center" vertical="center"/>
    </xf>
    <xf numFmtId="14" fontId="2" fillId="3" borderId="106" xfId="0" applyNumberFormat="1" applyFont="1" applyFill="1" applyBorder="1" applyAlignment="1">
      <alignment horizontal="center" vertical="center"/>
    </xf>
    <xf numFmtId="0" fontId="24" fillId="0" borderId="70" xfId="0" applyFont="1" applyBorder="1" applyAlignment="1">
      <alignment horizontal="center" vertical="center"/>
    </xf>
    <xf numFmtId="0" fontId="24" fillId="0" borderId="56" xfId="0" applyFont="1" applyBorder="1" applyAlignment="1">
      <alignment horizontal="center" vertical="center"/>
    </xf>
    <xf numFmtId="0" fontId="24" fillId="0" borderId="68" xfId="0" applyFont="1" applyBorder="1" applyAlignment="1">
      <alignment horizontal="center" vertical="center"/>
    </xf>
    <xf numFmtId="1" fontId="46" fillId="0" borderId="1" xfId="0" applyNumberFormat="1" applyFont="1" applyBorder="1" applyAlignment="1">
      <alignment horizontal="center"/>
    </xf>
    <xf numFmtId="1" fontId="46" fillId="0" borderId="2" xfId="0" applyNumberFormat="1" applyFont="1" applyBorder="1" applyAlignment="1">
      <alignment horizontal="center"/>
    </xf>
    <xf numFmtId="1" fontId="46" fillId="0" borderId="3" xfId="0" applyNumberFormat="1" applyFont="1" applyBorder="1" applyAlignment="1">
      <alignment horizontal="center"/>
    </xf>
    <xf numFmtId="0" fontId="32" fillId="2" borderId="76" xfId="0" applyFont="1" applyFill="1" applyBorder="1" applyAlignment="1">
      <alignment horizontal="right" vertical="center"/>
    </xf>
    <xf numFmtId="0" fontId="32" fillId="2" borderId="75" xfId="0" applyFont="1" applyFill="1" applyBorder="1" applyAlignment="1">
      <alignment horizontal="right" vertical="center"/>
    </xf>
    <xf numFmtId="0" fontId="32" fillId="2" borderId="21" xfId="0" applyFont="1" applyFill="1" applyBorder="1" applyAlignment="1">
      <alignment horizontal="right" vertical="center"/>
    </xf>
    <xf numFmtId="0" fontId="32" fillId="2" borderId="91" xfId="0" applyFont="1" applyFill="1" applyBorder="1" applyAlignment="1">
      <alignment horizontal="right" vertical="center"/>
    </xf>
    <xf numFmtId="1" fontId="17" fillId="2" borderId="75" xfId="0" applyNumberFormat="1" applyFont="1" applyFill="1" applyBorder="1" applyAlignment="1">
      <alignment horizontal="center" vertical="center"/>
    </xf>
    <xf numFmtId="1" fontId="17" fillId="2" borderId="77" xfId="0" applyNumberFormat="1" applyFont="1" applyFill="1" applyBorder="1" applyAlignment="1">
      <alignment horizontal="center" vertical="center"/>
    </xf>
    <xf numFmtId="1" fontId="17" fillId="2" borderId="91" xfId="0" applyNumberFormat="1" applyFont="1" applyFill="1" applyBorder="1" applyAlignment="1">
      <alignment horizontal="center" vertical="center"/>
    </xf>
    <xf numFmtId="1" fontId="17" fillId="2" borderId="81" xfId="0" applyNumberFormat="1" applyFont="1" applyFill="1" applyBorder="1" applyAlignment="1">
      <alignment horizontal="center" vertical="center"/>
    </xf>
    <xf numFmtId="0" fontId="24" fillId="16" borderId="76" xfId="0" applyFont="1" applyFill="1" applyBorder="1" applyAlignment="1">
      <alignment horizontal="center" vertical="center" wrapText="1"/>
    </xf>
    <xf numFmtId="0" fontId="24" fillId="16" borderId="75" xfId="0" applyFont="1" applyFill="1" applyBorder="1" applyAlignment="1">
      <alignment horizontal="center" vertical="center" wrapText="1"/>
    </xf>
    <xf numFmtId="0" fontId="24" fillId="16" borderId="21" xfId="0" applyFont="1" applyFill="1" applyBorder="1" applyAlignment="1">
      <alignment horizontal="center" vertical="center" wrapText="1"/>
    </xf>
    <xf numFmtId="0" fontId="24" fillId="16" borderId="9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 wrapText="1"/>
    </xf>
    <xf numFmtId="0" fontId="8" fillId="14" borderId="11" xfId="0" applyFont="1" applyFill="1" applyBorder="1" applyAlignment="1">
      <alignment horizontal="center"/>
    </xf>
    <xf numFmtId="0" fontId="8" fillId="14" borderId="66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 vertical="center"/>
    </xf>
    <xf numFmtId="0" fontId="2" fillId="16" borderId="16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 vertical="center"/>
    </xf>
    <xf numFmtId="0" fontId="2" fillId="16" borderId="6" xfId="0" applyFont="1" applyFill="1" applyBorder="1" applyAlignment="1">
      <alignment horizontal="center" vertical="center"/>
    </xf>
    <xf numFmtId="0" fontId="2" fillId="16" borderId="7" xfId="0" applyFont="1" applyFill="1" applyBorder="1" applyAlignment="1">
      <alignment horizontal="center" vertical="center"/>
    </xf>
    <xf numFmtId="0" fontId="2" fillId="16" borderId="8" xfId="0" applyFont="1" applyFill="1" applyBorder="1" applyAlignment="1">
      <alignment horizontal="center" vertical="center"/>
    </xf>
    <xf numFmtId="0" fontId="2" fillId="16" borderId="76" xfId="0" applyFont="1" applyFill="1" applyBorder="1" applyAlignment="1">
      <alignment horizontal="center" vertical="center" wrapText="1"/>
    </xf>
    <xf numFmtId="0" fontId="2" fillId="16" borderId="75" xfId="0" applyFont="1" applyFill="1" applyBorder="1" applyAlignment="1">
      <alignment horizontal="center" vertical="center" wrapText="1"/>
    </xf>
    <xf numFmtId="0" fontId="2" fillId="16" borderId="77" xfId="0" applyFont="1" applyFill="1" applyBorder="1" applyAlignment="1">
      <alignment horizontal="center" vertical="center" wrapText="1"/>
    </xf>
    <xf numFmtId="0" fontId="2" fillId="16" borderId="69" xfId="0" applyFont="1" applyFill="1" applyBorder="1" applyAlignment="1">
      <alignment horizontal="center" vertical="center" wrapText="1"/>
    </xf>
    <xf numFmtId="0" fontId="2" fillId="16" borderId="73" xfId="0" applyFont="1" applyFill="1" applyBorder="1" applyAlignment="1">
      <alignment horizontal="center" vertical="center" wrapText="1"/>
    </xf>
    <xf numFmtId="0" fontId="2" fillId="16" borderId="82" xfId="0" applyFont="1" applyFill="1" applyBorder="1" applyAlignment="1">
      <alignment horizontal="center" vertical="center" wrapText="1"/>
    </xf>
    <xf numFmtId="0" fontId="24" fillId="16" borderId="18" xfId="0" applyFont="1" applyFill="1" applyBorder="1" applyAlignment="1">
      <alignment horizontal="center" vertical="center" wrapText="1"/>
    </xf>
    <xf numFmtId="0" fontId="24" fillId="16" borderId="19" xfId="0" applyFont="1" applyFill="1" applyBorder="1" applyAlignment="1">
      <alignment horizontal="center" vertical="center" wrapText="1"/>
    </xf>
    <xf numFmtId="0" fontId="24" fillId="16" borderId="20" xfId="0" applyFont="1" applyFill="1" applyBorder="1" applyAlignment="1">
      <alignment horizontal="center" vertical="center" wrapText="1"/>
    </xf>
    <xf numFmtId="0" fontId="24" fillId="16" borderId="53" xfId="0" applyFont="1" applyFill="1" applyBorder="1" applyAlignment="1">
      <alignment horizontal="center" vertical="center" wrapText="1"/>
    </xf>
    <xf numFmtId="0" fontId="24" fillId="16" borderId="54" xfId="0" applyFont="1" applyFill="1" applyBorder="1" applyAlignment="1">
      <alignment horizontal="center" vertical="center" wrapText="1"/>
    </xf>
    <xf numFmtId="0" fontId="24" fillId="16" borderId="55" xfId="0" applyFont="1" applyFill="1" applyBorder="1" applyAlignment="1">
      <alignment horizontal="center" vertical="center" wrapText="1"/>
    </xf>
    <xf numFmtId="0" fontId="32" fillId="0" borderId="75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1" fontId="17" fillId="27" borderId="75" xfId="0" applyNumberFormat="1" applyFont="1" applyFill="1" applyBorder="1" applyAlignment="1">
      <alignment horizontal="center" vertical="center"/>
    </xf>
    <xf numFmtId="1" fontId="17" fillId="27" borderId="0" xfId="0" applyNumberFormat="1" applyFont="1" applyFill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8" borderId="52" xfId="0" applyFont="1" applyFill="1" applyBorder="1" applyAlignment="1">
      <alignment horizontal="center" vertical="center"/>
    </xf>
    <xf numFmtId="0" fontId="2" fillId="8" borderId="57" xfId="0" applyFont="1" applyFill="1" applyBorder="1" applyAlignment="1">
      <alignment horizontal="center" vertical="center"/>
    </xf>
    <xf numFmtId="0" fontId="5" fillId="9" borderId="98" xfId="0" applyFont="1" applyFill="1" applyBorder="1" applyAlignment="1">
      <alignment horizontal="center" vertical="center"/>
    </xf>
    <xf numFmtId="0" fontId="5" fillId="9" borderId="119" xfId="0" applyFont="1" applyFill="1" applyBorder="1" applyAlignment="1">
      <alignment horizontal="center" vertical="center"/>
    </xf>
    <xf numFmtId="0" fontId="26" fillId="0" borderId="76" xfId="0" applyFont="1" applyBorder="1" applyAlignment="1">
      <alignment horizontal="right" vertical="center"/>
    </xf>
    <xf numFmtId="0" fontId="26" fillId="0" borderId="75" xfId="0" applyFont="1" applyBorder="1" applyAlignment="1">
      <alignment horizontal="right" vertical="center"/>
    </xf>
    <xf numFmtId="0" fontId="26" fillId="0" borderId="77" xfId="0" applyFont="1" applyBorder="1" applyAlignment="1">
      <alignment horizontal="right" vertical="center"/>
    </xf>
    <xf numFmtId="0" fontId="26" fillId="0" borderId="21" xfId="0" applyFont="1" applyBorder="1" applyAlignment="1">
      <alignment horizontal="right" vertical="center"/>
    </xf>
    <xf numFmtId="0" fontId="26" fillId="0" borderId="91" xfId="0" applyFont="1" applyBorder="1" applyAlignment="1">
      <alignment horizontal="right" vertical="center"/>
    </xf>
    <xf numFmtId="0" fontId="26" fillId="0" borderId="81" xfId="0" applyFont="1" applyBorder="1" applyAlignment="1">
      <alignment horizontal="right" vertical="center"/>
    </xf>
    <xf numFmtId="1" fontId="17" fillId="2" borderId="76" xfId="0" applyNumberFormat="1" applyFont="1" applyFill="1" applyBorder="1" applyAlignment="1">
      <alignment horizontal="center" vertical="center"/>
    </xf>
    <xf numFmtId="1" fontId="17" fillId="2" borderId="21" xfId="0" applyNumberFormat="1" applyFont="1" applyFill="1" applyBorder="1" applyAlignment="1">
      <alignment horizontal="center" vertical="center"/>
    </xf>
    <xf numFmtId="0" fontId="20" fillId="4" borderId="26" xfId="0" applyFont="1" applyFill="1" applyBorder="1" applyAlignment="1">
      <alignment horizontal="center" vertical="center" textRotation="90" wrapText="1"/>
    </xf>
    <xf numFmtId="0" fontId="20" fillId="4" borderId="9" xfId="0" applyFont="1" applyFill="1" applyBorder="1" applyAlignment="1">
      <alignment horizontal="center" vertical="center" textRotation="90" wrapText="1"/>
    </xf>
    <xf numFmtId="0" fontId="20" fillId="4" borderId="109" xfId="0" applyFont="1" applyFill="1" applyBorder="1" applyAlignment="1">
      <alignment horizontal="center" vertical="center" textRotation="90" wrapText="1"/>
    </xf>
    <xf numFmtId="0" fontId="20" fillId="4" borderId="98" xfId="0" applyFont="1" applyFill="1" applyBorder="1" applyAlignment="1">
      <alignment horizontal="center" vertical="center"/>
    </xf>
    <xf numFmtId="0" fontId="20" fillId="4" borderId="67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4" fillId="4" borderId="96" xfId="0" applyFont="1" applyFill="1" applyBorder="1" applyAlignment="1">
      <alignment horizontal="center" vertical="center"/>
    </xf>
    <xf numFmtId="0" fontId="3" fillId="16" borderId="76" xfId="0" applyFont="1" applyFill="1" applyBorder="1" applyAlignment="1">
      <alignment horizontal="center" vertical="center"/>
    </xf>
    <xf numFmtId="0" fontId="3" fillId="16" borderId="77" xfId="0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80" xfId="0" applyFont="1" applyFill="1" applyBorder="1" applyAlignment="1">
      <alignment horizontal="center" vertical="center"/>
    </xf>
    <xf numFmtId="0" fontId="3" fillId="16" borderId="69" xfId="0" applyFont="1" applyFill="1" applyBorder="1" applyAlignment="1">
      <alignment horizontal="center" vertical="center"/>
    </xf>
    <xf numFmtId="0" fontId="3" fillId="16" borderId="82" xfId="0" applyFont="1" applyFill="1" applyBorder="1" applyAlignment="1">
      <alignment horizontal="center" vertical="center"/>
    </xf>
    <xf numFmtId="0" fontId="28" fillId="18" borderId="112" xfId="0" applyFont="1" applyFill="1" applyBorder="1" applyAlignment="1">
      <alignment horizontal="center" vertical="center" wrapText="1"/>
    </xf>
    <xf numFmtId="0" fontId="28" fillId="18" borderId="71" xfId="0" applyFont="1" applyFill="1" applyBorder="1" applyAlignment="1">
      <alignment horizontal="center" vertical="center" wrapText="1"/>
    </xf>
    <xf numFmtId="0" fontId="19" fillId="18" borderId="132" xfId="0" applyFont="1" applyFill="1" applyBorder="1" applyAlignment="1">
      <alignment horizontal="center" vertical="center" wrapText="1"/>
    </xf>
    <xf numFmtId="0" fontId="19" fillId="18" borderId="109" xfId="0" applyFont="1" applyFill="1" applyBorder="1" applyAlignment="1">
      <alignment horizontal="center" vertical="center" wrapText="1"/>
    </xf>
    <xf numFmtId="0" fontId="20" fillId="4" borderId="26" xfId="0" applyFont="1" applyFill="1" applyBorder="1" applyAlignment="1">
      <alignment horizontal="center" vertical="center" textRotation="90"/>
    </xf>
    <xf numFmtId="0" fontId="20" fillId="4" borderId="9" xfId="0" applyFont="1" applyFill="1" applyBorder="1" applyAlignment="1">
      <alignment horizontal="center" vertical="center" textRotation="90"/>
    </xf>
    <xf numFmtId="0" fontId="20" fillId="4" borderId="109" xfId="0" applyFont="1" applyFill="1" applyBorder="1" applyAlignment="1">
      <alignment horizontal="center" vertical="center" textRotation="90"/>
    </xf>
    <xf numFmtId="0" fontId="21" fillId="2" borderId="76" xfId="0" applyFont="1" applyFill="1" applyBorder="1" applyAlignment="1">
      <alignment horizontal="center" vertical="center"/>
    </xf>
    <xf numFmtId="0" fontId="21" fillId="2" borderId="113" xfId="0" applyFont="1" applyFill="1" applyBorder="1" applyAlignment="1">
      <alignment horizontal="center" vertical="center"/>
    </xf>
    <xf numFmtId="0" fontId="21" fillId="2" borderId="69" xfId="0" applyFont="1" applyFill="1" applyBorder="1" applyAlignment="1">
      <alignment horizontal="center" vertical="center"/>
    </xf>
    <xf numFmtId="0" fontId="21" fillId="2" borderId="107" xfId="0" applyFont="1" applyFill="1" applyBorder="1" applyAlignment="1">
      <alignment horizontal="center" vertical="center"/>
    </xf>
    <xf numFmtId="0" fontId="19" fillId="18" borderId="111" xfId="0" applyFont="1" applyFill="1" applyBorder="1" applyAlignment="1">
      <alignment horizontal="center" vertical="center"/>
    </xf>
    <xf numFmtId="0" fontId="19" fillId="18" borderId="72" xfId="0" applyFont="1" applyFill="1" applyBorder="1" applyAlignment="1">
      <alignment horizontal="center" vertical="center"/>
    </xf>
    <xf numFmtId="0" fontId="19" fillId="18" borderId="111" xfId="0" applyFont="1" applyFill="1" applyBorder="1" applyAlignment="1">
      <alignment horizontal="center" vertical="center" wrapText="1"/>
    </xf>
    <xf numFmtId="0" fontId="19" fillId="18" borderId="72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2" fillId="22" borderId="52" xfId="0" applyFont="1" applyFill="1" applyBorder="1" applyAlignment="1">
      <alignment horizontal="center" vertical="center"/>
    </xf>
    <xf numFmtId="0" fontId="2" fillId="22" borderId="57" xfId="0" applyFont="1" applyFill="1" applyBorder="1" applyAlignment="1">
      <alignment horizontal="center" vertical="center"/>
    </xf>
    <xf numFmtId="0" fontId="5" fillId="9" borderId="22" xfId="0" applyFont="1" applyFill="1" applyBorder="1" applyAlignment="1">
      <alignment horizontal="center" vertical="center"/>
    </xf>
    <xf numFmtId="0" fontId="5" fillId="9" borderId="23" xfId="0" applyFont="1" applyFill="1" applyBorder="1" applyAlignment="1">
      <alignment horizontal="center" vertical="center"/>
    </xf>
    <xf numFmtId="0" fontId="24" fillId="0" borderId="75" xfId="0" applyFont="1" applyBorder="1" applyAlignment="1">
      <alignment horizontal="right" vertical="center"/>
    </xf>
    <xf numFmtId="0" fontId="24" fillId="0" borderId="0" xfId="0" applyFont="1" applyBorder="1" applyAlignment="1">
      <alignment horizontal="right" vertical="center"/>
    </xf>
    <xf numFmtId="2" fontId="26" fillId="2" borderId="75" xfId="0" applyNumberFormat="1" applyFont="1" applyFill="1" applyBorder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2" fillId="22" borderId="53" xfId="0" applyFont="1" applyFill="1" applyBorder="1" applyAlignment="1">
      <alignment horizontal="center" vertical="center"/>
    </xf>
    <xf numFmtId="0" fontId="2" fillId="22" borderId="54" xfId="0" applyFont="1" applyFill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16" borderId="54" xfId="0" applyFont="1" applyFill="1" applyBorder="1" applyAlignment="1">
      <alignment horizontal="center" vertical="center"/>
    </xf>
    <xf numFmtId="14" fontId="2" fillId="16" borderId="105" xfId="0" applyNumberFormat="1" applyFont="1" applyFill="1" applyBorder="1" applyAlignment="1">
      <alignment horizontal="center" vertical="center"/>
    </xf>
    <xf numFmtId="14" fontId="2" fillId="16" borderId="94" xfId="0" applyNumberFormat="1" applyFont="1" applyFill="1" applyBorder="1" applyAlignment="1">
      <alignment horizontal="center" vertical="center"/>
    </xf>
    <xf numFmtId="14" fontId="2" fillId="16" borderId="106" xfId="0" applyNumberFormat="1" applyFont="1" applyFill="1" applyBorder="1" applyAlignment="1">
      <alignment horizontal="center" vertical="center"/>
    </xf>
    <xf numFmtId="14" fontId="2" fillId="16" borderId="108" xfId="0" applyNumberFormat="1" applyFont="1" applyFill="1" applyBorder="1" applyAlignment="1">
      <alignment horizontal="center" vertical="center"/>
    </xf>
    <xf numFmtId="14" fontId="2" fillId="16" borderId="73" xfId="0" applyNumberFormat="1" applyFont="1" applyFill="1" applyBorder="1" applyAlignment="1">
      <alignment horizontal="center" vertical="center"/>
    </xf>
    <xf numFmtId="14" fontId="2" fillId="16" borderId="107" xfId="0" applyNumberFormat="1" applyFont="1" applyFill="1" applyBorder="1" applyAlignment="1">
      <alignment horizontal="center" vertical="center"/>
    </xf>
    <xf numFmtId="0" fontId="8" fillId="2" borderId="69" xfId="0" applyFont="1" applyFill="1" applyBorder="1" applyAlignment="1">
      <alignment horizontal="center"/>
    </xf>
    <xf numFmtId="0" fontId="8" fillId="2" borderId="73" xfId="0" applyFont="1" applyFill="1" applyBorder="1" applyAlignment="1">
      <alignment horizontal="center"/>
    </xf>
    <xf numFmtId="0" fontId="46" fillId="0" borderId="132" xfId="0" applyFont="1" applyBorder="1" applyAlignment="1">
      <alignment horizontal="center" vertical="center"/>
    </xf>
    <xf numFmtId="0" fontId="46" fillId="0" borderId="111" xfId="0" applyFont="1" applyBorder="1" applyAlignment="1">
      <alignment horizontal="center" vertical="center"/>
    </xf>
    <xf numFmtId="0" fontId="46" fillId="0" borderId="112" xfId="0" applyFont="1" applyBorder="1" applyAlignment="1">
      <alignment horizontal="center" vertical="center"/>
    </xf>
    <xf numFmtId="0" fontId="2" fillId="8" borderId="53" xfId="0" applyFont="1" applyFill="1" applyBorder="1" applyAlignment="1">
      <alignment horizontal="center" vertical="center"/>
    </xf>
    <xf numFmtId="0" fontId="2" fillId="8" borderId="54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81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/>
    </xf>
    <xf numFmtId="0" fontId="7" fillId="4" borderId="69" xfId="0" applyFont="1" applyFill="1" applyBorder="1" applyAlignment="1">
      <alignment horizontal="center"/>
    </xf>
    <xf numFmtId="0" fontId="7" fillId="4" borderId="73" xfId="0" applyFont="1" applyFill="1" applyBorder="1" applyAlignment="1">
      <alignment horizontal="center"/>
    </xf>
    <xf numFmtId="0" fontId="7" fillId="4" borderId="82" xfId="0" applyFont="1" applyFill="1" applyBorder="1" applyAlignment="1">
      <alignment horizontal="center"/>
    </xf>
    <xf numFmtId="0" fontId="13" fillId="19" borderId="69" xfId="0" applyFont="1" applyFill="1" applyBorder="1" applyAlignment="1">
      <alignment horizontal="center"/>
    </xf>
    <xf numFmtId="0" fontId="13" fillId="19" borderId="73" xfId="0" applyFont="1" applyFill="1" applyBorder="1" applyAlignment="1">
      <alignment horizontal="center"/>
    </xf>
    <xf numFmtId="0" fontId="13" fillId="19" borderId="82" xfId="0" applyFont="1" applyFill="1" applyBorder="1" applyAlignment="1">
      <alignment horizontal="center"/>
    </xf>
    <xf numFmtId="0" fontId="13" fillId="20" borderId="69" xfId="0" applyFont="1" applyFill="1" applyBorder="1" applyAlignment="1">
      <alignment horizontal="center"/>
    </xf>
    <xf numFmtId="0" fontId="13" fillId="20" borderId="73" xfId="0" applyFont="1" applyFill="1" applyBorder="1" applyAlignment="1">
      <alignment horizontal="center"/>
    </xf>
    <xf numFmtId="0" fontId="8" fillId="0" borderId="53" xfId="0" applyFont="1" applyBorder="1" applyAlignment="1">
      <alignment horizontal="center" vertical="center"/>
    </xf>
    <xf numFmtId="0" fontId="13" fillId="20" borderId="5" xfId="0" applyFont="1" applyFill="1" applyBorder="1" applyAlignment="1">
      <alignment horizontal="center"/>
    </xf>
    <xf numFmtId="0" fontId="13" fillId="20" borderId="0" xfId="0" applyFont="1" applyFill="1" applyBorder="1" applyAlignment="1">
      <alignment horizontal="center"/>
    </xf>
    <xf numFmtId="0" fontId="13" fillId="19" borderId="92" xfId="0" applyFont="1" applyFill="1" applyBorder="1" applyAlignment="1">
      <alignment horizontal="center"/>
    </xf>
    <xf numFmtId="0" fontId="13" fillId="19" borderId="97" xfId="0" applyFont="1" applyFill="1" applyBorder="1" applyAlignment="1">
      <alignment horizontal="center"/>
    </xf>
    <xf numFmtId="0" fontId="13" fillId="19" borderId="93" xfId="0" applyFont="1" applyFill="1" applyBorder="1" applyAlignment="1">
      <alignment horizontal="center"/>
    </xf>
    <xf numFmtId="0" fontId="8" fillId="0" borderId="26" xfId="0" applyFont="1" applyBorder="1" applyAlignment="1">
      <alignment horizontal="center" vertical="center"/>
    </xf>
    <xf numFmtId="0" fontId="14" fillId="4" borderId="26" xfId="0" applyFont="1" applyFill="1" applyBorder="1" applyAlignment="1">
      <alignment horizontal="center" vertical="center" textRotation="90"/>
    </xf>
    <xf numFmtId="0" fontId="14" fillId="4" borderId="9" xfId="0" applyFont="1" applyFill="1" applyBorder="1" applyAlignment="1">
      <alignment horizontal="center" vertical="center" textRotation="90"/>
    </xf>
    <xf numFmtId="0" fontId="14" fillId="4" borderId="26" xfId="0" applyFont="1" applyFill="1" applyBorder="1" applyAlignment="1">
      <alignment horizontal="center" vertical="center" textRotation="90" wrapText="1"/>
    </xf>
    <xf numFmtId="0" fontId="14" fillId="4" borderId="9" xfId="0" applyFont="1" applyFill="1" applyBorder="1" applyAlignment="1">
      <alignment horizontal="center" vertical="center" textRotation="90" wrapText="1"/>
    </xf>
    <xf numFmtId="0" fontId="7" fillId="4" borderId="92" xfId="0" applyFont="1" applyFill="1" applyBorder="1" applyAlignment="1">
      <alignment horizontal="center"/>
    </xf>
    <xf numFmtId="0" fontId="7" fillId="4" borderId="97" xfId="0" applyFont="1" applyFill="1" applyBorder="1" applyAlignment="1">
      <alignment horizontal="center"/>
    </xf>
    <xf numFmtId="0" fontId="7" fillId="4" borderId="93" xfId="0" applyFont="1" applyFill="1" applyBorder="1" applyAlignment="1">
      <alignment horizontal="center"/>
    </xf>
    <xf numFmtId="0" fontId="13" fillId="10" borderId="12" xfId="0" applyFont="1" applyFill="1" applyBorder="1" applyAlignment="1">
      <alignment horizontal="center" vertical="center"/>
    </xf>
    <xf numFmtId="0" fontId="13" fillId="10" borderId="95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 wrapText="1"/>
    </xf>
    <xf numFmtId="0" fontId="7" fillId="4" borderId="75" xfId="0" applyFont="1" applyFill="1" applyBorder="1" applyAlignment="1">
      <alignment horizontal="center" vertical="center"/>
    </xf>
    <xf numFmtId="0" fontId="7" fillId="4" borderId="69" xfId="0" applyFont="1" applyFill="1" applyBorder="1" applyAlignment="1">
      <alignment horizontal="center" vertical="center"/>
    </xf>
    <xf numFmtId="0" fontId="7" fillId="4" borderId="73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0" fillId="0" borderId="80" xfId="0" applyBorder="1"/>
    <xf numFmtId="0" fontId="0" fillId="0" borderId="69" xfId="0" applyBorder="1"/>
    <xf numFmtId="0" fontId="0" fillId="0" borderId="82" xfId="0" applyBorder="1"/>
    <xf numFmtId="0" fontId="17" fillId="0" borderId="1" xfId="0" applyFont="1" applyFill="1" applyBorder="1" applyAlignment="1">
      <alignment horizontal="left" vertical="center"/>
    </xf>
    <xf numFmtId="0" fontId="17" fillId="0" borderId="2" xfId="0" applyFont="1" applyFill="1" applyBorder="1" applyAlignment="1">
      <alignment horizontal="left" vertical="center"/>
    </xf>
    <xf numFmtId="0" fontId="17" fillId="0" borderId="3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2" fontId="47" fillId="2" borderId="75" xfId="0" applyNumberFormat="1" applyFont="1" applyFill="1" applyBorder="1" applyAlignment="1">
      <alignment horizontal="center" vertical="center"/>
    </xf>
    <xf numFmtId="0" fontId="37" fillId="29" borderId="75" xfId="0" applyNumberFormat="1" applyFont="1" applyFill="1" applyBorder="1" applyAlignment="1">
      <alignment horizontal="center" vertical="center"/>
    </xf>
    <xf numFmtId="0" fontId="37" fillId="29" borderId="0" xfId="0" applyNumberFormat="1" applyFont="1" applyFill="1" applyAlignment="1">
      <alignment horizontal="center" vertical="center"/>
    </xf>
    <xf numFmtId="2" fontId="48" fillId="23" borderId="75" xfId="0" applyNumberFormat="1" applyFont="1" applyFill="1" applyBorder="1" applyAlignment="1">
      <alignment horizontal="center" vertical="center"/>
    </xf>
    <xf numFmtId="0" fontId="48" fillId="23" borderId="75" xfId="0" applyFont="1" applyFill="1" applyBorder="1" applyAlignment="1">
      <alignment horizontal="center" vertical="center"/>
    </xf>
    <xf numFmtId="0" fontId="32" fillId="0" borderId="0" xfId="0" applyFont="1" applyBorder="1" applyAlignment="1">
      <alignment horizontal="right" vertical="center"/>
    </xf>
    <xf numFmtId="0" fontId="48" fillId="0" borderId="1" xfId="0" applyFont="1" applyBorder="1" applyAlignment="1">
      <alignment horizontal="center" vertical="center"/>
    </xf>
    <xf numFmtId="0" fontId="48" fillId="2" borderId="106" xfId="0" applyFont="1" applyFill="1" applyBorder="1" applyAlignment="1">
      <alignment horizontal="center"/>
    </xf>
    <xf numFmtId="0" fontId="48" fillId="2" borderId="27" xfId="0" applyFont="1" applyFill="1" applyBorder="1" applyAlignment="1">
      <alignment horizontal="center"/>
    </xf>
    <xf numFmtId="0" fontId="48" fillId="2" borderId="105" xfId="0" applyFont="1" applyFill="1" applyBorder="1" applyAlignment="1">
      <alignment horizontal="center"/>
    </xf>
    <xf numFmtId="164" fontId="33" fillId="2" borderId="75" xfId="0" applyNumberFormat="1" applyFont="1" applyFill="1" applyBorder="1" applyAlignment="1">
      <alignment horizontal="center"/>
    </xf>
    <xf numFmtId="0" fontId="33" fillId="2" borderId="75" xfId="0" applyFont="1" applyFill="1" applyBorder="1" applyAlignment="1">
      <alignment horizontal="center"/>
    </xf>
    <xf numFmtId="0" fontId="30" fillId="0" borderId="1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7" fillId="28" borderId="75" xfId="0" applyFont="1" applyFill="1" applyBorder="1" applyAlignment="1">
      <alignment horizontal="right" vertical="center"/>
    </xf>
    <xf numFmtId="2" fontId="32" fillId="2" borderId="1" xfId="0" applyNumberFormat="1" applyFont="1" applyFill="1" applyBorder="1" applyAlignment="1">
      <alignment horizontal="center" vertical="center"/>
    </xf>
    <xf numFmtId="0" fontId="32" fillId="2" borderId="3" xfId="0" applyFont="1" applyFill="1" applyBorder="1" applyAlignment="1">
      <alignment horizontal="center" vertical="center"/>
    </xf>
    <xf numFmtId="0" fontId="30" fillId="0" borderId="75" xfId="0" applyFont="1" applyBorder="1" applyAlignment="1">
      <alignment horizontal="center" vertical="center"/>
    </xf>
    <xf numFmtId="0" fontId="30" fillId="0" borderId="77" xfId="0" applyFont="1" applyBorder="1" applyAlignment="1">
      <alignment horizontal="center" vertical="center"/>
    </xf>
    <xf numFmtId="0" fontId="48" fillId="0" borderId="2" xfId="0" applyFont="1" applyBorder="1" applyAlignment="1">
      <alignment horizontal="center" vertical="center"/>
    </xf>
    <xf numFmtId="0" fontId="48" fillId="0" borderId="3" xfId="0" applyFont="1" applyBorder="1" applyAlignment="1">
      <alignment horizontal="center" vertical="center"/>
    </xf>
    <xf numFmtId="1" fontId="48" fillId="23" borderId="75" xfId="0" applyNumberFormat="1" applyFont="1" applyFill="1" applyBorder="1" applyAlignment="1">
      <alignment horizontal="center" vertical="center"/>
    </xf>
    <xf numFmtId="0" fontId="48" fillId="0" borderId="1" xfId="0" applyFont="1" applyBorder="1" applyAlignment="1">
      <alignment horizontal="center" vertical="center" wrapText="1"/>
    </xf>
    <xf numFmtId="0" fontId="48" fillId="0" borderId="2" xfId="0" applyFont="1" applyBorder="1" applyAlignment="1">
      <alignment horizontal="center" vertical="center" wrapText="1"/>
    </xf>
    <xf numFmtId="0" fontId="48" fillId="2" borderId="12" xfId="0" applyFont="1" applyFill="1" applyBorder="1" applyAlignment="1">
      <alignment horizontal="center"/>
    </xf>
    <xf numFmtId="0" fontId="48" fillId="2" borderId="13" xfId="0" applyFont="1" applyFill="1" applyBorder="1" applyAlignment="1">
      <alignment horizontal="center"/>
    </xf>
    <xf numFmtId="0" fontId="48" fillId="2" borderId="95" xfId="0" applyFont="1" applyFill="1" applyBorder="1" applyAlignment="1">
      <alignment horizontal="center"/>
    </xf>
    <xf numFmtId="164" fontId="33" fillId="2" borderId="2" xfId="0" applyNumberFormat="1" applyFont="1" applyFill="1" applyBorder="1" applyAlignment="1">
      <alignment horizontal="center"/>
    </xf>
    <xf numFmtId="0" fontId="33" fillId="2" borderId="3" xfId="0" applyFont="1" applyFill="1" applyBorder="1" applyAlignment="1">
      <alignment horizontal="center"/>
    </xf>
    <xf numFmtId="0" fontId="37" fillId="28" borderId="77" xfId="0" applyFont="1" applyFill="1" applyBorder="1" applyAlignment="1">
      <alignment horizontal="right" vertical="center"/>
    </xf>
    <xf numFmtId="2" fontId="32" fillId="2" borderId="3" xfId="0" applyNumberFormat="1" applyFont="1" applyFill="1" applyBorder="1" applyAlignment="1">
      <alignment horizontal="center" vertical="center"/>
    </xf>
    <xf numFmtId="2" fontId="48" fillId="23" borderId="0" xfId="0" applyNumberFormat="1" applyFont="1" applyFill="1" applyBorder="1" applyAlignment="1">
      <alignment horizontal="center" vertical="center"/>
    </xf>
    <xf numFmtId="0" fontId="48" fillId="23" borderId="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2" fontId="32" fillId="2" borderId="1" xfId="0" applyNumberFormat="1" applyFont="1" applyFill="1" applyBorder="1" applyAlignment="1">
      <alignment horizontal="center"/>
    </xf>
    <xf numFmtId="0" fontId="32" fillId="2" borderId="3" xfId="0" applyFont="1" applyFill="1" applyBorder="1" applyAlignment="1">
      <alignment horizontal="center"/>
    </xf>
    <xf numFmtId="2" fontId="29" fillId="23" borderId="75" xfId="0" applyNumberFormat="1" applyFont="1" applyFill="1" applyBorder="1" applyAlignment="1">
      <alignment horizontal="center"/>
    </xf>
    <xf numFmtId="0" fontId="29" fillId="23" borderId="75" xfId="0" applyFont="1" applyFill="1" applyBorder="1" applyAlignment="1">
      <alignment horizontal="center"/>
    </xf>
    <xf numFmtId="0" fontId="30" fillId="2" borderId="106" xfId="0" applyFont="1" applyFill="1" applyBorder="1" applyAlignment="1">
      <alignment horizontal="center"/>
    </xf>
    <xf numFmtId="0" fontId="30" fillId="2" borderId="27" xfId="0" applyFont="1" applyFill="1" applyBorder="1" applyAlignment="1">
      <alignment horizontal="center"/>
    </xf>
    <xf numFmtId="0" fontId="30" fillId="2" borderId="105" xfId="0" applyFont="1" applyFill="1" applyBorder="1" applyAlignment="1">
      <alignment horizontal="center"/>
    </xf>
    <xf numFmtId="0" fontId="58" fillId="28" borderId="75" xfId="0" applyFont="1" applyFill="1" applyBorder="1" applyAlignment="1">
      <alignment horizontal="right" vertical="center"/>
    </xf>
    <xf numFmtId="2" fontId="59" fillId="2" borderId="1" xfId="0" applyNumberFormat="1" applyFont="1" applyFill="1" applyBorder="1" applyAlignment="1">
      <alignment horizontal="center" vertical="center"/>
    </xf>
    <xf numFmtId="0" fontId="59" fillId="2" borderId="3" xfId="0" applyFont="1" applyFill="1" applyBorder="1" applyAlignment="1">
      <alignment horizontal="center" vertical="center"/>
    </xf>
    <xf numFmtId="2" fontId="30" fillId="23" borderId="75" xfId="0" applyNumberFormat="1" applyFont="1" applyFill="1" applyBorder="1" applyAlignment="1">
      <alignment horizontal="center" vertical="center"/>
    </xf>
    <xf numFmtId="0" fontId="30" fillId="23" borderId="75" xfId="0" applyFont="1" applyFill="1" applyBorder="1" applyAlignment="1">
      <alignment horizontal="center" vertical="center"/>
    </xf>
    <xf numFmtId="164" fontId="37" fillId="2" borderId="75" xfId="0" applyNumberFormat="1" applyFont="1" applyFill="1" applyBorder="1" applyAlignment="1">
      <alignment horizontal="center"/>
    </xf>
    <xf numFmtId="0" fontId="37" fillId="2" borderId="75" xfId="0" applyFont="1" applyFill="1" applyBorder="1" applyAlignment="1">
      <alignment horizontal="center"/>
    </xf>
    <xf numFmtId="0" fontId="37" fillId="28" borderId="76" xfId="0" applyFont="1" applyFill="1" applyBorder="1" applyAlignment="1">
      <alignment horizontal="right" vertical="center"/>
    </xf>
    <xf numFmtId="1" fontId="58" fillId="2" borderId="1" xfId="0" applyNumberFormat="1" applyFont="1" applyFill="1" applyBorder="1" applyAlignment="1">
      <alignment horizontal="center"/>
    </xf>
    <xf numFmtId="1" fontId="58" fillId="2" borderId="3" xfId="0" applyNumberFormat="1" applyFont="1" applyFill="1" applyBorder="1" applyAlignment="1">
      <alignment horizontal="center"/>
    </xf>
    <xf numFmtId="0" fontId="32" fillId="0" borderId="91" xfId="0" applyFont="1" applyBorder="1" applyAlignment="1">
      <alignment horizontal="right" vertical="center"/>
    </xf>
    <xf numFmtId="1" fontId="61" fillId="23" borderId="2" xfId="0" applyNumberFormat="1" applyFont="1" applyFill="1" applyBorder="1" applyAlignment="1">
      <alignment horizontal="center" vertical="center"/>
    </xf>
    <xf numFmtId="1" fontId="61" fillId="23" borderId="3" xfId="0" applyNumberFormat="1" applyFont="1" applyFill="1" applyBorder="1" applyAlignment="1">
      <alignment horizontal="center" vertical="center"/>
    </xf>
    <xf numFmtId="1" fontId="61" fillId="23" borderId="75" xfId="0" applyNumberFormat="1" applyFont="1" applyFill="1" applyBorder="1" applyAlignment="1">
      <alignment horizontal="center" vertical="center"/>
    </xf>
    <xf numFmtId="164" fontId="37" fillId="2" borderId="1" xfId="0" applyNumberFormat="1" applyFont="1" applyFill="1" applyBorder="1" applyAlignment="1">
      <alignment horizontal="center"/>
    </xf>
    <xf numFmtId="0" fontId="37" fillId="2" borderId="3" xfId="0" applyFont="1" applyFill="1" applyBorder="1" applyAlignment="1">
      <alignment horizontal="center"/>
    </xf>
    <xf numFmtId="2" fontId="11" fillId="23" borderId="75" xfId="0" applyNumberFormat="1" applyFont="1" applyFill="1" applyBorder="1" applyAlignment="1">
      <alignment horizontal="center"/>
    </xf>
    <xf numFmtId="0" fontId="11" fillId="23" borderId="75" xfId="0" applyFont="1" applyFill="1" applyBorder="1" applyAlignment="1">
      <alignment horizontal="center"/>
    </xf>
    <xf numFmtId="2" fontId="15" fillId="23" borderId="75" xfId="0" applyNumberFormat="1" applyFont="1" applyFill="1" applyBorder="1" applyAlignment="1">
      <alignment horizontal="center"/>
    </xf>
    <xf numFmtId="0" fontId="15" fillId="23" borderId="75" xfId="0" applyFont="1" applyFill="1" applyBorder="1" applyAlignment="1">
      <alignment horizontal="center"/>
    </xf>
    <xf numFmtId="0" fontId="37" fillId="29" borderId="0" xfId="0" applyNumberFormat="1" applyFont="1" applyFill="1" applyBorder="1" applyAlignment="1">
      <alignment horizontal="center" vertical="center"/>
    </xf>
    <xf numFmtId="2" fontId="61" fillId="23" borderId="75" xfId="0" applyNumberFormat="1" applyFont="1" applyFill="1" applyBorder="1" applyAlignment="1">
      <alignment horizontal="center" vertical="center"/>
    </xf>
    <xf numFmtId="0" fontId="61" fillId="23" borderId="75" xfId="0" applyFont="1" applyFill="1" applyBorder="1" applyAlignment="1">
      <alignment horizontal="center" vertical="center"/>
    </xf>
    <xf numFmtId="0" fontId="29" fillId="28" borderId="1" xfId="0" applyFont="1" applyFill="1" applyBorder="1" applyAlignment="1">
      <alignment horizontal="center" vertical="center"/>
    </xf>
    <xf numFmtId="0" fontId="29" fillId="28" borderId="2" xfId="0" applyFont="1" applyFill="1" applyBorder="1" applyAlignment="1">
      <alignment horizontal="center" vertical="center"/>
    </xf>
    <xf numFmtId="0" fontId="29" fillId="28" borderId="3" xfId="0" applyFont="1" applyFill="1" applyBorder="1" applyAlignment="1">
      <alignment horizontal="center" vertical="center"/>
    </xf>
    <xf numFmtId="164" fontId="58" fillId="2" borderId="1" xfId="0" applyNumberFormat="1" applyFont="1" applyFill="1" applyBorder="1" applyAlignment="1">
      <alignment horizontal="center"/>
    </xf>
    <xf numFmtId="0" fontId="58" fillId="2" borderId="3" xfId="0" applyFont="1" applyFill="1" applyBorder="1" applyAlignment="1">
      <alignment horizontal="center"/>
    </xf>
    <xf numFmtId="164" fontId="58" fillId="2" borderId="75" xfId="0" applyNumberFormat="1" applyFont="1" applyFill="1" applyBorder="1" applyAlignment="1">
      <alignment horizontal="center"/>
    </xf>
    <xf numFmtId="0" fontId="58" fillId="2" borderId="75" xfId="0" applyFont="1" applyFill="1" applyBorder="1" applyAlignment="1">
      <alignment horizontal="center"/>
    </xf>
    <xf numFmtId="1" fontId="32" fillId="2" borderId="1" xfId="0" applyNumberFormat="1" applyFont="1" applyFill="1" applyBorder="1" applyAlignment="1">
      <alignment horizontal="center" vertical="center"/>
    </xf>
    <xf numFmtId="1" fontId="32" fillId="2" borderId="3" xfId="0" applyNumberFormat="1" applyFont="1" applyFill="1" applyBorder="1" applyAlignment="1">
      <alignment horizontal="center" vertical="center"/>
    </xf>
    <xf numFmtId="0" fontId="48" fillId="2" borderId="74" xfId="0" applyFont="1" applyFill="1" applyBorder="1" applyAlignment="1">
      <alignment horizontal="center"/>
    </xf>
    <xf numFmtId="0" fontId="48" fillId="2" borderId="19" xfId="0" applyFont="1" applyFill="1" applyBorder="1" applyAlignment="1">
      <alignment horizontal="center"/>
    </xf>
    <xf numFmtId="0" fontId="48" fillId="2" borderId="86" xfId="0" applyFont="1" applyFill="1" applyBorder="1" applyAlignment="1">
      <alignment horizontal="center"/>
    </xf>
    <xf numFmtId="164" fontId="33" fillId="2" borderId="97" xfId="0" applyNumberFormat="1" applyFont="1" applyFill="1" applyBorder="1" applyAlignment="1">
      <alignment horizontal="center"/>
    </xf>
    <xf numFmtId="0" fontId="33" fillId="2" borderId="97" xfId="0" applyFont="1" applyFill="1" applyBorder="1" applyAlignment="1">
      <alignment horizontal="center"/>
    </xf>
    <xf numFmtId="1" fontId="33" fillId="2" borderId="75" xfId="0" applyNumberFormat="1" applyFont="1" applyFill="1" applyBorder="1" applyAlignment="1">
      <alignment horizontal="center"/>
    </xf>
    <xf numFmtId="0" fontId="48" fillId="2" borderId="101" xfId="0" applyFont="1" applyFill="1" applyBorder="1" applyAlignment="1">
      <alignment horizontal="center"/>
    </xf>
    <xf numFmtId="0" fontId="48" fillId="2" borderId="59" xfId="0" applyFont="1" applyFill="1" applyBorder="1" applyAlignment="1">
      <alignment horizontal="center"/>
    </xf>
    <xf numFmtId="0" fontId="48" fillId="2" borderId="170" xfId="0" applyFont="1" applyFill="1" applyBorder="1" applyAlignment="1">
      <alignment horizontal="center"/>
    </xf>
    <xf numFmtId="164" fontId="33" fillId="2" borderId="0" xfId="0" applyNumberFormat="1" applyFont="1" applyFill="1" applyBorder="1" applyAlignment="1">
      <alignment horizontal="center"/>
    </xf>
    <xf numFmtId="0" fontId="33" fillId="2" borderId="0" xfId="0" applyFont="1" applyFill="1" applyBorder="1" applyAlignment="1">
      <alignment horizontal="center"/>
    </xf>
    <xf numFmtId="0" fontId="8" fillId="2" borderId="1" xfId="0" applyNumberFormat="1" applyFont="1" applyFill="1" applyBorder="1" applyAlignment="1">
      <alignment horizontal="center"/>
    </xf>
    <xf numFmtId="0" fontId="8" fillId="2" borderId="2" xfId="0" applyNumberFormat="1" applyFont="1" applyFill="1" applyBorder="1" applyAlignment="1">
      <alignment horizontal="center"/>
    </xf>
    <xf numFmtId="0" fontId="8" fillId="2" borderId="3" xfId="0" applyNumberFormat="1" applyFont="1" applyFill="1" applyBorder="1" applyAlignment="1">
      <alignment horizontal="center"/>
    </xf>
    <xf numFmtId="0" fontId="26" fillId="5" borderId="12" xfId="0" applyFont="1" applyFill="1" applyBorder="1" applyAlignment="1">
      <alignment horizontal="center" vertical="center"/>
    </xf>
    <xf numFmtId="0" fontId="26" fillId="5" borderId="13" xfId="0" applyFont="1" applyFill="1" applyBorder="1" applyAlignment="1">
      <alignment horizontal="center" vertical="center"/>
    </xf>
    <xf numFmtId="0" fontId="26" fillId="5" borderId="14" xfId="0" applyFont="1" applyFill="1" applyBorder="1" applyAlignment="1">
      <alignment horizontal="center" vertical="center"/>
    </xf>
    <xf numFmtId="0" fontId="8" fillId="2" borderId="54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24" borderId="18" xfId="0" applyFont="1" applyFill="1" applyBorder="1" applyAlignment="1">
      <alignment horizontal="center" vertical="center"/>
    </xf>
    <xf numFmtId="0" fontId="8" fillId="24" borderId="19" xfId="0" applyFont="1" applyFill="1" applyBorder="1" applyAlignment="1">
      <alignment horizontal="center" vertical="center"/>
    </xf>
    <xf numFmtId="0" fontId="8" fillId="24" borderId="20" xfId="0" applyFont="1" applyFill="1" applyBorder="1" applyAlignment="1">
      <alignment horizontal="center" vertical="center"/>
    </xf>
    <xf numFmtId="0" fontId="8" fillId="24" borderId="102" xfId="0" applyFont="1" applyFill="1" applyBorder="1" applyAlignment="1">
      <alignment horizontal="center" vertical="center"/>
    </xf>
    <xf numFmtId="0" fontId="8" fillId="24" borderId="58" xfId="0" applyFont="1" applyFill="1" applyBorder="1" applyAlignment="1">
      <alignment horizontal="center" vertical="center"/>
    </xf>
    <xf numFmtId="0" fontId="26" fillId="5" borderId="92" xfId="0" applyFont="1" applyFill="1" applyBorder="1" applyAlignment="1">
      <alignment horizontal="center" vertical="center"/>
    </xf>
    <xf numFmtId="0" fontId="26" fillId="5" borderId="97" xfId="0" applyFont="1" applyFill="1" applyBorder="1" applyAlignment="1">
      <alignment horizontal="center" vertical="center"/>
    </xf>
    <xf numFmtId="0" fontId="26" fillId="5" borderId="74" xfId="0" applyFont="1" applyFill="1" applyBorder="1" applyAlignment="1">
      <alignment horizontal="center" vertical="center"/>
    </xf>
    <xf numFmtId="0" fontId="26" fillId="5" borderId="86" xfId="0" applyFont="1" applyFill="1" applyBorder="1" applyAlignment="1">
      <alignment horizontal="center" vertical="center"/>
    </xf>
    <xf numFmtId="0" fontId="26" fillId="5" borderId="86" xfId="0" applyFont="1" applyFill="1" applyBorder="1" applyAlignment="1">
      <alignment horizontal="left" vertical="center"/>
    </xf>
    <xf numFmtId="0" fontId="26" fillId="5" borderId="97" xfId="0" applyFont="1" applyFill="1" applyBorder="1" applyAlignment="1">
      <alignment horizontal="left" vertical="center"/>
    </xf>
    <xf numFmtId="0" fontId="26" fillId="5" borderId="93" xfId="0" applyFont="1" applyFill="1" applyBorder="1" applyAlignment="1">
      <alignment horizontal="left" vertical="center"/>
    </xf>
    <xf numFmtId="0" fontId="8" fillId="0" borderId="54" xfId="0" applyFont="1" applyBorder="1" applyAlignment="1">
      <alignment horizontal="center"/>
    </xf>
    <xf numFmtId="0" fontId="8" fillId="0" borderId="55" xfId="0" applyFont="1" applyBorder="1" applyAlignment="1">
      <alignment horizontal="center"/>
    </xf>
    <xf numFmtId="0" fontId="8" fillId="24" borderId="5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96" xfId="0" applyFont="1" applyBorder="1" applyAlignment="1">
      <alignment horizontal="center" vertical="center"/>
    </xf>
    <xf numFmtId="0" fontId="8" fillId="0" borderId="105" xfId="0" applyFont="1" applyBorder="1" applyAlignment="1">
      <alignment horizontal="center" vertical="center" wrapText="1"/>
    </xf>
    <xf numFmtId="0" fontId="8" fillId="0" borderId="10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/>
    </xf>
    <xf numFmtId="0" fontId="8" fillId="0" borderId="72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 wrapText="1"/>
    </xf>
    <xf numFmtId="0" fontId="26" fillId="26" borderId="12" xfId="0" applyFont="1" applyFill="1" applyBorder="1" applyAlignment="1">
      <alignment horizontal="center" vertical="center"/>
    </xf>
    <xf numFmtId="0" fontId="26" fillId="26" borderId="13" xfId="0" applyFont="1" applyFill="1" applyBorder="1" applyAlignment="1">
      <alignment horizontal="center" vertical="center"/>
    </xf>
    <xf numFmtId="0" fontId="26" fillId="23" borderId="109" xfId="0" applyFont="1" applyFill="1" applyBorder="1" applyAlignment="1">
      <alignment horizontal="center" vertical="center"/>
    </xf>
    <xf numFmtId="0" fontId="26" fillId="23" borderId="72" xfId="0" applyFont="1" applyFill="1" applyBorder="1" applyAlignment="1">
      <alignment horizontal="center" vertical="center"/>
    </xf>
    <xf numFmtId="0" fontId="26" fillId="23" borderId="108" xfId="0" applyFont="1" applyFill="1" applyBorder="1" applyAlignment="1">
      <alignment horizontal="center" vertical="center"/>
    </xf>
    <xf numFmtId="0" fontId="26" fillId="23" borderId="18" xfId="0" applyFont="1" applyFill="1" applyBorder="1" applyAlignment="1">
      <alignment horizontal="center" vertical="center"/>
    </xf>
    <xf numFmtId="0" fontId="26" fillId="23" borderId="19" xfId="0" applyFont="1" applyFill="1" applyBorder="1" applyAlignment="1">
      <alignment horizontal="center" vertical="center"/>
    </xf>
    <xf numFmtId="0" fontId="26" fillId="23" borderId="20" xfId="0" applyFont="1" applyFill="1" applyBorder="1" applyAlignment="1">
      <alignment horizontal="center" vertical="center"/>
    </xf>
    <xf numFmtId="165" fontId="24" fillId="25" borderId="79" xfId="2" applyNumberFormat="1" applyFont="1" applyFill="1" applyBorder="1" applyAlignment="1">
      <alignment horizontal="center" vertical="center" wrapText="1"/>
    </xf>
    <xf numFmtId="165" fontId="24" fillId="25" borderId="85" xfId="2" applyNumberFormat="1" applyFont="1" applyFill="1" applyBorder="1" applyAlignment="1">
      <alignment horizontal="center" vertical="center" wrapText="1"/>
    </xf>
    <xf numFmtId="165" fontId="8" fillId="25" borderId="108" xfId="2" applyNumberFormat="1" applyFont="1" applyFill="1" applyBorder="1" applyAlignment="1">
      <alignment horizontal="center" vertical="center" wrapText="1"/>
    </xf>
    <xf numFmtId="165" fontId="8" fillId="25" borderId="110" xfId="2" applyNumberFormat="1" applyFont="1" applyFill="1" applyBorder="1" applyAlignment="1">
      <alignment horizontal="center" vertical="center" wrapText="1"/>
    </xf>
    <xf numFmtId="165" fontId="8" fillId="25" borderId="72" xfId="2" applyNumberFormat="1" applyFont="1" applyFill="1" applyBorder="1" applyAlignment="1">
      <alignment horizontal="center" vertical="center" wrapText="1"/>
    </xf>
    <xf numFmtId="165" fontId="8" fillId="25" borderId="23" xfId="2" applyNumberFormat="1" applyFont="1" applyFill="1" applyBorder="1" applyAlignment="1">
      <alignment horizontal="center" vertical="center" wrapText="1"/>
    </xf>
    <xf numFmtId="0" fontId="8" fillId="27" borderId="95" xfId="0" applyFont="1" applyFill="1" applyBorder="1" applyAlignment="1">
      <alignment horizontal="center" vertical="center"/>
    </xf>
    <xf numFmtId="0" fontId="8" fillId="27" borderId="3" xfId="0" applyFont="1" applyFill="1" applyBorder="1" applyAlignment="1">
      <alignment horizontal="center" vertical="center"/>
    </xf>
    <xf numFmtId="0" fontId="26" fillId="26" borderId="1" xfId="0" applyFont="1" applyFill="1" applyBorder="1" applyAlignment="1">
      <alignment horizontal="center" vertical="center"/>
    </xf>
    <xf numFmtId="0" fontId="26" fillId="26" borderId="2" xfId="0" applyFont="1" applyFill="1" applyBorder="1" applyAlignment="1">
      <alignment horizontal="center" vertical="center"/>
    </xf>
    <xf numFmtId="0" fontId="26" fillId="26" borderId="3" xfId="0" applyFont="1" applyFill="1" applyBorder="1" applyAlignment="1">
      <alignment horizontal="center" vertical="center"/>
    </xf>
    <xf numFmtId="165" fontId="24" fillId="23" borderId="11" xfId="2" applyNumberFormat="1" applyFont="1" applyFill="1" applyBorder="1" applyAlignment="1">
      <alignment horizontal="center" vertical="center" wrapText="1"/>
    </xf>
    <xf numFmtId="165" fontId="24" fillId="23" borderId="66" xfId="2" applyNumberFormat="1" applyFont="1" applyFill="1" applyBorder="1" applyAlignment="1">
      <alignment horizontal="center" vertical="center" wrapText="1"/>
    </xf>
    <xf numFmtId="0" fontId="26" fillId="27" borderId="1" xfId="0" applyFont="1" applyFill="1" applyBorder="1" applyAlignment="1">
      <alignment horizontal="center" vertical="center"/>
    </xf>
    <xf numFmtId="0" fontId="26" fillId="27" borderId="2" xfId="0" applyFont="1" applyFill="1" applyBorder="1" applyAlignment="1">
      <alignment horizontal="center" vertical="center"/>
    </xf>
    <xf numFmtId="0" fontId="26" fillId="27" borderId="3" xfId="0" applyFont="1" applyFill="1" applyBorder="1" applyAlignment="1">
      <alignment horizontal="center" vertical="center"/>
    </xf>
    <xf numFmtId="0" fontId="8" fillId="25" borderId="72" xfId="0" applyFont="1" applyFill="1" applyBorder="1" applyAlignment="1">
      <alignment horizontal="center" vertical="center"/>
    </xf>
    <xf numFmtId="0" fontId="8" fillId="25" borderId="23" xfId="0" applyFont="1" applyFill="1" applyBorder="1" applyAlignment="1">
      <alignment horizontal="center" vertical="center"/>
    </xf>
    <xf numFmtId="0" fontId="8" fillId="25" borderId="72" xfId="0" applyFont="1" applyFill="1" applyBorder="1" applyAlignment="1">
      <alignment horizontal="center" vertical="center" wrapText="1"/>
    </xf>
    <xf numFmtId="0" fontId="8" fillId="25" borderId="23" xfId="0" applyFont="1" applyFill="1" applyBorder="1" applyAlignment="1">
      <alignment horizontal="center" vertical="center" wrapText="1"/>
    </xf>
    <xf numFmtId="0" fontId="8" fillId="25" borderId="109" xfId="0" applyFont="1" applyFill="1" applyBorder="1" applyAlignment="1">
      <alignment horizontal="center" vertical="center"/>
    </xf>
    <xf numFmtId="0" fontId="8" fillId="25" borderId="2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4" borderId="92" xfId="0" applyFont="1" applyFill="1" applyBorder="1" applyAlignment="1">
      <alignment horizontal="center" vertical="center" wrapText="1"/>
    </xf>
    <xf numFmtId="0" fontId="2" fillId="4" borderId="99" xfId="0" applyFont="1" applyFill="1" applyBorder="1" applyAlignment="1">
      <alignment horizontal="center" vertical="center" wrapText="1"/>
    </xf>
    <xf numFmtId="0" fontId="2" fillId="4" borderId="97" xfId="0" applyFont="1" applyFill="1" applyBorder="1" applyAlignment="1">
      <alignment horizontal="center" vertical="center" wrapText="1"/>
    </xf>
    <xf numFmtId="0" fontId="2" fillId="4" borderId="93" xfId="0" applyFont="1" applyFill="1" applyBorder="1" applyAlignment="1">
      <alignment horizontal="center" vertical="center" wrapText="1"/>
    </xf>
    <xf numFmtId="0" fontId="3" fillId="4" borderId="74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4" fillId="17" borderId="4" xfId="0" applyFont="1" applyFill="1" applyBorder="1" applyAlignment="1">
      <alignment horizontal="center" vertical="center" wrapText="1"/>
    </xf>
    <xf numFmtId="0" fontId="4" fillId="17" borderId="79" xfId="0" applyFont="1" applyFill="1" applyBorder="1" applyAlignment="1">
      <alignment horizontal="center" vertical="center" wrapText="1"/>
    </xf>
  </cellXfs>
  <cellStyles count="5">
    <cellStyle name="Comma" xfId="2" builtinId="3"/>
    <cellStyle name="Comma 2" xfId="3"/>
    <cellStyle name="Normal" xfId="0" builtinId="0"/>
    <cellStyle name="Normal 2" xfId="4"/>
    <cellStyle name="Percent" xfId="1" builtinId="5"/>
  </cellStyles>
  <dxfs count="69"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</dxf>
  </dxfs>
  <tableStyles count="0" defaultTableStyle="TableStyleMedium2" defaultPivotStyle="PivotStyleLight16"/>
  <colors>
    <mruColors>
      <color rgb="FFFFCCFF"/>
      <color rgb="FFFFFF99"/>
      <color rgb="FFCC66FF"/>
      <color rgb="FFFFFFCC"/>
      <color rgb="FF5B9BD5"/>
      <color rgb="FF00206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Collection - Day wise Cumulative Report - January 2020</a:t>
            </a:r>
          </a:p>
        </c:rich>
      </c:tx>
      <c:layout>
        <c:manualLayout>
          <c:xMode val="edge"/>
          <c:yMode val="edge"/>
          <c:x val="0.2384445782260495"/>
          <c:y val="1.3880616408097502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4.5398453813750114E-2"/>
          <c:y val="0.11201735921623658"/>
          <c:w val="0.90223101521498061"/>
          <c:h val="0.76898235492840661"/>
        </c:manualLayout>
      </c:layout>
      <c:barChart>
        <c:barDir val="col"/>
        <c:grouping val="clustered"/>
        <c:ser>
          <c:idx val="1"/>
          <c:order val="3"/>
          <c:tx>
            <c:strRef>
              <c:f>Cumulative_Graph!$B$26</c:f>
              <c:strCache>
                <c:ptCount val="1"/>
                <c:pt idx="0">
                  <c:v>Daywise Shortfall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en-US">
                    <a:solidFill>
                      <a:srgbClr val="C00000"/>
                    </a:solidFill>
                    <a:effectLst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Cumulative_Graph!$C$19:$AF$19</c:f>
              <c:strCache>
                <c:ptCount val="30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  <c:pt idx="6">
                  <c:v>7th</c:v>
                </c:pt>
                <c:pt idx="7">
                  <c:v>8th</c:v>
                </c:pt>
                <c:pt idx="8">
                  <c:v>9th</c:v>
                </c:pt>
                <c:pt idx="9">
                  <c:v>10th</c:v>
                </c:pt>
                <c:pt idx="10">
                  <c:v>11th</c:v>
                </c:pt>
                <c:pt idx="11">
                  <c:v>12th</c:v>
                </c:pt>
                <c:pt idx="12">
                  <c:v>13th</c:v>
                </c:pt>
                <c:pt idx="13">
                  <c:v>14th</c:v>
                </c:pt>
                <c:pt idx="14">
                  <c:v>15th</c:v>
                </c:pt>
                <c:pt idx="15">
                  <c:v>16th</c:v>
                </c:pt>
                <c:pt idx="16">
                  <c:v>17th</c:v>
                </c:pt>
                <c:pt idx="17">
                  <c:v>18th</c:v>
                </c:pt>
                <c:pt idx="18">
                  <c:v>19th</c:v>
                </c:pt>
                <c:pt idx="19">
                  <c:v>20th</c:v>
                </c:pt>
                <c:pt idx="20">
                  <c:v>21st</c:v>
                </c:pt>
                <c:pt idx="21">
                  <c:v>22nd</c:v>
                </c:pt>
                <c:pt idx="22">
                  <c:v>23rd</c:v>
                </c:pt>
                <c:pt idx="23">
                  <c:v>24th</c:v>
                </c:pt>
                <c:pt idx="24">
                  <c:v>25th</c:v>
                </c:pt>
                <c:pt idx="25">
                  <c:v>26th</c:v>
                </c:pt>
                <c:pt idx="26">
                  <c:v>27th</c:v>
                </c:pt>
                <c:pt idx="27">
                  <c:v>28th</c:v>
                </c:pt>
                <c:pt idx="28">
                  <c:v>29th</c:v>
                </c:pt>
                <c:pt idx="29">
                  <c:v>30th</c:v>
                </c:pt>
              </c:strCache>
            </c:strRef>
          </c:cat>
          <c:val>
            <c:numRef>
              <c:f>Cumulative_Graph!$C$26:$AF$26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99A-4647-A0D4-4F4B7CE12D97}"/>
            </c:ext>
          </c:extLst>
        </c:ser>
        <c:gapWidth val="80"/>
        <c:axId val="148841600"/>
        <c:axId val="148823424"/>
      </c:barChart>
      <c:lineChart>
        <c:grouping val="standard"/>
        <c:ser>
          <c:idx val="2"/>
          <c:order val="0"/>
          <c:tx>
            <c:strRef>
              <c:f>Cumulative_Graph!$B$23</c:f>
              <c:strCache>
                <c:ptCount val="1"/>
                <c:pt idx="0">
                  <c:v>Reported Plan</c:v>
                </c:pt>
              </c:strCache>
            </c:strRef>
          </c:tx>
          <c:spPr>
            <a:ln w="28575">
              <a:solidFill>
                <a:srgbClr val="7030A0"/>
              </a:solidFill>
              <a:headEnd type="none" w="med" len="med"/>
              <a:tailEnd type="arrow" w="med" len="med"/>
            </a:ln>
          </c:spPr>
          <c:marker>
            <c:symbol val="circle"/>
            <c:size val="5"/>
            <c:spPr>
              <a:solidFill>
                <a:srgbClr val="7030A0"/>
              </a:solidFill>
              <a:ln w="28575">
                <a:solidFill>
                  <a:srgbClr val="7030A0"/>
                </a:solidFill>
                <a:headEnd type="none" w="med" len="med"/>
                <a:tailEnd type="arrow" w="med" len="med"/>
              </a:ln>
              <a:effectLst/>
            </c:spPr>
          </c:marker>
          <c:dLbls>
            <c:dLbl>
              <c:idx val="29"/>
              <c:dLblPos val="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B04-43FD-BD30-49A1BCDFCDB6}"/>
                </c:ext>
              </c:extLst>
            </c:dLbl>
            <c:delet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Cumulative_Graph!$C$19:$AF$19</c:f>
              <c:strCache>
                <c:ptCount val="30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  <c:pt idx="6">
                  <c:v>7th</c:v>
                </c:pt>
                <c:pt idx="7">
                  <c:v>8th</c:v>
                </c:pt>
                <c:pt idx="8">
                  <c:v>9th</c:v>
                </c:pt>
                <c:pt idx="9">
                  <c:v>10th</c:v>
                </c:pt>
                <c:pt idx="10">
                  <c:v>11th</c:v>
                </c:pt>
                <c:pt idx="11">
                  <c:v>12th</c:v>
                </c:pt>
                <c:pt idx="12">
                  <c:v>13th</c:v>
                </c:pt>
                <c:pt idx="13">
                  <c:v>14th</c:v>
                </c:pt>
                <c:pt idx="14">
                  <c:v>15th</c:v>
                </c:pt>
                <c:pt idx="15">
                  <c:v>16th</c:v>
                </c:pt>
                <c:pt idx="16">
                  <c:v>17th</c:v>
                </c:pt>
                <c:pt idx="17">
                  <c:v>18th</c:v>
                </c:pt>
                <c:pt idx="18">
                  <c:v>19th</c:v>
                </c:pt>
                <c:pt idx="19">
                  <c:v>20th</c:v>
                </c:pt>
                <c:pt idx="20">
                  <c:v>21st</c:v>
                </c:pt>
                <c:pt idx="21">
                  <c:v>22nd</c:v>
                </c:pt>
                <c:pt idx="22">
                  <c:v>23rd</c:v>
                </c:pt>
                <c:pt idx="23">
                  <c:v>24th</c:v>
                </c:pt>
                <c:pt idx="24">
                  <c:v>25th</c:v>
                </c:pt>
                <c:pt idx="25">
                  <c:v>26th</c:v>
                </c:pt>
                <c:pt idx="26">
                  <c:v>27th</c:v>
                </c:pt>
                <c:pt idx="27">
                  <c:v>28th</c:v>
                </c:pt>
                <c:pt idx="28">
                  <c:v>29th</c:v>
                </c:pt>
                <c:pt idx="29">
                  <c:v>30th</c:v>
                </c:pt>
              </c:strCache>
            </c:strRef>
          </c:cat>
          <c:val>
            <c:numRef>
              <c:f>Cumulative_Graph!$C$23:$AF$23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CF-4DD9-A1B6-728F94AA69EC}"/>
            </c:ext>
          </c:extLst>
        </c:ser>
        <c:ser>
          <c:idx val="3"/>
          <c:order val="1"/>
          <c:tx>
            <c:strRef>
              <c:f>Cumulative_Graph!$B$24</c:f>
              <c:strCache>
                <c:ptCount val="1"/>
                <c:pt idx="0">
                  <c:v>Reported Actual</c:v>
                </c:pt>
              </c:strCache>
            </c:strRef>
          </c:tx>
          <c:spPr>
            <a:ln w="28575">
              <a:solidFill>
                <a:srgbClr val="00B050"/>
              </a:solidFill>
              <a:headEnd type="none" w="med" len="med"/>
              <a:tailEnd type="arrow" w="med" len="med"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dLbl>
              <c:idx val="29"/>
              <c:layout>
                <c:manualLayout>
                  <c:x val="-1.3823434273429323E-2"/>
                  <c:y val="-3.3003300330033012E-3"/>
                </c:manualLayout>
              </c:layout>
              <c:dLblPos val="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04-43FD-BD30-49A1BCDFCDB6}"/>
                </c:ext>
              </c:extLst>
            </c:dLbl>
            <c:delet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Cumulative_Graph!$C$19:$AF$19</c:f>
              <c:strCache>
                <c:ptCount val="30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  <c:pt idx="6">
                  <c:v>7th</c:v>
                </c:pt>
                <c:pt idx="7">
                  <c:v>8th</c:v>
                </c:pt>
                <c:pt idx="8">
                  <c:v>9th</c:v>
                </c:pt>
                <c:pt idx="9">
                  <c:v>10th</c:v>
                </c:pt>
                <c:pt idx="10">
                  <c:v>11th</c:v>
                </c:pt>
                <c:pt idx="11">
                  <c:v>12th</c:v>
                </c:pt>
                <c:pt idx="12">
                  <c:v>13th</c:v>
                </c:pt>
                <c:pt idx="13">
                  <c:v>14th</c:v>
                </c:pt>
                <c:pt idx="14">
                  <c:v>15th</c:v>
                </c:pt>
                <c:pt idx="15">
                  <c:v>16th</c:v>
                </c:pt>
                <c:pt idx="16">
                  <c:v>17th</c:v>
                </c:pt>
                <c:pt idx="17">
                  <c:v>18th</c:v>
                </c:pt>
                <c:pt idx="18">
                  <c:v>19th</c:v>
                </c:pt>
                <c:pt idx="19">
                  <c:v>20th</c:v>
                </c:pt>
                <c:pt idx="20">
                  <c:v>21st</c:v>
                </c:pt>
                <c:pt idx="21">
                  <c:v>22nd</c:v>
                </c:pt>
                <c:pt idx="22">
                  <c:v>23rd</c:v>
                </c:pt>
                <c:pt idx="23">
                  <c:v>24th</c:v>
                </c:pt>
                <c:pt idx="24">
                  <c:v>25th</c:v>
                </c:pt>
                <c:pt idx="25">
                  <c:v>26th</c:v>
                </c:pt>
                <c:pt idx="26">
                  <c:v>27th</c:v>
                </c:pt>
                <c:pt idx="27">
                  <c:v>28th</c:v>
                </c:pt>
                <c:pt idx="28">
                  <c:v>29th</c:v>
                </c:pt>
                <c:pt idx="29">
                  <c:v>30th</c:v>
                </c:pt>
              </c:strCache>
            </c:strRef>
          </c:cat>
          <c:val>
            <c:numRef>
              <c:f>Cumulative_Graph!$C$24:$AF$24</c:f>
              <c:numCache>
                <c:formatCode>General</c:formatCode>
                <c:ptCount val="30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99A-4647-A0D4-4F4B7CE12D97}"/>
            </c:ext>
          </c:extLst>
        </c:ser>
        <c:marker val="1"/>
        <c:axId val="148815232"/>
        <c:axId val="148821504"/>
      </c:lineChart>
      <c:scatterChart>
        <c:scatterStyle val="smoothMarker"/>
        <c:ser>
          <c:idx val="0"/>
          <c:order val="2"/>
          <c:tx>
            <c:strRef>
              <c:f>Cumulative_Graph!$B$25</c:f>
              <c:strCache>
                <c:ptCount val="1"/>
                <c:pt idx="0">
                  <c:v>Last Month Collection</c:v>
                </c:pt>
              </c:strCache>
            </c:strRef>
          </c:tx>
          <c:spPr>
            <a:ln w="25400">
              <a:solidFill>
                <a:schemeClr val="bg1">
                  <a:lumMod val="85000"/>
                </a:schemeClr>
              </a:solidFill>
              <a:prstDash val="solid"/>
              <a:headEnd type="none" w="med" len="med"/>
              <a:tailEnd type="arrow" w="med" len="med"/>
            </a:ln>
          </c:spPr>
          <c:marker>
            <c:symbol val="none"/>
          </c:marker>
          <c:xVal>
            <c:strRef>
              <c:f>Cumulative_Graph!$C$19:$AF$19</c:f>
              <c:strCache>
                <c:ptCount val="30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  <c:pt idx="6">
                  <c:v>7th</c:v>
                </c:pt>
                <c:pt idx="7">
                  <c:v>8th</c:v>
                </c:pt>
                <c:pt idx="8">
                  <c:v>9th</c:v>
                </c:pt>
                <c:pt idx="9">
                  <c:v>10th</c:v>
                </c:pt>
                <c:pt idx="10">
                  <c:v>11th</c:v>
                </c:pt>
                <c:pt idx="11">
                  <c:v>12th</c:v>
                </c:pt>
                <c:pt idx="12">
                  <c:v>13th</c:v>
                </c:pt>
                <c:pt idx="13">
                  <c:v>14th</c:v>
                </c:pt>
                <c:pt idx="14">
                  <c:v>15th</c:v>
                </c:pt>
                <c:pt idx="15">
                  <c:v>16th</c:v>
                </c:pt>
                <c:pt idx="16">
                  <c:v>17th</c:v>
                </c:pt>
                <c:pt idx="17">
                  <c:v>18th</c:v>
                </c:pt>
                <c:pt idx="18">
                  <c:v>19th</c:v>
                </c:pt>
                <c:pt idx="19">
                  <c:v>20th</c:v>
                </c:pt>
                <c:pt idx="20">
                  <c:v>21st</c:v>
                </c:pt>
                <c:pt idx="21">
                  <c:v>22nd</c:v>
                </c:pt>
                <c:pt idx="22">
                  <c:v>23rd</c:v>
                </c:pt>
                <c:pt idx="23">
                  <c:v>24th</c:v>
                </c:pt>
                <c:pt idx="24">
                  <c:v>25th</c:v>
                </c:pt>
                <c:pt idx="25">
                  <c:v>26th</c:v>
                </c:pt>
                <c:pt idx="26">
                  <c:v>27th</c:v>
                </c:pt>
                <c:pt idx="27">
                  <c:v>28th</c:v>
                </c:pt>
                <c:pt idx="28">
                  <c:v>29th</c:v>
                </c:pt>
                <c:pt idx="29">
                  <c:v>30th</c:v>
                </c:pt>
              </c:strCache>
            </c:strRef>
          </c:xVal>
          <c:yVal>
            <c:numRef>
              <c:f>Cumulative_Graph!$C$25:$AF$25</c:f>
              <c:numCache>
                <c:formatCode>General</c:formatCode>
                <c:ptCount val="30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399A-4647-A0D4-4F4B7CE12D97}"/>
            </c:ext>
          </c:extLst>
        </c:ser>
        <c:axId val="148815232"/>
        <c:axId val="148821504"/>
      </c:scatterChart>
      <c:catAx>
        <c:axId val="148815232"/>
        <c:scaling>
          <c:orientation val="minMax"/>
        </c:scaling>
        <c:axPos val="b"/>
        <c:majorGridlines>
          <c:spPr>
            <a:ln>
              <a:solidFill>
                <a:schemeClr val="tx1">
                  <a:lumMod val="5000"/>
                  <a:lumOff val="95000"/>
                  <a:alpha val="0"/>
                </a:schemeClr>
              </a:solidFill>
            </a:ln>
          </c:spPr>
        </c:majorGridlines>
        <c:minorGridlines>
          <c:spPr>
            <a:ln w="12700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  <a:headEnd type="none" w="med" len="med"/>
              <a:tailEnd type="none" w="med" len="med"/>
            </a:ln>
            <a:effectLst/>
          </c:spPr>
        </c:min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lang="en-US" sz="1000" b="1" i="0" u="none" strike="noStrike" kern="1200" baseline="0">
                    <a:solidFill>
                      <a:sysClr val="windowText" lastClr="000000"/>
                    </a:solidFill>
                    <a:effectLst>
                      <a:glow rad="228600">
                        <a:schemeClr val="accent4">
                          <a:satMod val="175000"/>
                          <a:alpha val="40000"/>
                        </a:schemeClr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effectLst>
                      <a:glow rad="228600">
                        <a:schemeClr val="accent4">
                          <a:satMod val="175000"/>
                          <a:alpha val="40000"/>
                        </a:schemeClr>
                      </a:glow>
                    </a:effectLst>
                  </a:rPr>
                  <a:t>&lt; Date &gt;</a:t>
                </a:r>
              </a:p>
            </c:rich>
          </c:tx>
          <c:layout>
            <c:manualLayout>
              <c:xMode val="edge"/>
              <c:yMode val="edge"/>
              <c:x val="0.48521748457628305"/>
              <c:y val="0.94732023596060388"/>
            </c:manualLayout>
          </c:layout>
          <c:spPr>
            <a:noFill/>
            <a:ln>
              <a:noFill/>
            </a:ln>
            <a:effectLst/>
          </c:spPr>
        </c:title>
        <c:numFmt formatCode="General" sourceLinked="1"/>
        <c:minorTickMark val="out"/>
        <c:tickLblPos val="nextTo"/>
        <c:spPr>
          <a:solidFill>
            <a:srgbClr val="FFFF00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21504"/>
        <c:crosses val="autoZero"/>
        <c:auto val="1"/>
        <c:lblAlgn val="ctr"/>
        <c:lblOffset val="100"/>
      </c:catAx>
      <c:valAx>
        <c:axId val="148821504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(Rs. in Lakhs)</a:t>
                </a:r>
              </a:p>
            </c:rich>
          </c:tx>
          <c:layout>
            <c:manualLayout>
              <c:xMode val="edge"/>
              <c:yMode val="edge"/>
              <c:x val="1.3227510472126299E-2"/>
              <c:y val="0.35405091733276023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</c:title>
        <c:numFmt formatCode="General" sourceLinked="1"/>
        <c:tickLblPos val="nextTo"/>
        <c:spPr>
          <a:ln>
            <a:noFill/>
          </a:ln>
        </c:spPr>
        <c:txPr>
          <a:bodyPr/>
          <a:lstStyle/>
          <a:p>
            <a:pPr>
              <a:defRPr lang="en-US">
                <a:noFill/>
              </a:defRPr>
            </a:pPr>
            <a:endParaRPr lang="en-US"/>
          </a:p>
        </c:txPr>
        <c:crossAx val="148815232"/>
        <c:crosses val="autoZero"/>
        <c:crossBetween val="between"/>
      </c:valAx>
      <c:valAx>
        <c:axId val="148823424"/>
        <c:scaling>
          <c:orientation val="minMax"/>
          <c:max val="1000"/>
        </c:scaling>
        <c:axPos val="r"/>
        <c:numFmt formatCode="0" sourceLinked="1"/>
        <c:tickLblPos val="nextTo"/>
        <c:spPr>
          <a:ln>
            <a:noFill/>
          </a:ln>
        </c:spPr>
        <c:txPr>
          <a:bodyPr/>
          <a:lstStyle/>
          <a:p>
            <a:pPr>
              <a:defRPr lang="en-US" sz="600">
                <a:noFill/>
              </a:defRPr>
            </a:pPr>
            <a:endParaRPr lang="en-US"/>
          </a:p>
        </c:txPr>
        <c:crossAx val="148841600"/>
        <c:crosses val="max"/>
        <c:crossBetween val="between"/>
      </c:valAx>
      <c:catAx>
        <c:axId val="148841600"/>
        <c:scaling>
          <c:orientation val="minMax"/>
        </c:scaling>
        <c:delete val="1"/>
        <c:axPos val="b"/>
        <c:numFmt formatCode="General" sourceLinked="1"/>
        <c:tickLblPos val="none"/>
        <c:crossAx val="148823424"/>
        <c:crosses val="autoZero"/>
        <c:auto val="1"/>
        <c:lblAlgn val="ctr"/>
        <c:lblOffset val="100"/>
      </c:catAx>
      <c:spPr>
        <a:noFill/>
        <a:ln w="25400"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effectLst>
                  <a:glow rad="101600">
                    <a:srgbClr val="CC66FF">
                      <a:alpha val="40000"/>
                    </a:srgbClr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effectLst>
                  <a:glow rad="228600">
                    <a:schemeClr val="accent6">
                      <a:satMod val="175000"/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delete val="1"/>
      </c:legendEntry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2.3579988456394092E-3"/>
          <c:y val="6.9701670954532807E-2"/>
          <c:w val="0.1942590297848997"/>
          <c:h val="0.23660637717315042"/>
        </c:manualLayout>
      </c:layout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ysClr val="windowText" lastClr="000000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plotArea>
      <c:layout>
        <c:manualLayout>
          <c:layoutTarget val="inner"/>
          <c:xMode val="edge"/>
          <c:yMode val="edge"/>
          <c:x val="1.9800752941420741E-2"/>
          <c:y val="9.1777027871516051E-2"/>
          <c:w val="0.9682958287667156"/>
          <c:h val="0.7623057117860268"/>
        </c:manualLayout>
      </c:layout>
      <c:stockChart>
        <c:ser>
          <c:idx val="0"/>
          <c:order val="0"/>
          <c:tx>
            <c:strRef>
              <c:f>Cumulative_Graph!$B$57</c:f>
              <c:strCache>
                <c:ptCount val="1"/>
                <c:pt idx="0">
                  <c:v>Opening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Cumulative_Graph!$C$56:$J$56</c:f>
              <c:strCache>
                <c:ptCount val="8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  <c:pt idx="6">
                  <c:v>7th</c:v>
                </c:pt>
                <c:pt idx="7">
                  <c:v>8th</c:v>
                </c:pt>
              </c:strCache>
            </c:strRef>
          </c:cat>
          <c:val>
            <c:numRef>
              <c:f>Cumulative_Graph!$C$57:$J$57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A63-40AE-89D3-9E403CE6AF34}"/>
            </c:ext>
          </c:extLst>
        </c:ser>
        <c:ser>
          <c:idx val="1"/>
          <c:order val="1"/>
          <c:tx>
            <c:strRef>
              <c:f>Cumulative_Graph!$B$58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Cumulative_Graph!$C$56:$J$56</c:f>
              <c:strCache>
                <c:ptCount val="8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  <c:pt idx="6">
                  <c:v>7th</c:v>
                </c:pt>
                <c:pt idx="7">
                  <c:v>8th</c:v>
                </c:pt>
              </c:strCache>
            </c:strRef>
          </c:cat>
          <c:val>
            <c:numRef>
              <c:f>Cumulative_Graph!$C$58:$J$58</c:f>
              <c:numCache>
                <c:formatCode>General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A63-40AE-89D3-9E403CE6AF34}"/>
            </c:ext>
          </c:extLst>
        </c:ser>
        <c:ser>
          <c:idx val="2"/>
          <c:order val="2"/>
          <c:tx>
            <c:strRef>
              <c:f>Cumulative_Graph!$B$59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Cumulative_Graph!$C$56:$J$56</c:f>
              <c:strCache>
                <c:ptCount val="8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  <c:pt idx="6">
                  <c:v>7th</c:v>
                </c:pt>
                <c:pt idx="7">
                  <c:v>8th</c:v>
                </c:pt>
              </c:strCache>
            </c:strRef>
          </c:cat>
          <c:val>
            <c:numRef>
              <c:f>Cumulative_Graph!$C$59:$J$59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A63-40AE-89D3-9E403CE6AF34}"/>
            </c:ext>
          </c:extLst>
        </c:ser>
        <c:ser>
          <c:idx val="3"/>
          <c:order val="3"/>
          <c:tx>
            <c:strRef>
              <c:f>Cumulative_Graph!$B$60</c:f>
              <c:strCache>
                <c:ptCount val="1"/>
                <c:pt idx="0">
                  <c:v>Closing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Cumulative_Graph!$C$56:$J$56</c:f>
              <c:strCache>
                <c:ptCount val="8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  <c:pt idx="6">
                  <c:v>7th</c:v>
                </c:pt>
                <c:pt idx="7">
                  <c:v>8th</c:v>
                </c:pt>
              </c:strCache>
            </c:strRef>
          </c:cat>
          <c:val>
            <c:numRef>
              <c:f>Cumulative_Graph!$C$60:$J$60</c:f>
              <c:numCache>
                <c:formatCode>General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A63-40AE-89D3-9E403CE6AF34}"/>
            </c:ext>
          </c:extLst>
        </c:ser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gradFill flip="none" rotWithShape="1">
                <a:gsLst>
                  <a:gs pos="0">
                    <a:srgbClr val="00B050"/>
                  </a:gs>
                  <a:gs pos="100000">
                    <a:schemeClr val="accent1">
                      <a:lumMod val="20000"/>
                      <a:lumOff val="80000"/>
                      <a:alpha val="0"/>
                    </a:schemeClr>
                  </a:gs>
                </a:gsLst>
                <a:lin ang="5400000" scaled="1"/>
                <a:tileRect/>
              </a:gradFill>
              <a:ln w="9525" cap="flat" cmpd="sng" algn="ctr">
                <a:noFill/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48877696"/>
        <c:axId val="148879232"/>
      </c:stockChart>
      <c:catAx>
        <c:axId val="14887769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79232"/>
        <c:crosses val="autoZero"/>
        <c:auto val="1"/>
        <c:lblAlgn val="ctr"/>
        <c:lblOffset val="100"/>
      </c:catAx>
      <c:valAx>
        <c:axId val="14887923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tickLblPos val="none"/>
        <c:crossAx val="14887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>
        <c:manualLayout>
          <c:layoutTarget val="inner"/>
          <c:xMode val="edge"/>
          <c:yMode val="edge"/>
          <c:x val="6.7229398063485296E-2"/>
          <c:y val="9.2633544482999527E-2"/>
          <c:w val="0.86554120387306765"/>
          <c:h val="0.70442207476592456"/>
        </c:manualLayout>
      </c:layout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[2]Cumulative!$AI$26:$AI$27</c:f>
              <c:strCache>
                <c:ptCount val="2"/>
                <c:pt idx="0">
                  <c:v>MTD PLAN</c:v>
                </c:pt>
                <c:pt idx="1">
                  <c:v>MTD ACTUAL</c:v>
                </c:pt>
              </c:strCache>
            </c:strRef>
          </c:cat>
          <c:val>
            <c:numRef>
              <c:f>[2]Cumulative!$AJ$26:$AJ$27</c:f>
              <c:numCache>
                <c:formatCode>General</c:formatCode>
                <c:ptCount val="2"/>
                <c:pt idx="0">
                  <c:v>3849.88</c:v>
                </c:pt>
                <c:pt idx="1">
                  <c:v>3411.7799999999997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EC-4BC5-BAD6-7264C2C6D10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[2]Cumulative!$AI$26:$AI$27</c:f>
              <c:strCache>
                <c:ptCount val="2"/>
                <c:pt idx="0">
                  <c:v>MTD PLAN</c:v>
                </c:pt>
                <c:pt idx="1">
                  <c:v>MTD ACTUAL</c:v>
                </c:pt>
              </c:strCache>
            </c:strRef>
          </c:cat>
          <c:val>
            <c:numRef>
              <c:f>[2]Cumulative!$AK$26:$AK$27</c:f>
              <c:numCache>
                <c:formatCode>General</c:formatCode>
                <c:ptCount val="2"/>
                <c:pt idx="1">
                  <c:v>438.10000000000036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EC-4BC5-BAD6-7264C2C6D10B}"/>
            </c:ext>
          </c:extLst>
        </c:ser>
        <c:gapWidth val="30"/>
        <c:overlap val="100"/>
        <c:axId val="148973824"/>
        <c:axId val="148992000"/>
      </c:barChart>
      <c:catAx>
        <c:axId val="148973824"/>
        <c:scaling>
          <c:orientation val="minMax"/>
        </c:scaling>
        <c:axPos val="b"/>
        <c:numFmt formatCode="General" sourceLinked="1"/>
        <c:majorTickMark val="none"/>
        <c:tickLblPos val="nextTo"/>
        <c:spPr>
          <a:solidFill>
            <a:srgbClr val="FFFF00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92000"/>
        <c:crosses val="autoZero"/>
        <c:auto val="1"/>
        <c:lblAlgn val="ctr"/>
        <c:lblOffset val="100"/>
      </c:catAx>
      <c:valAx>
        <c:axId val="148992000"/>
        <c:scaling>
          <c:orientation val="minMax"/>
          <c:min val="1000"/>
        </c:scaling>
        <c:delete val="1"/>
        <c:axPos val="l"/>
        <c:numFmt formatCode="General" sourceLinked="1"/>
        <c:majorTickMark val="none"/>
        <c:tickLblPos val="none"/>
        <c:crossAx val="14897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>
        <c:manualLayout>
          <c:layoutTarget val="inner"/>
          <c:xMode val="edge"/>
          <c:yMode val="edge"/>
          <c:x val="6.7229398063485296E-2"/>
          <c:y val="9.2633544482999527E-2"/>
          <c:w val="0.86554120387306765"/>
          <c:h val="0.70442207476592456"/>
        </c:manualLayout>
      </c:layout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[2]Cumulative!$AI$26:$AI$27</c:f>
              <c:strCache>
                <c:ptCount val="2"/>
                <c:pt idx="0">
                  <c:v>MTD PLAN</c:v>
                </c:pt>
                <c:pt idx="1">
                  <c:v>MTD ACTUAL</c:v>
                </c:pt>
              </c:strCache>
            </c:strRef>
          </c:cat>
          <c:val>
            <c:numRef>
              <c:f>[2]Cumulative!$AJ$26:$AJ$27</c:f>
              <c:numCache>
                <c:formatCode>General</c:formatCode>
                <c:ptCount val="2"/>
                <c:pt idx="0">
                  <c:v>3849.88</c:v>
                </c:pt>
                <c:pt idx="1">
                  <c:v>3411.7799999999997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02-43CB-A27B-EC75CC118D6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[2]Cumulative!$AI$26:$AI$27</c:f>
              <c:strCache>
                <c:ptCount val="2"/>
                <c:pt idx="0">
                  <c:v>MTD PLAN</c:v>
                </c:pt>
                <c:pt idx="1">
                  <c:v>MTD ACTUAL</c:v>
                </c:pt>
              </c:strCache>
            </c:strRef>
          </c:cat>
          <c:val>
            <c:numRef>
              <c:f>[2]Cumulative!$AK$26:$AK$27</c:f>
              <c:numCache>
                <c:formatCode>General</c:formatCode>
                <c:ptCount val="2"/>
                <c:pt idx="1">
                  <c:v>438.10000000000036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02-43CB-A27B-EC75CC118D66}"/>
            </c:ext>
          </c:extLst>
        </c:ser>
        <c:gapWidth val="30"/>
        <c:overlap val="100"/>
        <c:axId val="149062784"/>
        <c:axId val="149064320"/>
      </c:barChart>
      <c:catAx>
        <c:axId val="149062784"/>
        <c:scaling>
          <c:orientation val="minMax"/>
        </c:scaling>
        <c:axPos val="b"/>
        <c:numFmt formatCode="General" sourceLinked="1"/>
        <c:majorTickMark val="none"/>
        <c:tickLblPos val="nextTo"/>
        <c:spPr>
          <a:solidFill>
            <a:srgbClr val="FFFF00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64320"/>
        <c:crosses val="autoZero"/>
        <c:auto val="1"/>
        <c:lblAlgn val="ctr"/>
        <c:lblOffset val="100"/>
      </c:catAx>
      <c:valAx>
        <c:axId val="149064320"/>
        <c:scaling>
          <c:orientation val="minMax"/>
          <c:min val="1000"/>
        </c:scaling>
        <c:delete val="1"/>
        <c:axPos val="l"/>
        <c:numFmt formatCode="General" sourceLinked="1"/>
        <c:majorTickMark val="none"/>
        <c:tickLblPos val="none"/>
        <c:crossAx val="14906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209552</xdr:colOff>
      <xdr:row>37</xdr:row>
      <xdr:rowOff>-1</xdr:rowOff>
    </xdr:from>
    <xdr:to>
      <xdr:col>7</xdr:col>
      <xdr:colOff>526676</xdr:colOff>
      <xdr:row>39</xdr:row>
      <xdr:rowOff>0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SpPr/>
      </xdr:nvSpPr>
      <xdr:spPr>
        <a:xfrm>
          <a:off x="5257802" y="8334374"/>
          <a:ext cx="317124" cy="44767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217714</xdr:colOff>
      <xdr:row>37</xdr:row>
      <xdr:rowOff>0</xdr:rowOff>
    </xdr:from>
    <xdr:to>
      <xdr:col>10</xdr:col>
      <xdr:colOff>534838</xdr:colOff>
      <xdr:row>39</xdr:row>
      <xdr:rowOff>1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SpPr/>
      </xdr:nvSpPr>
      <xdr:spPr>
        <a:xfrm>
          <a:off x="7239000" y="8313964"/>
          <a:ext cx="317124" cy="44903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209552</xdr:colOff>
      <xdr:row>37</xdr:row>
      <xdr:rowOff>-1</xdr:rowOff>
    </xdr:from>
    <xdr:to>
      <xdr:col>7</xdr:col>
      <xdr:colOff>526676</xdr:colOff>
      <xdr:row>39</xdr:row>
      <xdr:rowOff>0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/>
      </xdr:nvSpPr>
      <xdr:spPr>
        <a:xfrm>
          <a:off x="5257802" y="8334374"/>
          <a:ext cx="317124" cy="44767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9522</xdr:colOff>
      <xdr:row>31</xdr:row>
      <xdr:rowOff>161926</xdr:rowOff>
    </xdr:from>
    <xdr:to>
      <xdr:col>18</xdr:col>
      <xdr:colOff>380999</xdr:colOff>
      <xdr:row>52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2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466725</xdr:colOff>
      <xdr:row>59</xdr:row>
      <xdr:rowOff>104775</xdr:rowOff>
    </xdr:from>
    <xdr:to>
      <xdr:col>18</xdr:col>
      <xdr:colOff>381000</xdr:colOff>
      <xdr:row>71</xdr:row>
      <xdr:rowOff>142875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28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188551</xdr:colOff>
      <xdr:row>31</xdr:row>
      <xdr:rowOff>188697</xdr:rowOff>
    </xdr:from>
    <xdr:to>
      <xdr:col>41</xdr:col>
      <xdr:colOff>451158</xdr:colOff>
      <xdr:row>47</xdr:row>
      <xdr:rowOff>156883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2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145677</xdr:colOff>
      <xdr:row>32</xdr:row>
      <xdr:rowOff>11206</xdr:rowOff>
    </xdr:from>
    <xdr:to>
      <xdr:col>38</xdr:col>
      <xdr:colOff>291353</xdr:colOff>
      <xdr:row>47</xdr:row>
      <xdr:rowOff>145677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00000000-0008-0000-2800-000004000000}"/>
            </a:ext>
          </a:extLst>
        </xdr:cNvPr>
        <xdr:cNvSpPr/>
      </xdr:nvSpPr>
      <xdr:spPr>
        <a:xfrm>
          <a:off x="17062077" y="5221381"/>
          <a:ext cx="145676" cy="299197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199755</xdr:colOff>
      <xdr:row>52</xdr:row>
      <xdr:rowOff>0</xdr:rowOff>
    </xdr:from>
    <xdr:to>
      <xdr:col>41</xdr:col>
      <xdr:colOff>462362</xdr:colOff>
      <xdr:row>67</xdr:row>
      <xdr:rowOff>158686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2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156881</xdr:colOff>
      <xdr:row>52</xdr:row>
      <xdr:rowOff>13009</xdr:rowOff>
    </xdr:from>
    <xdr:to>
      <xdr:col>38</xdr:col>
      <xdr:colOff>302557</xdr:colOff>
      <xdr:row>67</xdr:row>
      <xdr:rowOff>147480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00000000-0008-0000-2800-000006000000}"/>
            </a:ext>
          </a:extLst>
        </xdr:cNvPr>
        <xdr:cNvSpPr/>
      </xdr:nvSpPr>
      <xdr:spPr>
        <a:xfrm>
          <a:off x="17073281" y="9033184"/>
          <a:ext cx="145676" cy="299197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114300</xdr:colOff>
      <xdr:row>31</xdr:row>
      <xdr:rowOff>85725</xdr:rowOff>
    </xdr:from>
    <xdr:to>
      <xdr:col>38</xdr:col>
      <xdr:colOff>285750</xdr:colOff>
      <xdr:row>37</xdr:row>
      <xdr:rowOff>1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xmlns="" id="{00000000-0008-0000-2800-000007000000}"/>
            </a:ext>
          </a:extLst>
        </xdr:cNvPr>
        <xdr:cNvCxnSpPr/>
      </xdr:nvCxnSpPr>
      <xdr:spPr>
        <a:xfrm flipV="1">
          <a:off x="15201900" y="5105400"/>
          <a:ext cx="2000250" cy="1057276"/>
        </a:xfrm>
        <a:prstGeom prst="line">
          <a:avLst/>
        </a:prstGeom>
        <a:ln w="12700">
          <a:solidFill>
            <a:srgbClr val="C00000"/>
          </a:solidFill>
          <a:prstDash val="dash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104775</xdr:colOff>
      <xdr:row>32</xdr:row>
      <xdr:rowOff>142875</xdr:rowOff>
    </xdr:from>
    <xdr:to>
      <xdr:col>38</xdr:col>
      <xdr:colOff>323850</xdr:colOff>
      <xdr:row>37</xdr:row>
      <xdr:rowOff>9527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xmlns="" id="{00000000-0008-0000-2800-000008000000}"/>
            </a:ext>
          </a:extLst>
        </xdr:cNvPr>
        <xdr:cNvCxnSpPr/>
      </xdr:nvCxnSpPr>
      <xdr:spPr>
        <a:xfrm flipV="1">
          <a:off x="15192375" y="5353050"/>
          <a:ext cx="2047875" cy="819152"/>
        </a:xfrm>
        <a:prstGeom prst="line">
          <a:avLst/>
        </a:prstGeom>
        <a:ln w="12700">
          <a:solidFill>
            <a:srgbClr val="7030A0"/>
          </a:solidFill>
          <a:prstDash val="dash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619125</xdr:colOff>
      <xdr:row>37</xdr:row>
      <xdr:rowOff>85725</xdr:rowOff>
    </xdr:from>
    <xdr:to>
      <xdr:col>38</xdr:col>
      <xdr:colOff>200025</xdr:colOff>
      <xdr:row>40</xdr:row>
      <xdr:rowOff>133350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xmlns="" id="{00000000-0008-0000-2800-000009000000}"/>
            </a:ext>
          </a:extLst>
        </xdr:cNvPr>
        <xdr:cNvGrpSpPr/>
      </xdr:nvGrpSpPr>
      <xdr:grpSpPr>
        <a:xfrm>
          <a:off x="21238845" y="7103745"/>
          <a:ext cx="2255520" cy="596265"/>
          <a:chOff x="7229475" y="7620000"/>
          <a:chExt cx="2038350" cy="619125"/>
        </a:xfrm>
      </xdr:grpSpPr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xmlns="" id="{00000000-0008-0000-2800-00000A000000}"/>
              </a:ext>
            </a:extLst>
          </xdr:cNvPr>
          <xdr:cNvCxnSpPr/>
        </xdr:nvCxnSpPr>
        <xdr:spPr>
          <a:xfrm flipV="1">
            <a:off x="7229475" y="7924800"/>
            <a:ext cx="371475" cy="1"/>
          </a:xfrm>
          <a:prstGeom prst="line">
            <a:avLst/>
          </a:prstGeom>
          <a:ln w="19050">
            <a:solidFill>
              <a:srgbClr val="C00000"/>
            </a:solidFill>
            <a:prstDash val="dash"/>
            <a:headEnd type="none" w="med" len="med"/>
            <a:tailEnd type="arrow" w="med" len="me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xmlns="" id="{00000000-0008-0000-2800-00000B000000}"/>
              </a:ext>
            </a:extLst>
          </xdr:cNvPr>
          <xdr:cNvCxnSpPr/>
        </xdr:nvCxnSpPr>
        <xdr:spPr>
          <a:xfrm>
            <a:off x="7229475" y="8134353"/>
            <a:ext cx="390525" cy="9522"/>
          </a:xfrm>
          <a:prstGeom prst="line">
            <a:avLst/>
          </a:prstGeom>
          <a:ln w="19050">
            <a:solidFill>
              <a:srgbClr val="7030A0"/>
            </a:solidFill>
            <a:prstDash val="dash"/>
            <a:headEnd type="none" w="med" len="med"/>
            <a:tailEnd type="arrow" w="med" len="me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xmlns="" id="{00000000-0008-0000-2800-00000C000000}"/>
              </a:ext>
            </a:extLst>
          </xdr:cNvPr>
          <xdr:cNvSpPr txBox="1"/>
        </xdr:nvSpPr>
        <xdr:spPr>
          <a:xfrm>
            <a:off x="7705725" y="7800975"/>
            <a:ext cx="1552575" cy="228600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r>
              <a:rPr lang="en-US" sz="1100" b="1">
                <a:solidFill>
                  <a:srgbClr val="C00000"/>
                </a:solidFill>
              </a:rPr>
              <a:t>888 Lakhs Require Per day</a:t>
            </a: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xmlns="" id="{00000000-0008-0000-2800-00000D000000}"/>
              </a:ext>
            </a:extLst>
          </xdr:cNvPr>
          <xdr:cNvSpPr txBox="1"/>
        </xdr:nvSpPr>
        <xdr:spPr>
          <a:xfrm>
            <a:off x="7696200" y="8039100"/>
            <a:ext cx="1571625" cy="200025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r>
              <a:rPr lang="en-US" sz="1100" b="1">
                <a:solidFill>
                  <a:srgbClr val="7030A0"/>
                </a:solidFill>
              </a:rPr>
              <a:t>687 Lakhs Require Per day</a:t>
            </a:r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xmlns="" id="{00000000-0008-0000-2800-00000E000000}"/>
              </a:ext>
            </a:extLst>
          </xdr:cNvPr>
          <xdr:cNvSpPr txBox="1"/>
        </xdr:nvSpPr>
        <xdr:spPr>
          <a:xfrm>
            <a:off x="7886700" y="7620000"/>
            <a:ext cx="657225" cy="171450"/>
          </a:xfrm>
          <a:prstGeom prst="rect">
            <a:avLst/>
          </a:prstGeom>
          <a:solidFill>
            <a:srgbClr val="FFFF0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algn="ctr"/>
            <a:r>
              <a:rPr lang="en-US" sz="1100" b="1">
                <a:solidFill>
                  <a:sysClr val="windowText" lastClr="000000"/>
                </a:solidFill>
              </a:rPr>
              <a:t>Projection</a:t>
            </a:r>
          </a:p>
        </xdr:txBody>
      </xdr:sp>
    </xdr:grpSp>
    <xdr:clientData/>
  </xdr:twoCellAnchor>
  <xdr:twoCellAnchor>
    <xdr:from>
      <xdr:col>22</xdr:col>
      <xdr:colOff>161925</xdr:colOff>
      <xdr:row>34</xdr:row>
      <xdr:rowOff>104775</xdr:rowOff>
    </xdr:from>
    <xdr:to>
      <xdr:col>22</xdr:col>
      <xdr:colOff>438150</xdr:colOff>
      <xdr:row>37</xdr:row>
      <xdr:rowOff>104775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xmlns="" id="{00000000-0008-0000-2800-000010000000}"/>
            </a:ext>
          </a:extLst>
        </xdr:cNvPr>
        <xdr:cNvSpPr/>
      </xdr:nvSpPr>
      <xdr:spPr>
        <a:xfrm>
          <a:off x="12906375" y="6838950"/>
          <a:ext cx="276225" cy="571500"/>
        </a:xfrm>
        <a:prstGeom prst="rect">
          <a:avLst/>
        </a:prstGeom>
        <a:solidFill>
          <a:schemeClr val="accent2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191862</xdr:colOff>
      <xdr:row>35</xdr:row>
      <xdr:rowOff>38100</xdr:rowOff>
    </xdr:from>
    <xdr:to>
      <xdr:col>22</xdr:col>
      <xdr:colOff>419100</xdr:colOff>
      <xdr:row>37</xdr:row>
      <xdr:rowOff>57150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xmlns="" id="{00000000-0008-0000-2800-000011000000}"/>
            </a:ext>
          </a:extLst>
        </xdr:cNvPr>
        <xdr:cNvSpPr/>
      </xdr:nvSpPr>
      <xdr:spPr>
        <a:xfrm>
          <a:off x="12936312" y="6962775"/>
          <a:ext cx="227238" cy="400050"/>
        </a:xfrm>
        <a:prstGeom prst="downArrow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16565</xdr:colOff>
      <xdr:row>38</xdr:row>
      <xdr:rowOff>171450</xdr:rowOff>
    </xdr:from>
    <xdr:to>
      <xdr:col>20</xdr:col>
      <xdr:colOff>249116</xdr:colOff>
      <xdr:row>42</xdr:row>
      <xdr:rowOff>61092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xmlns="" id="{00000000-0008-0000-2800-00001D000000}"/>
            </a:ext>
          </a:extLst>
        </xdr:cNvPr>
        <xdr:cNvGrpSpPr/>
      </xdr:nvGrpSpPr>
      <xdr:grpSpPr>
        <a:xfrm>
          <a:off x="11751365" y="7372350"/>
          <a:ext cx="232551" cy="621162"/>
          <a:chOff x="11511879" y="7671707"/>
          <a:chExt cx="232551" cy="651642"/>
        </a:xfrm>
      </xdr:grpSpPr>
      <xdr:grpSp>
        <xdr:nvGrpSpPr>
          <xdr:cNvPr id="27" name="Group 26">
            <a:extLst>
              <a:ext uri="{FF2B5EF4-FFF2-40B4-BE49-F238E27FC236}">
                <a16:creationId xmlns:a16="http://schemas.microsoft.com/office/drawing/2014/main" xmlns="" id="{00000000-0008-0000-2800-00001B000000}"/>
              </a:ext>
            </a:extLst>
          </xdr:cNvPr>
          <xdr:cNvGrpSpPr/>
        </xdr:nvGrpSpPr>
        <xdr:grpSpPr>
          <a:xfrm>
            <a:off x="11511879" y="7671707"/>
            <a:ext cx="232551" cy="553915"/>
            <a:chOff x="11468546" y="7659565"/>
            <a:chExt cx="232551" cy="553915"/>
          </a:xfrm>
        </xdr:grpSpPr>
        <xdr:grpSp>
          <xdr:nvGrpSpPr>
            <xdr:cNvPr id="23" name="Group 22">
              <a:extLst>
                <a:ext uri="{FF2B5EF4-FFF2-40B4-BE49-F238E27FC236}">
                  <a16:creationId xmlns:a16="http://schemas.microsoft.com/office/drawing/2014/main" xmlns="" id="{00000000-0008-0000-2800-000017000000}"/>
                </a:ext>
              </a:extLst>
            </xdr:cNvPr>
            <xdr:cNvGrpSpPr/>
          </xdr:nvGrpSpPr>
          <xdr:grpSpPr>
            <a:xfrm>
              <a:off x="11468546" y="7659565"/>
              <a:ext cx="232551" cy="553915"/>
              <a:chOff x="11554239" y="7667211"/>
              <a:chExt cx="232551" cy="553915"/>
            </a:xfrm>
          </xdr:grpSpPr>
          <xdr:sp macro="" textlink="">
            <xdr:nvSpPr>
              <xdr:cNvPr id="19" name="Right Arrow 18">
                <a:extLst>
                  <a:ext uri="{FF2B5EF4-FFF2-40B4-BE49-F238E27FC236}">
                    <a16:creationId xmlns:a16="http://schemas.microsoft.com/office/drawing/2014/main" xmlns="" id="{00000000-0008-0000-2800-000013000000}"/>
                  </a:ext>
                </a:extLst>
              </xdr:cNvPr>
              <xdr:cNvSpPr/>
            </xdr:nvSpPr>
            <xdr:spPr>
              <a:xfrm rot="16200000">
                <a:off x="11558539" y="7992875"/>
                <a:ext cx="227134" cy="229368"/>
              </a:xfrm>
              <a:prstGeom prst="rightArrow">
                <a:avLst>
                  <a:gd name="adj1" fmla="val 50000"/>
                  <a:gd name="adj2" fmla="val 67592"/>
                </a:avLst>
              </a:prstGeom>
              <a:solidFill>
                <a:srgbClr val="00B050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0" name="Right Arrow 19">
                <a:extLst>
                  <a:ext uri="{FF2B5EF4-FFF2-40B4-BE49-F238E27FC236}">
                    <a16:creationId xmlns:a16="http://schemas.microsoft.com/office/drawing/2014/main" xmlns="" id="{00000000-0008-0000-2800-000014000000}"/>
                  </a:ext>
                </a:extLst>
              </xdr:cNvPr>
              <xdr:cNvSpPr/>
            </xdr:nvSpPr>
            <xdr:spPr>
              <a:xfrm rot="5400000">
                <a:off x="11486611" y="7734839"/>
                <a:ext cx="364624" cy="229368"/>
              </a:xfrm>
              <a:prstGeom prst="rightArrow">
                <a:avLst>
                  <a:gd name="adj1" fmla="val 50000"/>
                  <a:gd name="adj2" fmla="val 67592"/>
                </a:avLst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26" name="Oval 25">
              <a:extLst>
                <a:ext uri="{FF2B5EF4-FFF2-40B4-BE49-F238E27FC236}">
                  <a16:creationId xmlns:a16="http://schemas.microsoft.com/office/drawing/2014/main" xmlns="" id="{00000000-0008-0000-2800-00001A000000}"/>
                </a:ext>
              </a:extLst>
            </xdr:cNvPr>
            <xdr:cNvSpPr/>
          </xdr:nvSpPr>
          <xdr:spPr>
            <a:xfrm>
              <a:off x="11547230" y="7920405"/>
              <a:ext cx="80596" cy="87923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xmlns="" id="{00000000-0008-0000-2800-00001C000000}"/>
              </a:ext>
            </a:extLst>
          </xdr:cNvPr>
          <xdr:cNvSpPr/>
        </xdr:nvSpPr>
        <xdr:spPr>
          <a:xfrm>
            <a:off x="11528158" y="8144015"/>
            <a:ext cx="206056" cy="179334"/>
          </a:xfrm>
          <a:prstGeom prst="rect">
            <a:avLst/>
          </a:prstGeom>
          <a:gradFill>
            <a:gsLst>
              <a:gs pos="0">
                <a:srgbClr val="00B050"/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EPTHI/Deepthi%202/Collection%202020/2021%20J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58.174\Collections\July\Receip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rgetwise Plan"/>
      <sheetName val="Week (1)"/>
      <sheetName val="Week (2)"/>
      <sheetName val="Week (3)"/>
      <sheetName val="Week (4)"/>
      <sheetName val="Month"/>
      <sheetName val="Week (5)"/>
      <sheetName val="DAY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Cumulative_Graph"/>
      <sheetName val="RMT"/>
      <sheetName val="New format"/>
      <sheetName val="New format 2"/>
      <sheetName val="Plan Mapping"/>
      <sheetName val="Sheet1"/>
      <sheetName val="Sheet2"/>
    </sheetNames>
    <sheetDataSet>
      <sheetData sheetId="0" refreshError="1"/>
      <sheetData sheetId="1">
        <row r="5">
          <cell r="AQ5">
            <v>60</v>
          </cell>
        </row>
        <row r="17">
          <cell r="AT17">
            <v>0</v>
          </cell>
        </row>
      </sheetData>
      <sheetData sheetId="2">
        <row r="5">
          <cell r="AQ5">
            <v>338</v>
          </cell>
        </row>
        <row r="17">
          <cell r="AT17">
            <v>0</v>
          </cell>
        </row>
      </sheetData>
      <sheetData sheetId="3">
        <row r="5">
          <cell r="AQ5">
            <v>200.77</v>
          </cell>
        </row>
      </sheetData>
      <sheetData sheetId="4">
        <row r="5">
          <cell r="AQ5">
            <v>0</v>
          </cell>
        </row>
      </sheetData>
      <sheetData sheetId="5" refreshError="1"/>
      <sheetData sheetId="6">
        <row r="5">
          <cell r="AQ5">
            <v>0</v>
          </cell>
        </row>
        <row r="17">
          <cell r="AT17">
            <v>0</v>
          </cell>
        </row>
      </sheetData>
      <sheetData sheetId="7" refreshError="1"/>
      <sheetData sheetId="8">
        <row r="26">
          <cell r="J26">
            <v>30</v>
          </cell>
        </row>
      </sheetData>
      <sheetData sheetId="9">
        <row r="26">
          <cell r="J26">
            <v>30</v>
          </cell>
        </row>
      </sheetData>
      <sheetData sheetId="10">
        <row r="26">
          <cell r="J26">
            <v>50</v>
          </cell>
        </row>
      </sheetData>
      <sheetData sheetId="11">
        <row r="26">
          <cell r="J26">
            <v>60</v>
          </cell>
        </row>
      </sheetData>
      <sheetData sheetId="12">
        <row r="26">
          <cell r="J26">
            <v>102</v>
          </cell>
        </row>
      </sheetData>
      <sheetData sheetId="13">
        <row r="26">
          <cell r="J26">
            <v>80.5</v>
          </cell>
        </row>
      </sheetData>
      <sheetData sheetId="14">
        <row r="26">
          <cell r="J26">
            <v>40</v>
          </cell>
        </row>
      </sheetData>
      <sheetData sheetId="15">
        <row r="26">
          <cell r="J26">
            <v>5.5</v>
          </cell>
        </row>
      </sheetData>
      <sheetData sheetId="16" refreshError="1"/>
      <sheetData sheetId="17">
        <row r="26">
          <cell r="J26">
            <v>42</v>
          </cell>
        </row>
      </sheetData>
      <sheetData sheetId="18">
        <row r="26">
          <cell r="J26">
            <v>50</v>
          </cell>
        </row>
      </sheetData>
      <sheetData sheetId="19">
        <row r="26">
          <cell r="J26">
            <v>20</v>
          </cell>
        </row>
      </sheetData>
      <sheetData sheetId="20" refreshError="1"/>
      <sheetData sheetId="21">
        <row r="26">
          <cell r="J26">
            <v>24.17</v>
          </cell>
        </row>
      </sheetData>
      <sheetData sheetId="22">
        <row r="26">
          <cell r="J26">
            <v>64.599999999999994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ceipts"/>
      <sheetName val="Receipts_Pivot"/>
      <sheetName val="Collection"/>
      <sheetName val="DASHBOARD"/>
      <sheetName val="Cumulative"/>
      <sheetName val="Daywise Plan"/>
      <sheetName val="Backup"/>
    </sheetNames>
    <sheetDataSet>
      <sheetData sheetId="0"/>
      <sheetData sheetId="1"/>
      <sheetData sheetId="2">
        <row r="2">
          <cell r="D2">
            <v>0</v>
          </cell>
          <cell r="M2">
            <v>422672359</v>
          </cell>
        </row>
        <row r="3">
          <cell r="D3">
            <v>0</v>
          </cell>
          <cell r="M3">
            <v>0</v>
          </cell>
        </row>
        <row r="4">
          <cell r="D4" t="str">
            <v>Date</v>
          </cell>
          <cell r="M4" t="str">
            <v>Outstanding</v>
          </cell>
        </row>
        <row r="5">
          <cell r="D5">
            <v>43587</v>
          </cell>
          <cell r="M5">
            <v>0</v>
          </cell>
        </row>
        <row r="6">
          <cell r="D6">
            <v>43587</v>
          </cell>
          <cell r="M6">
            <v>250000</v>
          </cell>
        </row>
        <row r="7">
          <cell r="D7">
            <v>43587</v>
          </cell>
          <cell r="M7">
            <v>75000</v>
          </cell>
        </row>
        <row r="8">
          <cell r="D8">
            <v>43587</v>
          </cell>
          <cell r="M8">
            <v>1000000</v>
          </cell>
        </row>
        <row r="9">
          <cell r="D9">
            <v>43587</v>
          </cell>
          <cell r="M9">
            <v>2000000</v>
          </cell>
        </row>
        <row r="10">
          <cell r="D10">
            <v>43587</v>
          </cell>
          <cell r="M10">
            <v>0</v>
          </cell>
        </row>
        <row r="11">
          <cell r="D11">
            <v>43587</v>
          </cell>
          <cell r="M11">
            <v>0</v>
          </cell>
        </row>
        <row r="12">
          <cell r="D12">
            <v>43587</v>
          </cell>
          <cell r="M12">
            <v>50000</v>
          </cell>
        </row>
        <row r="13">
          <cell r="D13">
            <v>43587</v>
          </cell>
          <cell r="M13">
            <v>76150</v>
          </cell>
        </row>
        <row r="14">
          <cell r="D14">
            <v>43587</v>
          </cell>
          <cell r="M14">
            <v>20000</v>
          </cell>
        </row>
        <row r="15">
          <cell r="D15">
            <v>43587</v>
          </cell>
          <cell r="M15">
            <v>0</v>
          </cell>
        </row>
        <row r="16">
          <cell r="D16">
            <v>43587</v>
          </cell>
          <cell r="M16">
            <v>0</v>
          </cell>
        </row>
        <row r="17">
          <cell r="D17">
            <v>43587</v>
          </cell>
          <cell r="M17">
            <v>200000</v>
          </cell>
        </row>
        <row r="18">
          <cell r="D18">
            <v>43587</v>
          </cell>
          <cell r="M18">
            <v>250000</v>
          </cell>
        </row>
        <row r="19">
          <cell r="D19">
            <v>43587</v>
          </cell>
          <cell r="M19">
            <v>-8000</v>
          </cell>
        </row>
        <row r="20">
          <cell r="D20">
            <v>43587</v>
          </cell>
          <cell r="M20">
            <v>0</v>
          </cell>
        </row>
        <row r="21">
          <cell r="D21">
            <v>43587</v>
          </cell>
          <cell r="M21">
            <v>451616</v>
          </cell>
        </row>
        <row r="22">
          <cell r="D22">
            <v>43587</v>
          </cell>
          <cell r="M22">
            <v>0</v>
          </cell>
        </row>
        <row r="23">
          <cell r="D23">
            <v>43587</v>
          </cell>
          <cell r="M23">
            <v>-287093</v>
          </cell>
        </row>
        <row r="24">
          <cell r="D24">
            <v>43587</v>
          </cell>
          <cell r="M24">
            <v>1815000</v>
          </cell>
        </row>
        <row r="25">
          <cell r="D25">
            <v>43587</v>
          </cell>
          <cell r="M25">
            <v>86120</v>
          </cell>
        </row>
        <row r="26">
          <cell r="D26">
            <v>43587</v>
          </cell>
          <cell r="M26">
            <v>1285000</v>
          </cell>
        </row>
        <row r="27">
          <cell r="D27">
            <v>43587</v>
          </cell>
          <cell r="M27">
            <v>-5416</v>
          </cell>
        </row>
        <row r="28">
          <cell r="D28">
            <v>43587</v>
          </cell>
          <cell r="M28">
            <v>-95</v>
          </cell>
        </row>
        <row r="29">
          <cell r="D29">
            <v>43587</v>
          </cell>
          <cell r="M29">
            <v>-50000</v>
          </cell>
        </row>
        <row r="30">
          <cell r="D30">
            <v>43587</v>
          </cell>
          <cell r="M30">
            <v>450000</v>
          </cell>
        </row>
        <row r="31">
          <cell r="D31">
            <v>43587</v>
          </cell>
          <cell r="M31">
            <v>23000</v>
          </cell>
        </row>
        <row r="32">
          <cell r="D32">
            <v>43587</v>
          </cell>
          <cell r="M32">
            <v>1881000</v>
          </cell>
        </row>
        <row r="33">
          <cell r="D33">
            <v>43587</v>
          </cell>
          <cell r="M33">
            <v>0</v>
          </cell>
        </row>
        <row r="34">
          <cell r="D34">
            <v>43587</v>
          </cell>
          <cell r="M34">
            <v>108</v>
          </cell>
        </row>
        <row r="35">
          <cell r="D35">
            <v>43587</v>
          </cell>
          <cell r="M35">
            <v>-207</v>
          </cell>
        </row>
        <row r="36">
          <cell r="D36">
            <v>43588</v>
          </cell>
          <cell r="M36">
            <v>0</v>
          </cell>
        </row>
        <row r="37">
          <cell r="D37">
            <v>43588</v>
          </cell>
          <cell r="M37">
            <v>200000</v>
          </cell>
        </row>
        <row r="38">
          <cell r="D38">
            <v>43588</v>
          </cell>
          <cell r="M38">
            <v>300000</v>
          </cell>
        </row>
        <row r="39">
          <cell r="D39">
            <v>43588</v>
          </cell>
          <cell r="M39">
            <v>-350000</v>
          </cell>
        </row>
        <row r="40">
          <cell r="D40">
            <v>43588</v>
          </cell>
          <cell r="M40">
            <v>0</v>
          </cell>
        </row>
        <row r="41">
          <cell r="D41">
            <v>43588</v>
          </cell>
          <cell r="M41">
            <v>0</v>
          </cell>
        </row>
        <row r="42">
          <cell r="D42">
            <v>43588</v>
          </cell>
          <cell r="M42">
            <v>100000</v>
          </cell>
        </row>
        <row r="43">
          <cell r="D43">
            <v>43588</v>
          </cell>
          <cell r="M43">
            <v>0</v>
          </cell>
        </row>
        <row r="44">
          <cell r="D44">
            <v>43588</v>
          </cell>
          <cell r="M44">
            <v>100000</v>
          </cell>
        </row>
        <row r="45">
          <cell r="D45">
            <v>43588</v>
          </cell>
          <cell r="M45">
            <v>0</v>
          </cell>
        </row>
        <row r="46">
          <cell r="D46">
            <v>43588</v>
          </cell>
          <cell r="M46">
            <v>0</v>
          </cell>
        </row>
        <row r="47">
          <cell r="D47">
            <v>43588</v>
          </cell>
          <cell r="M47">
            <v>20000</v>
          </cell>
        </row>
        <row r="48">
          <cell r="D48">
            <v>43588</v>
          </cell>
          <cell r="M48">
            <v>700000</v>
          </cell>
        </row>
        <row r="49">
          <cell r="D49">
            <v>43588</v>
          </cell>
          <cell r="M49">
            <v>0</v>
          </cell>
        </row>
        <row r="50">
          <cell r="D50">
            <v>43588</v>
          </cell>
          <cell r="M50">
            <v>0</v>
          </cell>
        </row>
        <row r="51">
          <cell r="D51">
            <v>43588</v>
          </cell>
          <cell r="M51">
            <v>-50000</v>
          </cell>
        </row>
        <row r="52">
          <cell r="D52">
            <v>43588</v>
          </cell>
          <cell r="M52">
            <v>0</v>
          </cell>
        </row>
        <row r="53">
          <cell r="D53">
            <v>43588</v>
          </cell>
          <cell r="M53">
            <v>385000</v>
          </cell>
        </row>
        <row r="54">
          <cell r="D54">
            <v>43588</v>
          </cell>
          <cell r="M54">
            <v>0</v>
          </cell>
        </row>
        <row r="55">
          <cell r="D55">
            <v>43588</v>
          </cell>
          <cell r="M55">
            <v>250000</v>
          </cell>
        </row>
        <row r="56">
          <cell r="D56">
            <v>43588</v>
          </cell>
          <cell r="M56">
            <v>400000</v>
          </cell>
        </row>
        <row r="57">
          <cell r="D57">
            <v>43588</v>
          </cell>
          <cell r="M57">
            <v>1500000</v>
          </cell>
        </row>
        <row r="58">
          <cell r="D58">
            <v>43588</v>
          </cell>
          <cell r="M58">
            <v>680000</v>
          </cell>
        </row>
        <row r="59">
          <cell r="D59">
            <v>43588</v>
          </cell>
          <cell r="M59">
            <v>1000000</v>
          </cell>
        </row>
        <row r="60">
          <cell r="D60">
            <v>43588</v>
          </cell>
          <cell r="M60">
            <v>6205350</v>
          </cell>
        </row>
        <row r="61">
          <cell r="D61">
            <v>43588</v>
          </cell>
          <cell r="M61">
            <v>0</v>
          </cell>
        </row>
        <row r="62">
          <cell r="D62">
            <v>43588</v>
          </cell>
          <cell r="M62">
            <v>-18164</v>
          </cell>
        </row>
        <row r="63">
          <cell r="D63">
            <v>43588</v>
          </cell>
          <cell r="M63">
            <v>1350000</v>
          </cell>
        </row>
        <row r="64">
          <cell r="D64">
            <v>43588</v>
          </cell>
          <cell r="M64">
            <v>0</v>
          </cell>
        </row>
        <row r="65">
          <cell r="D65">
            <v>43588</v>
          </cell>
          <cell r="M65">
            <v>-89832</v>
          </cell>
        </row>
        <row r="66">
          <cell r="D66">
            <v>43588</v>
          </cell>
          <cell r="M66">
            <v>0</v>
          </cell>
        </row>
        <row r="67">
          <cell r="D67">
            <v>43588</v>
          </cell>
          <cell r="M67">
            <v>0</v>
          </cell>
        </row>
        <row r="68">
          <cell r="D68">
            <v>43588</v>
          </cell>
          <cell r="M68">
            <v>0</v>
          </cell>
        </row>
        <row r="69">
          <cell r="D69">
            <v>43588</v>
          </cell>
          <cell r="M69">
            <v>-305</v>
          </cell>
        </row>
        <row r="70">
          <cell r="D70">
            <v>43589</v>
          </cell>
          <cell r="M70">
            <v>0</v>
          </cell>
        </row>
        <row r="71">
          <cell r="D71">
            <v>43589</v>
          </cell>
          <cell r="M71">
            <v>600000</v>
          </cell>
        </row>
        <row r="72">
          <cell r="D72">
            <v>43589</v>
          </cell>
          <cell r="M72">
            <v>600000</v>
          </cell>
        </row>
        <row r="73">
          <cell r="D73">
            <v>43589</v>
          </cell>
          <cell r="M73">
            <v>19000</v>
          </cell>
        </row>
        <row r="74">
          <cell r="D74">
            <v>43589</v>
          </cell>
          <cell r="M74">
            <v>50000</v>
          </cell>
        </row>
        <row r="75">
          <cell r="D75">
            <v>43589</v>
          </cell>
          <cell r="M75">
            <v>300000</v>
          </cell>
        </row>
        <row r="76">
          <cell r="D76">
            <v>43589</v>
          </cell>
          <cell r="M76">
            <v>400000</v>
          </cell>
        </row>
        <row r="77">
          <cell r="D77">
            <v>43589</v>
          </cell>
          <cell r="M77">
            <v>0</v>
          </cell>
        </row>
        <row r="78">
          <cell r="D78">
            <v>43589</v>
          </cell>
          <cell r="M78">
            <v>0</v>
          </cell>
        </row>
        <row r="79">
          <cell r="D79">
            <v>43589</v>
          </cell>
          <cell r="M79">
            <v>0</v>
          </cell>
        </row>
        <row r="80">
          <cell r="D80">
            <v>43589</v>
          </cell>
          <cell r="M80">
            <v>0</v>
          </cell>
        </row>
        <row r="81">
          <cell r="D81">
            <v>43589</v>
          </cell>
          <cell r="M81">
            <v>1400000</v>
          </cell>
        </row>
        <row r="82">
          <cell r="D82">
            <v>43589</v>
          </cell>
          <cell r="M82">
            <v>500000</v>
          </cell>
        </row>
        <row r="83">
          <cell r="D83">
            <v>43589</v>
          </cell>
          <cell r="M83">
            <v>300000</v>
          </cell>
        </row>
        <row r="84">
          <cell r="D84">
            <v>43589</v>
          </cell>
          <cell r="M84">
            <v>400000</v>
          </cell>
        </row>
        <row r="85">
          <cell r="D85">
            <v>43589</v>
          </cell>
          <cell r="M85">
            <v>700000</v>
          </cell>
        </row>
        <row r="86">
          <cell r="D86">
            <v>43589</v>
          </cell>
          <cell r="M86">
            <v>800000</v>
          </cell>
        </row>
        <row r="87">
          <cell r="D87">
            <v>43589</v>
          </cell>
          <cell r="M87">
            <v>0</v>
          </cell>
        </row>
        <row r="88">
          <cell r="D88">
            <v>43589</v>
          </cell>
          <cell r="M88">
            <v>270000</v>
          </cell>
        </row>
        <row r="89">
          <cell r="D89">
            <v>43589</v>
          </cell>
          <cell r="M89">
            <v>3200000</v>
          </cell>
        </row>
        <row r="90">
          <cell r="D90">
            <v>43589</v>
          </cell>
          <cell r="M90">
            <v>0</v>
          </cell>
        </row>
        <row r="91">
          <cell r="D91">
            <v>43589</v>
          </cell>
          <cell r="M91">
            <v>0</v>
          </cell>
        </row>
        <row r="92">
          <cell r="D92">
            <v>43589</v>
          </cell>
          <cell r="M92">
            <v>1800000</v>
          </cell>
        </row>
        <row r="93">
          <cell r="D93">
            <v>43589</v>
          </cell>
          <cell r="M93">
            <v>1122729</v>
          </cell>
        </row>
        <row r="94">
          <cell r="D94">
            <v>43589</v>
          </cell>
          <cell r="M94">
            <v>703000</v>
          </cell>
        </row>
        <row r="95">
          <cell r="D95">
            <v>43589</v>
          </cell>
          <cell r="M95">
            <v>0</v>
          </cell>
        </row>
        <row r="96">
          <cell r="D96">
            <v>43589</v>
          </cell>
          <cell r="M96">
            <v>1713000</v>
          </cell>
        </row>
        <row r="97">
          <cell r="D97">
            <v>43591</v>
          </cell>
          <cell r="M97">
            <v>116067</v>
          </cell>
        </row>
        <row r="98">
          <cell r="D98">
            <v>43591</v>
          </cell>
          <cell r="M98">
            <v>225000</v>
          </cell>
        </row>
        <row r="99">
          <cell r="D99">
            <v>43591</v>
          </cell>
          <cell r="M99">
            <v>50000</v>
          </cell>
        </row>
        <row r="100">
          <cell r="D100">
            <v>43591</v>
          </cell>
          <cell r="M100">
            <v>2400000</v>
          </cell>
        </row>
        <row r="101">
          <cell r="D101">
            <v>43591</v>
          </cell>
          <cell r="M101">
            <v>-576224</v>
          </cell>
        </row>
        <row r="102">
          <cell r="D102">
            <v>43591</v>
          </cell>
          <cell r="M102">
            <v>300000</v>
          </cell>
        </row>
        <row r="103">
          <cell r="D103">
            <v>43591</v>
          </cell>
          <cell r="M103">
            <v>100000</v>
          </cell>
        </row>
        <row r="104">
          <cell r="D104">
            <v>43591</v>
          </cell>
          <cell r="M104">
            <v>400000</v>
          </cell>
        </row>
        <row r="105">
          <cell r="D105">
            <v>43591</v>
          </cell>
          <cell r="M105">
            <v>0</v>
          </cell>
        </row>
        <row r="106">
          <cell r="D106">
            <v>43591</v>
          </cell>
          <cell r="M106">
            <v>225000</v>
          </cell>
        </row>
        <row r="107">
          <cell r="D107">
            <v>43591</v>
          </cell>
          <cell r="M107">
            <v>100000</v>
          </cell>
        </row>
        <row r="108">
          <cell r="D108">
            <v>43591</v>
          </cell>
          <cell r="M108">
            <v>50000</v>
          </cell>
        </row>
        <row r="109">
          <cell r="D109">
            <v>43591</v>
          </cell>
          <cell r="M109">
            <v>96000</v>
          </cell>
        </row>
        <row r="110">
          <cell r="D110">
            <v>43591</v>
          </cell>
          <cell r="M110">
            <v>450000</v>
          </cell>
        </row>
        <row r="111">
          <cell r="D111">
            <v>43591</v>
          </cell>
          <cell r="M111">
            <v>97000</v>
          </cell>
        </row>
        <row r="112">
          <cell r="D112">
            <v>43591</v>
          </cell>
          <cell r="M112">
            <v>0</v>
          </cell>
        </row>
        <row r="113">
          <cell r="D113">
            <v>43591</v>
          </cell>
          <cell r="M113">
            <v>630000</v>
          </cell>
        </row>
        <row r="114">
          <cell r="D114">
            <v>43591</v>
          </cell>
          <cell r="M114">
            <v>50000</v>
          </cell>
        </row>
        <row r="115">
          <cell r="D115">
            <v>43591</v>
          </cell>
          <cell r="M115">
            <v>202000</v>
          </cell>
        </row>
        <row r="116">
          <cell r="D116">
            <v>43591</v>
          </cell>
          <cell r="M116">
            <v>200000</v>
          </cell>
        </row>
        <row r="117">
          <cell r="D117">
            <v>43591</v>
          </cell>
          <cell r="M117">
            <v>200000</v>
          </cell>
        </row>
        <row r="118">
          <cell r="D118">
            <v>43591</v>
          </cell>
          <cell r="M118">
            <v>3000</v>
          </cell>
        </row>
        <row r="119">
          <cell r="D119">
            <v>43591</v>
          </cell>
          <cell r="M119">
            <v>1418000</v>
          </cell>
        </row>
        <row r="120">
          <cell r="D120">
            <v>43591</v>
          </cell>
          <cell r="M120">
            <v>-150000</v>
          </cell>
        </row>
        <row r="121">
          <cell r="D121">
            <v>43591</v>
          </cell>
          <cell r="M121">
            <v>250000</v>
          </cell>
        </row>
        <row r="122">
          <cell r="D122">
            <v>43591</v>
          </cell>
          <cell r="M122">
            <v>150000</v>
          </cell>
        </row>
        <row r="123">
          <cell r="D123">
            <v>43591</v>
          </cell>
          <cell r="M123">
            <v>1000000</v>
          </cell>
        </row>
        <row r="124">
          <cell r="D124">
            <v>43591</v>
          </cell>
          <cell r="M124">
            <v>95000</v>
          </cell>
        </row>
        <row r="125">
          <cell r="D125">
            <v>43591</v>
          </cell>
          <cell r="M125">
            <v>0</v>
          </cell>
        </row>
        <row r="126">
          <cell r="D126">
            <v>43591</v>
          </cell>
          <cell r="M126">
            <v>79000</v>
          </cell>
        </row>
        <row r="127">
          <cell r="D127">
            <v>43591</v>
          </cell>
          <cell r="M127">
            <v>0</v>
          </cell>
        </row>
        <row r="128">
          <cell r="D128">
            <v>43591</v>
          </cell>
          <cell r="M128">
            <v>0</v>
          </cell>
        </row>
        <row r="129">
          <cell r="D129">
            <v>43591</v>
          </cell>
          <cell r="M129">
            <v>0</v>
          </cell>
        </row>
        <row r="130">
          <cell r="D130">
            <v>43592</v>
          </cell>
          <cell r="M130">
            <v>-30000</v>
          </cell>
        </row>
        <row r="131">
          <cell r="D131">
            <v>43592</v>
          </cell>
          <cell r="M131">
            <v>100000</v>
          </cell>
        </row>
        <row r="132">
          <cell r="D132">
            <v>43592</v>
          </cell>
          <cell r="M132">
            <v>10000</v>
          </cell>
        </row>
        <row r="133">
          <cell r="D133">
            <v>43592</v>
          </cell>
          <cell r="M133">
            <v>0</v>
          </cell>
        </row>
        <row r="134">
          <cell r="D134">
            <v>43592</v>
          </cell>
          <cell r="M134">
            <v>1600000</v>
          </cell>
        </row>
        <row r="135">
          <cell r="D135">
            <v>43592</v>
          </cell>
          <cell r="M135">
            <v>770000</v>
          </cell>
        </row>
        <row r="136">
          <cell r="D136">
            <v>43592</v>
          </cell>
          <cell r="M136">
            <v>600000</v>
          </cell>
        </row>
        <row r="137">
          <cell r="D137">
            <v>43592</v>
          </cell>
          <cell r="M137">
            <v>20000</v>
          </cell>
        </row>
        <row r="138">
          <cell r="D138">
            <v>43592</v>
          </cell>
          <cell r="M138">
            <v>1200000</v>
          </cell>
        </row>
        <row r="139">
          <cell r="D139">
            <v>43592</v>
          </cell>
          <cell r="M139">
            <v>100000</v>
          </cell>
        </row>
        <row r="140">
          <cell r="D140">
            <v>43592</v>
          </cell>
          <cell r="M140">
            <v>139000</v>
          </cell>
        </row>
        <row r="141">
          <cell r="D141">
            <v>43592</v>
          </cell>
          <cell r="M141">
            <v>800000</v>
          </cell>
        </row>
        <row r="142">
          <cell r="D142">
            <v>43592</v>
          </cell>
          <cell r="M142">
            <v>-3429</v>
          </cell>
        </row>
        <row r="143">
          <cell r="D143">
            <v>43592</v>
          </cell>
          <cell r="M143">
            <v>56000</v>
          </cell>
        </row>
        <row r="144">
          <cell r="D144">
            <v>43592</v>
          </cell>
          <cell r="M144">
            <v>396000</v>
          </cell>
        </row>
        <row r="145">
          <cell r="D145">
            <v>43592</v>
          </cell>
          <cell r="M145">
            <v>700000</v>
          </cell>
        </row>
        <row r="146">
          <cell r="D146">
            <v>43592</v>
          </cell>
          <cell r="M146">
            <v>1800000</v>
          </cell>
        </row>
        <row r="147">
          <cell r="D147">
            <v>43592</v>
          </cell>
          <cell r="M147">
            <v>0</v>
          </cell>
        </row>
        <row r="148">
          <cell r="D148">
            <v>43592</v>
          </cell>
          <cell r="M148">
            <v>88000</v>
          </cell>
        </row>
        <row r="149">
          <cell r="D149">
            <v>43592</v>
          </cell>
          <cell r="M149">
            <v>0</v>
          </cell>
        </row>
        <row r="150">
          <cell r="D150">
            <v>43592</v>
          </cell>
          <cell r="M150">
            <v>1980000</v>
          </cell>
        </row>
        <row r="151">
          <cell r="D151">
            <v>43592</v>
          </cell>
          <cell r="M151">
            <v>350000</v>
          </cell>
        </row>
        <row r="152">
          <cell r="D152">
            <v>43592</v>
          </cell>
          <cell r="M152">
            <v>4418000</v>
          </cell>
        </row>
        <row r="153">
          <cell r="D153">
            <v>43592</v>
          </cell>
          <cell r="M153">
            <v>44000</v>
          </cell>
        </row>
        <row r="154">
          <cell r="D154">
            <v>43592</v>
          </cell>
          <cell r="M154">
            <v>0</v>
          </cell>
        </row>
        <row r="155">
          <cell r="D155">
            <v>43592</v>
          </cell>
          <cell r="M155">
            <v>-23450</v>
          </cell>
        </row>
        <row r="156">
          <cell r="D156">
            <v>43592</v>
          </cell>
          <cell r="M156">
            <v>100000</v>
          </cell>
        </row>
        <row r="157">
          <cell r="D157">
            <v>43592</v>
          </cell>
          <cell r="M157">
            <v>-17397</v>
          </cell>
        </row>
        <row r="158">
          <cell r="D158">
            <v>43592</v>
          </cell>
          <cell r="M158">
            <v>120450</v>
          </cell>
        </row>
        <row r="159">
          <cell r="D159">
            <v>43592</v>
          </cell>
          <cell r="M159">
            <v>989000</v>
          </cell>
        </row>
        <row r="160">
          <cell r="D160">
            <v>43593</v>
          </cell>
          <cell r="M160">
            <v>482000</v>
          </cell>
        </row>
        <row r="161">
          <cell r="D161">
            <v>43593</v>
          </cell>
          <cell r="M161">
            <v>50000</v>
          </cell>
        </row>
        <row r="162">
          <cell r="D162">
            <v>43593</v>
          </cell>
          <cell r="M162">
            <v>300000</v>
          </cell>
        </row>
        <row r="163">
          <cell r="D163">
            <v>43593</v>
          </cell>
          <cell r="M163">
            <v>-80000</v>
          </cell>
        </row>
        <row r="164">
          <cell r="D164">
            <v>43593</v>
          </cell>
          <cell r="M164">
            <v>50000</v>
          </cell>
        </row>
        <row r="165">
          <cell r="D165">
            <v>43593</v>
          </cell>
          <cell r="M165">
            <v>350000</v>
          </cell>
        </row>
        <row r="166">
          <cell r="D166">
            <v>43593</v>
          </cell>
          <cell r="M166">
            <v>0</v>
          </cell>
        </row>
        <row r="167">
          <cell r="D167">
            <v>43593</v>
          </cell>
          <cell r="M167">
            <v>0</v>
          </cell>
        </row>
        <row r="168">
          <cell r="D168">
            <v>43593</v>
          </cell>
          <cell r="M168">
            <v>-100000</v>
          </cell>
        </row>
        <row r="169">
          <cell r="D169">
            <v>43593</v>
          </cell>
          <cell r="M169">
            <v>50000</v>
          </cell>
        </row>
        <row r="170">
          <cell r="D170">
            <v>43593</v>
          </cell>
          <cell r="M170">
            <v>300000</v>
          </cell>
        </row>
        <row r="171">
          <cell r="D171">
            <v>43593</v>
          </cell>
          <cell r="M171">
            <v>1200000</v>
          </cell>
        </row>
        <row r="172">
          <cell r="D172">
            <v>43593</v>
          </cell>
          <cell r="M172">
            <v>0</v>
          </cell>
        </row>
        <row r="173">
          <cell r="D173">
            <v>43593</v>
          </cell>
          <cell r="M173">
            <v>1600000</v>
          </cell>
        </row>
        <row r="174">
          <cell r="D174">
            <v>43593</v>
          </cell>
          <cell r="M174">
            <v>0</v>
          </cell>
        </row>
        <row r="175">
          <cell r="D175">
            <v>43593</v>
          </cell>
          <cell r="M175">
            <v>2100000</v>
          </cell>
        </row>
        <row r="176">
          <cell r="D176">
            <v>43593</v>
          </cell>
          <cell r="M176">
            <v>1500000</v>
          </cell>
        </row>
        <row r="177">
          <cell r="D177">
            <v>43593</v>
          </cell>
          <cell r="M177">
            <v>10000</v>
          </cell>
        </row>
        <row r="178">
          <cell r="D178">
            <v>43593</v>
          </cell>
          <cell r="M178">
            <v>150000</v>
          </cell>
        </row>
        <row r="179">
          <cell r="D179">
            <v>43593</v>
          </cell>
          <cell r="M179">
            <v>260000</v>
          </cell>
        </row>
        <row r="180">
          <cell r="D180">
            <v>43593</v>
          </cell>
          <cell r="M180">
            <v>50000</v>
          </cell>
        </row>
        <row r="181">
          <cell r="D181">
            <v>43593</v>
          </cell>
          <cell r="M181">
            <v>0</v>
          </cell>
        </row>
        <row r="182">
          <cell r="D182">
            <v>43593</v>
          </cell>
          <cell r="M182">
            <v>0</v>
          </cell>
        </row>
        <row r="183">
          <cell r="D183">
            <v>43593</v>
          </cell>
          <cell r="M183">
            <v>400000</v>
          </cell>
        </row>
        <row r="184">
          <cell r="D184">
            <v>43593</v>
          </cell>
          <cell r="M184">
            <v>1800000</v>
          </cell>
        </row>
        <row r="185">
          <cell r="D185">
            <v>43593</v>
          </cell>
          <cell r="M185">
            <v>0</v>
          </cell>
        </row>
        <row r="186">
          <cell r="D186">
            <v>43593</v>
          </cell>
          <cell r="M186">
            <v>-185</v>
          </cell>
        </row>
        <row r="187">
          <cell r="D187">
            <v>43593</v>
          </cell>
          <cell r="M187">
            <v>100000</v>
          </cell>
        </row>
        <row r="188">
          <cell r="D188">
            <v>43593</v>
          </cell>
          <cell r="M188">
            <v>228000</v>
          </cell>
        </row>
        <row r="189">
          <cell r="D189">
            <v>43593</v>
          </cell>
          <cell r="M189">
            <v>3600000</v>
          </cell>
        </row>
        <row r="190">
          <cell r="D190">
            <v>43593</v>
          </cell>
          <cell r="M190">
            <v>1210000</v>
          </cell>
        </row>
        <row r="191">
          <cell r="D191">
            <v>43593</v>
          </cell>
          <cell r="M191">
            <v>1241000</v>
          </cell>
        </row>
        <row r="192">
          <cell r="D192">
            <v>43593</v>
          </cell>
          <cell r="M192">
            <v>324000</v>
          </cell>
        </row>
        <row r="193">
          <cell r="D193">
            <v>43593</v>
          </cell>
          <cell r="M193">
            <v>386000</v>
          </cell>
        </row>
        <row r="194">
          <cell r="D194">
            <v>43593</v>
          </cell>
          <cell r="M194">
            <v>0</v>
          </cell>
        </row>
        <row r="195">
          <cell r="D195">
            <v>43593</v>
          </cell>
          <cell r="M195">
            <v>0</v>
          </cell>
        </row>
        <row r="196">
          <cell r="D196">
            <v>43594</v>
          </cell>
          <cell r="M196">
            <v>106000</v>
          </cell>
        </row>
        <row r="197">
          <cell r="D197">
            <v>43594</v>
          </cell>
          <cell r="M197">
            <v>50000</v>
          </cell>
        </row>
        <row r="198">
          <cell r="D198">
            <v>43594</v>
          </cell>
          <cell r="M198">
            <v>50000</v>
          </cell>
        </row>
        <row r="199">
          <cell r="D199">
            <v>43594</v>
          </cell>
          <cell r="M199">
            <v>2090000</v>
          </cell>
        </row>
        <row r="200">
          <cell r="D200">
            <v>43594</v>
          </cell>
          <cell r="M200">
            <v>1400000</v>
          </cell>
        </row>
        <row r="201">
          <cell r="D201">
            <v>43594</v>
          </cell>
          <cell r="M201">
            <v>0</v>
          </cell>
        </row>
        <row r="202">
          <cell r="D202">
            <v>43594</v>
          </cell>
          <cell r="M202">
            <v>700000</v>
          </cell>
        </row>
        <row r="203">
          <cell r="D203">
            <v>43594</v>
          </cell>
          <cell r="M203">
            <v>300000</v>
          </cell>
        </row>
        <row r="204">
          <cell r="D204">
            <v>43594</v>
          </cell>
          <cell r="M204">
            <v>218000</v>
          </cell>
        </row>
        <row r="205">
          <cell r="D205">
            <v>43594</v>
          </cell>
          <cell r="M205">
            <v>170000</v>
          </cell>
        </row>
        <row r="206">
          <cell r="D206">
            <v>43594</v>
          </cell>
          <cell r="M206">
            <v>0</v>
          </cell>
        </row>
        <row r="207">
          <cell r="D207">
            <v>43594</v>
          </cell>
          <cell r="M207">
            <v>0</v>
          </cell>
        </row>
        <row r="208">
          <cell r="D208">
            <v>43594</v>
          </cell>
          <cell r="M208">
            <v>0</v>
          </cell>
        </row>
        <row r="209">
          <cell r="D209">
            <v>43594</v>
          </cell>
          <cell r="M209">
            <v>120000</v>
          </cell>
        </row>
        <row r="210">
          <cell r="D210">
            <v>43594</v>
          </cell>
          <cell r="M210">
            <v>550000</v>
          </cell>
        </row>
        <row r="211">
          <cell r="D211">
            <v>43594</v>
          </cell>
          <cell r="M211">
            <v>0</v>
          </cell>
        </row>
        <row r="212">
          <cell r="D212">
            <v>43594</v>
          </cell>
          <cell r="M212">
            <v>0</v>
          </cell>
        </row>
        <row r="213">
          <cell r="D213">
            <v>43594</v>
          </cell>
          <cell r="M213">
            <v>670000</v>
          </cell>
        </row>
        <row r="214">
          <cell r="D214">
            <v>43594</v>
          </cell>
          <cell r="M214">
            <v>118000</v>
          </cell>
        </row>
        <row r="215">
          <cell r="D215">
            <v>43594</v>
          </cell>
          <cell r="M215">
            <v>30000</v>
          </cell>
        </row>
        <row r="216">
          <cell r="D216">
            <v>43594</v>
          </cell>
          <cell r="M216">
            <v>0</v>
          </cell>
        </row>
        <row r="217">
          <cell r="D217">
            <v>43594</v>
          </cell>
          <cell r="M217">
            <v>102000</v>
          </cell>
        </row>
        <row r="218">
          <cell r="D218">
            <v>43594</v>
          </cell>
          <cell r="M218">
            <v>59000</v>
          </cell>
        </row>
        <row r="219">
          <cell r="D219">
            <v>43594</v>
          </cell>
          <cell r="M219">
            <v>0</v>
          </cell>
        </row>
        <row r="220">
          <cell r="D220">
            <v>43594</v>
          </cell>
          <cell r="M220">
            <v>0</v>
          </cell>
        </row>
        <row r="221">
          <cell r="D221">
            <v>43594</v>
          </cell>
          <cell r="M221">
            <v>300000</v>
          </cell>
        </row>
        <row r="222">
          <cell r="D222">
            <v>43594</v>
          </cell>
          <cell r="M222">
            <v>70000</v>
          </cell>
        </row>
        <row r="223">
          <cell r="D223">
            <v>43594</v>
          </cell>
          <cell r="M223">
            <v>0</v>
          </cell>
        </row>
        <row r="224">
          <cell r="D224">
            <v>43594</v>
          </cell>
          <cell r="M224">
            <v>0</v>
          </cell>
        </row>
        <row r="225">
          <cell r="D225">
            <v>43594</v>
          </cell>
          <cell r="M225">
            <v>-250000</v>
          </cell>
        </row>
        <row r="226">
          <cell r="D226">
            <v>43594</v>
          </cell>
          <cell r="M226">
            <v>1500000</v>
          </cell>
        </row>
        <row r="227">
          <cell r="D227">
            <v>43594</v>
          </cell>
          <cell r="M227">
            <v>2000000</v>
          </cell>
        </row>
        <row r="228">
          <cell r="D228">
            <v>43594</v>
          </cell>
          <cell r="M228">
            <v>0</v>
          </cell>
        </row>
        <row r="229">
          <cell r="D229">
            <v>43594</v>
          </cell>
          <cell r="M229">
            <v>650000</v>
          </cell>
        </row>
        <row r="230">
          <cell r="D230">
            <v>43594</v>
          </cell>
          <cell r="M230">
            <v>17000000</v>
          </cell>
        </row>
        <row r="231">
          <cell r="D231">
            <v>43594</v>
          </cell>
          <cell r="M231">
            <v>0</v>
          </cell>
        </row>
        <row r="232">
          <cell r="D232">
            <v>43594</v>
          </cell>
          <cell r="M232">
            <v>50000</v>
          </cell>
        </row>
        <row r="233">
          <cell r="D233">
            <v>43595</v>
          </cell>
          <cell r="M233">
            <v>0</v>
          </cell>
        </row>
        <row r="234">
          <cell r="D234">
            <v>43595</v>
          </cell>
          <cell r="M234">
            <v>500000</v>
          </cell>
        </row>
        <row r="235">
          <cell r="D235">
            <v>43595</v>
          </cell>
          <cell r="M235">
            <v>0</v>
          </cell>
        </row>
        <row r="236">
          <cell r="D236">
            <v>43595</v>
          </cell>
          <cell r="M236">
            <v>0</v>
          </cell>
        </row>
        <row r="237">
          <cell r="D237">
            <v>43595</v>
          </cell>
          <cell r="M237">
            <v>215000</v>
          </cell>
        </row>
        <row r="238">
          <cell r="D238">
            <v>43595</v>
          </cell>
          <cell r="M238">
            <v>600000</v>
          </cell>
        </row>
        <row r="239">
          <cell r="D239">
            <v>43595</v>
          </cell>
          <cell r="M239">
            <v>1200000</v>
          </cell>
        </row>
        <row r="240">
          <cell r="D240">
            <v>43595</v>
          </cell>
          <cell r="M240">
            <v>600000</v>
          </cell>
        </row>
        <row r="241">
          <cell r="D241">
            <v>43595</v>
          </cell>
          <cell r="M241">
            <v>0</v>
          </cell>
        </row>
        <row r="242">
          <cell r="D242">
            <v>43595</v>
          </cell>
          <cell r="M242">
            <v>50000</v>
          </cell>
        </row>
        <row r="243">
          <cell r="D243">
            <v>43595</v>
          </cell>
          <cell r="M243">
            <v>0</v>
          </cell>
        </row>
        <row r="244">
          <cell r="D244">
            <v>43595</v>
          </cell>
          <cell r="M244">
            <v>0</v>
          </cell>
        </row>
        <row r="245">
          <cell r="D245">
            <v>43595</v>
          </cell>
          <cell r="M245">
            <v>1300000</v>
          </cell>
        </row>
        <row r="246">
          <cell r="D246">
            <v>43595</v>
          </cell>
          <cell r="M246">
            <v>0</v>
          </cell>
        </row>
        <row r="247">
          <cell r="D247">
            <v>43595</v>
          </cell>
          <cell r="M247">
            <v>60000</v>
          </cell>
        </row>
        <row r="248">
          <cell r="D248">
            <v>43595</v>
          </cell>
          <cell r="M248">
            <v>0</v>
          </cell>
        </row>
        <row r="249">
          <cell r="D249">
            <v>43595</v>
          </cell>
          <cell r="M249">
            <v>3030000</v>
          </cell>
        </row>
        <row r="250">
          <cell r="D250">
            <v>43595</v>
          </cell>
          <cell r="M250">
            <v>200000</v>
          </cell>
        </row>
        <row r="251">
          <cell r="D251">
            <v>43595</v>
          </cell>
          <cell r="M251">
            <v>200000</v>
          </cell>
        </row>
        <row r="252">
          <cell r="D252">
            <v>43595</v>
          </cell>
          <cell r="M252">
            <v>300000</v>
          </cell>
        </row>
        <row r="253">
          <cell r="D253">
            <v>43595</v>
          </cell>
          <cell r="M253">
            <v>4800000</v>
          </cell>
        </row>
        <row r="254">
          <cell r="D254">
            <v>43595</v>
          </cell>
          <cell r="M254">
            <v>1350000</v>
          </cell>
        </row>
        <row r="255">
          <cell r="D255">
            <v>43595</v>
          </cell>
          <cell r="M255">
            <v>400000</v>
          </cell>
        </row>
        <row r="256">
          <cell r="D256">
            <v>43595</v>
          </cell>
          <cell r="M256">
            <v>0</v>
          </cell>
        </row>
        <row r="257">
          <cell r="D257">
            <v>43595</v>
          </cell>
          <cell r="M257">
            <v>100000</v>
          </cell>
        </row>
        <row r="258">
          <cell r="D258">
            <v>43595</v>
          </cell>
          <cell r="M258">
            <v>0</v>
          </cell>
        </row>
        <row r="259">
          <cell r="D259">
            <v>43595</v>
          </cell>
          <cell r="M259">
            <v>0</v>
          </cell>
        </row>
        <row r="260">
          <cell r="D260">
            <v>43598</v>
          </cell>
          <cell r="M260">
            <v>2148000</v>
          </cell>
        </row>
        <row r="261">
          <cell r="D261">
            <v>43598</v>
          </cell>
          <cell r="M261">
            <v>50000</v>
          </cell>
        </row>
        <row r="262">
          <cell r="D262">
            <v>43598</v>
          </cell>
          <cell r="M262">
            <v>0</v>
          </cell>
        </row>
        <row r="263">
          <cell r="D263">
            <v>43598</v>
          </cell>
          <cell r="M263">
            <v>600000</v>
          </cell>
        </row>
        <row r="264">
          <cell r="D264">
            <v>43598</v>
          </cell>
          <cell r="M264">
            <v>4900000</v>
          </cell>
        </row>
        <row r="265">
          <cell r="D265">
            <v>43598</v>
          </cell>
          <cell r="M265">
            <v>1300000</v>
          </cell>
        </row>
        <row r="266">
          <cell r="D266">
            <v>43598</v>
          </cell>
          <cell r="M266">
            <v>130000</v>
          </cell>
        </row>
        <row r="267">
          <cell r="D267">
            <v>43598</v>
          </cell>
          <cell r="M267">
            <v>0</v>
          </cell>
        </row>
        <row r="268">
          <cell r="D268">
            <v>43598</v>
          </cell>
          <cell r="M268">
            <v>1200000</v>
          </cell>
        </row>
        <row r="269">
          <cell r="D269">
            <v>43598</v>
          </cell>
          <cell r="M269">
            <v>124000</v>
          </cell>
        </row>
        <row r="270">
          <cell r="D270">
            <v>43598</v>
          </cell>
          <cell r="M270">
            <v>2000000</v>
          </cell>
        </row>
        <row r="271">
          <cell r="D271">
            <v>43598</v>
          </cell>
          <cell r="M271">
            <v>1500000</v>
          </cell>
        </row>
        <row r="272">
          <cell r="D272">
            <v>43598</v>
          </cell>
          <cell r="M272">
            <v>0</v>
          </cell>
        </row>
        <row r="273">
          <cell r="D273">
            <v>43598</v>
          </cell>
          <cell r="M273">
            <v>74000</v>
          </cell>
        </row>
        <row r="274">
          <cell r="D274">
            <v>43598</v>
          </cell>
          <cell r="M274">
            <v>0</v>
          </cell>
        </row>
        <row r="275">
          <cell r="D275">
            <v>43598</v>
          </cell>
          <cell r="M275">
            <v>200000</v>
          </cell>
        </row>
        <row r="276">
          <cell r="D276">
            <v>43598</v>
          </cell>
          <cell r="M276">
            <v>600000</v>
          </cell>
        </row>
        <row r="277">
          <cell r="D277">
            <v>43598</v>
          </cell>
          <cell r="M277">
            <v>0</v>
          </cell>
        </row>
        <row r="278">
          <cell r="D278">
            <v>43598</v>
          </cell>
          <cell r="M278">
            <v>1800000</v>
          </cell>
        </row>
        <row r="279">
          <cell r="D279">
            <v>43598</v>
          </cell>
          <cell r="M279">
            <v>200000</v>
          </cell>
        </row>
        <row r="280">
          <cell r="D280">
            <v>43598</v>
          </cell>
          <cell r="M280">
            <v>800000</v>
          </cell>
        </row>
        <row r="281">
          <cell r="D281">
            <v>43598</v>
          </cell>
          <cell r="M281">
            <v>694000</v>
          </cell>
        </row>
        <row r="282">
          <cell r="D282">
            <v>43598</v>
          </cell>
          <cell r="M282">
            <v>1300000</v>
          </cell>
        </row>
        <row r="283">
          <cell r="D283">
            <v>43598</v>
          </cell>
          <cell r="M283">
            <v>50000</v>
          </cell>
        </row>
        <row r="284">
          <cell r="D284">
            <v>43598</v>
          </cell>
          <cell r="M284">
            <v>1440000</v>
          </cell>
        </row>
        <row r="285">
          <cell r="D285">
            <v>43598</v>
          </cell>
          <cell r="M285">
            <v>350000</v>
          </cell>
        </row>
        <row r="286">
          <cell r="D286">
            <v>43598</v>
          </cell>
          <cell r="M286">
            <v>350000</v>
          </cell>
        </row>
        <row r="287">
          <cell r="D287">
            <v>43598</v>
          </cell>
          <cell r="M287">
            <v>0</v>
          </cell>
        </row>
        <row r="288">
          <cell r="D288">
            <v>43598</v>
          </cell>
          <cell r="M288">
            <v>0</v>
          </cell>
        </row>
        <row r="289">
          <cell r="D289">
            <v>43598</v>
          </cell>
          <cell r="M289">
            <v>0</v>
          </cell>
        </row>
        <row r="290">
          <cell r="D290">
            <v>43598</v>
          </cell>
          <cell r="M290">
            <v>200000</v>
          </cell>
        </row>
        <row r="291">
          <cell r="D291">
            <v>43598</v>
          </cell>
          <cell r="M291">
            <v>185000</v>
          </cell>
        </row>
        <row r="292">
          <cell r="D292">
            <v>43599</v>
          </cell>
          <cell r="M292">
            <v>1400000</v>
          </cell>
        </row>
        <row r="293">
          <cell r="D293">
            <v>43599</v>
          </cell>
          <cell r="M293">
            <v>1400000</v>
          </cell>
        </row>
        <row r="294">
          <cell r="D294">
            <v>43599</v>
          </cell>
          <cell r="M294">
            <v>1000000</v>
          </cell>
        </row>
        <row r="295">
          <cell r="D295">
            <v>43599</v>
          </cell>
          <cell r="M295">
            <v>0</v>
          </cell>
        </row>
        <row r="296">
          <cell r="D296">
            <v>43599</v>
          </cell>
          <cell r="M296">
            <v>1850000</v>
          </cell>
        </row>
        <row r="297">
          <cell r="D297">
            <v>43599</v>
          </cell>
          <cell r="M297">
            <v>0</v>
          </cell>
        </row>
        <row r="298">
          <cell r="D298">
            <v>43599</v>
          </cell>
          <cell r="M298">
            <v>0</v>
          </cell>
        </row>
        <row r="299">
          <cell r="D299">
            <v>43599</v>
          </cell>
          <cell r="M299">
            <v>2690000</v>
          </cell>
        </row>
        <row r="300">
          <cell r="D300">
            <v>43599</v>
          </cell>
          <cell r="M300">
            <v>-100000</v>
          </cell>
        </row>
        <row r="301">
          <cell r="D301">
            <v>43599</v>
          </cell>
          <cell r="M301">
            <v>60000</v>
          </cell>
        </row>
        <row r="302">
          <cell r="D302">
            <v>43599</v>
          </cell>
          <cell r="M302">
            <v>150000</v>
          </cell>
        </row>
        <row r="303">
          <cell r="D303">
            <v>43599</v>
          </cell>
          <cell r="M303">
            <v>3000</v>
          </cell>
        </row>
        <row r="304">
          <cell r="D304">
            <v>43599</v>
          </cell>
          <cell r="M304">
            <v>900000</v>
          </cell>
        </row>
        <row r="305">
          <cell r="D305">
            <v>43599</v>
          </cell>
          <cell r="M305">
            <v>160000</v>
          </cell>
        </row>
        <row r="306">
          <cell r="D306">
            <v>43599</v>
          </cell>
          <cell r="M306">
            <v>0</v>
          </cell>
        </row>
        <row r="307">
          <cell r="D307">
            <v>43599</v>
          </cell>
          <cell r="M307">
            <v>0</v>
          </cell>
        </row>
        <row r="308">
          <cell r="D308">
            <v>43599</v>
          </cell>
          <cell r="M308">
            <v>2100000</v>
          </cell>
        </row>
        <row r="309">
          <cell r="D309">
            <v>43599</v>
          </cell>
          <cell r="M309">
            <v>0</v>
          </cell>
        </row>
        <row r="310">
          <cell r="D310">
            <v>43599</v>
          </cell>
          <cell r="M310">
            <v>120000</v>
          </cell>
        </row>
        <row r="311">
          <cell r="D311">
            <v>43599</v>
          </cell>
          <cell r="M311">
            <v>1880000</v>
          </cell>
        </row>
        <row r="312">
          <cell r="D312">
            <v>43599</v>
          </cell>
          <cell r="M312">
            <v>950000</v>
          </cell>
        </row>
        <row r="313">
          <cell r="D313">
            <v>43599</v>
          </cell>
          <cell r="M313">
            <v>0</v>
          </cell>
        </row>
        <row r="314">
          <cell r="D314">
            <v>43599</v>
          </cell>
          <cell r="M314">
            <v>757000</v>
          </cell>
        </row>
        <row r="315">
          <cell r="D315">
            <v>43599</v>
          </cell>
          <cell r="M315">
            <v>0</v>
          </cell>
        </row>
        <row r="316">
          <cell r="D316">
            <v>43599</v>
          </cell>
          <cell r="M316">
            <v>0</v>
          </cell>
        </row>
        <row r="317">
          <cell r="D317">
            <v>43599</v>
          </cell>
          <cell r="M317">
            <v>100000</v>
          </cell>
        </row>
        <row r="318">
          <cell r="D318">
            <v>43599</v>
          </cell>
          <cell r="M318">
            <v>0</v>
          </cell>
        </row>
        <row r="319">
          <cell r="D319">
            <v>43599</v>
          </cell>
          <cell r="M319">
            <v>1977000</v>
          </cell>
        </row>
        <row r="320">
          <cell r="D320">
            <v>43599</v>
          </cell>
          <cell r="M320">
            <v>150000</v>
          </cell>
        </row>
        <row r="321">
          <cell r="D321">
            <v>43599</v>
          </cell>
          <cell r="M321">
            <v>0</v>
          </cell>
        </row>
        <row r="322">
          <cell r="D322">
            <v>43599</v>
          </cell>
          <cell r="M322">
            <v>90000</v>
          </cell>
        </row>
        <row r="323">
          <cell r="D323">
            <v>43600</v>
          </cell>
          <cell r="M323">
            <v>0</v>
          </cell>
        </row>
        <row r="324">
          <cell r="D324">
            <v>43600</v>
          </cell>
          <cell r="M324">
            <v>60000</v>
          </cell>
        </row>
        <row r="325">
          <cell r="D325">
            <v>43600</v>
          </cell>
          <cell r="M325">
            <v>450000</v>
          </cell>
        </row>
        <row r="326">
          <cell r="D326">
            <v>43600</v>
          </cell>
          <cell r="M326">
            <v>-94690</v>
          </cell>
        </row>
        <row r="327">
          <cell r="D327">
            <v>43600</v>
          </cell>
          <cell r="M327">
            <v>104850</v>
          </cell>
        </row>
        <row r="328">
          <cell r="D328">
            <v>43600</v>
          </cell>
          <cell r="M328">
            <v>1000000</v>
          </cell>
        </row>
        <row r="329">
          <cell r="D329">
            <v>43600</v>
          </cell>
          <cell r="M329">
            <v>0</v>
          </cell>
        </row>
        <row r="330">
          <cell r="D330">
            <v>43600</v>
          </cell>
          <cell r="M330">
            <v>680000</v>
          </cell>
        </row>
        <row r="331">
          <cell r="D331">
            <v>43600</v>
          </cell>
          <cell r="M331">
            <v>850000</v>
          </cell>
        </row>
        <row r="332">
          <cell r="D332">
            <v>43600</v>
          </cell>
          <cell r="M332">
            <v>790000</v>
          </cell>
        </row>
        <row r="333">
          <cell r="D333">
            <v>43600</v>
          </cell>
          <cell r="M333">
            <v>800000</v>
          </cell>
        </row>
        <row r="334">
          <cell r="D334">
            <v>43600</v>
          </cell>
          <cell r="M334">
            <v>90000</v>
          </cell>
        </row>
        <row r="335">
          <cell r="D335">
            <v>43600</v>
          </cell>
          <cell r="M335">
            <v>900000</v>
          </cell>
        </row>
        <row r="336">
          <cell r="D336">
            <v>43600</v>
          </cell>
          <cell r="M336">
            <v>274000</v>
          </cell>
        </row>
        <row r="337">
          <cell r="D337">
            <v>43600</v>
          </cell>
          <cell r="M337">
            <v>500000</v>
          </cell>
        </row>
        <row r="338">
          <cell r="D338">
            <v>43600</v>
          </cell>
          <cell r="M338">
            <v>0</v>
          </cell>
        </row>
        <row r="339">
          <cell r="D339">
            <v>43600</v>
          </cell>
          <cell r="M339">
            <v>20000</v>
          </cell>
        </row>
        <row r="340">
          <cell r="D340">
            <v>43600</v>
          </cell>
          <cell r="M340">
            <v>290000</v>
          </cell>
        </row>
        <row r="341">
          <cell r="D341">
            <v>43600</v>
          </cell>
          <cell r="M341">
            <v>1400000</v>
          </cell>
        </row>
        <row r="342">
          <cell r="D342">
            <v>43600</v>
          </cell>
          <cell r="M342">
            <v>206000</v>
          </cell>
        </row>
        <row r="343">
          <cell r="D343">
            <v>43600</v>
          </cell>
          <cell r="M343">
            <v>100000</v>
          </cell>
        </row>
        <row r="344">
          <cell r="D344">
            <v>43600</v>
          </cell>
          <cell r="M344">
            <v>193000</v>
          </cell>
        </row>
        <row r="345">
          <cell r="D345">
            <v>43600</v>
          </cell>
          <cell r="M345">
            <v>610000</v>
          </cell>
        </row>
        <row r="346">
          <cell r="D346">
            <v>43600</v>
          </cell>
          <cell r="M346">
            <v>910000</v>
          </cell>
        </row>
        <row r="347">
          <cell r="D347">
            <v>43600</v>
          </cell>
          <cell r="M347">
            <v>400000</v>
          </cell>
        </row>
        <row r="348">
          <cell r="D348">
            <v>43600</v>
          </cell>
          <cell r="M348">
            <v>200000</v>
          </cell>
        </row>
        <row r="349">
          <cell r="D349">
            <v>43600</v>
          </cell>
          <cell r="M349">
            <v>100000</v>
          </cell>
        </row>
        <row r="350">
          <cell r="D350">
            <v>43600</v>
          </cell>
          <cell r="M350">
            <v>1200000</v>
          </cell>
        </row>
        <row r="351">
          <cell r="D351">
            <v>43600</v>
          </cell>
          <cell r="M351">
            <v>4750000</v>
          </cell>
        </row>
        <row r="352">
          <cell r="D352">
            <v>43600</v>
          </cell>
          <cell r="M352">
            <v>50000</v>
          </cell>
        </row>
        <row r="353">
          <cell r="D353">
            <v>43600</v>
          </cell>
          <cell r="M353">
            <v>0</v>
          </cell>
        </row>
        <row r="354">
          <cell r="D354">
            <v>43600</v>
          </cell>
          <cell r="M354">
            <v>0</v>
          </cell>
        </row>
        <row r="355">
          <cell r="D355">
            <v>43600</v>
          </cell>
          <cell r="M355">
            <v>1470000</v>
          </cell>
        </row>
        <row r="356">
          <cell r="D356">
            <v>43600</v>
          </cell>
          <cell r="M356">
            <v>90000</v>
          </cell>
        </row>
        <row r="357">
          <cell r="D357">
            <v>43600</v>
          </cell>
          <cell r="M357">
            <v>0</v>
          </cell>
        </row>
        <row r="358">
          <cell r="D358">
            <v>43600</v>
          </cell>
          <cell r="M358">
            <v>0</v>
          </cell>
        </row>
        <row r="359">
          <cell r="D359">
            <v>43600</v>
          </cell>
          <cell r="M359">
            <v>0</v>
          </cell>
        </row>
        <row r="360">
          <cell r="D360">
            <v>43600</v>
          </cell>
          <cell r="M360">
            <v>150000</v>
          </cell>
        </row>
        <row r="361">
          <cell r="D361">
            <v>43600</v>
          </cell>
          <cell r="M361">
            <v>1320000</v>
          </cell>
        </row>
        <row r="362">
          <cell r="D362">
            <v>43601</v>
          </cell>
          <cell r="M362">
            <v>50000</v>
          </cell>
        </row>
        <row r="363">
          <cell r="D363">
            <v>43601</v>
          </cell>
          <cell r="M363">
            <v>2996000</v>
          </cell>
        </row>
        <row r="364">
          <cell r="D364">
            <v>43601</v>
          </cell>
          <cell r="M364">
            <v>0</v>
          </cell>
        </row>
        <row r="365">
          <cell r="D365">
            <v>43601</v>
          </cell>
          <cell r="M365">
            <v>0</v>
          </cell>
        </row>
        <row r="366">
          <cell r="D366">
            <v>43601</v>
          </cell>
          <cell r="M366">
            <v>30000</v>
          </cell>
        </row>
        <row r="367">
          <cell r="D367">
            <v>43601</v>
          </cell>
          <cell r="M367">
            <v>1400000</v>
          </cell>
        </row>
        <row r="368">
          <cell r="D368">
            <v>43601</v>
          </cell>
          <cell r="M368">
            <v>-500000</v>
          </cell>
        </row>
        <row r="369">
          <cell r="D369">
            <v>43601</v>
          </cell>
          <cell r="M369">
            <v>1000</v>
          </cell>
        </row>
        <row r="370">
          <cell r="D370">
            <v>43601</v>
          </cell>
          <cell r="M370">
            <v>600000</v>
          </cell>
        </row>
        <row r="371">
          <cell r="D371">
            <v>43601</v>
          </cell>
          <cell r="M371">
            <v>0</v>
          </cell>
        </row>
        <row r="372">
          <cell r="D372">
            <v>43601</v>
          </cell>
          <cell r="M372">
            <v>150000</v>
          </cell>
        </row>
        <row r="373">
          <cell r="D373">
            <v>43601</v>
          </cell>
          <cell r="M373">
            <v>0</v>
          </cell>
        </row>
        <row r="374">
          <cell r="D374">
            <v>43601</v>
          </cell>
          <cell r="M374">
            <v>350000</v>
          </cell>
        </row>
        <row r="375">
          <cell r="D375">
            <v>43601</v>
          </cell>
          <cell r="M375">
            <v>600000</v>
          </cell>
        </row>
        <row r="376">
          <cell r="D376">
            <v>43601</v>
          </cell>
          <cell r="M376">
            <v>200000</v>
          </cell>
        </row>
        <row r="377">
          <cell r="D377">
            <v>43601</v>
          </cell>
          <cell r="M377">
            <v>60000</v>
          </cell>
        </row>
        <row r="378">
          <cell r="D378">
            <v>43601</v>
          </cell>
          <cell r="M378">
            <v>100000</v>
          </cell>
        </row>
        <row r="379">
          <cell r="D379">
            <v>43601</v>
          </cell>
          <cell r="M379">
            <v>530000</v>
          </cell>
        </row>
        <row r="380">
          <cell r="D380">
            <v>43601</v>
          </cell>
          <cell r="M380">
            <v>2400000</v>
          </cell>
        </row>
        <row r="381">
          <cell r="D381">
            <v>43601</v>
          </cell>
          <cell r="M381">
            <v>0</v>
          </cell>
        </row>
        <row r="382">
          <cell r="D382">
            <v>43601</v>
          </cell>
          <cell r="M382">
            <v>1189000</v>
          </cell>
        </row>
        <row r="383">
          <cell r="D383">
            <v>43601</v>
          </cell>
          <cell r="M383">
            <v>215000</v>
          </cell>
        </row>
        <row r="384">
          <cell r="D384">
            <v>43601</v>
          </cell>
          <cell r="M384">
            <v>-1574000</v>
          </cell>
        </row>
        <row r="385">
          <cell r="D385">
            <v>43601</v>
          </cell>
          <cell r="M385">
            <v>500000</v>
          </cell>
        </row>
        <row r="386">
          <cell r="D386">
            <v>43601</v>
          </cell>
          <cell r="M386">
            <v>800000</v>
          </cell>
        </row>
        <row r="387">
          <cell r="D387">
            <v>43601</v>
          </cell>
          <cell r="M387">
            <v>450000</v>
          </cell>
        </row>
        <row r="388">
          <cell r="D388">
            <v>43601</v>
          </cell>
          <cell r="M388">
            <v>0</v>
          </cell>
        </row>
        <row r="389">
          <cell r="D389">
            <v>43601</v>
          </cell>
          <cell r="M389">
            <v>0</v>
          </cell>
        </row>
        <row r="390">
          <cell r="D390">
            <v>43601</v>
          </cell>
          <cell r="M390">
            <v>1280000</v>
          </cell>
        </row>
        <row r="391">
          <cell r="D391">
            <v>43601</v>
          </cell>
          <cell r="M391">
            <v>0</v>
          </cell>
        </row>
        <row r="392">
          <cell r="D392">
            <v>43601</v>
          </cell>
          <cell r="M392">
            <v>0</v>
          </cell>
        </row>
        <row r="393">
          <cell r="D393">
            <v>43601</v>
          </cell>
          <cell r="M393">
            <v>50000</v>
          </cell>
        </row>
        <row r="394">
          <cell r="D394">
            <v>43601</v>
          </cell>
          <cell r="M394">
            <v>100000</v>
          </cell>
        </row>
        <row r="395">
          <cell r="D395">
            <v>43601</v>
          </cell>
          <cell r="M395">
            <v>700000</v>
          </cell>
        </row>
        <row r="396">
          <cell r="D396">
            <v>43601</v>
          </cell>
          <cell r="M396">
            <v>0</v>
          </cell>
        </row>
        <row r="397">
          <cell r="D397">
            <v>43601</v>
          </cell>
          <cell r="M397">
            <v>5500</v>
          </cell>
        </row>
        <row r="398">
          <cell r="D398">
            <v>43601</v>
          </cell>
          <cell r="M398">
            <v>1500000</v>
          </cell>
        </row>
        <row r="399">
          <cell r="D399">
            <v>43602</v>
          </cell>
          <cell r="M399">
            <v>10000</v>
          </cell>
        </row>
        <row r="400">
          <cell r="D400">
            <v>43602</v>
          </cell>
          <cell r="M400">
            <v>1800000</v>
          </cell>
        </row>
        <row r="401">
          <cell r="D401">
            <v>43602</v>
          </cell>
          <cell r="M401">
            <v>1100000</v>
          </cell>
        </row>
        <row r="402">
          <cell r="D402">
            <v>43602</v>
          </cell>
          <cell r="M402">
            <v>0</v>
          </cell>
        </row>
        <row r="403">
          <cell r="D403">
            <v>43602</v>
          </cell>
          <cell r="M403">
            <v>100000</v>
          </cell>
        </row>
        <row r="404">
          <cell r="D404">
            <v>43602</v>
          </cell>
          <cell r="M404">
            <v>2000000</v>
          </cell>
        </row>
        <row r="405">
          <cell r="D405">
            <v>43602</v>
          </cell>
          <cell r="M405">
            <v>200000</v>
          </cell>
        </row>
        <row r="406">
          <cell r="D406">
            <v>43602</v>
          </cell>
          <cell r="M406">
            <v>125000</v>
          </cell>
        </row>
        <row r="407">
          <cell r="D407">
            <v>43602</v>
          </cell>
          <cell r="M407">
            <v>0</v>
          </cell>
        </row>
        <row r="408">
          <cell r="D408">
            <v>43602</v>
          </cell>
          <cell r="M408">
            <v>0</v>
          </cell>
        </row>
        <row r="409">
          <cell r="D409">
            <v>43602</v>
          </cell>
          <cell r="M409">
            <v>200000</v>
          </cell>
        </row>
        <row r="410">
          <cell r="D410">
            <v>43602</v>
          </cell>
          <cell r="M410">
            <v>200000</v>
          </cell>
        </row>
        <row r="411">
          <cell r="D411">
            <v>43602</v>
          </cell>
          <cell r="M411">
            <v>60000</v>
          </cell>
        </row>
        <row r="412">
          <cell r="D412">
            <v>43602</v>
          </cell>
          <cell r="M412">
            <v>400000</v>
          </cell>
        </row>
        <row r="413">
          <cell r="D413">
            <v>43602</v>
          </cell>
          <cell r="M413">
            <v>-4094</v>
          </cell>
        </row>
        <row r="414">
          <cell r="D414">
            <v>43602</v>
          </cell>
          <cell r="M414">
            <v>1400000</v>
          </cell>
        </row>
        <row r="415">
          <cell r="D415">
            <v>43602</v>
          </cell>
          <cell r="M415">
            <v>530000</v>
          </cell>
        </row>
        <row r="416">
          <cell r="D416">
            <v>43602</v>
          </cell>
          <cell r="M416">
            <v>100000</v>
          </cell>
        </row>
        <row r="417">
          <cell r="D417">
            <v>43602</v>
          </cell>
          <cell r="M417">
            <v>4000000</v>
          </cell>
        </row>
        <row r="418">
          <cell r="D418">
            <v>43602</v>
          </cell>
          <cell r="M418">
            <v>0</v>
          </cell>
        </row>
        <row r="419">
          <cell r="D419">
            <v>43602</v>
          </cell>
          <cell r="M419">
            <v>400000</v>
          </cell>
        </row>
        <row r="420">
          <cell r="D420">
            <v>43602</v>
          </cell>
          <cell r="M420">
            <v>50000</v>
          </cell>
        </row>
        <row r="421">
          <cell r="D421">
            <v>43602</v>
          </cell>
          <cell r="M421">
            <v>0</v>
          </cell>
        </row>
        <row r="422">
          <cell r="D422">
            <v>43602</v>
          </cell>
          <cell r="M422">
            <v>150000</v>
          </cell>
        </row>
        <row r="423">
          <cell r="D423">
            <v>43602</v>
          </cell>
          <cell r="M423">
            <v>100000</v>
          </cell>
        </row>
        <row r="424">
          <cell r="D424">
            <v>43602</v>
          </cell>
          <cell r="M424">
            <v>0</v>
          </cell>
        </row>
        <row r="425">
          <cell r="D425">
            <v>43602</v>
          </cell>
          <cell r="M425">
            <v>50000</v>
          </cell>
        </row>
        <row r="426">
          <cell r="D426">
            <v>43602</v>
          </cell>
          <cell r="M426">
            <v>100000</v>
          </cell>
        </row>
        <row r="427">
          <cell r="D427">
            <v>43602</v>
          </cell>
          <cell r="M427">
            <v>2000000</v>
          </cell>
        </row>
        <row r="428">
          <cell r="D428">
            <v>43602</v>
          </cell>
          <cell r="M428">
            <v>2000000</v>
          </cell>
        </row>
        <row r="429">
          <cell r="D429">
            <v>43602</v>
          </cell>
          <cell r="M429">
            <v>2000000</v>
          </cell>
        </row>
        <row r="430">
          <cell r="D430">
            <v>43602</v>
          </cell>
          <cell r="M430">
            <v>-744000</v>
          </cell>
        </row>
        <row r="431">
          <cell r="D431">
            <v>43602</v>
          </cell>
          <cell r="M431">
            <v>1064000</v>
          </cell>
        </row>
        <row r="432">
          <cell r="D432">
            <v>43602</v>
          </cell>
          <cell r="M432">
            <v>1593000</v>
          </cell>
        </row>
        <row r="433">
          <cell r="D433">
            <v>43602</v>
          </cell>
          <cell r="M433">
            <v>0</v>
          </cell>
        </row>
        <row r="434">
          <cell r="D434">
            <v>43602</v>
          </cell>
          <cell r="M434">
            <v>0</v>
          </cell>
        </row>
        <row r="435">
          <cell r="D435">
            <v>43603</v>
          </cell>
          <cell r="M435">
            <v>2200000</v>
          </cell>
        </row>
        <row r="436">
          <cell r="D436">
            <v>43603</v>
          </cell>
          <cell r="M436">
            <v>200000</v>
          </cell>
        </row>
        <row r="437">
          <cell r="D437">
            <v>43603</v>
          </cell>
          <cell r="M437">
            <v>1050000</v>
          </cell>
        </row>
        <row r="438">
          <cell r="D438">
            <v>43603</v>
          </cell>
          <cell r="M438">
            <v>130000</v>
          </cell>
        </row>
        <row r="439">
          <cell r="D439">
            <v>43603</v>
          </cell>
          <cell r="M439">
            <v>300000</v>
          </cell>
        </row>
        <row r="440">
          <cell r="D440">
            <v>43603</v>
          </cell>
          <cell r="M440">
            <v>300000</v>
          </cell>
        </row>
        <row r="441">
          <cell r="D441">
            <v>43603</v>
          </cell>
          <cell r="M441">
            <v>1200000</v>
          </cell>
        </row>
        <row r="442">
          <cell r="D442">
            <v>43603</v>
          </cell>
          <cell r="M442">
            <v>1000000</v>
          </cell>
        </row>
        <row r="443">
          <cell r="D443">
            <v>43603</v>
          </cell>
          <cell r="M443">
            <v>1400000</v>
          </cell>
        </row>
        <row r="444">
          <cell r="D444">
            <v>43603</v>
          </cell>
          <cell r="M444">
            <v>30000</v>
          </cell>
        </row>
        <row r="445">
          <cell r="D445">
            <v>43603</v>
          </cell>
          <cell r="M445">
            <v>558000</v>
          </cell>
        </row>
        <row r="446">
          <cell r="D446">
            <v>43603</v>
          </cell>
          <cell r="M446">
            <v>2000000</v>
          </cell>
        </row>
        <row r="447">
          <cell r="D447">
            <v>43603</v>
          </cell>
          <cell r="M447">
            <v>850000</v>
          </cell>
        </row>
        <row r="448">
          <cell r="D448">
            <v>43603</v>
          </cell>
          <cell r="M448">
            <v>680000</v>
          </cell>
        </row>
        <row r="449">
          <cell r="D449">
            <v>43603</v>
          </cell>
          <cell r="M449">
            <v>0</v>
          </cell>
        </row>
        <row r="450">
          <cell r="D450">
            <v>43603</v>
          </cell>
          <cell r="M450">
            <v>580000</v>
          </cell>
        </row>
        <row r="451">
          <cell r="D451">
            <v>43603</v>
          </cell>
          <cell r="M451">
            <v>2030000</v>
          </cell>
        </row>
        <row r="452">
          <cell r="D452">
            <v>43603</v>
          </cell>
          <cell r="M452">
            <v>300000</v>
          </cell>
        </row>
        <row r="453">
          <cell r="D453">
            <v>43603</v>
          </cell>
          <cell r="M453">
            <v>200000</v>
          </cell>
        </row>
        <row r="454">
          <cell r="D454">
            <v>43603</v>
          </cell>
          <cell r="M454">
            <v>600000</v>
          </cell>
        </row>
        <row r="455">
          <cell r="D455">
            <v>43603</v>
          </cell>
          <cell r="M455">
            <v>9200000</v>
          </cell>
        </row>
        <row r="456">
          <cell r="D456">
            <v>43603</v>
          </cell>
          <cell r="M456">
            <v>50000</v>
          </cell>
        </row>
        <row r="457">
          <cell r="D457">
            <v>43603</v>
          </cell>
          <cell r="M457">
            <v>2285000</v>
          </cell>
        </row>
        <row r="458">
          <cell r="D458">
            <v>43603</v>
          </cell>
          <cell r="M458">
            <v>0</v>
          </cell>
        </row>
        <row r="459">
          <cell r="D459">
            <v>43603</v>
          </cell>
          <cell r="M459">
            <v>1150000</v>
          </cell>
        </row>
        <row r="460">
          <cell r="D460">
            <v>43603</v>
          </cell>
          <cell r="M460">
            <v>0</v>
          </cell>
        </row>
        <row r="461">
          <cell r="D461">
            <v>43603</v>
          </cell>
          <cell r="M461">
            <v>50000</v>
          </cell>
        </row>
        <row r="462">
          <cell r="D462">
            <v>43605</v>
          </cell>
          <cell r="M462">
            <v>700000</v>
          </cell>
        </row>
        <row r="463">
          <cell r="D463">
            <v>43605</v>
          </cell>
          <cell r="M463">
            <v>300000</v>
          </cell>
        </row>
        <row r="464">
          <cell r="D464">
            <v>43605</v>
          </cell>
          <cell r="M464">
            <v>100000</v>
          </cell>
        </row>
        <row r="465">
          <cell r="D465">
            <v>43605</v>
          </cell>
          <cell r="M465">
            <v>1000000</v>
          </cell>
        </row>
        <row r="466">
          <cell r="D466">
            <v>43605</v>
          </cell>
          <cell r="M466">
            <v>-100000</v>
          </cell>
        </row>
        <row r="467">
          <cell r="D467">
            <v>43605</v>
          </cell>
          <cell r="M467">
            <v>1500000</v>
          </cell>
        </row>
        <row r="468">
          <cell r="D468">
            <v>43605</v>
          </cell>
          <cell r="M468">
            <v>1290000</v>
          </cell>
        </row>
        <row r="469">
          <cell r="D469">
            <v>43605</v>
          </cell>
          <cell r="M469">
            <v>280000</v>
          </cell>
        </row>
        <row r="470">
          <cell r="D470">
            <v>43605</v>
          </cell>
          <cell r="M470">
            <v>150000</v>
          </cell>
        </row>
        <row r="471">
          <cell r="D471">
            <v>43605</v>
          </cell>
          <cell r="M471">
            <v>100000</v>
          </cell>
        </row>
        <row r="472">
          <cell r="D472">
            <v>43605</v>
          </cell>
          <cell r="M472">
            <v>1550000</v>
          </cell>
        </row>
        <row r="473">
          <cell r="D473">
            <v>43605</v>
          </cell>
          <cell r="M473">
            <v>200000</v>
          </cell>
        </row>
        <row r="474">
          <cell r="D474">
            <v>43605</v>
          </cell>
          <cell r="M474">
            <v>700000</v>
          </cell>
        </row>
        <row r="475">
          <cell r="D475">
            <v>43605</v>
          </cell>
          <cell r="M475">
            <v>0</v>
          </cell>
        </row>
        <row r="476">
          <cell r="D476">
            <v>43605</v>
          </cell>
          <cell r="M476">
            <v>0</v>
          </cell>
        </row>
        <row r="477">
          <cell r="D477">
            <v>43605</v>
          </cell>
          <cell r="M477">
            <v>46000</v>
          </cell>
        </row>
        <row r="478">
          <cell r="D478">
            <v>43605</v>
          </cell>
          <cell r="M478">
            <v>600000</v>
          </cell>
        </row>
        <row r="479">
          <cell r="D479">
            <v>43605</v>
          </cell>
          <cell r="M479">
            <v>1409000</v>
          </cell>
        </row>
        <row r="480">
          <cell r="D480">
            <v>43605</v>
          </cell>
          <cell r="M480">
            <v>1600000</v>
          </cell>
        </row>
        <row r="481">
          <cell r="D481">
            <v>43605</v>
          </cell>
          <cell r="M481">
            <v>50000</v>
          </cell>
        </row>
        <row r="482">
          <cell r="D482">
            <v>43605</v>
          </cell>
          <cell r="M482">
            <v>400000</v>
          </cell>
        </row>
        <row r="483">
          <cell r="D483">
            <v>43605</v>
          </cell>
          <cell r="M483">
            <v>2000000</v>
          </cell>
        </row>
        <row r="484">
          <cell r="D484">
            <v>43605</v>
          </cell>
          <cell r="M484">
            <v>560000</v>
          </cell>
        </row>
        <row r="485">
          <cell r="D485">
            <v>43605</v>
          </cell>
          <cell r="M485">
            <v>10000</v>
          </cell>
        </row>
        <row r="486">
          <cell r="D486">
            <v>43605</v>
          </cell>
          <cell r="M486">
            <v>389000</v>
          </cell>
        </row>
        <row r="487">
          <cell r="D487">
            <v>43605</v>
          </cell>
          <cell r="M487">
            <v>0</v>
          </cell>
        </row>
        <row r="488">
          <cell r="D488">
            <v>43605</v>
          </cell>
          <cell r="M488">
            <v>351000</v>
          </cell>
        </row>
        <row r="489">
          <cell r="D489">
            <v>43605</v>
          </cell>
          <cell r="M489">
            <v>1420000</v>
          </cell>
        </row>
        <row r="490">
          <cell r="D490">
            <v>43605</v>
          </cell>
          <cell r="M490">
            <v>0</v>
          </cell>
        </row>
        <row r="491">
          <cell r="D491">
            <v>43605</v>
          </cell>
          <cell r="M491">
            <v>0</v>
          </cell>
        </row>
        <row r="492">
          <cell r="D492">
            <v>43605</v>
          </cell>
          <cell r="M492">
            <v>1150000</v>
          </cell>
        </row>
        <row r="493">
          <cell r="D493">
            <v>43605</v>
          </cell>
          <cell r="M493">
            <v>1250000</v>
          </cell>
        </row>
        <row r="494">
          <cell r="D494">
            <v>43605</v>
          </cell>
          <cell r="M494">
            <v>850000</v>
          </cell>
        </row>
        <row r="495">
          <cell r="D495">
            <v>43605</v>
          </cell>
          <cell r="M495">
            <v>1530000</v>
          </cell>
        </row>
        <row r="496">
          <cell r="D496">
            <v>43605</v>
          </cell>
          <cell r="M496">
            <v>466000</v>
          </cell>
        </row>
        <row r="497">
          <cell r="D497">
            <v>43605</v>
          </cell>
          <cell r="M497">
            <v>400000</v>
          </cell>
        </row>
        <row r="498">
          <cell r="D498">
            <v>43605</v>
          </cell>
          <cell r="M498">
            <v>50000</v>
          </cell>
        </row>
        <row r="499">
          <cell r="D499">
            <v>43606</v>
          </cell>
          <cell r="M499">
            <v>-1960000</v>
          </cell>
        </row>
        <row r="500">
          <cell r="D500">
            <v>43606</v>
          </cell>
          <cell r="M500">
            <v>0</v>
          </cell>
        </row>
        <row r="501">
          <cell r="D501">
            <v>43606</v>
          </cell>
          <cell r="M501">
            <v>0</v>
          </cell>
        </row>
        <row r="502">
          <cell r="D502">
            <v>43606</v>
          </cell>
          <cell r="M502">
            <v>0</v>
          </cell>
        </row>
        <row r="503">
          <cell r="D503">
            <v>43606</v>
          </cell>
          <cell r="M503">
            <v>0</v>
          </cell>
        </row>
        <row r="504">
          <cell r="D504">
            <v>43606</v>
          </cell>
          <cell r="M504">
            <v>-2195000</v>
          </cell>
        </row>
        <row r="505">
          <cell r="D505">
            <v>43606</v>
          </cell>
          <cell r="M505">
            <v>0</v>
          </cell>
        </row>
        <row r="506">
          <cell r="D506">
            <v>43606</v>
          </cell>
          <cell r="M506">
            <v>0</v>
          </cell>
        </row>
        <row r="507">
          <cell r="D507">
            <v>43606</v>
          </cell>
          <cell r="M507">
            <v>0</v>
          </cell>
        </row>
        <row r="508">
          <cell r="D508">
            <v>43606</v>
          </cell>
          <cell r="M508">
            <v>0</v>
          </cell>
        </row>
        <row r="509">
          <cell r="D509">
            <v>43606</v>
          </cell>
          <cell r="M509">
            <v>0</v>
          </cell>
        </row>
        <row r="510">
          <cell r="D510">
            <v>43606</v>
          </cell>
          <cell r="M510">
            <v>0</v>
          </cell>
        </row>
        <row r="511">
          <cell r="D511">
            <v>43606</v>
          </cell>
          <cell r="M511">
            <v>-250000</v>
          </cell>
        </row>
        <row r="512">
          <cell r="D512">
            <v>43606</v>
          </cell>
          <cell r="M512">
            <v>0</v>
          </cell>
        </row>
        <row r="513">
          <cell r="D513">
            <v>43606</v>
          </cell>
          <cell r="M513">
            <v>0</v>
          </cell>
        </row>
        <row r="514">
          <cell r="D514">
            <v>43606</v>
          </cell>
          <cell r="M514">
            <v>0</v>
          </cell>
        </row>
        <row r="515">
          <cell r="D515">
            <v>43606</v>
          </cell>
          <cell r="M515">
            <v>0</v>
          </cell>
        </row>
        <row r="516">
          <cell r="D516">
            <v>43606</v>
          </cell>
          <cell r="M516">
            <v>0</v>
          </cell>
        </row>
        <row r="517">
          <cell r="D517">
            <v>43606</v>
          </cell>
          <cell r="M517">
            <v>-461000</v>
          </cell>
        </row>
        <row r="518">
          <cell r="D518">
            <v>43606</v>
          </cell>
          <cell r="M518">
            <v>0</v>
          </cell>
        </row>
        <row r="519">
          <cell r="D519">
            <v>43606</v>
          </cell>
          <cell r="M519">
            <v>0</v>
          </cell>
        </row>
        <row r="520">
          <cell r="D520">
            <v>43606</v>
          </cell>
          <cell r="M520">
            <v>0</v>
          </cell>
        </row>
        <row r="521">
          <cell r="D521">
            <v>43606</v>
          </cell>
          <cell r="M521">
            <v>0</v>
          </cell>
        </row>
        <row r="522">
          <cell r="D522">
            <v>43606</v>
          </cell>
          <cell r="M522">
            <v>0</v>
          </cell>
        </row>
        <row r="523">
          <cell r="D523">
            <v>43606</v>
          </cell>
          <cell r="M523">
            <v>0</v>
          </cell>
        </row>
        <row r="524">
          <cell r="D524">
            <v>43606</v>
          </cell>
          <cell r="M524">
            <v>-5000000</v>
          </cell>
        </row>
        <row r="525">
          <cell r="D525">
            <v>43606</v>
          </cell>
          <cell r="M525">
            <v>0</v>
          </cell>
        </row>
        <row r="526">
          <cell r="D526">
            <v>43606</v>
          </cell>
          <cell r="M526">
            <v>0</v>
          </cell>
        </row>
        <row r="527">
          <cell r="D527">
            <v>43606</v>
          </cell>
          <cell r="M527">
            <v>0</v>
          </cell>
        </row>
        <row r="528">
          <cell r="D528">
            <v>43606</v>
          </cell>
          <cell r="M528">
            <v>-2399000</v>
          </cell>
        </row>
        <row r="529">
          <cell r="D529">
            <v>43606</v>
          </cell>
          <cell r="M529">
            <v>0</v>
          </cell>
        </row>
        <row r="530">
          <cell r="D530">
            <v>43606</v>
          </cell>
          <cell r="M530">
            <v>0</v>
          </cell>
        </row>
        <row r="531">
          <cell r="D531">
            <v>43606</v>
          </cell>
          <cell r="M531">
            <v>-1300000</v>
          </cell>
        </row>
        <row r="532">
          <cell r="D532">
            <v>43606</v>
          </cell>
          <cell r="M532">
            <v>0</v>
          </cell>
        </row>
        <row r="533">
          <cell r="D533">
            <v>43606</v>
          </cell>
          <cell r="M533">
            <v>-2510000</v>
          </cell>
        </row>
        <row r="534">
          <cell r="D534">
            <v>43606</v>
          </cell>
          <cell r="M534">
            <v>0</v>
          </cell>
        </row>
        <row r="535">
          <cell r="D535">
            <v>43606</v>
          </cell>
          <cell r="M535">
            <v>0</v>
          </cell>
        </row>
        <row r="536">
          <cell r="D536">
            <v>43606</v>
          </cell>
          <cell r="M536">
            <v>0</v>
          </cell>
        </row>
        <row r="537">
          <cell r="D537">
            <v>43606</v>
          </cell>
          <cell r="M537">
            <v>0</v>
          </cell>
        </row>
        <row r="538">
          <cell r="D538">
            <v>43606</v>
          </cell>
          <cell r="M538">
            <v>0</v>
          </cell>
        </row>
        <row r="539">
          <cell r="D539">
            <v>43607</v>
          </cell>
          <cell r="M539">
            <v>900000</v>
          </cell>
        </row>
        <row r="540">
          <cell r="D540">
            <v>43607</v>
          </cell>
          <cell r="M540">
            <v>375000</v>
          </cell>
        </row>
        <row r="541">
          <cell r="D541">
            <v>43607</v>
          </cell>
          <cell r="M541">
            <v>261000</v>
          </cell>
        </row>
        <row r="542">
          <cell r="D542">
            <v>43607</v>
          </cell>
          <cell r="M542">
            <v>1700000</v>
          </cell>
        </row>
        <row r="543">
          <cell r="D543">
            <v>43607</v>
          </cell>
          <cell r="M543">
            <v>700000</v>
          </cell>
        </row>
        <row r="544">
          <cell r="D544">
            <v>43607</v>
          </cell>
          <cell r="M544">
            <v>3000000</v>
          </cell>
        </row>
        <row r="545">
          <cell r="D545">
            <v>43607</v>
          </cell>
          <cell r="M545">
            <v>900000</v>
          </cell>
        </row>
        <row r="546">
          <cell r="D546">
            <v>43607</v>
          </cell>
          <cell r="M546">
            <v>1400000</v>
          </cell>
        </row>
        <row r="547">
          <cell r="D547">
            <v>43607</v>
          </cell>
          <cell r="M547">
            <v>130000</v>
          </cell>
        </row>
        <row r="548">
          <cell r="D548">
            <v>43607</v>
          </cell>
          <cell r="M548">
            <v>2694000</v>
          </cell>
        </row>
        <row r="549">
          <cell r="D549">
            <v>43607</v>
          </cell>
          <cell r="M549">
            <v>1000000</v>
          </cell>
        </row>
        <row r="550">
          <cell r="D550">
            <v>43607</v>
          </cell>
          <cell r="M550">
            <v>35000</v>
          </cell>
        </row>
        <row r="551">
          <cell r="D551">
            <v>43607</v>
          </cell>
          <cell r="M551">
            <v>1800000</v>
          </cell>
        </row>
        <row r="552">
          <cell r="D552">
            <v>43607</v>
          </cell>
          <cell r="M552">
            <v>400000</v>
          </cell>
        </row>
        <row r="553">
          <cell r="D553">
            <v>43607</v>
          </cell>
          <cell r="M553">
            <v>400000</v>
          </cell>
        </row>
        <row r="554">
          <cell r="D554">
            <v>43607</v>
          </cell>
          <cell r="M554">
            <v>1273000</v>
          </cell>
        </row>
        <row r="555">
          <cell r="D555">
            <v>43607</v>
          </cell>
          <cell r="M555">
            <v>1443000</v>
          </cell>
        </row>
        <row r="556">
          <cell r="D556">
            <v>43607</v>
          </cell>
          <cell r="M556">
            <v>800000</v>
          </cell>
        </row>
        <row r="557">
          <cell r="D557">
            <v>43607</v>
          </cell>
          <cell r="M557">
            <v>1400000</v>
          </cell>
        </row>
        <row r="558">
          <cell r="D558">
            <v>43607</v>
          </cell>
          <cell r="M558">
            <v>600000</v>
          </cell>
        </row>
        <row r="559">
          <cell r="D559">
            <v>43607</v>
          </cell>
          <cell r="M559">
            <v>350000</v>
          </cell>
        </row>
        <row r="560">
          <cell r="D560">
            <v>43607</v>
          </cell>
          <cell r="M560">
            <v>850000</v>
          </cell>
        </row>
        <row r="561">
          <cell r="D561">
            <v>43607</v>
          </cell>
          <cell r="M561">
            <v>1330000</v>
          </cell>
        </row>
        <row r="562">
          <cell r="D562">
            <v>43607</v>
          </cell>
          <cell r="M562">
            <v>4100000</v>
          </cell>
        </row>
        <row r="563">
          <cell r="D563">
            <v>43607</v>
          </cell>
          <cell r="M563">
            <v>50000</v>
          </cell>
        </row>
        <row r="564">
          <cell r="D564">
            <v>43607</v>
          </cell>
          <cell r="M564">
            <v>130000</v>
          </cell>
        </row>
        <row r="565">
          <cell r="D565">
            <v>43607</v>
          </cell>
          <cell r="M565">
            <v>2800000</v>
          </cell>
        </row>
        <row r="566">
          <cell r="D566">
            <v>43607</v>
          </cell>
          <cell r="M566">
            <v>300000</v>
          </cell>
        </row>
        <row r="567">
          <cell r="D567">
            <v>43607</v>
          </cell>
          <cell r="M567">
            <v>1400000</v>
          </cell>
        </row>
        <row r="568">
          <cell r="D568">
            <v>43607</v>
          </cell>
          <cell r="M568">
            <v>1983000</v>
          </cell>
        </row>
        <row r="569">
          <cell r="D569">
            <v>43607</v>
          </cell>
          <cell r="M569">
            <v>1000000</v>
          </cell>
        </row>
        <row r="570">
          <cell r="D570">
            <v>43607</v>
          </cell>
          <cell r="M570">
            <v>500000</v>
          </cell>
        </row>
        <row r="571">
          <cell r="D571">
            <v>43607</v>
          </cell>
          <cell r="M571">
            <v>300000</v>
          </cell>
        </row>
        <row r="572">
          <cell r="D572">
            <v>43607</v>
          </cell>
          <cell r="M572">
            <v>2000000</v>
          </cell>
        </row>
        <row r="573">
          <cell r="D573">
            <v>43607</v>
          </cell>
          <cell r="M573">
            <v>1000000</v>
          </cell>
        </row>
        <row r="574">
          <cell r="D574">
            <v>43607</v>
          </cell>
          <cell r="M574">
            <v>6689000</v>
          </cell>
        </row>
        <row r="575">
          <cell r="D575">
            <v>43607</v>
          </cell>
          <cell r="M575">
            <v>3085000</v>
          </cell>
        </row>
        <row r="576">
          <cell r="D576">
            <v>43607</v>
          </cell>
          <cell r="M576">
            <v>90000</v>
          </cell>
        </row>
        <row r="577">
          <cell r="D577">
            <v>43607</v>
          </cell>
          <cell r="M577">
            <v>303000</v>
          </cell>
        </row>
        <row r="578">
          <cell r="D578">
            <v>43607</v>
          </cell>
          <cell r="M578">
            <v>1951000</v>
          </cell>
        </row>
        <row r="579">
          <cell r="D579">
            <v>43607</v>
          </cell>
          <cell r="M579">
            <v>6355000</v>
          </cell>
        </row>
        <row r="580">
          <cell r="D580">
            <v>43607</v>
          </cell>
          <cell r="M580">
            <v>1200000</v>
          </cell>
        </row>
        <row r="581">
          <cell r="D581">
            <v>43607</v>
          </cell>
          <cell r="M581">
            <v>1251000</v>
          </cell>
        </row>
        <row r="582">
          <cell r="D582">
            <v>43607</v>
          </cell>
          <cell r="M582">
            <v>20000</v>
          </cell>
        </row>
        <row r="583">
          <cell r="D583">
            <v>43607</v>
          </cell>
          <cell r="M583">
            <v>653000</v>
          </cell>
        </row>
        <row r="584">
          <cell r="D584">
            <v>43608</v>
          </cell>
          <cell r="M584">
            <v>1300000</v>
          </cell>
        </row>
        <row r="585">
          <cell r="D585">
            <v>43608</v>
          </cell>
          <cell r="M585">
            <v>58000</v>
          </cell>
        </row>
        <row r="586">
          <cell r="D586">
            <v>43608</v>
          </cell>
          <cell r="M586">
            <v>996000</v>
          </cell>
        </row>
        <row r="587">
          <cell r="D587">
            <v>43608</v>
          </cell>
          <cell r="M587">
            <v>8338000</v>
          </cell>
        </row>
        <row r="588">
          <cell r="D588">
            <v>43608</v>
          </cell>
          <cell r="M588">
            <v>380000</v>
          </cell>
        </row>
        <row r="589">
          <cell r="D589">
            <v>43608</v>
          </cell>
          <cell r="M589">
            <v>1250000</v>
          </cell>
        </row>
        <row r="590">
          <cell r="D590">
            <v>43608</v>
          </cell>
          <cell r="M590">
            <v>150000</v>
          </cell>
        </row>
        <row r="591">
          <cell r="D591">
            <v>43608</v>
          </cell>
          <cell r="M591">
            <v>3384000</v>
          </cell>
        </row>
        <row r="592">
          <cell r="D592">
            <v>43608</v>
          </cell>
          <cell r="M592">
            <v>2343000</v>
          </cell>
        </row>
        <row r="593">
          <cell r="D593">
            <v>43608</v>
          </cell>
          <cell r="M593">
            <v>989000</v>
          </cell>
        </row>
        <row r="594">
          <cell r="D594">
            <v>43608</v>
          </cell>
          <cell r="M594">
            <v>640000</v>
          </cell>
        </row>
        <row r="595">
          <cell r="D595">
            <v>43608</v>
          </cell>
          <cell r="M595">
            <v>3664000</v>
          </cell>
        </row>
        <row r="596">
          <cell r="D596">
            <v>43608</v>
          </cell>
          <cell r="M596">
            <v>1180000</v>
          </cell>
        </row>
        <row r="597">
          <cell r="D597">
            <v>43608</v>
          </cell>
          <cell r="M597">
            <v>1000000</v>
          </cell>
        </row>
        <row r="598">
          <cell r="D598">
            <v>43608</v>
          </cell>
          <cell r="M598">
            <v>100000</v>
          </cell>
        </row>
        <row r="599">
          <cell r="D599">
            <v>43608</v>
          </cell>
          <cell r="M599">
            <v>100000</v>
          </cell>
        </row>
        <row r="600">
          <cell r="D600">
            <v>43608</v>
          </cell>
          <cell r="M600">
            <v>2000000</v>
          </cell>
        </row>
        <row r="601">
          <cell r="D601">
            <v>43608</v>
          </cell>
          <cell r="M601">
            <v>1789000</v>
          </cell>
        </row>
        <row r="602">
          <cell r="D602">
            <v>43608</v>
          </cell>
          <cell r="M602">
            <v>30000</v>
          </cell>
        </row>
        <row r="603">
          <cell r="D603">
            <v>43608</v>
          </cell>
          <cell r="M603">
            <v>2000000</v>
          </cell>
        </row>
        <row r="604">
          <cell r="D604">
            <v>43608</v>
          </cell>
          <cell r="M604">
            <v>800000</v>
          </cell>
        </row>
        <row r="605">
          <cell r="D605">
            <v>43608</v>
          </cell>
          <cell r="M605">
            <v>450000</v>
          </cell>
        </row>
        <row r="606">
          <cell r="D606">
            <v>43608</v>
          </cell>
          <cell r="M606">
            <v>700000</v>
          </cell>
        </row>
        <row r="607">
          <cell r="D607">
            <v>43608</v>
          </cell>
          <cell r="M607">
            <v>150000</v>
          </cell>
        </row>
        <row r="608">
          <cell r="D608">
            <v>43608</v>
          </cell>
          <cell r="M608">
            <v>1800000</v>
          </cell>
        </row>
        <row r="609">
          <cell r="D609">
            <v>43608</v>
          </cell>
          <cell r="M609">
            <v>800000</v>
          </cell>
        </row>
        <row r="610">
          <cell r="D610">
            <v>43608</v>
          </cell>
          <cell r="M610">
            <v>3250000</v>
          </cell>
        </row>
        <row r="611">
          <cell r="D611">
            <v>43608</v>
          </cell>
          <cell r="M611">
            <v>250000</v>
          </cell>
        </row>
        <row r="612">
          <cell r="D612">
            <v>43608</v>
          </cell>
          <cell r="M612">
            <v>1400000</v>
          </cell>
        </row>
        <row r="613">
          <cell r="D613">
            <v>43608</v>
          </cell>
          <cell r="M613">
            <v>1900000</v>
          </cell>
        </row>
        <row r="614">
          <cell r="D614">
            <v>43608</v>
          </cell>
          <cell r="M614">
            <v>700000</v>
          </cell>
        </row>
        <row r="615">
          <cell r="D615">
            <v>43608</v>
          </cell>
          <cell r="M615">
            <v>1686000</v>
          </cell>
        </row>
        <row r="616">
          <cell r="D616">
            <v>43608</v>
          </cell>
          <cell r="M616">
            <v>50000</v>
          </cell>
        </row>
        <row r="617">
          <cell r="D617">
            <v>43608</v>
          </cell>
          <cell r="M617">
            <v>100000</v>
          </cell>
        </row>
        <row r="618">
          <cell r="D618">
            <v>43608</v>
          </cell>
          <cell r="M618">
            <v>500000</v>
          </cell>
        </row>
        <row r="619">
          <cell r="D619">
            <v>43608</v>
          </cell>
          <cell r="M619">
            <v>1686000</v>
          </cell>
        </row>
        <row r="620">
          <cell r="D620">
            <v>43608</v>
          </cell>
          <cell r="M620">
            <v>1500000</v>
          </cell>
        </row>
        <row r="621">
          <cell r="D621">
            <v>43608</v>
          </cell>
          <cell r="M621">
            <v>700000</v>
          </cell>
        </row>
        <row r="622">
          <cell r="D622">
            <v>43608</v>
          </cell>
          <cell r="M622">
            <v>400000</v>
          </cell>
        </row>
        <row r="623">
          <cell r="D623">
            <v>43609</v>
          </cell>
          <cell r="M623">
            <v>3400000</v>
          </cell>
        </row>
        <row r="624">
          <cell r="D624">
            <v>43609</v>
          </cell>
          <cell r="M624">
            <v>1300000</v>
          </cell>
        </row>
        <row r="625">
          <cell r="D625">
            <v>43609</v>
          </cell>
          <cell r="M625">
            <v>300000</v>
          </cell>
        </row>
        <row r="626">
          <cell r="D626">
            <v>43609</v>
          </cell>
          <cell r="M626">
            <v>2000000</v>
          </cell>
        </row>
        <row r="627">
          <cell r="D627">
            <v>43609</v>
          </cell>
          <cell r="M627">
            <v>3800000</v>
          </cell>
        </row>
        <row r="628">
          <cell r="D628">
            <v>43609</v>
          </cell>
          <cell r="M628">
            <v>500000</v>
          </cell>
        </row>
        <row r="629">
          <cell r="D629">
            <v>43609</v>
          </cell>
          <cell r="M629">
            <v>680000</v>
          </cell>
        </row>
        <row r="630">
          <cell r="D630">
            <v>43609</v>
          </cell>
          <cell r="M630">
            <v>25000</v>
          </cell>
        </row>
        <row r="631">
          <cell r="D631">
            <v>43609</v>
          </cell>
          <cell r="M631">
            <v>50000</v>
          </cell>
        </row>
        <row r="632">
          <cell r="D632">
            <v>43609</v>
          </cell>
          <cell r="M632">
            <v>1400000</v>
          </cell>
        </row>
        <row r="633">
          <cell r="D633">
            <v>43609</v>
          </cell>
          <cell r="M633">
            <v>2500000</v>
          </cell>
        </row>
        <row r="634">
          <cell r="D634">
            <v>43609</v>
          </cell>
          <cell r="M634">
            <v>100000</v>
          </cell>
        </row>
        <row r="635">
          <cell r="D635">
            <v>43609</v>
          </cell>
          <cell r="M635">
            <v>650000</v>
          </cell>
        </row>
        <row r="636">
          <cell r="D636">
            <v>43609</v>
          </cell>
          <cell r="M636">
            <v>1350000</v>
          </cell>
        </row>
        <row r="637">
          <cell r="D637">
            <v>43609</v>
          </cell>
          <cell r="M637">
            <v>2664000</v>
          </cell>
        </row>
        <row r="638">
          <cell r="D638">
            <v>43609</v>
          </cell>
          <cell r="M638">
            <v>465000</v>
          </cell>
        </row>
        <row r="639">
          <cell r="D639">
            <v>43609</v>
          </cell>
          <cell r="M639">
            <v>600000</v>
          </cell>
        </row>
        <row r="640">
          <cell r="D640">
            <v>43609</v>
          </cell>
          <cell r="M640">
            <v>2100000</v>
          </cell>
        </row>
        <row r="641">
          <cell r="D641">
            <v>43609</v>
          </cell>
          <cell r="M641">
            <v>5100000</v>
          </cell>
        </row>
        <row r="642">
          <cell r="D642">
            <v>43609</v>
          </cell>
          <cell r="M642">
            <v>200000</v>
          </cell>
        </row>
        <row r="643">
          <cell r="D643">
            <v>43609</v>
          </cell>
          <cell r="M643">
            <v>128000</v>
          </cell>
        </row>
        <row r="644">
          <cell r="D644">
            <v>43609</v>
          </cell>
          <cell r="M644">
            <v>2000000</v>
          </cell>
        </row>
        <row r="645">
          <cell r="D645">
            <v>43609</v>
          </cell>
          <cell r="M645">
            <v>2200000</v>
          </cell>
        </row>
        <row r="646">
          <cell r="D646">
            <v>43609</v>
          </cell>
          <cell r="M646">
            <v>2100000</v>
          </cell>
        </row>
        <row r="647">
          <cell r="D647">
            <v>43609</v>
          </cell>
          <cell r="M647">
            <v>750000</v>
          </cell>
        </row>
        <row r="648">
          <cell r="D648">
            <v>43609</v>
          </cell>
          <cell r="M648">
            <v>150000</v>
          </cell>
        </row>
        <row r="649">
          <cell r="D649">
            <v>43609</v>
          </cell>
          <cell r="M649">
            <v>2700000</v>
          </cell>
        </row>
        <row r="650">
          <cell r="D650">
            <v>43609</v>
          </cell>
          <cell r="M650">
            <v>900000</v>
          </cell>
        </row>
        <row r="651">
          <cell r="D651">
            <v>43609</v>
          </cell>
          <cell r="M651">
            <v>1000000</v>
          </cell>
        </row>
        <row r="652">
          <cell r="D652">
            <v>43609</v>
          </cell>
          <cell r="M652">
            <v>120000</v>
          </cell>
        </row>
        <row r="653">
          <cell r="D653">
            <v>43609</v>
          </cell>
          <cell r="M653">
            <v>300000</v>
          </cell>
        </row>
        <row r="654">
          <cell r="D654">
            <v>43609</v>
          </cell>
          <cell r="M654">
            <v>9920000</v>
          </cell>
        </row>
        <row r="655">
          <cell r="D655">
            <v>43609</v>
          </cell>
          <cell r="M655">
            <v>1576000</v>
          </cell>
        </row>
        <row r="656">
          <cell r="D656">
            <v>43609</v>
          </cell>
          <cell r="M656">
            <v>648000</v>
          </cell>
        </row>
        <row r="657">
          <cell r="D657">
            <v>43609</v>
          </cell>
          <cell r="M657">
            <v>6045000</v>
          </cell>
        </row>
      </sheetData>
      <sheetData sheetId="3"/>
      <sheetData sheetId="4">
        <row r="26">
          <cell r="AI26" t="str">
            <v>MTD PLAN</v>
          </cell>
          <cell r="AJ26">
            <v>3849.88</v>
          </cell>
        </row>
        <row r="27">
          <cell r="AI27" t="str">
            <v>MTD ACTUAL</v>
          </cell>
          <cell r="AJ27">
            <v>3411.7799999999997</v>
          </cell>
          <cell r="AK27">
            <v>438.10000000000036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7"/>
  <dimension ref="A1:EJ75"/>
  <sheetViews>
    <sheetView zoomScale="85" zoomScaleNormal="85" workbookViewId="0">
      <pane xSplit="1" ySplit="3" topLeftCell="B4" activePane="bottomRight" state="frozen"/>
      <selection activeCell="K289" sqref="K289"/>
      <selection pane="topRight" activeCell="K289" sqref="K289"/>
      <selection pane="bottomLeft" activeCell="K289" sqref="K289"/>
      <selection pane="bottomRight" activeCell="N22" sqref="N22:N24"/>
    </sheetView>
  </sheetViews>
  <sheetFormatPr defaultColWidth="9.140625" defaultRowHeight="15.75"/>
  <cols>
    <col min="1" max="1" width="15.28515625" style="382" bestFit="1" customWidth="1"/>
    <col min="2" max="2" width="7" style="382" customWidth="1"/>
    <col min="3" max="3" width="6" style="382" customWidth="1"/>
    <col min="4" max="4" width="7.140625" style="382" customWidth="1"/>
    <col min="5" max="5" width="6.42578125" style="382" customWidth="1"/>
    <col min="6" max="6" width="6.85546875" style="382" customWidth="1"/>
    <col min="7" max="8" width="6.28515625" style="382" customWidth="1"/>
    <col min="9" max="9" width="6.42578125" style="382" customWidth="1"/>
    <col min="10" max="10" width="7.7109375" style="382" bestFit="1" customWidth="1"/>
    <col min="11" max="11" width="8.7109375" style="382" customWidth="1"/>
    <col min="12" max="12" width="8" style="382" customWidth="1"/>
    <col min="13" max="13" width="7.7109375" style="382" customWidth="1"/>
    <col min="14" max="14" width="9" style="382" customWidth="1"/>
    <col min="15" max="15" width="8" style="382" customWidth="1"/>
    <col min="16" max="16" width="8.85546875" style="382" customWidth="1"/>
    <col min="17" max="17" width="8.42578125" style="382" customWidth="1"/>
    <col min="18" max="18" width="7.28515625" style="382" customWidth="1"/>
    <col min="19" max="19" width="9.140625" style="382" customWidth="1"/>
    <col min="20" max="20" width="10" style="382" customWidth="1"/>
    <col min="21" max="21" width="8.140625" style="382" customWidth="1"/>
    <col min="22" max="22" width="7.140625" style="382" customWidth="1"/>
    <col min="23" max="23" width="7.7109375" style="382" customWidth="1"/>
    <col min="24" max="24" width="10.28515625" style="382" customWidth="1"/>
    <col min="25" max="25" width="11.7109375" style="382" customWidth="1"/>
    <col min="26" max="26" width="9" style="382" customWidth="1"/>
    <col min="27" max="27" width="7" style="382" customWidth="1"/>
    <col min="28" max="28" width="7.85546875" style="382" customWidth="1"/>
    <col min="29" max="29" width="10.7109375" style="382" customWidth="1"/>
    <col min="30" max="30" width="7.7109375" style="382" customWidth="1"/>
    <col min="31" max="32" width="6.85546875" style="382" customWidth="1"/>
    <col min="33" max="33" width="7.28515625" style="382" customWidth="1"/>
    <col min="34" max="34" width="5.140625" style="382" customWidth="1"/>
    <col min="35" max="37" width="4.28515625" style="382" customWidth="1"/>
    <col min="38" max="38" width="5.140625" style="382" customWidth="1"/>
    <col min="39" max="41" width="4.28515625" style="382" customWidth="1"/>
    <col min="42" max="42" width="5.140625" style="382" customWidth="1"/>
    <col min="43" max="45" width="4.28515625" style="382" customWidth="1"/>
    <col min="46" max="46" width="5.140625" style="382" customWidth="1"/>
    <col min="47" max="49" width="4.28515625" style="382" customWidth="1"/>
    <col min="50" max="50" width="5.140625" style="382" customWidth="1"/>
    <col min="51" max="53" width="4.28515625" style="382" customWidth="1"/>
    <col min="54" max="54" width="5.140625" style="382" customWidth="1"/>
    <col min="55" max="57" width="4.28515625" style="382" customWidth="1"/>
    <col min="58" max="59" width="5.140625" style="382" customWidth="1"/>
    <col min="60" max="61" width="4.28515625" style="382" customWidth="1"/>
    <col min="62" max="63" width="5.140625" style="382" customWidth="1"/>
    <col min="64" max="65" width="4.28515625" style="382" customWidth="1"/>
    <col min="66" max="66" width="5.140625" style="382" customWidth="1"/>
    <col min="67" max="69" width="4.28515625" style="382" customWidth="1"/>
    <col min="70" max="70" width="5.140625" style="382" customWidth="1"/>
    <col min="71" max="73" width="4.28515625" style="382" customWidth="1"/>
    <col min="74" max="74" width="5.140625" style="382" customWidth="1"/>
    <col min="75" max="77" width="4.28515625" style="382" customWidth="1"/>
    <col min="78" max="78" width="5.140625" style="382" customWidth="1"/>
    <col min="79" max="81" width="4.28515625" style="382" customWidth="1"/>
    <col min="82" max="82" width="5.140625" style="382" customWidth="1"/>
    <col min="83" max="85" width="4.28515625" style="382" customWidth="1"/>
    <col min="86" max="86" width="5.140625" style="382" customWidth="1"/>
    <col min="87" max="89" width="4.28515625" style="382" customWidth="1"/>
    <col min="90" max="90" width="5.140625" style="382" customWidth="1"/>
    <col min="91" max="93" width="4.28515625" style="382" customWidth="1"/>
    <col min="94" max="94" width="5.140625" style="382" customWidth="1"/>
    <col min="95" max="97" width="4.28515625" style="382" customWidth="1"/>
    <col min="98" max="98" width="5.140625" style="382" customWidth="1"/>
    <col min="99" max="101" width="4.28515625" style="382" customWidth="1"/>
    <col min="102" max="102" width="5.140625" style="382" customWidth="1"/>
    <col min="103" max="105" width="4.28515625" style="382" customWidth="1"/>
    <col min="106" max="106" width="5.140625" style="382" customWidth="1"/>
    <col min="107" max="109" width="4.28515625" style="382" customWidth="1"/>
    <col min="110" max="110" width="5.140625" style="382" customWidth="1"/>
    <col min="111" max="113" width="4.28515625" style="382" customWidth="1"/>
    <col min="114" max="114" width="5.140625" style="382" customWidth="1"/>
    <col min="115" max="117" width="4.28515625" style="382" customWidth="1"/>
    <col min="118" max="118" width="5.140625" style="382" customWidth="1"/>
    <col min="119" max="121" width="4.28515625" style="382" customWidth="1"/>
    <col min="122" max="122" width="5.140625" style="382" customWidth="1"/>
    <col min="123" max="125" width="4.28515625" style="382" customWidth="1"/>
    <col min="126" max="126" width="5.140625" style="382" customWidth="1"/>
    <col min="127" max="129" width="4.28515625" style="382" customWidth="1"/>
    <col min="130" max="130" width="10.85546875" style="382" bestFit="1" customWidth="1"/>
    <col min="131" max="131" width="9.140625" style="236" customWidth="1"/>
    <col min="132" max="133" width="10.5703125" style="236" customWidth="1"/>
    <col min="134" max="135" width="12.42578125" style="236" customWidth="1"/>
    <col min="136" max="136" width="12.7109375" style="236" customWidth="1"/>
    <col min="137" max="137" width="11.42578125" style="390" customWidth="1"/>
    <col min="138" max="138" width="13.140625" style="236" customWidth="1"/>
    <col min="139" max="139" width="10.28515625" style="236" customWidth="1"/>
    <col min="140" max="16384" width="9.140625" style="236"/>
  </cols>
  <sheetData>
    <row r="1" spans="1:140" s="391" customFormat="1" ht="19.5" thickBot="1">
      <c r="A1" s="1569" t="s">
        <v>199</v>
      </c>
      <c r="B1" s="1570"/>
      <c r="C1" s="1570"/>
      <c r="D1" s="1570"/>
      <c r="E1" s="1570"/>
      <c r="F1" s="1570"/>
      <c r="G1" s="1570"/>
      <c r="H1" s="1570"/>
      <c r="I1" s="1570"/>
      <c r="J1" s="1570"/>
      <c r="K1" s="1570"/>
      <c r="L1" s="1570"/>
      <c r="M1" s="1570"/>
      <c r="N1" s="1570"/>
      <c r="O1" s="1570"/>
      <c r="P1" s="1570"/>
      <c r="Q1" s="1570"/>
      <c r="R1" s="1570"/>
      <c r="S1" s="1570"/>
      <c r="T1" s="1570"/>
      <c r="U1" s="1570"/>
      <c r="V1" s="1570"/>
      <c r="W1" s="1570"/>
      <c r="X1" s="1570"/>
      <c r="Y1" s="1570"/>
      <c r="Z1" s="1570"/>
      <c r="AA1" s="1570"/>
      <c r="AB1" s="1570"/>
      <c r="AC1" s="1570"/>
      <c r="AD1" s="1570"/>
      <c r="AE1" s="1570"/>
      <c r="AF1" s="1570"/>
      <c r="AG1" s="1570"/>
      <c r="AH1" s="1570"/>
      <c r="AI1" s="1570"/>
      <c r="AJ1" s="1570"/>
      <c r="AK1" s="1570"/>
      <c r="AL1" s="1570"/>
      <c r="AM1" s="1570"/>
      <c r="AN1" s="1570"/>
      <c r="AO1" s="1570"/>
      <c r="AP1" s="1570"/>
      <c r="AQ1" s="1570"/>
      <c r="AR1" s="1570"/>
      <c r="AS1" s="1570"/>
      <c r="AT1" s="1570"/>
      <c r="AU1" s="1570"/>
      <c r="AV1" s="1570"/>
      <c r="AW1" s="1570"/>
      <c r="AX1" s="1570"/>
      <c r="AY1" s="1570"/>
      <c r="AZ1" s="1570"/>
      <c r="BA1" s="1570"/>
      <c r="BB1" s="1570"/>
      <c r="BC1" s="1570"/>
      <c r="BD1" s="1570"/>
      <c r="BE1" s="1570"/>
      <c r="BF1" s="1570"/>
      <c r="BG1" s="1570"/>
      <c r="BH1" s="1570"/>
      <c r="BI1" s="1570"/>
      <c r="BJ1" s="1570"/>
      <c r="BK1" s="1570"/>
      <c r="BL1" s="1570"/>
      <c r="BM1" s="1570"/>
      <c r="BN1" s="1570"/>
      <c r="BO1" s="1570"/>
      <c r="BP1" s="1570"/>
      <c r="BQ1" s="1570"/>
      <c r="BR1" s="1570"/>
      <c r="BS1" s="1570"/>
      <c r="BT1" s="1570"/>
      <c r="BU1" s="1570"/>
      <c r="BV1" s="1570"/>
      <c r="BW1" s="1570"/>
      <c r="BX1" s="1570"/>
      <c r="BY1" s="1570"/>
      <c r="BZ1" s="1570"/>
      <c r="CA1" s="1570"/>
      <c r="CB1" s="1570"/>
      <c r="CC1" s="1570"/>
      <c r="CD1" s="1570"/>
      <c r="CE1" s="1570"/>
      <c r="CF1" s="1570"/>
      <c r="CG1" s="1570"/>
      <c r="CH1" s="1570"/>
      <c r="CI1" s="1570"/>
      <c r="CJ1" s="1570"/>
      <c r="CK1" s="1570"/>
      <c r="CL1" s="1570"/>
      <c r="CM1" s="1570"/>
      <c r="CN1" s="1570"/>
      <c r="CO1" s="1570"/>
      <c r="CP1" s="1570"/>
      <c r="CQ1" s="1570"/>
      <c r="CR1" s="1570"/>
      <c r="CS1" s="1570"/>
      <c r="CT1" s="1570"/>
      <c r="CU1" s="1570"/>
      <c r="CV1" s="1570"/>
      <c r="CW1" s="1570"/>
      <c r="CX1" s="1570"/>
      <c r="CY1" s="1570"/>
      <c r="CZ1" s="1570"/>
      <c r="DA1" s="1570"/>
      <c r="DB1" s="1570"/>
      <c r="DC1" s="1570"/>
      <c r="DD1" s="1570"/>
      <c r="DE1" s="1570"/>
      <c r="DF1" s="1570"/>
      <c r="DG1" s="1570"/>
      <c r="DH1" s="1570"/>
      <c r="DI1" s="1570"/>
      <c r="DJ1" s="1570"/>
      <c r="DK1" s="1570"/>
      <c r="DL1" s="1570"/>
      <c r="DM1" s="1570"/>
      <c r="DN1" s="1570"/>
      <c r="DO1" s="1570"/>
      <c r="DP1" s="1570"/>
      <c r="DQ1" s="1570"/>
      <c r="DR1" s="1570"/>
      <c r="DS1" s="1570"/>
      <c r="DT1" s="1570"/>
      <c r="DU1" s="1570"/>
      <c r="DV1" s="1570"/>
      <c r="DW1" s="1570"/>
      <c r="DX1" s="1570"/>
      <c r="DY1" s="1570"/>
      <c r="DZ1" s="1570"/>
      <c r="EA1" s="1570"/>
      <c r="EB1" s="1570"/>
      <c r="EC1" s="1570"/>
      <c r="ED1" s="1570"/>
      <c r="EE1" s="1570"/>
      <c r="EF1" s="1570"/>
      <c r="EG1" s="1570"/>
      <c r="EH1" s="1570"/>
      <c r="EI1" s="1570"/>
    </row>
    <row r="2" spans="1:140" s="391" customFormat="1" ht="19.5" customHeight="1" thickBot="1">
      <c r="A2" s="1571" t="s">
        <v>0</v>
      </c>
      <c r="B2" s="1573">
        <v>1</v>
      </c>
      <c r="C2" s="1574"/>
      <c r="D2" s="1574"/>
      <c r="E2" s="1575"/>
      <c r="F2" s="1573">
        <v>2</v>
      </c>
      <c r="G2" s="1574"/>
      <c r="H2" s="1574"/>
      <c r="I2" s="1575"/>
      <c r="J2" s="1561">
        <v>3</v>
      </c>
      <c r="K2" s="1562"/>
      <c r="L2" s="1562"/>
      <c r="M2" s="1562"/>
      <c r="N2" s="1563"/>
      <c r="O2" s="1573">
        <v>4</v>
      </c>
      <c r="P2" s="1574"/>
      <c r="Q2" s="1574"/>
      <c r="R2" s="1574"/>
      <c r="S2" s="1575"/>
      <c r="T2" s="1561">
        <v>5</v>
      </c>
      <c r="U2" s="1562"/>
      <c r="V2" s="1562"/>
      <c r="W2" s="1562"/>
      <c r="X2" s="1563"/>
      <c r="Y2" s="1573">
        <v>6</v>
      </c>
      <c r="Z2" s="1574"/>
      <c r="AA2" s="1574"/>
      <c r="AB2" s="1575"/>
      <c r="AC2" s="1561">
        <v>7</v>
      </c>
      <c r="AD2" s="1567"/>
      <c r="AE2" s="1567"/>
      <c r="AF2" s="1567"/>
      <c r="AG2" s="1568"/>
      <c r="AH2" s="1561">
        <v>8</v>
      </c>
      <c r="AI2" s="1567"/>
      <c r="AJ2" s="1567"/>
      <c r="AK2" s="1568"/>
      <c r="AL2" s="1561">
        <v>9</v>
      </c>
      <c r="AM2" s="1567"/>
      <c r="AN2" s="1567"/>
      <c r="AO2" s="1568"/>
      <c r="AP2" s="1561">
        <v>10</v>
      </c>
      <c r="AQ2" s="1567"/>
      <c r="AR2" s="1567"/>
      <c r="AS2" s="1568"/>
      <c r="AT2" s="1561">
        <v>11</v>
      </c>
      <c r="AU2" s="1567"/>
      <c r="AV2" s="1567"/>
      <c r="AW2" s="1568"/>
      <c r="AX2" s="1561">
        <v>12</v>
      </c>
      <c r="AY2" s="1567"/>
      <c r="AZ2" s="1567"/>
      <c r="BA2" s="1568"/>
      <c r="BB2" s="1561">
        <v>13</v>
      </c>
      <c r="BC2" s="1567"/>
      <c r="BD2" s="1567"/>
      <c r="BE2" s="1568"/>
      <c r="BF2" s="1561">
        <v>14</v>
      </c>
      <c r="BG2" s="1567"/>
      <c r="BH2" s="1567"/>
      <c r="BI2" s="1568"/>
      <c r="BJ2" s="1561">
        <v>15</v>
      </c>
      <c r="BK2" s="1567"/>
      <c r="BL2" s="1567"/>
      <c r="BM2" s="1568"/>
      <c r="BN2" s="1561">
        <v>16</v>
      </c>
      <c r="BO2" s="1567"/>
      <c r="BP2" s="1567"/>
      <c r="BQ2" s="1568"/>
      <c r="BR2" s="1561">
        <v>17</v>
      </c>
      <c r="BS2" s="1567"/>
      <c r="BT2" s="1567"/>
      <c r="BU2" s="1568"/>
      <c r="BV2" s="1561">
        <v>18</v>
      </c>
      <c r="BW2" s="1567"/>
      <c r="BX2" s="1567"/>
      <c r="BY2" s="1568"/>
      <c r="BZ2" s="1561">
        <v>19</v>
      </c>
      <c r="CA2" s="1567"/>
      <c r="CB2" s="1567"/>
      <c r="CC2" s="1568"/>
      <c r="CD2" s="1561">
        <v>20</v>
      </c>
      <c r="CE2" s="1567"/>
      <c r="CF2" s="1567"/>
      <c r="CG2" s="1568"/>
      <c r="CH2" s="1561">
        <v>21</v>
      </c>
      <c r="CI2" s="1567"/>
      <c r="CJ2" s="1567"/>
      <c r="CK2" s="1568"/>
      <c r="CL2" s="1561">
        <v>22</v>
      </c>
      <c r="CM2" s="1567"/>
      <c r="CN2" s="1567"/>
      <c r="CO2" s="1568"/>
      <c r="CP2" s="1561">
        <v>23</v>
      </c>
      <c r="CQ2" s="1567"/>
      <c r="CR2" s="1567"/>
      <c r="CS2" s="1568"/>
      <c r="CT2" s="1561">
        <v>24</v>
      </c>
      <c r="CU2" s="1567"/>
      <c r="CV2" s="1567"/>
      <c r="CW2" s="1568"/>
      <c r="CX2" s="1561">
        <v>25</v>
      </c>
      <c r="CY2" s="1567"/>
      <c r="CZ2" s="1567"/>
      <c r="DA2" s="1568"/>
      <c r="DB2" s="1561">
        <v>26</v>
      </c>
      <c r="DC2" s="1567"/>
      <c r="DD2" s="1567"/>
      <c r="DE2" s="1568"/>
      <c r="DF2" s="1561">
        <v>27</v>
      </c>
      <c r="DG2" s="1567"/>
      <c r="DH2" s="1567"/>
      <c r="DI2" s="1568"/>
      <c r="DJ2" s="1561">
        <v>28</v>
      </c>
      <c r="DK2" s="1567"/>
      <c r="DL2" s="1567"/>
      <c r="DM2" s="1568"/>
      <c r="DN2" s="1561">
        <v>29</v>
      </c>
      <c r="DO2" s="1567"/>
      <c r="DP2" s="1567"/>
      <c r="DQ2" s="1568"/>
      <c r="DR2" s="1561">
        <v>30</v>
      </c>
      <c r="DS2" s="1567"/>
      <c r="DT2" s="1567"/>
      <c r="DU2" s="1568"/>
      <c r="DV2" s="1561">
        <v>31</v>
      </c>
      <c r="DW2" s="1567"/>
      <c r="DX2" s="1567"/>
      <c r="DY2" s="1563"/>
      <c r="DZ2" s="1561" t="s">
        <v>191</v>
      </c>
      <c r="EA2" s="1562"/>
      <c r="EB2" s="1562"/>
      <c r="EC2" s="1562"/>
      <c r="ED2" s="1562"/>
      <c r="EE2" s="1562"/>
      <c r="EF2" s="1563"/>
      <c r="EG2" s="1559" t="s">
        <v>217</v>
      </c>
      <c r="EH2" s="1564" t="s">
        <v>193</v>
      </c>
      <c r="EI2" s="1559" t="s">
        <v>220</v>
      </c>
      <c r="EJ2" s="1559" t="s">
        <v>219</v>
      </c>
    </row>
    <row r="3" spans="1:140" s="390" customFormat="1" ht="55.5" customHeight="1" thickBot="1">
      <c r="A3" s="1572"/>
      <c r="B3" s="393" t="s">
        <v>1</v>
      </c>
      <c r="C3" s="394" t="s">
        <v>194</v>
      </c>
      <c r="D3" s="397" t="s">
        <v>198</v>
      </c>
      <c r="E3" s="395" t="s">
        <v>196</v>
      </c>
      <c r="F3" s="393" t="s">
        <v>1</v>
      </c>
      <c r="G3" s="394" t="s">
        <v>194</v>
      </c>
      <c r="H3" s="397" t="s">
        <v>198</v>
      </c>
      <c r="I3" s="395" t="s">
        <v>196</v>
      </c>
      <c r="J3" s="393" t="s">
        <v>1</v>
      </c>
      <c r="K3" s="394" t="s">
        <v>194</v>
      </c>
      <c r="L3" s="397" t="s">
        <v>198</v>
      </c>
      <c r="M3" s="515" t="s">
        <v>211</v>
      </c>
      <c r="N3" s="515" t="s">
        <v>213</v>
      </c>
      <c r="O3" s="393" t="s">
        <v>1</v>
      </c>
      <c r="P3" s="394" t="s">
        <v>194</v>
      </c>
      <c r="Q3" s="397" t="s">
        <v>198</v>
      </c>
      <c r="R3" s="515" t="s">
        <v>211</v>
      </c>
      <c r="S3" s="517" t="s">
        <v>213</v>
      </c>
      <c r="T3" s="393" t="s">
        <v>1</v>
      </c>
      <c r="U3" s="394" t="s">
        <v>194</v>
      </c>
      <c r="V3" s="397" t="s">
        <v>198</v>
      </c>
      <c r="W3" s="515" t="s">
        <v>211</v>
      </c>
      <c r="X3" s="515" t="s">
        <v>214</v>
      </c>
      <c r="Y3" s="393" t="s">
        <v>1</v>
      </c>
      <c r="Z3" s="394" t="s">
        <v>194</v>
      </c>
      <c r="AA3" s="397" t="s">
        <v>198</v>
      </c>
      <c r="AB3" s="515" t="s">
        <v>211</v>
      </c>
      <c r="AC3" s="393" t="s">
        <v>1</v>
      </c>
      <c r="AD3" s="394" t="s">
        <v>194</v>
      </c>
      <c r="AE3" s="397" t="s">
        <v>198</v>
      </c>
      <c r="AF3" s="515" t="s">
        <v>211</v>
      </c>
      <c r="AG3" s="515" t="s">
        <v>214</v>
      </c>
      <c r="AH3" s="393" t="s">
        <v>1</v>
      </c>
      <c r="AI3" s="394" t="s">
        <v>194</v>
      </c>
      <c r="AJ3" s="397" t="s">
        <v>198</v>
      </c>
      <c r="AK3" s="395" t="s">
        <v>196</v>
      </c>
      <c r="AL3" s="393" t="s">
        <v>1</v>
      </c>
      <c r="AM3" s="394" t="s">
        <v>194</v>
      </c>
      <c r="AN3" s="397" t="s">
        <v>198</v>
      </c>
      <c r="AO3" s="395" t="s">
        <v>196</v>
      </c>
      <c r="AP3" s="393" t="s">
        <v>1</v>
      </c>
      <c r="AQ3" s="394" t="s">
        <v>194</v>
      </c>
      <c r="AR3" s="397" t="s">
        <v>198</v>
      </c>
      <c r="AS3" s="395" t="s">
        <v>196</v>
      </c>
      <c r="AT3" s="393" t="s">
        <v>1</v>
      </c>
      <c r="AU3" s="394" t="s">
        <v>194</v>
      </c>
      <c r="AV3" s="397" t="s">
        <v>198</v>
      </c>
      <c r="AW3" s="395" t="s">
        <v>196</v>
      </c>
      <c r="AX3" s="393" t="s">
        <v>1</v>
      </c>
      <c r="AY3" s="394" t="s">
        <v>194</v>
      </c>
      <c r="AZ3" s="397" t="s">
        <v>198</v>
      </c>
      <c r="BA3" s="395" t="s">
        <v>196</v>
      </c>
      <c r="BB3" s="393" t="s">
        <v>1</v>
      </c>
      <c r="BC3" s="394" t="s">
        <v>194</v>
      </c>
      <c r="BD3" s="397" t="s">
        <v>198</v>
      </c>
      <c r="BE3" s="395" t="s">
        <v>196</v>
      </c>
      <c r="BF3" s="393" t="s">
        <v>1</v>
      </c>
      <c r="BG3" s="394" t="s">
        <v>194</v>
      </c>
      <c r="BH3" s="397" t="s">
        <v>198</v>
      </c>
      <c r="BI3" s="395" t="s">
        <v>196</v>
      </c>
      <c r="BJ3" s="393" t="s">
        <v>1</v>
      </c>
      <c r="BK3" s="394" t="s">
        <v>194</v>
      </c>
      <c r="BL3" s="397" t="s">
        <v>198</v>
      </c>
      <c r="BM3" s="395" t="s">
        <v>196</v>
      </c>
      <c r="BN3" s="393" t="s">
        <v>1</v>
      </c>
      <c r="BO3" s="394" t="s">
        <v>194</v>
      </c>
      <c r="BP3" s="397" t="s">
        <v>198</v>
      </c>
      <c r="BQ3" s="395" t="s">
        <v>196</v>
      </c>
      <c r="BR3" s="393" t="s">
        <v>1</v>
      </c>
      <c r="BS3" s="394" t="s">
        <v>194</v>
      </c>
      <c r="BT3" s="397" t="s">
        <v>198</v>
      </c>
      <c r="BU3" s="395" t="s">
        <v>196</v>
      </c>
      <c r="BV3" s="393" t="s">
        <v>1</v>
      </c>
      <c r="BW3" s="394" t="s">
        <v>194</v>
      </c>
      <c r="BX3" s="397" t="s">
        <v>198</v>
      </c>
      <c r="BY3" s="395" t="s">
        <v>196</v>
      </c>
      <c r="BZ3" s="393" t="s">
        <v>1</v>
      </c>
      <c r="CA3" s="394" t="s">
        <v>194</v>
      </c>
      <c r="CB3" s="397" t="s">
        <v>198</v>
      </c>
      <c r="CC3" s="395" t="s">
        <v>196</v>
      </c>
      <c r="CD3" s="393" t="s">
        <v>1</v>
      </c>
      <c r="CE3" s="394" t="s">
        <v>194</v>
      </c>
      <c r="CF3" s="397" t="s">
        <v>198</v>
      </c>
      <c r="CG3" s="395" t="s">
        <v>196</v>
      </c>
      <c r="CH3" s="393" t="s">
        <v>1</v>
      </c>
      <c r="CI3" s="394" t="s">
        <v>194</v>
      </c>
      <c r="CJ3" s="397" t="s">
        <v>198</v>
      </c>
      <c r="CK3" s="395" t="s">
        <v>196</v>
      </c>
      <c r="CL3" s="393" t="s">
        <v>1</v>
      </c>
      <c r="CM3" s="394" t="s">
        <v>194</v>
      </c>
      <c r="CN3" s="397" t="s">
        <v>198</v>
      </c>
      <c r="CO3" s="395" t="s">
        <v>196</v>
      </c>
      <c r="CP3" s="393" t="s">
        <v>1</v>
      </c>
      <c r="CQ3" s="394" t="s">
        <v>194</v>
      </c>
      <c r="CR3" s="397" t="s">
        <v>198</v>
      </c>
      <c r="CS3" s="395" t="s">
        <v>196</v>
      </c>
      <c r="CT3" s="393" t="s">
        <v>1</v>
      </c>
      <c r="CU3" s="394" t="s">
        <v>194</v>
      </c>
      <c r="CV3" s="397" t="s">
        <v>198</v>
      </c>
      <c r="CW3" s="395" t="s">
        <v>196</v>
      </c>
      <c r="CX3" s="393" t="s">
        <v>1</v>
      </c>
      <c r="CY3" s="394" t="s">
        <v>194</v>
      </c>
      <c r="CZ3" s="397" t="s">
        <v>198</v>
      </c>
      <c r="DA3" s="395" t="s">
        <v>196</v>
      </c>
      <c r="DB3" s="393" t="s">
        <v>1</v>
      </c>
      <c r="DC3" s="394" t="s">
        <v>194</v>
      </c>
      <c r="DD3" s="397" t="s">
        <v>198</v>
      </c>
      <c r="DE3" s="395" t="s">
        <v>196</v>
      </c>
      <c r="DF3" s="393" t="s">
        <v>1</v>
      </c>
      <c r="DG3" s="394" t="s">
        <v>194</v>
      </c>
      <c r="DH3" s="397" t="s">
        <v>198</v>
      </c>
      <c r="DI3" s="395" t="s">
        <v>196</v>
      </c>
      <c r="DJ3" s="393" t="s">
        <v>1</v>
      </c>
      <c r="DK3" s="394" t="s">
        <v>194</v>
      </c>
      <c r="DL3" s="397" t="s">
        <v>198</v>
      </c>
      <c r="DM3" s="395" t="s">
        <v>196</v>
      </c>
      <c r="DN3" s="393" t="s">
        <v>1</v>
      </c>
      <c r="DO3" s="394" t="s">
        <v>194</v>
      </c>
      <c r="DP3" s="397" t="s">
        <v>198</v>
      </c>
      <c r="DQ3" s="395" t="s">
        <v>196</v>
      </c>
      <c r="DR3" s="393" t="s">
        <v>1</v>
      </c>
      <c r="DS3" s="394" t="s">
        <v>194</v>
      </c>
      <c r="DT3" s="397" t="s">
        <v>198</v>
      </c>
      <c r="DU3" s="395" t="s">
        <v>196</v>
      </c>
      <c r="DV3" s="393" t="s">
        <v>1</v>
      </c>
      <c r="DW3" s="394" t="s">
        <v>194</v>
      </c>
      <c r="DX3" s="397" t="s">
        <v>198</v>
      </c>
      <c r="DY3" s="395" t="s">
        <v>196</v>
      </c>
      <c r="DZ3" s="449" t="s">
        <v>208</v>
      </c>
      <c r="EA3" s="394" t="s">
        <v>194</v>
      </c>
      <c r="EB3" s="564" t="s">
        <v>198</v>
      </c>
      <c r="EC3" s="394" t="s">
        <v>211</v>
      </c>
      <c r="ED3" s="515" t="s">
        <v>212</v>
      </c>
      <c r="EE3" s="566" t="s">
        <v>215</v>
      </c>
      <c r="EF3" s="555" t="s">
        <v>218</v>
      </c>
      <c r="EG3" s="1566"/>
      <c r="EH3" s="1565"/>
      <c r="EI3" s="1560"/>
      <c r="EJ3" s="1560"/>
    </row>
    <row r="4" spans="1:140" ht="20.100000000000001" customHeight="1">
      <c r="A4" s="360" t="s">
        <v>4</v>
      </c>
      <c r="B4" s="376"/>
      <c r="C4" s="377"/>
      <c r="D4" s="493"/>
      <c r="E4" s="375"/>
      <c r="F4" s="376"/>
      <c r="G4" s="377"/>
      <c r="H4" s="493"/>
      <c r="I4" s="375"/>
      <c r="J4" s="376"/>
      <c r="K4" s="377"/>
      <c r="L4" s="493"/>
      <c r="M4" s="547"/>
      <c r="N4" s="544"/>
      <c r="O4" s="376"/>
      <c r="P4" s="377"/>
      <c r="Q4" s="493"/>
      <c r="R4" s="493"/>
      <c r="S4" s="375"/>
      <c r="T4" s="376"/>
      <c r="U4" s="377"/>
      <c r="V4" s="493"/>
      <c r="W4" s="554"/>
      <c r="X4" s="551"/>
      <c r="Y4" s="376"/>
      <c r="Z4" s="377"/>
      <c r="AA4" s="493"/>
      <c r="AB4" s="375"/>
      <c r="AC4" s="376"/>
      <c r="AD4" s="377"/>
      <c r="AE4" s="493"/>
      <c r="AF4" s="554"/>
      <c r="AG4" s="544"/>
      <c r="AH4" s="376"/>
      <c r="AI4" s="377"/>
      <c r="AJ4" s="493"/>
      <c r="AK4" s="375"/>
      <c r="AL4" s="376"/>
      <c r="AM4" s="377"/>
      <c r="AN4" s="493"/>
      <c r="AO4" s="375"/>
      <c r="AP4" s="376"/>
      <c r="AQ4" s="377"/>
      <c r="AR4" s="493"/>
      <c r="AS4" s="375"/>
      <c r="AT4" s="376"/>
      <c r="AU4" s="377"/>
      <c r="AV4" s="493"/>
      <c r="AW4" s="375"/>
      <c r="AX4" s="376"/>
      <c r="AY4" s="377"/>
      <c r="AZ4" s="493"/>
      <c r="BA4" s="375"/>
      <c r="BB4" s="376"/>
      <c r="BC4" s="377"/>
      <c r="BD4" s="493"/>
      <c r="BE4" s="375"/>
      <c r="BF4" s="376"/>
      <c r="BG4" s="500"/>
      <c r="BH4" s="377"/>
      <c r="BI4" s="375"/>
      <c r="BJ4" s="376"/>
      <c r="BK4" s="500"/>
      <c r="BL4" s="377"/>
      <c r="BM4" s="375"/>
      <c r="BN4" s="399"/>
      <c r="BO4" s="400"/>
      <c r="BP4" s="401"/>
      <c r="BQ4" s="402"/>
      <c r="BR4" s="399"/>
      <c r="BS4" s="400"/>
      <c r="BT4" s="401"/>
      <c r="BU4" s="402"/>
      <c r="BV4" s="399"/>
      <c r="BW4" s="400"/>
      <c r="BX4" s="401"/>
      <c r="BY4" s="402"/>
      <c r="BZ4" s="399"/>
      <c r="CA4" s="400"/>
      <c r="CB4" s="401"/>
      <c r="CC4" s="402"/>
      <c r="CD4" s="399"/>
      <c r="CE4" s="400"/>
      <c r="CF4" s="401"/>
      <c r="CG4" s="402"/>
      <c r="CH4" s="399"/>
      <c r="CI4" s="400"/>
      <c r="CJ4" s="401"/>
      <c r="CK4" s="402"/>
      <c r="CL4" s="399"/>
      <c r="CM4" s="400"/>
      <c r="CN4" s="401"/>
      <c r="CO4" s="402"/>
      <c r="CP4" s="399"/>
      <c r="CQ4" s="400"/>
      <c r="CR4" s="401"/>
      <c r="CS4" s="402"/>
      <c r="CT4" s="399"/>
      <c r="CU4" s="400"/>
      <c r="CV4" s="401"/>
      <c r="CW4" s="402"/>
      <c r="CX4" s="399"/>
      <c r="CY4" s="400"/>
      <c r="CZ4" s="401"/>
      <c r="DA4" s="402"/>
      <c r="DB4" s="399"/>
      <c r="DC4" s="400"/>
      <c r="DD4" s="401"/>
      <c r="DE4" s="402"/>
      <c r="DF4" s="399"/>
      <c r="DG4" s="400"/>
      <c r="DH4" s="401"/>
      <c r="DI4" s="402"/>
      <c r="DJ4" s="399"/>
      <c r="DK4" s="400"/>
      <c r="DL4" s="401"/>
      <c r="DM4" s="402"/>
      <c r="DN4" s="399"/>
      <c r="DO4" s="400"/>
      <c r="DP4" s="401"/>
      <c r="DQ4" s="402"/>
      <c r="DR4" s="399"/>
      <c r="DS4" s="400"/>
      <c r="DT4" s="401"/>
      <c r="DU4" s="402"/>
      <c r="DV4" s="399"/>
      <c r="DW4" s="400"/>
      <c r="DX4" s="401"/>
      <c r="DY4" s="402"/>
      <c r="DZ4" s="561">
        <f t="shared" ref="DZ4:EC9" si="0">B4+F4+J4+O4+T4+Y4+AC4+AH4+AL4+AP4+AT4+AX4+BB4+BF4+BJ4+BN4+BR4+BV4+BZ4+CD4+CH4+CL4+CP4+CT4+CX4+DB4+DF4+DJ4+DN4+DR4+DV4</f>
        <v>0</v>
      </c>
      <c r="EA4" s="520">
        <f t="shared" si="0"/>
        <v>0</v>
      </c>
      <c r="EB4" s="565">
        <f t="shared" si="0"/>
        <v>0</v>
      </c>
      <c r="EC4" s="504">
        <f t="shared" si="0"/>
        <v>0</v>
      </c>
      <c r="ED4" s="512">
        <f>EB4+EC4</f>
        <v>0</v>
      </c>
      <c r="EE4" s="559">
        <f t="shared" ref="EE4:EE14" si="1">N4+S4+X4+AG4</f>
        <v>0</v>
      </c>
      <c r="EF4" s="520">
        <f>ED4+EE4</f>
        <v>0</v>
      </c>
      <c r="EG4" s="525">
        <f t="shared" ref="EG4:EG14" si="2">DZ4-ED4</f>
        <v>0</v>
      </c>
      <c r="EH4" s="460" t="e">
        <f t="shared" ref="EH4:EH17" si="3">ED4/DZ4</f>
        <v>#DIV/0!</v>
      </c>
      <c r="EI4" s="525">
        <v>0</v>
      </c>
      <c r="EJ4" s="525"/>
    </row>
    <row r="5" spans="1:140" ht="20.100000000000001" customHeight="1">
      <c r="A5" s="361" t="s">
        <v>5</v>
      </c>
      <c r="B5" s="368"/>
      <c r="C5" s="364"/>
      <c r="D5" s="494"/>
      <c r="E5" s="365"/>
      <c r="F5" s="368"/>
      <c r="G5" s="364"/>
      <c r="H5" s="494"/>
      <c r="I5" s="365"/>
      <c r="J5" s="368"/>
      <c r="K5" s="364"/>
      <c r="L5" s="494"/>
      <c r="M5" s="548"/>
      <c r="N5" s="545"/>
      <c r="O5" s="368"/>
      <c r="P5" s="364"/>
      <c r="Q5" s="494"/>
      <c r="R5" s="494"/>
      <c r="S5" s="365"/>
      <c r="T5" s="368"/>
      <c r="U5" s="364"/>
      <c r="V5" s="494"/>
      <c r="W5" s="364"/>
      <c r="X5" s="552"/>
      <c r="Y5" s="368"/>
      <c r="Z5" s="364"/>
      <c r="AA5" s="494"/>
      <c r="AB5" s="365"/>
      <c r="AC5" s="368"/>
      <c r="AD5" s="364"/>
      <c r="AE5" s="494"/>
      <c r="AF5" s="364"/>
      <c r="AG5" s="545"/>
      <c r="AH5" s="368"/>
      <c r="AI5" s="364"/>
      <c r="AJ5" s="494"/>
      <c r="AK5" s="365"/>
      <c r="AL5" s="368"/>
      <c r="AM5" s="364"/>
      <c r="AN5" s="494"/>
      <c r="AO5" s="365"/>
      <c r="AP5" s="368"/>
      <c r="AQ5" s="364"/>
      <c r="AR5" s="494"/>
      <c r="AS5" s="365"/>
      <c r="AT5" s="368"/>
      <c r="AU5" s="364"/>
      <c r="AV5" s="494"/>
      <c r="AW5" s="365"/>
      <c r="AX5" s="368"/>
      <c r="AY5" s="364"/>
      <c r="AZ5" s="494"/>
      <c r="BA5" s="365"/>
      <c r="BB5" s="368"/>
      <c r="BC5" s="364"/>
      <c r="BD5" s="494"/>
      <c r="BE5" s="365"/>
      <c r="BF5" s="368"/>
      <c r="BG5" s="501"/>
      <c r="BH5" s="364"/>
      <c r="BI5" s="365"/>
      <c r="BJ5" s="368"/>
      <c r="BK5" s="501"/>
      <c r="BL5" s="364"/>
      <c r="BM5" s="365"/>
      <c r="BN5" s="403"/>
      <c r="BO5" s="404"/>
      <c r="BP5" s="405"/>
      <c r="BQ5" s="406"/>
      <c r="BR5" s="403"/>
      <c r="BS5" s="404"/>
      <c r="BT5" s="405"/>
      <c r="BU5" s="406"/>
      <c r="BV5" s="403"/>
      <c r="BW5" s="404"/>
      <c r="BX5" s="405"/>
      <c r="BY5" s="406"/>
      <c r="BZ5" s="403"/>
      <c r="CA5" s="404"/>
      <c r="CB5" s="405"/>
      <c r="CC5" s="406"/>
      <c r="CD5" s="403"/>
      <c r="CE5" s="404"/>
      <c r="CF5" s="405"/>
      <c r="CG5" s="406"/>
      <c r="CH5" s="403"/>
      <c r="CI5" s="404"/>
      <c r="CJ5" s="405"/>
      <c r="CK5" s="406"/>
      <c r="CL5" s="403"/>
      <c r="CM5" s="404"/>
      <c r="CN5" s="405"/>
      <c r="CO5" s="406"/>
      <c r="CP5" s="403"/>
      <c r="CQ5" s="404"/>
      <c r="CR5" s="405"/>
      <c r="CS5" s="406"/>
      <c r="CT5" s="403"/>
      <c r="CU5" s="404"/>
      <c r="CV5" s="405"/>
      <c r="CW5" s="406"/>
      <c r="CX5" s="403"/>
      <c r="CY5" s="404"/>
      <c r="CZ5" s="405"/>
      <c r="DA5" s="406"/>
      <c r="DB5" s="403"/>
      <c r="DC5" s="404"/>
      <c r="DD5" s="405"/>
      <c r="DE5" s="406"/>
      <c r="DF5" s="403"/>
      <c r="DG5" s="404"/>
      <c r="DH5" s="405"/>
      <c r="DI5" s="406"/>
      <c r="DJ5" s="403"/>
      <c r="DK5" s="404"/>
      <c r="DL5" s="405"/>
      <c r="DM5" s="406"/>
      <c r="DN5" s="403"/>
      <c r="DO5" s="404"/>
      <c r="DP5" s="405"/>
      <c r="DQ5" s="406"/>
      <c r="DR5" s="403"/>
      <c r="DS5" s="404"/>
      <c r="DT5" s="405"/>
      <c r="DU5" s="406"/>
      <c r="DV5" s="403"/>
      <c r="DW5" s="404"/>
      <c r="DX5" s="405"/>
      <c r="DY5" s="406"/>
      <c r="DZ5" s="505">
        <f t="shared" si="0"/>
        <v>0</v>
      </c>
      <c r="EA5" s="521">
        <f t="shared" si="0"/>
        <v>0</v>
      </c>
      <c r="EB5" s="509">
        <f t="shared" si="0"/>
        <v>0</v>
      </c>
      <c r="EC5" s="509">
        <f t="shared" si="0"/>
        <v>0</v>
      </c>
      <c r="ED5" s="509">
        <f t="shared" ref="ED5:ED14" si="4">EB5+EC5</f>
        <v>0</v>
      </c>
      <c r="EE5" s="560">
        <f t="shared" si="1"/>
        <v>0</v>
      </c>
      <c r="EF5" s="521">
        <f t="shared" ref="EF5:EF14" si="5">ED5+EE5</f>
        <v>0</v>
      </c>
      <c r="EG5" s="526">
        <f t="shared" si="2"/>
        <v>0</v>
      </c>
      <c r="EH5" s="518" t="e">
        <f t="shared" si="3"/>
        <v>#DIV/0!</v>
      </c>
      <c r="EI5" s="526">
        <v>0</v>
      </c>
      <c r="EJ5" s="526"/>
    </row>
    <row r="6" spans="1:140" ht="20.100000000000001" customHeight="1">
      <c r="A6" s="361" t="s">
        <v>6</v>
      </c>
      <c r="B6" s="368"/>
      <c r="C6" s="364"/>
      <c r="D6" s="494"/>
      <c r="E6" s="365"/>
      <c r="F6" s="368"/>
      <c r="G6" s="364"/>
      <c r="H6" s="494"/>
      <c r="I6" s="365"/>
      <c r="J6" s="368"/>
      <c r="K6" s="364"/>
      <c r="L6" s="494"/>
      <c r="M6" s="548"/>
      <c r="N6" s="545"/>
      <c r="O6" s="368"/>
      <c r="P6" s="364"/>
      <c r="Q6" s="494"/>
      <c r="R6" s="494"/>
      <c r="S6" s="365"/>
      <c r="T6" s="368"/>
      <c r="U6" s="364"/>
      <c r="V6" s="494"/>
      <c r="W6" s="364"/>
      <c r="X6" s="552"/>
      <c r="Y6" s="368"/>
      <c r="Z6" s="364"/>
      <c r="AA6" s="494"/>
      <c r="AB6" s="365"/>
      <c r="AC6" s="368"/>
      <c r="AD6" s="364"/>
      <c r="AE6" s="494"/>
      <c r="AF6" s="364"/>
      <c r="AG6" s="545"/>
      <c r="AH6" s="368"/>
      <c r="AI6" s="364"/>
      <c r="AJ6" s="494"/>
      <c r="AK6" s="365"/>
      <c r="AL6" s="368"/>
      <c r="AM6" s="364"/>
      <c r="AN6" s="494"/>
      <c r="AO6" s="365"/>
      <c r="AP6" s="368"/>
      <c r="AQ6" s="364"/>
      <c r="AR6" s="494"/>
      <c r="AS6" s="365"/>
      <c r="AT6" s="368"/>
      <c r="AU6" s="364"/>
      <c r="AV6" s="494"/>
      <c r="AW6" s="365"/>
      <c r="AX6" s="368"/>
      <c r="AY6" s="364"/>
      <c r="AZ6" s="494"/>
      <c r="BA6" s="365"/>
      <c r="BB6" s="368"/>
      <c r="BC6" s="364"/>
      <c r="BD6" s="494"/>
      <c r="BE6" s="365"/>
      <c r="BF6" s="368"/>
      <c r="BG6" s="501"/>
      <c r="BH6" s="364"/>
      <c r="BI6" s="365"/>
      <c r="BJ6" s="368"/>
      <c r="BK6" s="501"/>
      <c r="BL6" s="364"/>
      <c r="BM6" s="365"/>
      <c r="BN6" s="403"/>
      <c r="BO6" s="404"/>
      <c r="BP6" s="405"/>
      <c r="BQ6" s="406"/>
      <c r="BR6" s="403"/>
      <c r="BS6" s="404"/>
      <c r="BT6" s="405"/>
      <c r="BU6" s="406"/>
      <c r="BV6" s="403"/>
      <c r="BW6" s="404"/>
      <c r="BX6" s="405"/>
      <c r="BY6" s="406"/>
      <c r="BZ6" s="403"/>
      <c r="CA6" s="404"/>
      <c r="CB6" s="405"/>
      <c r="CC6" s="406"/>
      <c r="CD6" s="403"/>
      <c r="CE6" s="404"/>
      <c r="CF6" s="405"/>
      <c r="CG6" s="406"/>
      <c r="CH6" s="403"/>
      <c r="CI6" s="404"/>
      <c r="CJ6" s="405"/>
      <c r="CK6" s="406"/>
      <c r="CL6" s="403"/>
      <c r="CM6" s="404"/>
      <c r="CN6" s="405"/>
      <c r="CO6" s="406"/>
      <c r="CP6" s="403"/>
      <c r="CQ6" s="404"/>
      <c r="CR6" s="405"/>
      <c r="CS6" s="406"/>
      <c r="CT6" s="403"/>
      <c r="CU6" s="404"/>
      <c r="CV6" s="405"/>
      <c r="CW6" s="406"/>
      <c r="CX6" s="403"/>
      <c r="CY6" s="404"/>
      <c r="CZ6" s="405"/>
      <c r="DA6" s="406"/>
      <c r="DB6" s="403"/>
      <c r="DC6" s="404"/>
      <c r="DD6" s="405"/>
      <c r="DE6" s="406"/>
      <c r="DF6" s="403"/>
      <c r="DG6" s="404"/>
      <c r="DH6" s="405"/>
      <c r="DI6" s="406"/>
      <c r="DJ6" s="403"/>
      <c r="DK6" s="404"/>
      <c r="DL6" s="405"/>
      <c r="DM6" s="406"/>
      <c r="DN6" s="403"/>
      <c r="DO6" s="404"/>
      <c r="DP6" s="405"/>
      <c r="DQ6" s="406"/>
      <c r="DR6" s="403"/>
      <c r="DS6" s="404"/>
      <c r="DT6" s="405"/>
      <c r="DU6" s="406"/>
      <c r="DV6" s="403"/>
      <c r="DW6" s="404"/>
      <c r="DX6" s="405"/>
      <c r="DY6" s="406"/>
      <c r="DZ6" s="505">
        <f t="shared" si="0"/>
        <v>0</v>
      </c>
      <c r="EA6" s="521">
        <f t="shared" si="0"/>
        <v>0</v>
      </c>
      <c r="EB6" s="509">
        <f t="shared" si="0"/>
        <v>0</v>
      </c>
      <c r="EC6" s="509">
        <f t="shared" si="0"/>
        <v>0</v>
      </c>
      <c r="ED6" s="509">
        <f t="shared" si="4"/>
        <v>0</v>
      </c>
      <c r="EE6" s="560">
        <f t="shared" si="1"/>
        <v>0</v>
      </c>
      <c r="EF6" s="521">
        <f t="shared" si="5"/>
        <v>0</v>
      </c>
      <c r="EG6" s="526">
        <f t="shared" si="2"/>
        <v>0</v>
      </c>
      <c r="EH6" s="518" t="e">
        <f t="shared" si="3"/>
        <v>#DIV/0!</v>
      </c>
      <c r="EI6" s="526">
        <v>66.900000000000006</v>
      </c>
      <c r="EJ6" s="526"/>
    </row>
    <row r="7" spans="1:140" ht="20.100000000000001" customHeight="1">
      <c r="A7" s="361" t="s">
        <v>7</v>
      </c>
      <c r="B7" s="368"/>
      <c r="C7" s="364"/>
      <c r="D7" s="494"/>
      <c r="E7" s="365"/>
      <c r="F7" s="368"/>
      <c r="G7" s="364"/>
      <c r="H7" s="494"/>
      <c r="I7" s="365"/>
      <c r="J7" s="368"/>
      <c r="K7" s="364"/>
      <c r="L7" s="494"/>
      <c r="M7" s="548"/>
      <c r="N7" s="545"/>
      <c r="O7" s="368"/>
      <c r="P7" s="364"/>
      <c r="Q7" s="494"/>
      <c r="R7" s="494"/>
      <c r="S7" s="365"/>
      <c r="T7" s="368"/>
      <c r="U7" s="364"/>
      <c r="V7" s="494"/>
      <c r="W7" s="364"/>
      <c r="X7" s="552"/>
      <c r="Y7" s="368"/>
      <c r="Z7" s="364"/>
      <c r="AA7" s="494"/>
      <c r="AB7" s="365"/>
      <c r="AC7" s="368"/>
      <c r="AD7" s="364"/>
      <c r="AE7" s="494"/>
      <c r="AF7" s="364"/>
      <c r="AG7" s="545"/>
      <c r="AH7" s="368"/>
      <c r="AI7" s="364"/>
      <c r="AJ7" s="494"/>
      <c r="AK7" s="365"/>
      <c r="AL7" s="368"/>
      <c r="AM7" s="364"/>
      <c r="AN7" s="494"/>
      <c r="AO7" s="365"/>
      <c r="AP7" s="368"/>
      <c r="AQ7" s="364"/>
      <c r="AR7" s="494"/>
      <c r="AS7" s="365"/>
      <c r="AT7" s="368"/>
      <c r="AU7" s="364"/>
      <c r="AV7" s="494"/>
      <c r="AW7" s="365"/>
      <c r="AX7" s="368"/>
      <c r="AY7" s="364"/>
      <c r="AZ7" s="494"/>
      <c r="BA7" s="365"/>
      <c r="BB7" s="368"/>
      <c r="BC7" s="364"/>
      <c r="BD7" s="494"/>
      <c r="BE7" s="365"/>
      <c r="BF7" s="368"/>
      <c r="BG7" s="501"/>
      <c r="BH7" s="364"/>
      <c r="BI7" s="365"/>
      <c r="BJ7" s="368"/>
      <c r="BK7" s="501"/>
      <c r="BL7" s="364"/>
      <c r="BM7" s="365"/>
      <c r="BN7" s="403"/>
      <c r="BO7" s="404"/>
      <c r="BP7" s="405"/>
      <c r="BQ7" s="406"/>
      <c r="BR7" s="403"/>
      <c r="BS7" s="404"/>
      <c r="BT7" s="405"/>
      <c r="BU7" s="406"/>
      <c r="BV7" s="403"/>
      <c r="BW7" s="404"/>
      <c r="BX7" s="405"/>
      <c r="BY7" s="406"/>
      <c r="BZ7" s="403"/>
      <c r="CA7" s="404"/>
      <c r="CB7" s="405"/>
      <c r="CC7" s="406"/>
      <c r="CD7" s="403"/>
      <c r="CE7" s="404"/>
      <c r="CF7" s="405"/>
      <c r="CG7" s="406"/>
      <c r="CH7" s="403"/>
      <c r="CI7" s="404"/>
      <c r="CJ7" s="405"/>
      <c r="CK7" s="406"/>
      <c r="CL7" s="403"/>
      <c r="CM7" s="404"/>
      <c r="CN7" s="405"/>
      <c r="CO7" s="406"/>
      <c r="CP7" s="403"/>
      <c r="CQ7" s="404"/>
      <c r="CR7" s="405"/>
      <c r="CS7" s="406"/>
      <c r="CT7" s="403"/>
      <c r="CU7" s="404"/>
      <c r="CV7" s="405"/>
      <c r="CW7" s="406"/>
      <c r="CX7" s="403"/>
      <c r="CY7" s="404"/>
      <c r="CZ7" s="405"/>
      <c r="DA7" s="406"/>
      <c r="DB7" s="403"/>
      <c r="DC7" s="404"/>
      <c r="DD7" s="405"/>
      <c r="DE7" s="406"/>
      <c r="DF7" s="403"/>
      <c r="DG7" s="404"/>
      <c r="DH7" s="405"/>
      <c r="DI7" s="406"/>
      <c r="DJ7" s="403"/>
      <c r="DK7" s="404"/>
      <c r="DL7" s="405"/>
      <c r="DM7" s="406"/>
      <c r="DN7" s="403"/>
      <c r="DO7" s="404"/>
      <c r="DP7" s="405"/>
      <c r="DQ7" s="406"/>
      <c r="DR7" s="403"/>
      <c r="DS7" s="404"/>
      <c r="DT7" s="405"/>
      <c r="DU7" s="406"/>
      <c r="DV7" s="403"/>
      <c r="DW7" s="404"/>
      <c r="DX7" s="405"/>
      <c r="DY7" s="406"/>
      <c r="DZ7" s="505">
        <f t="shared" si="0"/>
        <v>0</v>
      </c>
      <c r="EA7" s="521">
        <f t="shared" si="0"/>
        <v>0</v>
      </c>
      <c r="EB7" s="509">
        <f t="shared" si="0"/>
        <v>0</v>
      </c>
      <c r="EC7" s="560">
        <f t="shared" si="0"/>
        <v>0</v>
      </c>
      <c r="ED7" s="509">
        <f t="shared" si="4"/>
        <v>0</v>
      </c>
      <c r="EE7" s="560">
        <f t="shared" si="1"/>
        <v>0</v>
      </c>
      <c r="EF7" s="521">
        <f t="shared" si="5"/>
        <v>0</v>
      </c>
      <c r="EG7" s="526">
        <f t="shared" si="2"/>
        <v>0</v>
      </c>
      <c r="EH7" s="519" t="e">
        <f t="shared" si="3"/>
        <v>#DIV/0!</v>
      </c>
      <c r="EI7" s="526">
        <v>54.89</v>
      </c>
      <c r="EJ7" s="526"/>
    </row>
    <row r="8" spans="1:140" ht="20.100000000000001" customHeight="1">
      <c r="A8" s="361" t="s">
        <v>8</v>
      </c>
      <c r="B8" s="368"/>
      <c r="C8" s="364"/>
      <c r="D8" s="494"/>
      <c r="E8" s="365"/>
      <c r="F8" s="368"/>
      <c r="G8" s="364"/>
      <c r="H8" s="494"/>
      <c r="I8" s="365"/>
      <c r="J8" s="368"/>
      <c r="K8" s="364"/>
      <c r="L8" s="494"/>
      <c r="M8" s="548"/>
      <c r="N8" s="545"/>
      <c r="O8" s="368"/>
      <c r="P8" s="364"/>
      <c r="Q8" s="494"/>
      <c r="R8" s="494"/>
      <c r="S8" s="365"/>
      <c r="T8" s="368"/>
      <c r="U8" s="364"/>
      <c r="V8" s="494"/>
      <c r="W8" s="364"/>
      <c r="X8" s="552"/>
      <c r="Y8" s="368"/>
      <c r="Z8" s="364"/>
      <c r="AA8" s="494"/>
      <c r="AB8" s="365"/>
      <c r="AC8" s="368"/>
      <c r="AD8" s="364"/>
      <c r="AE8" s="494"/>
      <c r="AF8" s="364"/>
      <c r="AG8" s="545"/>
      <c r="AH8" s="368"/>
      <c r="AI8" s="364"/>
      <c r="AJ8" s="494"/>
      <c r="AK8" s="365"/>
      <c r="AL8" s="368"/>
      <c r="AM8" s="364"/>
      <c r="AN8" s="494"/>
      <c r="AO8" s="365"/>
      <c r="AP8" s="368"/>
      <c r="AQ8" s="364"/>
      <c r="AR8" s="494"/>
      <c r="AS8" s="365"/>
      <c r="AT8" s="368"/>
      <c r="AU8" s="364"/>
      <c r="AV8" s="494"/>
      <c r="AW8" s="365"/>
      <c r="AX8" s="368"/>
      <c r="AY8" s="364"/>
      <c r="AZ8" s="494"/>
      <c r="BA8" s="365"/>
      <c r="BB8" s="368"/>
      <c r="BC8" s="364"/>
      <c r="BD8" s="494"/>
      <c r="BE8" s="365"/>
      <c r="BF8" s="368"/>
      <c r="BG8" s="501"/>
      <c r="BH8" s="364"/>
      <c r="BI8" s="365"/>
      <c r="BJ8" s="368"/>
      <c r="BK8" s="501"/>
      <c r="BL8" s="364"/>
      <c r="BM8" s="365"/>
      <c r="BN8" s="403"/>
      <c r="BO8" s="404"/>
      <c r="BP8" s="405"/>
      <c r="BQ8" s="406"/>
      <c r="BR8" s="403"/>
      <c r="BS8" s="404"/>
      <c r="BT8" s="405"/>
      <c r="BU8" s="406"/>
      <c r="BV8" s="403"/>
      <c r="BW8" s="404"/>
      <c r="BX8" s="405"/>
      <c r="BY8" s="406"/>
      <c r="BZ8" s="403"/>
      <c r="CA8" s="404"/>
      <c r="CB8" s="405"/>
      <c r="CC8" s="406"/>
      <c r="CD8" s="403"/>
      <c r="CE8" s="404"/>
      <c r="CF8" s="405"/>
      <c r="CG8" s="406"/>
      <c r="CH8" s="403"/>
      <c r="CI8" s="404"/>
      <c r="CJ8" s="405"/>
      <c r="CK8" s="406"/>
      <c r="CL8" s="403"/>
      <c r="CM8" s="404"/>
      <c r="CN8" s="405"/>
      <c r="CO8" s="406"/>
      <c r="CP8" s="403"/>
      <c r="CQ8" s="404"/>
      <c r="CR8" s="405"/>
      <c r="CS8" s="406"/>
      <c r="CT8" s="403"/>
      <c r="CU8" s="404"/>
      <c r="CV8" s="405"/>
      <c r="CW8" s="406"/>
      <c r="CX8" s="403"/>
      <c r="CY8" s="404"/>
      <c r="CZ8" s="405"/>
      <c r="DA8" s="406"/>
      <c r="DB8" s="403"/>
      <c r="DC8" s="404"/>
      <c r="DD8" s="405"/>
      <c r="DE8" s="406"/>
      <c r="DF8" s="403"/>
      <c r="DG8" s="404"/>
      <c r="DH8" s="405"/>
      <c r="DI8" s="406"/>
      <c r="DJ8" s="403"/>
      <c r="DK8" s="404"/>
      <c r="DL8" s="405"/>
      <c r="DM8" s="406"/>
      <c r="DN8" s="403"/>
      <c r="DO8" s="404"/>
      <c r="DP8" s="405"/>
      <c r="DQ8" s="406"/>
      <c r="DR8" s="403"/>
      <c r="DS8" s="404"/>
      <c r="DT8" s="405"/>
      <c r="DU8" s="406"/>
      <c r="DV8" s="403"/>
      <c r="DW8" s="404"/>
      <c r="DX8" s="405"/>
      <c r="DY8" s="406"/>
      <c r="DZ8" s="505">
        <f t="shared" si="0"/>
        <v>0</v>
      </c>
      <c r="EA8" s="521">
        <f t="shared" si="0"/>
        <v>0</v>
      </c>
      <c r="EB8" s="509">
        <f t="shared" si="0"/>
        <v>0</v>
      </c>
      <c r="EC8" s="560">
        <f t="shared" si="0"/>
        <v>0</v>
      </c>
      <c r="ED8" s="509">
        <f t="shared" si="4"/>
        <v>0</v>
      </c>
      <c r="EE8" s="560">
        <f t="shared" si="1"/>
        <v>0</v>
      </c>
      <c r="EF8" s="521">
        <f t="shared" si="5"/>
        <v>0</v>
      </c>
      <c r="EG8" s="526">
        <f t="shared" si="2"/>
        <v>0</v>
      </c>
      <c r="EH8" s="519" t="e">
        <f t="shared" si="3"/>
        <v>#DIV/0!</v>
      </c>
      <c r="EI8" s="526">
        <v>0</v>
      </c>
      <c r="EJ8" s="526"/>
    </row>
    <row r="9" spans="1:140" ht="20.100000000000001" customHeight="1" thickBot="1">
      <c r="A9" s="362" t="s">
        <v>9</v>
      </c>
      <c r="B9" s="372"/>
      <c r="C9" s="373"/>
      <c r="D9" s="495"/>
      <c r="E9" s="371"/>
      <c r="F9" s="372"/>
      <c r="G9" s="373"/>
      <c r="H9" s="495"/>
      <c r="I9" s="371"/>
      <c r="J9" s="372"/>
      <c r="K9" s="373"/>
      <c r="L9" s="495"/>
      <c r="M9" s="549"/>
      <c r="N9" s="546"/>
      <c r="O9" s="372"/>
      <c r="P9" s="373"/>
      <c r="Q9" s="495"/>
      <c r="R9" s="495"/>
      <c r="S9" s="371"/>
      <c r="T9" s="372"/>
      <c r="U9" s="373"/>
      <c r="V9" s="495"/>
      <c r="W9" s="373"/>
      <c r="X9" s="553"/>
      <c r="Y9" s="372"/>
      <c r="Z9" s="373"/>
      <c r="AA9" s="495"/>
      <c r="AB9" s="371"/>
      <c r="AC9" s="372"/>
      <c r="AD9" s="373"/>
      <c r="AE9" s="495"/>
      <c r="AF9" s="373"/>
      <c r="AG9" s="546"/>
      <c r="AH9" s="372"/>
      <c r="AI9" s="373"/>
      <c r="AJ9" s="495"/>
      <c r="AK9" s="371"/>
      <c r="AL9" s="372"/>
      <c r="AM9" s="373"/>
      <c r="AN9" s="495"/>
      <c r="AO9" s="371"/>
      <c r="AP9" s="372"/>
      <c r="AQ9" s="373"/>
      <c r="AR9" s="495"/>
      <c r="AS9" s="371"/>
      <c r="AT9" s="372"/>
      <c r="AU9" s="373"/>
      <c r="AV9" s="495"/>
      <c r="AW9" s="371"/>
      <c r="AX9" s="372"/>
      <c r="AY9" s="373"/>
      <c r="AZ9" s="495"/>
      <c r="BA9" s="371"/>
      <c r="BB9" s="372"/>
      <c r="BC9" s="373"/>
      <c r="BD9" s="495"/>
      <c r="BE9" s="371"/>
      <c r="BF9" s="372"/>
      <c r="BG9" s="502"/>
      <c r="BH9" s="373"/>
      <c r="BI9" s="371"/>
      <c r="BJ9" s="372"/>
      <c r="BK9" s="502"/>
      <c r="BL9" s="373"/>
      <c r="BM9" s="371"/>
      <c r="BN9" s="407"/>
      <c r="BO9" s="408"/>
      <c r="BP9" s="409"/>
      <c r="BQ9" s="410"/>
      <c r="BR9" s="407"/>
      <c r="BS9" s="408"/>
      <c r="BT9" s="409"/>
      <c r="BU9" s="410"/>
      <c r="BV9" s="407"/>
      <c r="BW9" s="408"/>
      <c r="BX9" s="409"/>
      <c r="BY9" s="410"/>
      <c r="BZ9" s="407"/>
      <c r="CA9" s="408"/>
      <c r="CB9" s="409"/>
      <c r="CC9" s="410"/>
      <c r="CD9" s="407"/>
      <c r="CE9" s="408"/>
      <c r="CF9" s="409"/>
      <c r="CG9" s="410"/>
      <c r="CH9" s="407"/>
      <c r="CI9" s="408"/>
      <c r="CJ9" s="409"/>
      <c r="CK9" s="410"/>
      <c r="CL9" s="407"/>
      <c r="CM9" s="408"/>
      <c r="CN9" s="409"/>
      <c r="CO9" s="410"/>
      <c r="CP9" s="407"/>
      <c r="CQ9" s="408"/>
      <c r="CR9" s="409"/>
      <c r="CS9" s="410"/>
      <c r="CT9" s="407"/>
      <c r="CU9" s="408"/>
      <c r="CV9" s="409"/>
      <c r="CW9" s="410"/>
      <c r="CX9" s="407"/>
      <c r="CY9" s="408"/>
      <c r="CZ9" s="409"/>
      <c r="DA9" s="410"/>
      <c r="DB9" s="407"/>
      <c r="DC9" s="408"/>
      <c r="DD9" s="409"/>
      <c r="DE9" s="410"/>
      <c r="DF9" s="407"/>
      <c r="DG9" s="408"/>
      <c r="DH9" s="409"/>
      <c r="DI9" s="410"/>
      <c r="DJ9" s="407"/>
      <c r="DK9" s="408"/>
      <c r="DL9" s="409"/>
      <c r="DM9" s="410"/>
      <c r="DN9" s="407"/>
      <c r="DO9" s="408"/>
      <c r="DP9" s="409"/>
      <c r="DQ9" s="410"/>
      <c r="DR9" s="407"/>
      <c r="DS9" s="408"/>
      <c r="DT9" s="409"/>
      <c r="DU9" s="410"/>
      <c r="DV9" s="407"/>
      <c r="DW9" s="408"/>
      <c r="DX9" s="409"/>
      <c r="DY9" s="410"/>
      <c r="DZ9" s="506">
        <f t="shared" si="0"/>
        <v>0</v>
      </c>
      <c r="EA9" s="522">
        <f t="shared" si="0"/>
        <v>0</v>
      </c>
      <c r="EB9" s="510">
        <f t="shared" si="0"/>
        <v>0</v>
      </c>
      <c r="EC9" s="529">
        <f t="shared" si="0"/>
        <v>0</v>
      </c>
      <c r="ED9" s="514">
        <f t="shared" si="4"/>
        <v>0</v>
      </c>
      <c r="EE9" s="529">
        <f t="shared" si="1"/>
        <v>0</v>
      </c>
      <c r="EF9" s="522">
        <f t="shared" si="5"/>
        <v>0</v>
      </c>
      <c r="EG9" s="527">
        <f t="shared" si="2"/>
        <v>0</v>
      </c>
      <c r="EH9" s="460" t="e">
        <f t="shared" si="3"/>
        <v>#DIV/0!</v>
      </c>
      <c r="EI9" s="527">
        <v>8.9</v>
      </c>
      <c r="EJ9" s="527"/>
    </row>
    <row r="10" spans="1:140" ht="20.100000000000001" customHeight="1" thickBot="1">
      <c r="A10" s="378" t="s">
        <v>10</v>
      </c>
      <c r="B10" s="380">
        <f>SUM(B4:B9)</f>
        <v>0</v>
      </c>
      <c r="C10" s="381">
        <f t="shared" ref="C10:CM10" si="6">SUM(C4:C9)</f>
        <v>0</v>
      </c>
      <c r="D10" s="496"/>
      <c r="E10" s="379">
        <f t="shared" si="6"/>
        <v>0</v>
      </c>
      <c r="F10" s="380">
        <f t="shared" si="6"/>
        <v>0</v>
      </c>
      <c r="G10" s="381">
        <f t="shared" si="6"/>
        <v>0</v>
      </c>
      <c r="H10" s="496"/>
      <c r="I10" s="379">
        <f t="shared" si="6"/>
        <v>0</v>
      </c>
      <c r="J10" s="380">
        <f t="shared" si="6"/>
        <v>0</v>
      </c>
      <c r="K10" s="381">
        <f t="shared" si="6"/>
        <v>0</v>
      </c>
      <c r="L10" s="381">
        <f t="shared" si="6"/>
        <v>0</v>
      </c>
      <c r="M10" s="550">
        <f t="shared" si="6"/>
        <v>0</v>
      </c>
      <c r="N10" s="550">
        <f t="shared" si="6"/>
        <v>0</v>
      </c>
      <c r="O10" s="380">
        <f t="shared" si="6"/>
        <v>0</v>
      </c>
      <c r="P10" s="381">
        <f t="shared" si="6"/>
        <v>0</v>
      </c>
      <c r="Q10" s="381">
        <f t="shared" si="6"/>
        <v>0</v>
      </c>
      <c r="R10" s="381">
        <f t="shared" si="6"/>
        <v>0</v>
      </c>
      <c r="S10" s="381">
        <f t="shared" si="6"/>
        <v>0</v>
      </c>
      <c r="T10" s="380">
        <f t="shared" si="6"/>
        <v>0</v>
      </c>
      <c r="U10" s="381">
        <f t="shared" si="6"/>
        <v>0</v>
      </c>
      <c r="V10" s="381">
        <f t="shared" si="6"/>
        <v>0</v>
      </c>
      <c r="W10" s="381">
        <f t="shared" si="6"/>
        <v>0</v>
      </c>
      <c r="X10" s="381">
        <f t="shared" si="6"/>
        <v>0</v>
      </c>
      <c r="Y10" s="380">
        <f t="shared" si="6"/>
        <v>0</v>
      </c>
      <c r="Z10" s="381">
        <f t="shared" si="6"/>
        <v>0</v>
      </c>
      <c r="AA10" s="381">
        <f t="shared" si="6"/>
        <v>0</v>
      </c>
      <c r="AB10" s="379">
        <f t="shared" si="6"/>
        <v>0</v>
      </c>
      <c r="AC10" s="380">
        <f t="shared" si="6"/>
        <v>0</v>
      </c>
      <c r="AD10" s="381">
        <f t="shared" si="6"/>
        <v>0</v>
      </c>
      <c r="AE10" s="381">
        <f t="shared" si="6"/>
        <v>0</v>
      </c>
      <c r="AF10" s="381">
        <f t="shared" ref="AF10" si="7">SUM(AF4:AF9)</f>
        <v>0</v>
      </c>
      <c r="AG10" s="556">
        <f t="shared" si="6"/>
        <v>0</v>
      </c>
      <c r="AH10" s="380">
        <f t="shared" si="6"/>
        <v>0</v>
      </c>
      <c r="AI10" s="381">
        <f t="shared" si="6"/>
        <v>0</v>
      </c>
      <c r="AJ10" s="381">
        <f t="shared" si="6"/>
        <v>0</v>
      </c>
      <c r="AK10" s="379">
        <f t="shared" si="6"/>
        <v>0</v>
      </c>
      <c r="AL10" s="380">
        <f t="shared" si="6"/>
        <v>0</v>
      </c>
      <c r="AM10" s="381">
        <f t="shared" si="6"/>
        <v>0</v>
      </c>
      <c r="AN10" s="496"/>
      <c r="AO10" s="379">
        <f t="shared" si="6"/>
        <v>0</v>
      </c>
      <c r="AP10" s="380">
        <f t="shared" si="6"/>
        <v>0</v>
      </c>
      <c r="AQ10" s="381">
        <f t="shared" si="6"/>
        <v>0</v>
      </c>
      <c r="AR10" s="381">
        <f t="shared" si="6"/>
        <v>0</v>
      </c>
      <c r="AS10" s="379">
        <f t="shared" si="6"/>
        <v>0</v>
      </c>
      <c r="AT10" s="380">
        <f t="shared" si="6"/>
        <v>0</v>
      </c>
      <c r="AU10" s="381">
        <f t="shared" si="6"/>
        <v>0</v>
      </c>
      <c r="AV10" s="381">
        <f t="shared" si="6"/>
        <v>0</v>
      </c>
      <c r="AW10" s="379">
        <f t="shared" si="6"/>
        <v>0</v>
      </c>
      <c r="AX10" s="380">
        <f t="shared" si="6"/>
        <v>0</v>
      </c>
      <c r="AY10" s="381">
        <f t="shared" si="6"/>
        <v>0</v>
      </c>
      <c r="AZ10" s="381">
        <f t="shared" si="6"/>
        <v>0</v>
      </c>
      <c r="BA10" s="379">
        <f t="shared" si="6"/>
        <v>0</v>
      </c>
      <c r="BB10" s="380">
        <f t="shared" si="6"/>
        <v>0</v>
      </c>
      <c r="BC10" s="381">
        <f t="shared" si="6"/>
        <v>0</v>
      </c>
      <c r="BD10" s="381">
        <f t="shared" si="6"/>
        <v>0</v>
      </c>
      <c r="BE10" s="379">
        <f t="shared" si="6"/>
        <v>0</v>
      </c>
      <c r="BF10" s="380">
        <f t="shared" si="6"/>
        <v>0</v>
      </c>
      <c r="BG10" s="380">
        <f t="shared" si="6"/>
        <v>0</v>
      </c>
      <c r="BH10" s="381">
        <f t="shared" si="6"/>
        <v>0</v>
      </c>
      <c r="BI10" s="379">
        <f t="shared" si="6"/>
        <v>0</v>
      </c>
      <c r="BJ10" s="380">
        <f t="shared" si="6"/>
        <v>0</v>
      </c>
      <c r="BK10" s="380">
        <f t="shared" si="6"/>
        <v>0</v>
      </c>
      <c r="BL10" s="381">
        <f t="shared" si="6"/>
        <v>0</v>
      </c>
      <c r="BM10" s="379">
        <f t="shared" si="6"/>
        <v>0</v>
      </c>
      <c r="BN10" s="411">
        <f t="shared" si="6"/>
        <v>0</v>
      </c>
      <c r="BO10" s="412">
        <f t="shared" si="6"/>
        <v>0</v>
      </c>
      <c r="BP10" s="413">
        <f t="shared" si="6"/>
        <v>0</v>
      </c>
      <c r="BQ10" s="414">
        <f t="shared" si="6"/>
        <v>0</v>
      </c>
      <c r="BR10" s="411">
        <f t="shared" si="6"/>
        <v>0</v>
      </c>
      <c r="BS10" s="412">
        <f t="shared" si="6"/>
        <v>0</v>
      </c>
      <c r="BT10" s="413">
        <f t="shared" si="6"/>
        <v>0</v>
      </c>
      <c r="BU10" s="414">
        <f t="shared" ref="BU10" si="8">SUM(BU4:BU9)</f>
        <v>0</v>
      </c>
      <c r="BV10" s="411">
        <f t="shared" si="6"/>
        <v>0</v>
      </c>
      <c r="BW10" s="412">
        <f t="shared" si="6"/>
        <v>0</v>
      </c>
      <c r="BX10" s="413">
        <f t="shared" si="6"/>
        <v>0</v>
      </c>
      <c r="BY10" s="414">
        <f t="shared" ref="BY10" si="9">SUM(BY4:BY9)</f>
        <v>0</v>
      </c>
      <c r="BZ10" s="411">
        <f t="shared" si="6"/>
        <v>0</v>
      </c>
      <c r="CA10" s="412">
        <f t="shared" si="6"/>
        <v>0</v>
      </c>
      <c r="CB10" s="413">
        <f t="shared" si="6"/>
        <v>0</v>
      </c>
      <c r="CC10" s="413">
        <f t="shared" si="6"/>
        <v>0</v>
      </c>
      <c r="CD10" s="411">
        <f t="shared" si="6"/>
        <v>0</v>
      </c>
      <c r="CE10" s="412">
        <f t="shared" si="6"/>
        <v>0</v>
      </c>
      <c r="CF10" s="413">
        <f t="shared" si="6"/>
        <v>0</v>
      </c>
      <c r="CG10" s="413">
        <f t="shared" si="6"/>
        <v>0</v>
      </c>
      <c r="CH10" s="411">
        <f t="shared" si="6"/>
        <v>0</v>
      </c>
      <c r="CI10" s="412">
        <f t="shared" si="6"/>
        <v>0</v>
      </c>
      <c r="CJ10" s="413">
        <f t="shared" si="6"/>
        <v>0</v>
      </c>
      <c r="CK10" s="413">
        <f t="shared" si="6"/>
        <v>0</v>
      </c>
      <c r="CL10" s="411">
        <f t="shared" si="6"/>
        <v>0</v>
      </c>
      <c r="CM10" s="412">
        <f t="shared" si="6"/>
        <v>0</v>
      </c>
      <c r="CN10" s="413">
        <f>SUM(CN4:CN9)</f>
        <v>0</v>
      </c>
      <c r="CO10" s="413">
        <f t="shared" ref="CO10:DY10" si="10">SUM(CO4:CO9)</f>
        <v>0</v>
      </c>
      <c r="CP10" s="411">
        <f t="shared" si="10"/>
        <v>0</v>
      </c>
      <c r="CQ10" s="412">
        <f t="shared" si="10"/>
        <v>0</v>
      </c>
      <c r="CR10" s="413">
        <f t="shared" si="10"/>
        <v>0</v>
      </c>
      <c r="CS10" s="413">
        <f t="shared" si="10"/>
        <v>0</v>
      </c>
      <c r="CT10" s="411">
        <f t="shared" si="10"/>
        <v>0</v>
      </c>
      <c r="CU10" s="412">
        <f t="shared" si="10"/>
        <v>0</v>
      </c>
      <c r="CV10" s="413">
        <f t="shared" si="10"/>
        <v>0</v>
      </c>
      <c r="CW10" s="413">
        <f t="shared" si="10"/>
        <v>0</v>
      </c>
      <c r="CX10" s="411">
        <f t="shared" si="10"/>
        <v>0</v>
      </c>
      <c r="CY10" s="412">
        <f t="shared" si="10"/>
        <v>0</v>
      </c>
      <c r="CZ10" s="413">
        <f t="shared" si="10"/>
        <v>0</v>
      </c>
      <c r="DA10" s="414"/>
      <c r="DB10" s="411">
        <f t="shared" si="10"/>
        <v>0</v>
      </c>
      <c r="DC10" s="412">
        <f t="shared" si="10"/>
        <v>0</v>
      </c>
      <c r="DD10" s="413">
        <f t="shared" si="10"/>
        <v>0</v>
      </c>
      <c r="DE10" s="414"/>
      <c r="DF10" s="411">
        <f t="shared" si="10"/>
        <v>0</v>
      </c>
      <c r="DG10" s="412">
        <f t="shared" si="10"/>
        <v>0</v>
      </c>
      <c r="DH10" s="413">
        <f t="shared" si="10"/>
        <v>0</v>
      </c>
      <c r="DI10" s="413">
        <f t="shared" si="10"/>
        <v>0</v>
      </c>
      <c r="DJ10" s="411">
        <f t="shared" si="10"/>
        <v>0</v>
      </c>
      <c r="DK10" s="412">
        <f t="shared" si="10"/>
        <v>0</v>
      </c>
      <c r="DL10" s="413">
        <f t="shared" si="10"/>
        <v>0</v>
      </c>
      <c r="DM10" s="413">
        <f t="shared" si="10"/>
        <v>0</v>
      </c>
      <c r="DN10" s="411">
        <f t="shared" si="10"/>
        <v>0</v>
      </c>
      <c r="DO10" s="412">
        <f t="shared" si="10"/>
        <v>0</v>
      </c>
      <c r="DP10" s="413">
        <f t="shared" si="10"/>
        <v>0</v>
      </c>
      <c r="DQ10" s="413">
        <f t="shared" si="10"/>
        <v>0</v>
      </c>
      <c r="DR10" s="411">
        <f t="shared" si="10"/>
        <v>0</v>
      </c>
      <c r="DS10" s="412">
        <f t="shared" si="10"/>
        <v>0</v>
      </c>
      <c r="DT10" s="413">
        <f t="shared" si="10"/>
        <v>0</v>
      </c>
      <c r="DU10" s="413">
        <f t="shared" si="10"/>
        <v>0</v>
      </c>
      <c r="DV10" s="411">
        <f t="shared" si="10"/>
        <v>0</v>
      </c>
      <c r="DW10" s="412">
        <f t="shared" si="10"/>
        <v>0</v>
      </c>
      <c r="DX10" s="413">
        <f t="shared" si="10"/>
        <v>0</v>
      </c>
      <c r="DY10" s="413">
        <f t="shared" si="10"/>
        <v>0</v>
      </c>
      <c r="DZ10" s="507">
        <f>SUM(DZ4:DZ9)</f>
        <v>0</v>
      </c>
      <c r="EA10" s="563">
        <f>K10+P10+U10+Z10+AD10</f>
        <v>0</v>
      </c>
      <c r="EB10" s="511">
        <f>L10+Q10+V10+AA10+AE10</f>
        <v>0</v>
      </c>
      <c r="EC10" s="511">
        <f>SUM(EC4:EC9)</f>
        <v>0</v>
      </c>
      <c r="ED10" s="511">
        <f t="shared" si="4"/>
        <v>0</v>
      </c>
      <c r="EE10" s="511">
        <f t="shared" si="1"/>
        <v>0</v>
      </c>
      <c r="EF10" s="563">
        <f t="shared" si="5"/>
        <v>0</v>
      </c>
      <c r="EG10" s="528">
        <f t="shared" si="2"/>
        <v>0</v>
      </c>
      <c r="EH10" s="461" t="e">
        <f t="shared" si="3"/>
        <v>#DIV/0!</v>
      </c>
      <c r="EI10" s="528">
        <v>130.69</v>
      </c>
      <c r="EJ10" s="528">
        <v>130.69</v>
      </c>
    </row>
    <row r="11" spans="1:140" ht="20.100000000000001" customHeight="1">
      <c r="A11" s="363" t="s">
        <v>11</v>
      </c>
      <c r="B11" s="376"/>
      <c r="C11" s="377"/>
      <c r="D11" s="493"/>
      <c r="E11" s="375"/>
      <c r="F11" s="376"/>
      <c r="G11" s="377"/>
      <c r="H11" s="493"/>
      <c r="I11" s="375"/>
      <c r="J11" s="376"/>
      <c r="K11" s="377"/>
      <c r="L11" s="493"/>
      <c r="M11" s="547"/>
      <c r="N11" s="544"/>
      <c r="O11" s="376"/>
      <c r="P11" s="377"/>
      <c r="Q11" s="493"/>
      <c r="R11" s="493"/>
      <c r="S11" s="375"/>
      <c r="T11" s="376"/>
      <c r="U11" s="377"/>
      <c r="V11" s="493"/>
      <c r="W11" s="377"/>
      <c r="X11" s="551"/>
      <c r="Y11" s="376"/>
      <c r="Z11" s="377"/>
      <c r="AA11" s="493"/>
      <c r="AB11" s="375"/>
      <c r="AC11" s="376"/>
      <c r="AD11" s="377"/>
      <c r="AE11" s="493"/>
      <c r="AF11" s="377"/>
      <c r="AG11" s="544"/>
      <c r="AH11" s="376"/>
      <c r="AI11" s="377"/>
      <c r="AJ11" s="493"/>
      <c r="AK11" s="375"/>
      <c r="AL11" s="376"/>
      <c r="AM11" s="377"/>
      <c r="AN11" s="493"/>
      <c r="AO11" s="375"/>
      <c r="AP11" s="376"/>
      <c r="AQ11" s="377"/>
      <c r="AR11" s="493"/>
      <c r="AS11" s="375"/>
      <c r="AT11" s="376"/>
      <c r="AU11" s="377"/>
      <c r="AV11" s="493"/>
      <c r="AW11" s="375"/>
      <c r="AX11" s="376"/>
      <c r="AY11" s="377"/>
      <c r="AZ11" s="493"/>
      <c r="BA11" s="375"/>
      <c r="BB11" s="376"/>
      <c r="BC11" s="377"/>
      <c r="BD11" s="493"/>
      <c r="BE11" s="375"/>
      <c r="BF11" s="376"/>
      <c r="BG11" s="500"/>
      <c r="BH11" s="377"/>
      <c r="BI11" s="375"/>
      <c r="BJ11" s="376"/>
      <c r="BK11" s="500"/>
      <c r="BL11" s="377"/>
      <c r="BM11" s="375"/>
      <c r="BN11" s="399"/>
      <c r="BO11" s="400"/>
      <c r="BP11" s="401"/>
      <c r="BQ11" s="402"/>
      <c r="BR11" s="399"/>
      <c r="BS11" s="400"/>
      <c r="BT11" s="401"/>
      <c r="BU11" s="402"/>
      <c r="BV11" s="399"/>
      <c r="BW11" s="400"/>
      <c r="BX11" s="401"/>
      <c r="BY11" s="402"/>
      <c r="BZ11" s="399"/>
      <c r="CA11" s="400"/>
      <c r="CB11" s="401"/>
      <c r="CC11" s="402"/>
      <c r="CD11" s="399"/>
      <c r="CE11" s="400"/>
      <c r="CF11" s="401"/>
      <c r="CG11" s="402"/>
      <c r="CH11" s="399"/>
      <c r="CI11" s="400"/>
      <c r="CJ11" s="401"/>
      <c r="CK11" s="402"/>
      <c r="CL11" s="399"/>
      <c r="CM11" s="400"/>
      <c r="CN11" s="401"/>
      <c r="CO11" s="402"/>
      <c r="CP11" s="399"/>
      <c r="CQ11" s="400"/>
      <c r="CR11" s="401"/>
      <c r="CS11" s="402"/>
      <c r="CT11" s="399"/>
      <c r="CU11" s="400"/>
      <c r="CV11" s="401"/>
      <c r="CW11" s="402"/>
      <c r="CX11" s="399"/>
      <c r="CY11" s="400"/>
      <c r="CZ11" s="401"/>
      <c r="DA11" s="402"/>
      <c r="DB11" s="399"/>
      <c r="DC11" s="400"/>
      <c r="DD11" s="401"/>
      <c r="DE11" s="402"/>
      <c r="DF11" s="399"/>
      <c r="DG11" s="400"/>
      <c r="DH11" s="401"/>
      <c r="DI11" s="402"/>
      <c r="DJ11" s="399"/>
      <c r="DK11" s="400"/>
      <c r="DL11" s="401"/>
      <c r="DM11" s="402"/>
      <c r="DN11" s="399"/>
      <c r="DO11" s="400"/>
      <c r="DP11" s="401"/>
      <c r="DQ11" s="402"/>
      <c r="DR11" s="399"/>
      <c r="DS11" s="400"/>
      <c r="DT11" s="401"/>
      <c r="DU11" s="402"/>
      <c r="DV11" s="399"/>
      <c r="DW11" s="400"/>
      <c r="DX11" s="401"/>
      <c r="DY11" s="402"/>
      <c r="DZ11" s="508">
        <f t="shared" ref="DZ11:EC14" si="11">B11+F11+J11+O11+T11+Y11+AC11+AH11+AL11+AP11+AT11+AX11+BB11+BF11+BJ11+BN11+BR11+BV11+BZ11+CD11+CH11+CL11+CP11+CT11+CX11+DB11+DF11+DJ11+DN11+DR11+DV11</f>
        <v>0</v>
      </c>
      <c r="EA11" s="520">
        <f t="shared" si="11"/>
        <v>0</v>
      </c>
      <c r="EB11" s="512">
        <f t="shared" si="11"/>
        <v>0</v>
      </c>
      <c r="EC11" s="559">
        <f t="shared" si="11"/>
        <v>0</v>
      </c>
      <c r="ED11" s="504">
        <f t="shared" si="4"/>
        <v>0</v>
      </c>
      <c r="EE11" s="559">
        <f t="shared" si="1"/>
        <v>0</v>
      </c>
      <c r="EF11" s="520">
        <f t="shared" si="5"/>
        <v>0</v>
      </c>
      <c r="EG11" s="525">
        <f t="shared" si="2"/>
        <v>0</v>
      </c>
      <c r="EH11" s="460" t="e">
        <f t="shared" si="3"/>
        <v>#DIV/0!</v>
      </c>
      <c r="EI11" s="525">
        <v>282.7</v>
      </c>
      <c r="EJ11" s="525">
        <v>35</v>
      </c>
    </row>
    <row r="12" spans="1:140" ht="20.100000000000001" customHeight="1">
      <c r="A12" s="361" t="s">
        <v>12</v>
      </c>
      <c r="B12" s="368"/>
      <c r="C12" s="364"/>
      <c r="D12" s="494"/>
      <c r="E12" s="365"/>
      <c r="F12" s="368"/>
      <c r="G12" s="364"/>
      <c r="H12" s="494"/>
      <c r="I12" s="365"/>
      <c r="J12" s="368"/>
      <c r="K12" s="364"/>
      <c r="L12" s="494"/>
      <c r="M12" s="548"/>
      <c r="N12" s="545"/>
      <c r="O12" s="368"/>
      <c r="P12" s="364"/>
      <c r="Q12" s="494"/>
      <c r="R12" s="494"/>
      <c r="S12" s="365"/>
      <c r="T12" s="368"/>
      <c r="U12" s="364"/>
      <c r="V12" s="494"/>
      <c r="W12" s="364"/>
      <c r="X12" s="552"/>
      <c r="Y12" s="368"/>
      <c r="Z12" s="364"/>
      <c r="AA12" s="494"/>
      <c r="AB12" s="365"/>
      <c r="AC12" s="368"/>
      <c r="AD12" s="364"/>
      <c r="AE12" s="494"/>
      <c r="AF12" s="364"/>
      <c r="AG12" s="545"/>
      <c r="AH12" s="368"/>
      <c r="AI12" s="364"/>
      <c r="AJ12" s="494"/>
      <c r="AK12" s="365"/>
      <c r="AL12" s="368"/>
      <c r="AM12" s="364"/>
      <c r="AN12" s="494"/>
      <c r="AO12" s="365"/>
      <c r="AP12" s="368"/>
      <c r="AQ12" s="364"/>
      <c r="AR12" s="494"/>
      <c r="AS12" s="365"/>
      <c r="AT12" s="368"/>
      <c r="AU12" s="364"/>
      <c r="AV12" s="494"/>
      <c r="AW12" s="365"/>
      <c r="AX12" s="368"/>
      <c r="AY12" s="364"/>
      <c r="AZ12" s="494"/>
      <c r="BA12" s="365"/>
      <c r="BB12" s="368"/>
      <c r="BC12" s="364"/>
      <c r="BD12" s="494"/>
      <c r="BE12" s="365"/>
      <c r="BF12" s="368"/>
      <c r="BG12" s="501"/>
      <c r="BH12" s="364"/>
      <c r="BI12" s="365"/>
      <c r="BJ12" s="368"/>
      <c r="BK12" s="501"/>
      <c r="BL12" s="364"/>
      <c r="BM12" s="365"/>
      <c r="BN12" s="403"/>
      <c r="BO12" s="404"/>
      <c r="BP12" s="405"/>
      <c r="BQ12" s="406"/>
      <c r="BR12" s="403"/>
      <c r="BS12" s="404"/>
      <c r="BT12" s="405"/>
      <c r="BU12" s="406"/>
      <c r="BV12" s="403"/>
      <c r="BW12" s="404"/>
      <c r="BX12" s="405"/>
      <c r="BY12" s="406"/>
      <c r="BZ12" s="403"/>
      <c r="CA12" s="404"/>
      <c r="CB12" s="405"/>
      <c r="CC12" s="406"/>
      <c r="CD12" s="403"/>
      <c r="CE12" s="404"/>
      <c r="CF12" s="405"/>
      <c r="CG12" s="406"/>
      <c r="CH12" s="403"/>
      <c r="CI12" s="404"/>
      <c r="CJ12" s="405"/>
      <c r="CK12" s="406"/>
      <c r="CL12" s="403"/>
      <c r="CM12" s="404"/>
      <c r="CN12" s="405"/>
      <c r="CO12" s="406"/>
      <c r="CP12" s="403"/>
      <c r="CQ12" s="404"/>
      <c r="CR12" s="405"/>
      <c r="CS12" s="406"/>
      <c r="CT12" s="403"/>
      <c r="CU12" s="404"/>
      <c r="CV12" s="405"/>
      <c r="CW12" s="406"/>
      <c r="CX12" s="403"/>
      <c r="CY12" s="404"/>
      <c r="CZ12" s="405"/>
      <c r="DA12" s="406"/>
      <c r="DB12" s="403"/>
      <c r="DC12" s="404"/>
      <c r="DD12" s="405"/>
      <c r="DE12" s="406"/>
      <c r="DF12" s="403"/>
      <c r="DG12" s="404"/>
      <c r="DH12" s="405"/>
      <c r="DI12" s="406"/>
      <c r="DJ12" s="403"/>
      <c r="DK12" s="404"/>
      <c r="DL12" s="405"/>
      <c r="DM12" s="406"/>
      <c r="DN12" s="403"/>
      <c r="DO12" s="404"/>
      <c r="DP12" s="405"/>
      <c r="DQ12" s="406"/>
      <c r="DR12" s="403"/>
      <c r="DS12" s="404"/>
      <c r="DT12" s="405"/>
      <c r="DU12" s="406"/>
      <c r="DV12" s="403"/>
      <c r="DW12" s="404"/>
      <c r="DX12" s="405"/>
      <c r="DY12" s="406"/>
      <c r="DZ12" s="505">
        <f t="shared" si="11"/>
        <v>0</v>
      </c>
      <c r="EA12" s="521">
        <f t="shared" si="11"/>
        <v>0</v>
      </c>
      <c r="EB12" s="509">
        <f t="shared" si="11"/>
        <v>0</v>
      </c>
      <c r="EC12" s="560">
        <f t="shared" si="11"/>
        <v>0</v>
      </c>
      <c r="ED12" s="509">
        <f t="shared" si="4"/>
        <v>0</v>
      </c>
      <c r="EE12" s="560">
        <f t="shared" si="1"/>
        <v>0</v>
      </c>
      <c r="EF12" s="521">
        <f t="shared" si="5"/>
        <v>0</v>
      </c>
      <c r="EG12" s="526">
        <f t="shared" si="2"/>
        <v>0</v>
      </c>
      <c r="EH12" s="460" t="e">
        <f t="shared" si="3"/>
        <v>#DIV/0!</v>
      </c>
      <c r="EI12" s="526">
        <v>0</v>
      </c>
      <c r="EJ12" s="526"/>
    </row>
    <row r="13" spans="1:140" ht="20.100000000000001" customHeight="1">
      <c r="A13" s="361" t="s">
        <v>13</v>
      </c>
      <c r="B13" s="368"/>
      <c r="C13" s="364"/>
      <c r="D13" s="494"/>
      <c r="E13" s="365"/>
      <c r="F13" s="368"/>
      <c r="G13" s="364"/>
      <c r="H13" s="494"/>
      <c r="I13" s="365"/>
      <c r="J13" s="368"/>
      <c r="K13" s="364"/>
      <c r="L13" s="494"/>
      <c r="M13" s="548"/>
      <c r="N13" s="545"/>
      <c r="O13" s="368"/>
      <c r="P13" s="364"/>
      <c r="Q13" s="494"/>
      <c r="R13" s="494"/>
      <c r="S13" s="365"/>
      <c r="T13" s="368"/>
      <c r="U13" s="364"/>
      <c r="V13" s="494"/>
      <c r="W13" s="364"/>
      <c r="X13" s="552"/>
      <c r="Y13" s="368"/>
      <c r="Z13" s="364"/>
      <c r="AA13" s="494"/>
      <c r="AB13" s="365"/>
      <c r="AC13" s="368"/>
      <c r="AD13" s="364"/>
      <c r="AE13" s="494"/>
      <c r="AF13" s="364"/>
      <c r="AG13" s="545"/>
      <c r="AH13" s="368"/>
      <c r="AI13" s="364"/>
      <c r="AJ13" s="494"/>
      <c r="AK13" s="365"/>
      <c r="AL13" s="368"/>
      <c r="AM13" s="364"/>
      <c r="AN13" s="494"/>
      <c r="AO13" s="365"/>
      <c r="AP13" s="368"/>
      <c r="AQ13" s="364"/>
      <c r="AR13" s="494"/>
      <c r="AS13" s="365"/>
      <c r="AT13" s="368"/>
      <c r="AU13" s="364"/>
      <c r="AV13" s="494"/>
      <c r="AW13" s="365"/>
      <c r="AX13" s="368"/>
      <c r="AY13" s="364"/>
      <c r="AZ13" s="494"/>
      <c r="BA13" s="365"/>
      <c r="BB13" s="368"/>
      <c r="BC13" s="364"/>
      <c r="BD13" s="494"/>
      <c r="BE13" s="365"/>
      <c r="BF13" s="368"/>
      <c r="BG13" s="501"/>
      <c r="BH13" s="364"/>
      <c r="BI13" s="365"/>
      <c r="BJ13" s="368"/>
      <c r="BK13" s="501"/>
      <c r="BL13" s="364"/>
      <c r="BM13" s="365"/>
      <c r="BN13" s="403"/>
      <c r="BO13" s="404"/>
      <c r="BP13" s="405"/>
      <c r="BQ13" s="406"/>
      <c r="BR13" s="403"/>
      <c r="BS13" s="404"/>
      <c r="BT13" s="405"/>
      <c r="BU13" s="406"/>
      <c r="BV13" s="403"/>
      <c r="BW13" s="404"/>
      <c r="BX13" s="405"/>
      <c r="BY13" s="406"/>
      <c r="BZ13" s="403"/>
      <c r="CA13" s="404"/>
      <c r="CB13" s="405"/>
      <c r="CC13" s="406"/>
      <c r="CD13" s="403"/>
      <c r="CE13" s="404"/>
      <c r="CF13" s="405"/>
      <c r="CG13" s="406"/>
      <c r="CH13" s="403"/>
      <c r="CI13" s="404"/>
      <c r="CJ13" s="405"/>
      <c r="CK13" s="406"/>
      <c r="CL13" s="403"/>
      <c r="CM13" s="404"/>
      <c r="CN13" s="405"/>
      <c r="CO13" s="406"/>
      <c r="CP13" s="403"/>
      <c r="CQ13" s="404"/>
      <c r="CR13" s="405"/>
      <c r="CS13" s="406"/>
      <c r="CT13" s="403"/>
      <c r="CU13" s="404"/>
      <c r="CV13" s="405"/>
      <c r="CW13" s="406"/>
      <c r="CX13" s="403"/>
      <c r="CY13" s="404"/>
      <c r="CZ13" s="405"/>
      <c r="DA13" s="406"/>
      <c r="DB13" s="403"/>
      <c r="DC13" s="404"/>
      <c r="DD13" s="405"/>
      <c r="DE13" s="406"/>
      <c r="DF13" s="403"/>
      <c r="DG13" s="404"/>
      <c r="DH13" s="405"/>
      <c r="DI13" s="406"/>
      <c r="DJ13" s="403"/>
      <c r="DK13" s="404"/>
      <c r="DL13" s="405"/>
      <c r="DM13" s="406"/>
      <c r="DN13" s="403"/>
      <c r="DO13" s="404"/>
      <c r="DP13" s="405"/>
      <c r="DQ13" s="406"/>
      <c r="DR13" s="403"/>
      <c r="DS13" s="404"/>
      <c r="DT13" s="405"/>
      <c r="DU13" s="406"/>
      <c r="DV13" s="403"/>
      <c r="DW13" s="404"/>
      <c r="DX13" s="405"/>
      <c r="DY13" s="406"/>
      <c r="DZ13" s="505">
        <f t="shared" si="11"/>
        <v>0</v>
      </c>
      <c r="EA13" s="521">
        <f t="shared" si="11"/>
        <v>0</v>
      </c>
      <c r="EB13" s="509">
        <f t="shared" si="11"/>
        <v>0</v>
      </c>
      <c r="EC13" s="560">
        <f t="shared" si="11"/>
        <v>0</v>
      </c>
      <c r="ED13" s="509">
        <f t="shared" si="4"/>
        <v>0</v>
      </c>
      <c r="EE13" s="560">
        <f t="shared" si="1"/>
        <v>0</v>
      </c>
      <c r="EF13" s="521">
        <f t="shared" si="5"/>
        <v>0</v>
      </c>
      <c r="EG13" s="526">
        <f t="shared" si="2"/>
        <v>0</v>
      </c>
      <c r="EH13" s="460" t="e">
        <f t="shared" si="3"/>
        <v>#DIV/0!</v>
      </c>
      <c r="EI13" s="526">
        <v>61.4</v>
      </c>
      <c r="EJ13" s="526"/>
    </row>
    <row r="14" spans="1:140" ht="20.100000000000001" customHeight="1" thickBot="1">
      <c r="A14" s="362" t="s">
        <v>14</v>
      </c>
      <c r="B14" s="372"/>
      <c r="C14" s="373"/>
      <c r="D14" s="495"/>
      <c r="E14" s="371"/>
      <c r="F14" s="372"/>
      <c r="G14" s="373"/>
      <c r="H14" s="495"/>
      <c r="I14" s="371"/>
      <c r="J14" s="372"/>
      <c r="K14" s="373"/>
      <c r="L14" s="495"/>
      <c r="M14" s="549"/>
      <c r="N14" s="546"/>
      <c r="O14" s="372"/>
      <c r="P14" s="373"/>
      <c r="Q14" s="495"/>
      <c r="R14" s="495"/>
      <c r="S14" s="371"/>
      <c r="T14" s="372"/>
      <c r="U14" s="373"/>
      <c r="V14" s="495"/>
      <c r="W14" s="373"/>
      <c r="X14" s="553"/>
      <c r="Y14" s="372"/>
      <c r="Z14" s="373"/>
      <c r="AA14" s="495"/>
      <c r="AB14" s="371"/>
      <c r="AC14" s="372"/>
      <c r="AD14" s="373"/>
      <c r="AE14" s="495"/>
      <c r="AF14" s="373"/>
      <c r="AG14" s="546"/>
      <c r="AH14" s="372"/>
      <c r="AI14" s="373"/>
      <c r="AJ14" s="495"/>
      <c r="AK14" s="371"/>
      <c r="AL14" s="372"/>
      <c r="AM14" s="373"/>
      <c r="AN14" s="495"/>
      <c r="AO14" s="371"/>
      <c r="AP14" s="372"/>
      <c r="AQ14" s="373"/>
      <c r="AR14" s="495"/>
      <c r="AS14" s="371"/>
      <c r="AT14" s="372"/>
      <c r="AU14" s="373"/>
      <c r="AV14" s="495"/>
      <c r="AW14" s="371"/>
      <c r="AX14" s="372"/>
      <c r="AY14" s="373"/>
      <c r="AZ14" s="495"/>
      <c r="BA14" s="371"/>
      <c r="BB14" s="372"/>
      <c r="BC14" s="373"/>
      <c r="BD14" s="495"/>
      <c r="BE14" s="371"/>
      <c r="BF14" s="372"/>
      <c r="BG14" s="502"/>
      <c r="BH14" s="373"/>
      <c r="BI14" s="371"/>
      <c r="BJ14" s="372"/>
      <c r="BK14" s="502"/>
      <c r="BL14" s="373"/>
      <c r="BM14" s="371"/>
      <c r="BN14" s="407"/>
      <c r="BO14" s="408"/>
      <c r="BP14" s="409"/>
      <c r="BQ14" s="410"/>
      <c r="BR14" s="407"/>
      <c r="BS14" s="408"/>
      <c r="BT14" s="409"/>
      <c r="BU14" s="410"/>
      <c r="BV14" s="407"/>
      <c r="BW14" s="408"/>
      <c r="BX14" s="409"/>
      <c r="BY14" s="410"/>
      <c r="BZ14" s="407"/>
      <c r="CA14" s="408"/>
      <c r="CB14" s="409"/>
      <c r="CC14" s="410"/>
      <c r="CD14" s="407"/>
      <c r="CE14" s="408"/>
      <c r="CF14" s="409"/>
      <c r="CG14" s="410"/>
      <c r="CH14" s="407"/>
      <c r="CI14" s="408"/>
      <c r="CJ14" s="409"/>
      <c r="CK14" s="410"/>
      <c r="CL14" s="407"/>
      <c r="CM14" s="408"/>
      <c r="CN14" s="409"/>
      <c r="CO14" s="410"/>
      <c r="CP14" s="407"/>
      <c r="CQ14" s="408"/>
      <c r="CR14" s="409"/>
      <c r="CS14" s="410"/>
      <c r="CT14" s="407"/>
      <c r="CU14" s="408"/>
      <c r="CV14" s="409"/>
      <c r="CW14" s="410"/>
      <c r="CX14" s="407"/>
      <c r="CY14" s="408"/>
      <c r="CZ14" s="409"/>
      <c r="DA14" s="410"/>
      <c r="DB14" s="407"/>
      <c r="DC14" s="408"/>
      <c r="DD14" s="409"/>
      <c r="DE14" s="410"/>
      <c r="DF14" s="407"/>
      <c r="DG14" s="408"/>
      <c r="DH14" s="409"/>
      <c r="DI14" s="410"/>
      <c r="DJ14" s="407"/>
      <c r="DK14" s="408"/>
      <c r="DL14" s="409"/>
      <c r="DM14" s="410"/>
      <c r="DN14" s="407"/>
      <c r="DO14" s="408"/>
      <c r="DP14" s="409"/>
      <c r="DQ14" s="410"/>
      <c r="DR14" s="407"/>
      <c r="DS14" s="408"/>
      <c r="DT14" s="409"/>
      <c r="DU14" s="410"/>
      <c r="DV14" s="407"/>
      <c r="DW14" s="408"/>
      <c r="DX14" s="409"/>
      <c r="DY14" s="410"/>
      <c r="DZ14" s="562">
        <f t="shared" si="11"/>
        <v>0</v>
      </c>
      <c r="EA14" s="567">
        <f t="shared" si="11"/>
        <v>0</v>
      </c>
      <c r="EB14" s="510">
        <f t="shared" si="11"/>
        <v>0</v>
      </c>
      <c r="EC14" s="529">
        <f t="shared" si="11"/>
        <v>0</v>
      </c>
      <c r="ED14" s="529">
        <f t="shared" si="4"/>
        <v>0</v>
      </c>
      <c r="EE14" s="529">
        <f t="shared" si="1"/>
        <v>0</v>
      </c>
      <c r="EF14" s="522">
        <f t="shared" si="5"/>
        <v>0</v>
      </c>
      <c r="EG14" s="527">
        <f t="shared" si="2"/>
        <v>0</v>
      </c>
      <c r="EH14" s="460" t="e">
        <f t="shared" si="3"/>
        <v>#DIV/0!</v>
      </c>
      <c r="EI14" s="527">
        <v>9.89</v>
      </c>
      <c r="EJ14" s="527"/>
    </row>
    <row r="15" spans="1:140" ht="20.100000000000001" customHeight="1" thickBot="1">
      <c r="A15" s="374" t="s">
        <v>15</v>
      </c>
      <c r="B15" s="384">
        <f>SUM(B11:B14)</f>
        <v>0</v>
      </c>
      <c r="C15" s="385">
        <f t="shared" ref="C15:CM15" si="12">SUM(C11:C14)</f>
        <v>0</v>
      </c>
      <c r="D15" s="497"/>
      <c r="E15" s="383">
        <f t="shared" si="12"/>
        <v>0</v>
      </c>
      <c r="F15" s="384">
        <f t="shared" si="12"/>
        <v>0</v>
      </c>
      <c r="G15" s="385">
        <f t="shared" si="12"/>
        <v>0</v>
      </c>
      <c r="H15" s="497"/>
      <c r="I15" s="383">
        <f t="shared" si="12"/>
        <v>0</v>
      </c>
      <c r="J15" s="384">
        <f t="shared" si="12"/>
        <v>0</v>
      </c>
      <c r="K15" s="385">
        <f t="shared" si="12"/>
        <v>0</v>
      </c>
      <c r="L15" s="385">
        <f t="shared" si="12"/>
        <v>0</v>
      </c>
      <c r="M15" s="385">
        <f t="shared" si="12"/>
        <v>0</v>
      </c>
      <c r="N15" s="385">
        <f t="shared" si="12"/>
        <v>0</v>
      </c>
      <c r="O15" s="384">
        <f t="shared" si="12"/>
        <v>0</v>
      </c>
      <c r="P15" s="385">
        <f t="shared" si="12"/>
        <v>0</v>
      </c>
      <c r="Q15" s="385">
        <f t="shared" si="12"/>
        <v>0</v>
      </c>
      <c r="R15" s="385">
        <f t="shared" si="12"/>
        <v>0</v>
      </c>
      <c r="S15" s="385">
        <f t="shared" si="12"/>
        <v>0</v>
      </c>
      <c r="T15" s="384">
        <f t="shared" si="12"/>
        <v>0</v>
      </c>
      <c r="U15" s="385">
        <f t="shared" si="12"/>
        <v>0</v>
      </c>
      <c r="V15" s="385">
        <f t="shared" si="12"/>
        <v>0</v>
      </c>
      <c r="W15" s="385">
        <f t="shared" si="12"/>
        <v>0</v>
      </c>
      <c r="X15" s="385">
        <f t="shared" si="12"/>
        <v>0</v>
      </c>
      <c r="Y15" s="384">
        <f t="shared" si="12"/>
        <v>0</v>
      </c>
      <c r="Z15" s="385">
        <f t="shared" si="12"/>
        <v>0</v>
      </c>
      <c r="AA15" s="385">
        <f t="shared" si="12"/>
        <v>0</v>
      </c>
      <c r="AB15" s="383">
        <f t="shared" si="12"/>
        <v>0</v>
      </c>
      <c r="AC15" s="384">
        <f t="shared" si="12"/>
        <v>0</v>
      </c>
      <c r="AD15" s="385">
        <f t="shared" si="12"/>
        <v>0</v>
      </c>
      <c r="AE15" s="385">
        <f t="shared" si="12"/>
        <v>0</v>
      </c>
      <c r="AF15" s="385">
        <f t="shared" ref="AF15" si="13">SUM(AF11:AF14)</f>
        <v>0</v>
      </c>
      <c r="AG15" s="385">
        <f t="shared" si="12"/>
        <v>0</v>
      </c>
      <c r="AH15" s="384">
        <f t="shared" si="12"/>
        <v>0</v>
      </c>
      <c r="AI15" s="385">
        <f t="shared" si="12"/>
        <v>0</v>
      </c>
      <c r="AJ15" s="385">
        <f t="shared" si="12"/>
        <v>0</v>
      </c>
      <c r="AK15" s="383">
        <f t="shared" si="12"/>
        <v>0</v>
      </c>
      <c r="AL15" s="384">
        <f t="shared" si="12"/>
        <v>0</v>
      </c>
      <c r="AM15" s="385">
        <f t="shared" si="12"/>
        <v>0</v>
      </c>
      <c r="AN15" s="497"/>
      <c r="AO15" s="383">
        <f t="shared" si="12"/>
        <v>0</v>
      </c>
      <c r="AP15" s="384">
        <f t="shared" si="12"/>
        <v>0</v>
      </c>
      <c r="AQ15" s="385">
        <f t="shared" si="12"/>
        <v>0</v>
      </c>
      <c r="AR15" s="385">
        <f t="shared" si="12"/>
        <v>0</v>
      </c>
      <c r="AS15" s="383">
        <f t="shared" si="12"/>
        <v>0</v>
      </c>
      <c r="AT15" s="384">
        <f t="shared" si="12"/>
        <v>0</v>
      </c>
      <c r="AU15" s="385">
        <f t="shared" si="12"/>
        <v>0</v>
      </c>
      <c r="AV15" s="385">
        <f t="shared" si="12"/>
        <v>0</v>
      </c>
      <c r="AW15" s="383">
        <f t="shared" si="12"/>
        <v>0</v>
      </c>
      <c r="AX15" s="384">
        <f t="shared" si="12"/>
        <v>0</v>
      </c>
      <c r="AY15" s="385">
        <f t="shared" si="12"/>
        <v>0</v>
      </c>
      <c r="AZ15" s="385">
        <f t="shared" si="12"/>
        <v>0</v>
      </c>
      <c r="BA15" s="383">
        <f t="shared" si="12"/>
        <v>0</v>
      </c>
      <c r="BB15" s="384">
        <f t="shared" si="12"/>
        <v>0</v>
      </c>
      <c r="BC15" s="385">
        <f t="shared" si="12"/>
        <v>0</v>
      </c>
      <c r="BD15" s="385">
        <f t="shared" si="12"/>
        <v>0</v>
      </c>
      <c r="BE15" s="383">
        <f t="shared" si="12"/>
        <v>0</v>
      </c>
      <c r="BF15" s="384">
        <f t="shared" si="12"/>
        <v>0</v>
      </c>
      <c r="BG15" s="384">
        <f t="shared" si="12"/>
        <v>0</v>
      </c>
      <c r="BH15" s="384">
        <f t="shared" si="12"/>
        <v>0</v>
      </c>
      <c r="BI15" s="383">
        <f t="shared" si="12"/>
        <v>0</v>
      </c>
      <c r="BJ15" s="384">
        <f t="shared" si="12"/>
        <v>0</v>
      </c>
      <c r="BK15" s="384">
        <f t="shared" si="12"/>
        <v>0</v>
      </c>
      <c r="BL15" s="385">
        <f t="shared" si="12"/>
        <v>0</v>
      </c>
      <c r="BM15" s="383">
        <f t="shared" si="12"/>
        <v>0</v>
      </c>
      <c r="BN15" s="415">
        <f t="shared" si="12"/>
        <v>0</v>
      </c>
      <c r="BO15" s="416">
        <f t="shared" si="12"/>
        <v>0</v>
      </c>
      <c r="BP15" s="416">
        <f t="shared" si="12"/>
        <v>0</v>
      </c>
      <c r="BQ15" s="417">
        <f t="shared" si="12"/>
        <v>0</v>
      </c>
      <c r="BR15" s="415">
        <f t="shared" si="12"/>
        <v>0</v>
      </c>
      <c r="BS15" s="416">
        <f t="shared" si="12"/>
        <v>0</v>
      </c>
      <c r="BT15" s="416">
        <f t="shared" si="12"/>
        <v>0</v>
      </c>
      <c r="BU15" s="417">
        <f t="shared" ref="BU15" si="14">SUM(BU11:BU14)</f>
        <v>0</v>
      </c>
      <c r="BV15" s="415">
        <f t="shared" si="12"/>
        <v>0</v>
      </c>
      <c r="BW15" s="416">
        <f t="shared" si="12"/>
        <v>0</v>
      </c>
      <c r="BX15" s="416">
        <f t="shared" si="12"/>
        <v>0</v>
      </c>
      <c r="BY15" s="417">
        <f t="shared" ref="BY15" si="15">SUM(BY11:BY14)</f>
        <v>0</v>
      </c>
      <c r="BZ15" s="415">
        <f t="shared" si="12"/>
        <v>0</v>
      </c>
      <c r="CA15" s="416">
        <f t="shared" si="12"/>
        <v>0</v>
      </c>
      <c r="CB15" s="416">
        <f t="shared" si="12"/>
        <v>0</v>
      </c>
      <c r="CC15" s="416">
        <f t="shared" si="12"/>
        <v>0</v>
      </c>
      <c r="CD15" s="415">
        <f t="shared" si="12"/>
        <v>0</v>
      </c>
      <c r="CE15" s="416">
        <f t="shared" si="12"/>
        <v>0</v>
      </c>
      <c r="CF15" s="416">
        <f t="shared" si="12"/>
        <v>0</v>
      </c>
      <c r="CG15" s="416">
        <f t="shared" si="12"/>
        <v>0</v>
      </c>
      <c r="CH15" s="415">
        <f t="shared" si="12"/>
        <v>0</v>
      </c>
      <c r="CI15" s="416">
        <f t="shared" si="12"/>
        <v>0</v>
      </c>
      <c r="CJ15" s="416">
        <f t="shared" si="12"/>
        <v>0</v>
      </c>
      <c r="CK15" s="416">
        <f t="shared" si="12"/>
        <v>0</v>
      </c>
      <c r="CL15" s="415">
        <f t="shared" si="12"/>
        <v>0</v>
      </c>
      <c r="CM15" s="416">
        <f t="shared" si="12"/>
        <v>0</v>
      </c>
      <c r="CN15" s="416">
        <f>SUM(CN11:CN14)</f>
        <v>0</v>
      </c>
      <c r="CO15" s="416">
        <f t="shared" ref="CO15:EF15" si="16">SUM(CO11:CO14)</f>
        <v>0</v>
      </c>
      <c r="CP15" s="415">
        <f t="shared" si="16"/>
        <v>0</v>
      </c>
      <c r="CQ15" s="416">
        <f t="shared" si="16"/>
        <v>0</v>
      </c>
      <c r="CR15" s="416">
        <f t="shared" si="16"/>
        <v>0</v>
      </c>
      <c r="CS15" s="416">
        <f t="shared" si="16"/>
        <v>0</v>
      </c>
      <c r="CT15" s="415">
        <f t="shared" si="16"/>
        <v>0</v>
      </c>
      <c r="CU15" s="416">
        <f t="shared" si="16"/>
        <v>0</v>
      </c>
      <c r="CV15" s="416">
        <f t="shared" si="16"/>
        <v>0</v>
      </c>
      <c r="CW15" s="416">
        <f t="shared" si="16"/>
        <v>0</v>
      </c>
      <c r="CX15" s="415">
        <f t="shared" si="16"/>
        <v>0</v>
      </c>
      <c r="CY15" s="416">
        <f t="shared" si="16"/>
        <v>0</v>
      </c>
      <c r="CZ15" s="416">
        <f t="shared" si="16"/>
        <v>0</v>
      </c>
      <c r="DA15" s="417"/>
      <c r="DB15" s="415">
        <f t="shared" si="16"/>
        <v>0</v>
      </c>
      <c r="DC15" s="416">
        <f t="shared" si="16"/>
        <v>0</v>
      </c>
      <c r="DD15" s="416">
        <f t="shared" si="16"/>
        <v>0</v>
      </c>
      <c r="DE15" s="417"/>
      <c r="DF15" s="415">
        <f t="shared" si="16"/>
        <v>0</v>
      </c>
      <c r="DG15" s="416">
        <f t="shared" si="16"/>
        <v>0</v>
      </c>
      <c r="DH15" s="416">
        <f t="shared" si="16"/>
        <v>0</v>
      </c>
      <c r="DI15" s="416">
        <f t="shared" si="16"/>
        <v>0</v>
      </c>
      <c r="DJ15" s="415">
        <f t="shared" si="16"/>
        <v>0</v>
      </c>
      <c r="DK15" s="416">
        <f t="shared" si="16"/>
        <v>0</v>
      </c>
      <c r="DL15" s="416">
        <f t="shared" si="16"/>
        <v>0</v>
      </c>
      <c r="DM15" s="416">
        <f t="shared" si="16"/>
        <v>0</v>
      </c>
      <c r="DN15" s="415">
        <f t="shared" si="16"/>
        <v>0</v>
      </c>
      <c r="DO15" s="416">
        <f t="shared" si="16"/>
        <v>0</v>
      </c>
      <c r="DP15" s="416">
        <f t="shared" si="16"/>
        <v>0</v>
      </c>
      <c r="DQ15" s="416">
        <f t="shared" si="16"/>
        <v>0</v>
      </c>
      <c r="DR15" s="415">
        <f t="shared" si="16"/>
        <v>0</v>
      </c>
      <c r="DS15" s="416">
        <f t="shared" si="16"/>
        <v>0</v>
      </c>
      <c r="DT15" s="416">
        <f t="shared" si="16"/>
        <v>0</v>
      </c>
      <c r="DU15" s="416">
        <f t="shared" si="16"/>
        <v>0</v>
      </c>
      <c r="DV15" s="415">
        <f t="shared" si="16"/>
        <v>0</v>
      </c>
      <c r="DW15" s="416">
        <f t="shared" si="16"/>
        <v>0</v>
      </c>
      <c r="DX15" s="416">
        <f t="shared" si="16"/>
        <v>0</v>
      </c>
      <c r="DY15" s="416">
        <f t="shared" si="16"/>
        <v>0</v>
      </c>
      <c r="DZ15" s="415">
        <f t="shared" si="16"/>
        <v>0</v>
      </c>
      <c r="EA15" s="513">
        <f t="shared" si="16"/>
        <v>0</v>
      </c>
      <c r="EB15" s="416">
        <f t="shared" si="16"/>
        <v>0</v>
      </c>
      <c r="EC15" s="416">
        <f t="shared" si="16"/>
        <v>0</v>
      </c>
      <c r="ED15" s="416">
        <f>SUM(ED11:ED14)</f>
        <v>0</v>
      </c>
      <c r="EE15" s="416">
        <f>SUM(EE11:EE14)</f>
        <v>0</v>
      </c>
      <c r="EF15" s="523">
        <f t="shared" si="16"/>
        <v>0</v>
      </c>
      <c r="EG15" s="427">
        <f>SUM(EG11:EG14)</f>
        <v>0</v>
      </c>
      <c r="EH15" s="457" t="e">
        <f t="shared" si="3"/>
        <v>#DIV/0!</v>
      </c>
      <c r="EI15" s="427">
        <v>353.98999999999995</v>
      </c>
      <c r="EJ15" s="427">
        <v>353.98999999999995</v>
      </c>
    </row>
    <row r="16" spans="1:140" ht="20.100000000000001" hidden="1" customHeight="1">
      <c r="A16" s="366" t="s">
        <v>16</v>
      </c>
      <c r="B16" s="386"/>
      <c r="C16" s="387"/>
      <c r="D16" s="498"/>
      <c r="E16" s="367"/>
      <c r="F16" s="386"/>
      <c r="G16" s="387"/>
      <c r="H16" s="498"/>
      <c r="I16" s="367"/>
      <c r="J16" s="386"/>
      <c r="K16" s="387"/>
      <c r="L16" s="498"/>
      <c r="M16" s="387"/>
      <c r="N16" s="367"/>
      <c r="O16" s="386"/>
      <c r="P16" s="387"/>
      <c r="Q16" s="498"/>
      <c r="R16" s="498"/>
      <c r="S16" s="367"/>
      <c r="T16" s="386"/>
      <c r="U16" s="387"/>
      <c r="V16" s="498"/>
      <c r="W16" s="367"/>
      <c r="X16" s="498"/>
      <c r="Y16" s="386"/>
      <c r="Z16" s="387"/>
      <c r="AA16" s="498"/>
      <c r="AB16" s="367"/>
      <c r="AC16" s="386"/>
      <c r="AD16" s="387"/>
      <c r="AE16" s="498"/>
      <c r="AF16" s="367"/>
      <c r="AG16" s="367"/>
      <c r="AH16" s="386"/>
      <c r="AI16" s="387"/>
      <c r="AJ16" s="498"/>
      <c r="AK16" s="367"/>
      <c r="AL16" s="386"/>
      <c r="AM16" s="387"/>
      <c r="AN16" s="498"/>
      <c r="AO16" s="367"/>
      <c r="AP16" s="386"/>
      <c r="AQ16" s="387"/>
      <c r="AR16" s="498"/>
      <c r="AS16" s="367"/>
      <c r="AT16" s="386"/>
      <c r="AU16" s="387"/>
      <c r="AV16" s="498"/>
      <c r="AW16" s="367"/>
      <c r="AX16" s="386"/>
      <c r="AY16" s="387"/>
      <c r="AZ16" s="498"/>
      <c r="BA16" s="367"/>
      <c r="BB16" s="386"/>
      <c r="BC16" s="387"/>
      <c r="BD16" s="498"/>
      <c r="BE16" s="367"/>
      <c r="BF16" s="386"/>
      <c r="BG16" s="387"/>
      <c r="BH16" s="387"/>
      <c r="BI16" s="367"/>
      <c r="BJ16" s="386"/>
      <c r="BK16" s="387"/>
      <c r="BL16" s="387"/>
      <c r="BM16" s="367"/>
      <c r="BN16" s="418"/>
      <c r="BO16" s="419"/>
      <c r="BP16" s="419"/>
      <c r="BQ16" s="420"/>
      <c r="BR16" s="418"/>
      <c r="BS16" s="419"/>
      <c r="BT16" s="419"/>
      <c r="BU16" s="421"/>
      <c r="BV16" s="418"/>
      <c r="BW16" s="419"/>
      <c r="BX16" s="419"/>
      <c r="BY16" s="421"/>
      <c r="BZ16" s="418"/>
      <c r="CA16" s="419"/>
      <c r="CB16" s="419"/>
      <c r="CC16" s="421"/>
      <c r="CD16" s="418"/>
      <c r="CE16" s="419"/>
      <c r="CF16" s="419"/>
      <c r="CG16" s="421"/>
      <c r="CH16" s="418"/>
      <c r="CI16" s="419"/>
      <c r="CJ16" s="419"/>
      <c r="CK16" s="421"/>
      <c r="CL16" s="418"/>
      <c r="CM16" s="419"/>
      <c r="CN16" s="419"/>
      <c r="CO16" s="421"/>
      <c r="CP16" s="418"/>
      <c r="CQ16" s="419"/>
      <c r="CR16" s="419"/>
      <c r="CS16" s="421"/>
      <c r="CT16" s="418"/>
      <c r="CU16" s="419"/>
      <c r="CV16" s="419"/>
      <c r="CW16" s="421"/>
      <c r="CX16" s="418"/>
      <c r="CY16" s="419"/>
      <c r="CZ16" s="419"/>
      <c r="DA16" s="421"/>
      <c r="DB16" s="418"/>
      <c r="DC16" s="419"/>
      <c r="DD16" s="419"/>
      <c r="DE16" s="421"/>
      <c r="DF16" s="418"/>
      <c r="DG16" s="419"/>
      <c r="DH16" s="419"/>
      <c r="DI16" s="421"/>
      <c r="DJ16" s="418"/>
      <c r="DK16" s="419"/>
      <c r="DL16" s="419"/>
      <c r="DM16" s="421"/>
      <c r="DN16" s="418"/>
      <c r="DO16" s="419"/>
      <c r="DP16" s="419"/>
      <c r="DQ16" s="421"/>
      <c r="DR16" s="418"/>
      <c r="DS16" s="419"/>
      <c r="DT16" s="419"/>
      <c r="DU16" s="421"/>
      <c r="DV16" s="418"/>
      <c r="DW16" s="419"/>
      <c r="DX16" s="419"/>
      <c r="DY16" s="421"/>
      <c r="DZ16" s="418"/>
      <c r="EA16" s="419">
        <f>BO16+BS16+BW16+CE16+CI16+CM16+CQ16+CU16+DC16+DG16+DK16+DO16+DS16+DW16</f>
        <v>0</v>
      </c>
      <c r="EB16" s="419"/>
      <c r="EC16" s="421"/>
      <c r="ED16" s="422" t="e">
        <f>EB16+#REF!</f>
        <v>#REF!</v>
      </c>
      <c r="EE16" s="419"/>
      <c r="EF16" s="421" t="e">
        <f>EB16+#REF!</f>
        <v>#REF!</v>
      </c>
      <c r="EG16" s="428"/>
      <c r="EH16" s="458" t="e">
        <f t="shared" si="3"/>
        <v>#REF!</v>
      </c>
      <c r="EI16" s="428"/>
      <c r="EJ16" s="428"/>
    </row>
    <row r="17" spans="1:140" ht="20.100000000000001" customHeight="1" thickBot="1">
      <c r="A17" s="369" t="s">
        <v>17</v>
      </c>
      <c r="B17" s="388">
        <f>B10+B15</f>
        <v>0</v>
      </c>
      <c r="C17" s="389">
        <f t="shared" ref="C17:CM17" si="17">C10+C15</f>
        <v>0</v>
      </c>
      <c r="D17" s="499"/>
      <c r="E17" s="370">
        <f t="shared" si="17"/>
        <v>0</v>
      </c>
      <c r="F17" s="388">
        <f t="shared" si="17"/>
        <v>0</v>
      </c>
      <c r="G17" s="389">
        <f t="shared" si="17"/>
        <v>0</v>
      </c>
      <c r="H17" s="499"/>
      <c r="I17" s="370">
        <f t="shared" si="17"/>
        <v>0</v>
      </c>
      <c r="J17" s="388">
        <f t="shared" si="17"/>
        <v>0</v>
      </c>
      <c r="K17" s="389">
        <f t="shared" si="17"/>
        <v>0</v>
      </c>
      <c r="L17" s="389">
        <f t="shared" si="17"/>
        <v>0</v>
      </c>
      <c r="M17" s="389">
        <f t="shared" si="17"/>
        <v>0</v>
      </c>
      <c r="N17" s="389">
        <f t="shared" si="17"/>
        <v>0</v>
      </c>
      <c r="O17" s="388">
        <f t="shared" si="17"/>
        <v>0</v>
      </c>
      <c r="P17" s="389">
        <f t="shared" si="17"/>
        <v>0</v>
      </c>
      <c r="Q17" s="389">
        <f t="shared" si="17"/>
        <v>0</v>
      </c>
      <c r="R17" s="389">
        <f t="shared" si="17"/>
        <v>0</v>
      </c>
      <c r="S17" s="389">
        <f t="shared" si="17"/>
        <v>0</v>
      </c>
      <c r="T17" s="388">
        <f t="shared" si="17"/>
        <v>0</v>
      </c>
      <c r="U17" s="389">
        <f t="shared" si="17"/>
        <v>0</v>
      </c>
      <c r="V17" s="389">
        <f t="shared" si="17"/>
        <v>0</v>
      </c>
      <c r="W17" s="389">
        <f t="shared" si="17"/>
        <v>0</v>
      </c>
      <c r="X17" s="389">
        <f t="shared" si="17"/>
        <v>0</v>
      </c>
      <c r="Y17" s="388">
        <f t="shared" si="17"/>
        <v>0</v>
      </c>
      <c r="Z17" s="389">
        <f t="shared" si="17"/>
        <v>0</v>
      </c>
      <c r="AA17" s="389">
        <f t="shared" si="17"/>
        <v>0</v>
      </c>
      <c r="AB17" s="370">
        <f t="shared" si="17"/>
        <v>0</v>
      </c>
      <c r="AC17" s="388">
        <f t="shared" si="17"/>
        <v>0</v>
      </c>
      <c r="AD17" s="389">
        <f t="shared" si="17"/>
        <v>0</v>
      </c>
      <c r="AE17" s="389">
        <f t="shared" si="17"/>
        <v>0</v>
      </c>
      <c r="AF17" s="389">
        <f t="shared" ref="AF17" si="18">AF10+AF15</f>
        <v>0</v>
      </c>
      <c r="AG17" s="389">
        <f t="shared" si="17"/>
        <v>0</v>
      </c>
      <c r="AH17" s="388">
        <f t="shared" si="17"/>
        <v>0</v>
      </c>
      <c r="AI17" s="389">
        <f t="shared" si="17"/>
        <v>0</v>
      </c>
      <c r="AJ17" s="389">
        <f t="shared" si="17"/>
        <v>0</v>
      </c>
      <c r="AK17" s="370">
        <f t="shared" si="17"/>
        <v>0</v>
      </c>
      <c r="AL17" s="388">
        <f t="shared" si="17"/>
        <v>0</v>
      </c>
      <c r="AM17" s="389">
        <f t="shared" si="17"/>
        <v>0</v>
      </c>
      <c r="AN17" s="499"/>
      <c r="AO17" s="370">
        <f t="shared" si="17"/>
        <v>0</v>
      </c>
      <c r="AP17" s="388">
        <f t="shared" si="17"/>
        <v>0</v>
      </c>
      <c r="AQ17" s="389">
        <f t="shared" si="17"/>
        <v>0</v>
      </c>
      <c r="AR17" s="389">
        <f t="shared" si="17"/>
        <v>0</v>
      </c>
      <c r="AS17" s="370">
        <f t="shared" si="17"/>
        <v>0</v>
      </c>
      <c r="AT17" s="388">
        <f t="shared" si="17"/>
        <v>0</v>
      </c>
      <c r="AU17" s="389">
        <f t="shared" si="17"/>
        <v>0</v>
      </c>
      <c r="AV17" s="389">
        <f t="shared" si="17"/>
        <v>0</v>
      </c>
      <c r="AW17" s="370">
        <f t="shared" si="17"/>
        <v>0</v>
      </c>
      <c r="AX17" s="388">
        <f t="shared" si="17"/>
        <v>0</v>
      </c>
      <c r="AY17" s="389">
        <f t="shared" si="17"/>
        <v>0</v>
      </c>
      <c r="AZ17" s="389">
        <f t="shared" si="17"/>
        <v>0</v>
      </c>
      <c r="BA17" s="370">
        <f t="shared" si="17"/>
        <v>0</v>
      </c>
      <c r="BB17" s="388">
        <f t="shared" si="17"/>
        <v>0</v>
      </c>
      <c r="BC17" s="389">
        <f t="shared" si="17"/>
        <v>0</v>
      </c>
      <c r="BD17" s="389">
        <f t="shared" si="17"/>
        <v>0</v>
      </c>
      <c r="BE17" s="370">
        <f t="shared" si="17"/>
        <v>0</v>
      </c>
      <c r="BF17" s="388">
        <f t="shared" si="17"/>
        <v>0</v>
      </c>
      <c r="BG17" s="388">
        <f t="shared" si="17"/>
        <v>0</v>
      </c>
      <c r="BH17" s="389">
        <f t="shared" si="17"/>
        <v>0</v>
      </c>
      <c r="BI17" s="370">
        <f t="shared" si="17"/>
        <v>0</v>
      </c>
      <c r="BJ17" s="388">
        <f t="shared" si="17"/>
        <v>0</v>
      </c>
      <c r="BK17" s="388">
        <f t="shared" si="17"/>
        <v>0</v>
      </c>
      <c r="BL17" s="389">
        <f t="shared" si="17"/>
        <v>0</v>
      </c>
      <c r="BM17" s="370">
        <f t="shared" si="17"/>
        <v>0</v>
      </c>
      <c r="BN17" s="423">
        <f t="shared" si="17"/>
        <v>0</v>
      </c>
      <c r="BO17" s="424">
        <f t="shared" si="17"/>
        <v>0</v>
      </c>
      <c r="BP17" s="424">
        <f t="shared" si="17"/>
        <v>0</v>
      </c>
      <c r="BQ17" s="425">
        <f t="shared" si="17"/>
        <v>0</v>
      </c>
      <c r="BR17" s="423">
        <f t="shared" si="17"/>
        <v>0</v>
      </c>
      <c r="BS17" s="424">
        <f t="shared" si="17"/>
        <v>0</v>
      </c>
      <c r="BT17" s="424">
        <f t="shared" si="17"/>
        <v>0</v>
      </c>
      <c r="BU17" s="424">
        <f t="shared" ref="BU17" si="19">BU10+BU15</f>
        <v>0</v>
      </c>
      <c r="BV17" s="423">
        <f t="shared" si="17"/>
        <v>0</v>
      </c>
      <c r="BW17" s="424">
        <f t="shared" si="17"/>
        <v>0</v>
      </c>
      <c r="BX17" s="424">
        <f t="shared" si="17"/>
        <v>0</v>
      </c>
      <c r="BY17" s="424">
        <f t="shared" ref="BY17" si="20">BY10+BY15</f>
        <v>0</v>
      </c>
      <c r="BZ17" s="423">
        <f t="shared" si="17"/>
        <v>0</v>
      </c>
      <c r="CA17" s="424">
        <f t="shared" si="17"/>
        <v>0</v>
      </c>
      <c r="CB17" s="424">
        <f t="shared" si="17"/>
        <v>0</v>
      </c>
      <c r="CC17" s="424">
        <f t="shared" si="17"/>
        <v>0</v>
      </c>
      <c r="CD17" s="423">
        <f t="shared" si="17"/>
        <v>0</v>
      </c>
      <c r="CE17" s="424">
        <f t="shared" si="17"/>
        <v>0</v>
      </c>
      <c r="CF17" s="424">
        <f t="shared" si="17"/>
        <v>0</v>
      </c>
      <c r="CG17" s="424">
        <f t="shared" si="17"/>
        <v>0</v>
      </c>
      <c r="CH17" s="423">
        <f t="shared" si="17"/>
        <v>0</v>
      </c>
      <c r="CI17" s="424">
        <f t="shared" si="17"/>
        <v>0</v>
      </c>
      <c r="CJ17" s="424">
        <f t="shared" si="17"/>
        <v>0</v>
      </c>
      <c r="CK17" s="424">
        <f t="shared" si="17"/>
        <v>0</v>
      </c>
      <c r="CL17" s="423">
        <f t="shared" si="17"/>
        <v>0</v>
      </c>
      <c r="CM17" s="424">
        <f t="shared" si="17"/>
        <v>0</v>
      </c>
      <c r="CN17" s="424">
        <f t="shared" ref="CN17:EC17" si="21">CN10+CN15</f>
        <v>0</v>
      </c>
      <c r="CO17" s="424">
        <f t="shared" si="21"/>
        <v>0</v>
      </c>
      <c r="CP17" s="423">
        <f t="shared" si="21"/>
        <v>0</v>
      </c>
      <c r="CQ17" s="424">
        <f t="shared" si="21"/>
        <v>0</v>
      </c>
      <c r="CR17" s="424">
        <f t="shared" si="21"/>
        <v>0</v>
      </c>
      <c r="CS17" s="424">
        <f t="shared" si="21"/>
        <v>0</v>
      </c>
      <c r="CT17" s="423">
        <f t="shared" si="21"/>
        <v>0</v>
      </c>
      <c r="CU17" s="424">
        <f t="shared" si="21"/>
        <v>0</v>
      </c>
      <c r="CV17" s="424">
        <f t="shared" si="21"/>
        <v>0</v>
      </c>
      <c r="CW17" s="424">
        <f t="shared" si="21"/>
        <v>0</v>
      </c>
      <c r="CX17" s="423">
        <f t="shared" si="21"/>
        <v>0</v>
      </c>
      <c r="CY17" s="424">
        <f t="shared" si="21"/>
        <v>0</v>
      </c>
      <c r="CZ17" s="424">
        <f t="shared" si="21"/>
        <v>0</v>
      </c>
      <c r="DA17" s="424"/>
      <c r="DB17" s="423">
        <f t="shared" si="21"/>
        <v>0</v>
      </c>
      <c r="DC17" s="424">
        <f t="shared" si="21"/>
        <v>0</v>
      </c>
      <c r="DD17" s="424">
        <f t="shared" si="21"/>
        <v>0</v>
      </c>
      <c r="DE17" s="424"/>
      <c r="DF17" s="423">
        <f t="shared" si="21"/>
        <v>0</v>
      </c>
      <c r="DG17" s="424">
        <f t="shared" si="21"/>
        <v>0</v>
      </c>
      <c r="DH17" s="424">
        <f t="shared" si="21"/>
        <v>0</v>
      </c>
      <c r="DI17" s="424">
        <f t="shared" si="21"/>
        <v>0</v>
      </c>
      <c r="DJ17" s="423">
        <f t="shared" si="21"/>
        <v>0</v>
      </c>
      <c r="DK17" s="424">
        <f t="shared" si="21"/>
        <v>0</v>
      </c>
      <c r="DL17" s="424">
        <f t="shared" si="21"/>
        <v>0</v>
      </c>
      <c r="DM17" s="424">
        <f t="shared" si="21"/>
        <v>0</v>
      </c>
      <c r="DN17" s="423">
        <f t="shared" si="21"/>
        <v>0</v>
      </c>
      <c r="DO17" s="424">
        <f t="shared" si="21"/>
        <v>0</v>
      </c>
      <c r="DP17" s="424">
        <f t="shared" si="21"/>
        <v>0</v>
      </c>
      <c r="DQ17" s="424">
        <f t="shared" si="21"/>
        <v>0</v>
      </c>
      <c r="DR17" s="423">
        <f t="shared" si="21"/>
        <v>0</v>
      </c>
      <c r="DS17" s="424">
        <f t="shared" si="21"/>
        <v>0</v>
      </c>
      <c r="DT17" s="424">
        <f t="shared" si="21"/>
        <v>0</v>
      </c>
      <c r="DU17" s="424">
        <f t="shared" si="21"/>
        <v>0</v>
      </c>
      <c r="DV17" s="423">
        <f t="shared" si="21"/>
        <v>0</v>
      </c>
      <c r="DW17" s="424">
        <f t="shared" si="21"/>
        <v>0</v>
      </c>
      <c r="DX17" s="424">
        <f t="shared" si="21"/>
        <v>0</v>
      </c>
      <c r="DY17" s="424">
        <f t="shared" si="21"/>
        <v>0</v>
      </c>
      <c r="DZ17" s="423">
        <f t="shared" si="21"/>
        <v>0</v>
      </c>
      <c r="EA17" s="424">
        <f t="shared" si="21"/>
        <v>0</v>
      </c>
      <c r="EB17" s="424">
        <f t="shared" si="21"/>
        <v>0</v>
      </c>
      <c r="EC17" s="424">
        <f t="shared" si="21"/>
        <v>0</v>
      </c>
      <c r="ED17" s="426">
        <f>ED10+ED15</f>
        <v>0</v>
      </c>
      <c r="EE17" s="424">
        <f>EE10+EE15</f>
        <v>0</v>
      </c>
      <c r="EF17" s="524">
        <f>EF10+EF15</f>
        <v>0</v>
      </c>
      <c r="EG17" s="429">
        <f t="shared" ref="EG17" si="22">EG10+EG15</f>
        <v>0</v>
      </c>
      <c r="EH17" s="459" t="e">
        <f t="shared" si="3"/>
        <v>#DIV/0!</v>
      </c>
      <c r="EI17" s="429">
        <v>484.67999999999995</v>
      </c>
      <c r="EJ17" s="429">
        <v>484.67999999999995</v>
      </c>
    </row>
    <row r="20" spans="1:140">
      <c r="DR20" s="396"/>
      <c r="DS20" s="236"/>
      <c r="DT20" s="236"/>
      <c r="DU20" s="236"/>
      <c r="DV20" s="390"/>
      <c r="DW20" s="236"/>
      <c r="DX20" s="236"/>
      <c r="DY20" s="236"/>
      <c r="DZ20" s="236"/>
      <c r="EG20" s="236"/>
    </row>
    <row r="21" spans="1:140">
      <c r="DR21" s="396"/>
      <c r="DS21" s="236"/>
      <c r="DT21" s="456"/>
      <c r="DU21" s="456"/>
      <c r="DV21" s="390"/>
      <c r="DW21" s="236"/>
      <c r="DX21" s="236"/>
      <c r="DY21" s="236"/>
      <c r="DZ21" s="236"/>
      <c r="EC21" s="530"/>
      <c r="EG21" s="456"/>
    </row>
    <row r="22" spans="1:140">
      <c r="DR22" s="396"/>
      <c r="DS22" s="236"/>
      <c r="DT22" s="236"/>
      <c r="DU22" s="236"/>
      <c r="DV22" s="390"/>
      <c r="DW22" s="236"/>
      <c r="DX22" s="236"/>
      <c r="DY22" s="236"/>
      <c r="DZ22" s="236"/>
      <c r="EA22" s="530"/>
      <c r="EG22" s="236"/>
    </row>
    <row r="23" spans="1:140">
      <c r="BF23" s="398"/>
      <c r="BG23" s="503"/>
      <c r="DR23" s="236"/>
      <c r="DS23" s="236"/>
      <c r="DT23" s="236"/>
      <c r="DU23" s="236"/>
      <c r="DV23" s="390"/>
      <c r="DW23" s="236"/>
      <c r="DX23" s="236"/>
      <c r="DY23" s="236"/>
      <c r="DZ23" s="236"/>
      <c r="EG23" s="236"/>
    </row>
    <row r="24" spans="1:140">
      <c r="DR24" s="236"/>
      <c r="DS24" s="236"/>
      <c r="DT24" s="236"/>
      <c r="DU24" s="236"/>
      <c r="DV24" s="390"/>
      <c r="DW24" s="236"/>
      <c r="DX24" s="236"/>
      <c r="DY24" s="236"/>
      <c r="DZ24" s="236"/>
      <c r="EG24" s="236"/>
    </row>
    <row r="25" spans="1:140">
      <c r="DR25" s="236"/>
      <c r="DS25" s="236"/>
      <c r="DT25" s="236"/>
      <c r="DU25" s="236"/>
      <c r="DV25" s="390"/>
      <c r="DW25" s="236"/>
      <c r="DX25" s="236"/>
      <c r="DY25" s="236"/>
      <c r="DZ25" s="236"/>
      <c r="EG25" s="236"/>
    </row>
    <row r="26" spans="1:140">
      <c r="DR26" s="236"/>
      <c r="DS26" s="236"/>
      <c r="DT26" s="236"/>
      <c r="DU26" s="236"/>
      <c r="DV26" s="390"/>
      <c r="DW26" s="236"/>
      <c r="DX26" s="236"/>
      <c r="DY26" s="236"/>
      <c r="DZ26" s="236"/>
      <c r="EG26" s="236"/>
    </row>
    <row r="27" spans="1:140">
      <c r="DR27" s="236"/>
      <c r="DS27" s="236"/>
      <c r="DT27" s="236"/>
      <c r="DU27" s="236"/>
      <c r="DV27" s="390"/>
      <c r="DW27" s="236"/>
      <c r="DX27" s="236"/>
      <c r="DY27" s="236"/>
      <c r="DZ27" s="236"/>
      <c r="EG27" s="236"/>
    </row>
    <row r="28" spans="1:140">
      <c r="DR28" s="236"/>
      <c r="DS28" s="236"/>
      <c r="DT28" s="236"/>
      <c r="DU28" s="236"/>
      <c r="DV28" s="390"/>
      <c r="DW28" s="236"/>
      <c r="DX28" s="236"/>
      <c r="DY28" s="236"/>
      <c r="DZ28" s="236"/>
      <c r="EG28" s="236"/>
    </row>
    <row r="29" spans="1:140">
      <c r="DR29" s="236"/>
      <c r="DS29" s="236"/>
      <c r="DT29" s="236"/>
      <c r="DU29" s="236"/>
      <c r="DV29" s="390"/>
      <c r="DW29" s="236"/>
      <c r="DX29" s="236"/>
      <c r="DY29" s="236"/>
      <c r="DZ29" s="236"/>
      <c r="EG29" s="236"/>
    </row>
    <row r="30" spans="1:140">
      <c r="DR30" s="236"/>
      <c r="DS30" s="236"/>
      <c r="DT30" s="236"/>
      <c r="DU30" s="236"/>
      <c r="DV30" s="390"/>
      <c r="DW30" s="236"/>
      <c r="DX30" s="236"/>
      <c r="DY30" s="236"/>
      <c r="DZ30" s="236"/>
      <c r="EG30" s="236"/>
    </row>
    <row r="31" spans="1:140">
      <c r="DR31" s="236"/>
      <c r="DS31" s="236"/>
      <c r="DT31" s="236"/>
      <c r="DU31" s="236"/>
      <c r="DV31" s="390"/>
      <c r="DW31" s="236"/>
      <c r="DX31" s="236"/>
      <c r="DY31" s="236"/>
      <c r="DZ31" s="236"/>
      <c r="EG31" s="236"/>
    </row>
    <row r="32" spans="1:140">
      <c r="DR32" s="236"/>
      <c r="DS32" s="236"/>
      <c r="DT32" s="236"/>
      <c r="DU32" s="236"/>
      <c r="DV32" s="390"/>
      <c r="DW32" s="236"/>
      <c r="DX32" s="236"/>
      <c r="DY32" s="236"/>
      <c r="DZ32" s="236"/>
      <c r="EG32" s="236"/>
    </row>
    <row r="33" spans="122:137">
      <c r="DR33" s="236"/>
      <c r="DS33" s="236"/>
      <c r="DT33" s="236"/>
      <c r="DU33" s="236"/>
      <c r="DV33" s="390"/>
      <c r="DW33" s="236"/>
      <c r="DX33" s="236"/>
      <c r="DY33" s="236"/>
      <c r="DZ33" s="236"/>
      <c r="EG33" s="236"/>
    </row>
    <row r="34" spans="122:137">
      <c r="DR34" s="236"/>
      <c r="DS34" s="236"/>
      <c r="DT34" s="236"/>
      <c r="DU34" s="236"/>
      <c r="DV34" s="390"/>
      <c r="DW34" s="236"/>
      <c r="DX34" s="236"/>
      <c r="DY34" s="236"/>
      <c r="DZ34" s="236"/>
      <c r="EG34" s="236"/>
    </row>
    <row r="35" spans="122:137">
      <c r="DR35" s="236"/>
      <c r="DS35" s="236"/>
      <c r="DT35" s="236"/>
      <c r="DU35" s="236"/>
      <c r="DV35" s="390"/>
      <c r="DW35" s="236"/>
      <c r="DX35" s="236"/>
      <c r="DY35" s="236"/>
      <c r="DZ35" s="236"/>
      <c r="EG35" s="236"/>
    </row>
    <row r="36" spans="122:137">
      <c r="DR36" s="236"/>
      <c r="DS36" s="236"/>
      <c r="DT36" s="236"/>
      <c r="DU36" s="236"/>
      <c r="DV36" s="390"/>
      <c r="DW36" s="236"/>
      <c r="DX36" s="236"/>
      <c r="DY36" s="236"/>
      <c r="DZ36" s="236"/>
      <c r="EG36" s="236"/>
    </row>
    <row r="37" spans="122:137">
      <c r="DR37" s="236"/>
      <c r="DS37" s="236"/>
      <c r="DT37" s="236"/>
      <c r="DU37" s="236"/>
      <c r="DV37" s="390"/>
      <c r="DW37" s="236"/>
      <c r="DX37" s="236"/>
      <c r="DY37" s="236"/>
      <c r="DZ37" s="236"/>
      <c r="EG37" s="236"/>
    </row>
    <row r="38" spans="122:137">
      <c r="DR38" s="236"/>
      <c r="DS38" s="236"/>
      <c r="DT38" s="236"/>
      <c r="DU38" s="236"/>
      <c r="DV38" s="390"/>
      <c r="DW38" s="236"/>
      <c r="DX38" s="236"/>
      <c r="DY38" s="236"/>
      <c r="DZ38" s="236"/>
      <c r="EG38" s="236"/>
    </row>
    <row r="39" spans="122:137">
      <c r="DR39" s="236"/>
      <c r="DS39" s="236"/>
      <c r="DT39" s="236"/>
      <c r="DU39" s="236"/>
      <c r="DV39" s="390"/>
      <c r="DW39" s="236"/>
      <c r="DX39" s="236"/>
      <c r="DY39" s="236"/>
      <c r="DZ39" s="236"/>
      <c r="EG39" s="236"/>
    </row>
    <row r="40" spans="122:137">
      <c r="DR40" s="236"/>
      <c r="DS40" s="236"/>
      <c r="DT40" s="236"/>
      <c r="DU40" s="236"/>
      <c r="DV40" s="390"/>
      <c r="DW40" s="236"/>
      <c r="DX40" s="236"/>
      <c r="DY40" s="236"/>
      <c r="DZ40" s="236"/>
      <c r="EG40" s="236"/>
    </row>
    <row r="41" spans="122:137">
      <c r="DR41" s="236"/>
      <c r="DS41" s="236"/>
      <c r="DT41" s="236"/>
      <c r="DU41" s="236"/>
      <c r="DV41" s="390"/>
      <c r="DW41" s="236"/>
      <c r="DX41" s="236"/>
      <c r="DY41" s="236"/>
      <c r="DZ41" s="236"/>
      <c r="EG41" s="236"/>
    </row>
    <row r="42" spans="122:137">
      <c r="DR42" s="236"/>
      <c r="DS42" s="236"/>
      <c r="DT42" s="236"/>
      <c r="DU42" s="236"/>
      <c r="DV42" s="390"/>
      <c r="DW42" s="236"/>
      <c r="DX42" s="236"/>
      <c r="DY42" s="236"/>
      <c r="DZ42" s="236"/>
      <c r="EG42" s="236"/>
    </row>
    <row r="43" spans="122:137">
      <c r="DR43" s="236"/>
      <c r="DS43" s="236"/>
      <c r="DT43" s="236"/>
      <c r="DU43" s="236"/>
      <c r="DV43" s="390"/>
      <c r="DW43" s="236"/>
      <c r="DX43" s="236"/>
      <c r="DY43" s="236"/>
      <c r="DZ43" s="236"/>
      <c r="EG43" s="236"/>
    </row>
    <row r="44" spans="122:137">
      <c r="DR44" s="236"/>
      <c r="DS44" s="236"/>
      <c r="DT44" s="236"/>
      <c r="DU44" s="236"/>
      <c r="DV44" s="390"/>
      <c r="DW44" s="236"/>
      <c r="DX44" s="236"/>
      <c r="DY44" s="236"/>
      <c r="DZ44" s="236"/>
      <c r="EG44" s="236"/>
    </row>
    <row r="45" spans="122:137">
      <c r="DR45" s="236"/>
      <c r="DS45" s="236"/>
      <c r="DT45" s="236"/>
      <c r="DU45" s="236"/>
      <c r="DV45" s="390"/>
      <c r="DW45" s="236"/>
      <c r="DX45" s="236"/>
      <c r="DY45" s="236"/>
      <c r="DZ45" s="236"/>
      <c r="EG45" s="236"/>
    </row>
    <row r="46" spans="122:137">
      <c r="DR46" s="236"/>
      <c r="DS46" s="236"/>
      <c r="DT46" s="236"/>
      <c r="DU46" s="236"/>
      <c r="DV46" s="390"/>
      <c r="DW46" s="236"/>
      <c r="DX46" s="236"/>
      <c r="DY46" s="236"/>
      <c r="DZ46" s="236"/>
      <c r="EG46" s="236"/>
    </row>
    <row r="47" spans="122:137">
      <c r="DR47" s="236"/>
      <c r="DS47" s="236"/>
      <c r="DT47" s="236"/>
      <c r="DU47" s="236"/>
      <c r="DV47" s="390"/>
      <c r="DW47" s="236"/>
      <c r="DX47" s="236"/>
      <c r="DY47" s="236"/>
      <c r="DZ47" s="236"/>
      <c r="EG47" s="236"/>
    </row>
    <row r="48" spans="122:137">
      <c r="DR48" s="236"/>
      <c r="DS48" s="236"/>
      <c r="DT48" s="236"/>
      <c r="DU48" s="236"/>
      <c r="DV48" s="390"/>
      <c r="DW48" s="236"/>
      <c r="DX48" s="236"/>
      <c r="DY48" s="236"/>
      <c r="DZ48" s="236"/>
      <c r="EG48" s="236"/>
    </row>
    <row r="49" spans="122:137">
      <c r="DR49" s="236"/>
      <c r="DS49" s="236"/>
      <c r="DT49" s="236"/>
      <c r="DU49" s="236"/>
      <c r="DV49" s="390"/>
      <c r="DW49" s="236"/>
      <c r="DX49" s="236"/>
      <c r="DY49" s="236"/>
      <c r="DZ49" s="236"/>
      <c r="EG49" s="236"/>
    </row>
    <row r="50" spans="122:137">
      <c r="DR50" s="236"/>
      <c r="DS50" s="236"/>
      <c r="DT50" s="236"/>
      <c r="DU50" s="236"/>
      <c r="DV50" s="390"/>
      <c r="DW50" s="236"/>
      <c r="DX50" s="236"/>
      <c r="DY50" s="236"/>
      <c r="DZ50" s="236"/>
      <c r="EG50" s="236"/>
    </row>
    <row r="51" spans="122:137">
      <c r="DR51" s="236"/>
      <c r="DS51" s="236"/>
      <c r="DT51" s="236"/>
      <c r="DU51" s="236"/>
      <c r="DV51" s="390"/>
      <c r="DW51" s="236"/>
      <c r="DX51" s="236"/>
      <c r="DY51" s="236"/>
      <c r="DZ51" s="236"/>
      <c r="EG51" s="236"/>
    </row>
    <row r="52" spans="122:137">
      <c r="DR52" s="236"/>
      <c r="DS52" s="236"/>
      <c r="DT52" s="236"/>
      <c r="DU52" s="236"/>
      <c r="DV52" s="390"/>
      <c r="DW52" s="236"/>
      <c r="DX52" s="236"/>
      <c r="DY52" s="236"/>
      <c r="DZ52" s="236"/>
      <c r="EG52" s="236"/>
    </row>
    <row r="53" spans="122:137">
      <c r="DR53" s="236"/>
      <c r="DS53" s="236"/>
      <c r="DT53" s="236"/>
      <c r="DU53" s="236"/>
      <c r="DV53" s="390"/>
      <c r="DW53" s="236"/>
      <c r="DX53" s="236"/>
      <c r="DY53" s="236"/>
      <c r="DZ53" s="236"/>
      <c r="EG53" s="236"/>
    </row>
    <row r="54" spans="122:137">
      <c r="DR54" s="236"/>
      <c r="DS54" s="236"/>
      <c r="DT54" s="236"/>
      <c r="DU54" s="236"/>
      <c r="DV54" s="390"/>
      <c r="DW54" s="236"/>
      <c r="DX54" s="236"/>
      <c r="DY54" s="236"/>
      <c r="DZ54" s="236"/>
      <c r="EG54" s="236"/>
    </row>
    <row r="55" spans="122:137">
      <c r="DR55" s="236"/>
      <c r="DS55" s="236"/>
      <c r="DT55" s="236"/>
      <c r="DU55" s="236"/>
      <c r="DV55" s="390"/>
      <c r="DW55" s="236"/>
      <c r="DX55" s="236"/>
      <c r="DY55" s="236"/>
      <c r="DZ55" s="236"/>
      <c r="EG55" s="236"/>
    </row>
    <row r="56" spans="122:137">
      <c r="DR56" s="236"/>
      <c r="DS56" s="236"/>
      <c r="DT56" s="236"/>
      <c r="DU56" s="236"/>
      <c r="DV56" s="390"/>
      <c r="DW56" s="236"/>
      <c r="DX56" s="236"/>
      <c r="DY56" s="236"/>
      <c r="DZ56" s="236"/>
      <c r="EG56" s="236"/>
    </row>
    <row r="57" spans="122:137">
      <c r="DR57" s="236"/>
      <c r="DS57" s="236"/>
      <c r="DT57" s="236"/>
      <c r="DU57" s="236"/>
      <c r="DV57" s="390"/>
      <c r="DW57" s="236"/>
      <c r="DX57" s="236"/>
      <c r="DY57" s="236"/>
      <c r="DZ57" s="236"/>
      <c r="EG57" s="236"/>
    </row>
    <row r="58" spans="122:137">
      <c r="DR58" s="236"/>
      <c r="DS58" s="236"/>
      <c r="DT58" s="236"/>
      <c r="DU58" s="236"/>
      <c r="DV58" s="390"/>
      <c r="DW58" s="236"/>
      <c r="DX58" s="236"/>
      <c r="DY58" s="236"/>
      <c r="DZ58" s="236"/>
      <c r="EG58" s="236"/>
    </row>
    <row r="59" spans="122:137">
      <c r="DR59" s="236"/>
      <c r="DS59" s="236"/>
      <c r="DT59" s="236"/>
      <c r="DU59" s="236"/>
      <c r="DV59" s="390"/>
      <c r="DW59" s="236"/>
      <c r="DX59" s="236"/>
      <c r="DY59" s="236"/>
      <c r="DZ59" s="236"/>
      <c r="EG59" s="236"/>
    </row>
    <row r="60" spans="122:137">
      <c r="DR60" s="236"/>
      <c r="DS60" s="236"/>
      <c r="DT60" s="236"/>
      <c r="DU60" s="236"/>
      <c r="DV60" s="390"/>
      <c r="DW60" s="236"/>
      <c r="DX60" s="236"/>
      <c r="DY60" s="236"/>
      <c r="DZ60" s="236"/>
      <c r="EG60" s="236"/>
    </row>
    <row r="61" spans="122:137">
      <c r="DR61" s="236"/>
      <c r="DS61" s="236"/>
      <c r="DT61" s="236"/>
      <c r="DU61" s="236"/>
      <c r="DV61" s="390"/>
      <c r="DW61" s="236"/>
      <c r="DX61" s="236"/>
      <c r="DY61" s="236"/>
      <c r="DZ61" s="236"/>
      <c r="EG61" s="236"/>
    </row>
    <row r="62" spans="122:137">
      <c r="DR62" s="236"/>
      <c r="DS62" s="236"/>
      <c r="DT62" s="236"/>
      <c r="DU62" s="236"/>
      <c r="DV62" s="390"/>
      <c r="DW62" s="236"/>
      <c r="DX62" s="236"/>
      <c r="DY62" s="236"/>
      <c r="DZ62" s="236"/>
      <c r="EG62" s="236"/>
    </row>
    <row r="63" spans="122:137">
      <c r="DR63" s="236"/>
      <c r="DS63" s="236"/>
      <c r="DT63" s="236"/>
      <c r="DU63" s="236"/>
      <c r="DV63" s="390"/>
      <c r="DW63" s="236"/>
      <c r="DX63" s="236"/>
      <c r="DY63" s="236"/>
      <c r="DZ63" s="236"/>
      <c r="EG63" s="236"/>
    </row>
    <row r="64" spans="122:137">
      <c r="DR64" s="236"/>
      <c r="DS64" s="236"/>
      <c r="DT64" s="236"/>
      <c r="DU64" s="236"/>
      <c r="DV64" s="390"/>
      <c r="DW64" s="236"/>
      <c r="DX64" s="236"/>
      <c r="DY64" s="236"/>
      <c r="DZ64" s="236"/>
      <c r="EG64" s="236"/>
    </row>
    <row r="65" spans="122:137">
      <c r="DR65" s="236"/>
      <c r="DS65" s="236"/>
      <c r="DT65" s="236"/>
      <c r="DU65" s="236"/>
      <c r="DV65" s="390"/>
      <c r="DW65" s="236"/>
      <c r="DX65" s="236"/>
      <c r="DY65" s="236"/>
      <c r="DZ65" s="236"/>
      <c r="EG65" s="236"/>
    </row>
    <row r="66" spans="122:137">
      <c r="DR66" s="236"/>
      <c r="DS66" s="236"/>
      <c r="DT66" s="236"/>
      <c r="DU66" s="236"/>
      <c r="DV66" s="390"/>
      <c r="DW66" s="236"/>
      <c r="DX66" s="236"/>
      <c r="DY66" s="236"/>
      <c r="DZ66" s="236"/>
      <c r="EG66" s="236"/>
    </row>
    <row r="67" spans="122:137">
      <c r="DR67" s="236"/>
      <c r="DS67" s="236"/>
      <c r="DT67" s="236"/>
      <c r="DU67" s="236"/>
      <c r="DV67" s="390"/>
      <c r="DW67" s="236"/>
      <c r="DX67" s="236"/>
      <c r="DY67" s="236"/>
      <c r="DZ67" s="236"/>
      <c r="EG67" s="236"/>
    </row>
    <row r="68" spans="122:137">
      <c r="DR68" s="236"/>
      <c r="DS68" s="236"/>
      <c r="DT68" s="236"/>
      <c r="DU68" s="236"/>
      <c r="DV68" s="390"/>
      <c r="DW68" s="236"/>
      <c r="DX68" s="236"/>
      <c r="DY68" s="236"/>
      <c r="DZ68" s="236"/>
      <c r="EG68" s="236"/>
    </row>
    <row r="69" spans="122:137">
      <c r="DR69" s="236"/>
      <c r="DS69" s="236"/>
      <c r="DT69" s="236"/>
      <c r="DU69" s="236"/>
      <c r="DV69" s="390"/>
      <c r="DW69" s="236"/>
      <c r="DX69" s="236"/>
      <c r="DY69" s="236"/>
      <c r="DZ69" s="236"/>
      <c r="EG69" s="236"/>
    </row>
    <row r="70" spans="122:137">
      <c r="DR70" s="236"/>
      <c r="DS70" s="236"/>
      <c r="DT70" s="236"/>
      <c r="DU70" s="236"/>
      <c r="DV70" s="390"/>
      <c r="DW70" s="236"/>
      <c r="DX70" s="236"/>
      <c r="DY70" s="236"/>
      <c r="DZ70" s="236"/>
      <c r="EG70" s="236"/>
    </row>
    <row r="71" spans="122:137">
      <c r="DR71" s="236"/>
      <c r="DS71" s="236"/>
      <c r="DT71" s="236"/>
      <c r="DU71" s="236"/>
      <c r="DV71" s="390"/>
      <c r="DW71" s="236"/>
      <c r="DX71" s="236"/>
      <c r="DY71" s="236"/>
      <c r="DZ71" s="236"/>
      <c r="EG71" s="236"/>
    </row>
    <row r="72" spans="122:137">
      <c r="DR72" s="236"/>
      <c r="DS72" s="236"/>
      <c r="DT72" s="236"/>
      <c r="DU72" s="236"/>
      <c r="DV72" s="390"/>
      <c r="DW72" s="236"/>
      <c r="DX72" s="236"/>
      <c r="DY72" s="236"/>
      <c r="DZ72" s="236"/>
      <c r="EG72" s="236"/>
    </row>
    <row r="73" spans="122:137">
      <c r="DR73" s="236"/>
      <c r="DS73" s="236"/>
      <c r="DT73" s="236"/>
      <c r="DU73" s="236"/>
      <c r="DV73" s="390"/>
      <c r="DW73" s="236"/>
      <c r="DX73" s="236"/>
      <c r="DY73" s="236"/>
      <c r="DZ73" s="236"/>
      <c r="EG73" s="236"/>
    </row>
    <row r="74" spans="122:137">
      <c r="DR74" s="236"/>
      <c r="DS74" s="236"/>
      <c r="DT74" s="236"/>
      <c r="DU74" s="236"/>
      <c r="DV74" s="390"/>
      <c r="DW74" s="236"/>
      <c r="DX74" s="236"/>
      <c r="DY74" s="236"/>
      <c r="DZ74" s="236"/>
      <c r="EG74" s="236"/>
    </row>
    <row r="75" spans="122:137">
      <c r="DR75" s="236"/>
      <c r="DS75" s="236"/>
      <c r="DT75" s="236"/>
      <c r="DU75" s="236"/>
      <c r="DV75" s="390"/>
      <c r="DW75" s="236"/>
      <c r="DX75" s="236"/>
      <c r="DY75" s="236"/>
      <c r="DZ75" s="236"/>
      <c r="EG75" s="236"/>
    </row>
  </sheetData>
  <mergeCells count="38">
    <mergeCell ref="A1:EI1"/>
    <mergeCell ref="EI2:EI3"/>
    <mergeCell ref="A2:A3"/>
    <mergeCell ref="AT2:AW2"/>
    <mergeCell ref="AX2:BA2"/>
    <mergeCell ref="BF2:BI2"/>
    <mergeCell ref="CH2:CK2"/>
    <mergeCell ref="BJ2:BM2"/>
    <mergeCell ref="B2:E2"/>
    <mergeCell ref="F2:I2"/>
    <mergeCell ref="O2:S2"/>
    <mergeCell ref="Y2:AB2"/>
    <mergeCell ref="AC2:AG2"/>
    <mergeCell ref="AH2:AK2"/>
    <mergeCell ref="AL2:AO2"/>
    <mergeCell ref="AP2:AS2"/>
    <mergeCell ref="CD2:CG2"/>
    <mergeCell ref="CL2:CO2"/>
    <mergeCell ref="CP2:CS2"/>
    <mergeCell ref="BN2:BQ2"/>
    <mergeCell ref="BR2:BU2"/>
    <mergeCell ref="BV2:BY2"/>
    <mergeCell ref="EJ2:EJ3"/>
    <mergeCell ref="T2:X2"/>
    <mergeCell ref="DZ2:EF2"/>
    <mergeCell ref="J2:N2"/>
    <mergeCell ref="EH2:EH3"/>
    <mergeCell ref="EG2:EG3"/>
    <mergeCell ref="DN2:DQ2"/>
    <mergeCell ref="DR2:DU2"/>
    <mergeCell ref="DV2:DY2"/>
    <mergeCell ref="CT2:CW2"/>
    <mergeCell ref="CX2:DA2"/>
    <mergeCell ref="DB2:DE2"/>
    <mergeCell ref="DF2:DI2"/>
    <mergeCell ref="DJ2:DM2"/>
    <mergeCell ref="BB2:BE2"/>
    <mergeCell ref="BZ2:CC2"/>
  </mergeCells>
  <conditionalFormatting sqref="EH4:EH14">
    <cfRule type="dataBar" priority="1">
      <dataBar>
        <cfvo type="min" val="0"/>
        <cfvo type="max" val="0"/>
        <color rgb="FF63C384"/>
      </dataBar>
    </cfRule>
  </conditionalFormatting>
  <pageMargins left="0.7" right="0.7" top="0.75" bottom="0.75" header="0.3" footer="0.3"/>
  <pageSetup paperSize="9" orientation="portrait" horizontalDpi="0" verticalDpi="0" r:id="rId1"/>
  <ignoredErrors>
    <ignoredError sqref="EA15 EF15 DZ10:EC10 EE4:EE14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34">
    <pageSetUpPr fitToPage="1"/>
  </sheetPr>
  <dimension ref="A1:BJ80"/>
  <sheetViews>
    <sheetView showGridLines="0" topLeftCell="G1" zoomScale="55" zoomScaleNormal="55" workbookViewId="0">
      <pane xSplit="3" topLeftCell="AH1" activePane="topRight" state="frozen"/>
      <selection activeCell="G1" sqref="G1"/>
      <selection pane="topRight" activeCell="BH34" sqref="BH34"/>
    </sheetView>
  </sheetViews>
  <sheetFormatPr defaultColWidth="9.140625" defaultRowHeight="21"/>
  <cols>
    <col min="1" max="2" width="9.140625" style="23" hidden="1" customWidth="1"/>
    <col min="3" max="3" width="14.5703125" style="23" hidden="1" customWidth="1"/>
    <col min="4" max="4" width="11.42578125" style="27" hidden="1" customWidth="1"/>
    <col min="5" max="5" width="6.85546875" style="27" hidden="1" customWidth="1"/>
    <col min="6" max="6" width="9.140625" style="27" hidden="1" customWidth="1"/>
    <col min="7" max="7" width="3.42578125" style="23" hidden="1" customWidth="1"/>
    <col min="8" max="8" width="6.140625" style="23" customWidth="1"/>
    <col min="9" max="9" width="20.140625" style="27" bestFit="1" customWidth="1"/>
    <col min="10" max="10" width="11.5703125" style="26" customWidth="1"/>
    <col min="11" max="11" width="9.140625" style="24" customWidth="1"/>
    <col min="12" max="12" width="15" style="24" bestFit="1" customWidth="1"/>
    <col min="13" max="13" width="12.85546875" style="24" customWidth="1"/>
    <col min="14" max="14" width="10.5703125" style="26" customWidth="1"/>
    <col min="15" max="15" width="10.28515625" style="24" customWidth="1"/>
    <col min="16" max="17" width="10.5703125" style="24" customWidth="1"/>
    <col min="18" max="18" width="8.5703125" style="26" customWidth="1"/>
    <col min="19" max="19" width="11.5703125" style="24" customWidth="1"/>
    <col min="20" max="20" width="14" style="24" bestFit="1" customWidth="1"/>
    <col min="21" max="21" width="12.28515625" style="24" bestFit="1" customWidth="1"/>
    <col min="22" max="22" width="13.7109375" style="26" bestFit="1" customWidth="1"/>
    <col min="23" max="23" width="12.5703125" style="24" bestFit="1" customWidth="1"/>
    <col min="24" max="25" width="9.7109375" style="24" customWidth="1"/>
    <col min="26" max="26" width="11" style="26" customWidth="1"/>
    <col min="27" max="27" width="12.42578125" style="24" customWidth="1"/>
    <col min="28" max="29" width="11.85546875" style="24" customWidth="1"/>
    <col min="30" max="30" width="12.5703125" style="26" bestFit="1" customWidth="1"/>
    <col min="31" max="31" width="18" style="24" bestFit="1" customWidth="1"/>
    <col min="32" max="32" width="15" style="24" bestFit="1" customWidth="1"/>
    <col min="33" max="33" width="10.5703125" style="24" customWidth="1"/>
    <col min="34" max="34" width="11.5703125" style="26" bestFit="1" customWidth="1"/>
    <col min="35" max="35" width="13.5703125" style="24" customWidth="1"/>
    <col min="36" max="37" width="11.5703125" style="24" customWidth="1"/>
    <col min="38" max="38" width="10.5703125" style="49" customWidth="1"/>
    <col min="39" max="39" width="9" style="24" customWidth="1"/>
    <col min="40" max="40" width="12" style="24" bestFit="1" customWidth="1"/>
    <col min="41" max="41" width="12" style="24" customWidth="1"/>
    <col min="42" max="42" width="8.42578125" style="26" customWidth="1"/>
    <col min="43" max="43" width="10" style="24" bestFit="1" customWidth="1"/>
    <col min="44" max="44" width="13.85546875" style="24" bestFit="1" customWidth="1"/>
    <col min="45" max="45" width="13.85546875" style="24" customWidth="1"/>
    <col min="46" max="46" width="11.7109375" style="26" customWidth="1"/>
    <col min="47" max="47" width="11.7109375" style="24" customWidth="1"/>
    <col min="48" max="48" width="10.5703125" style="24" bestFit="1" customWidth="1"/>
    <col min="49" max="49" width="10.5703125" style="24" customWidth="1"/>
    <col min="50" max="50" width="9.140625" style="26" bestFit="1" customWidth="1"/>
    <col min="51" max="51" width="9.140625" style="50" bestFit="1" customWidth="1"/>
    <col min="52" max="52" width="10.5703125" style="50" bestFit="1" customWidth="1"/>
    <col min="53" max="53" width="10.5703125" style="50" customWidth="1"/>
    <col min="54" max="54" width="10.7109375" style="26" bestFit="1" customWidth="1"/>
    <col min="55" max="55" width="12.85546875" style="24" bestFit="1" customWidth="1"/>
    <col min="56" max="56" width="10.5703125" style="24" bestFit="1" customWidth="1"/>
    <col min="57" max="57" width="10.5703125" style="24" customWidth="1"/>
    <col min="58" max="58" width="16" style="25" bestFit="1" customWidth="1"/>
    <col min="59" max="59" width="10.7109375" style="24" bestFit="1" customWidth="1"/>
    <col min="60" max="60" width="13" style="23" bestFit="1" customWidth="1"/>
    <col min="61" max="61" width="11" style="23" bestFit="1" customWidth="1"/>
    <col min="62" max="62" width="9.140625" style="1063"/>
    <col min="63" max="16384" width="9.140625" style="23"/>
  </cols>
  <sheetData>
    <row r="1" spans="3:62" ht="15" customHeight="1" thickBot="1"/>
    <row r="2" spans="3:62" ht="21.75" thickBot="1">
      <c r="C2" s="1899" t="s">
        <v>45</v>
      </c>
      <c r="D2" s="1900"/>
      <c r="E2" s="1900"/>
      <c r="F2" s="1901"/>
      <c r="H2" s="1915"/>
      <c r="I2" s="1567"/>
      <c r="J2" s="1567"/>
      <c r="K2" s="1567"/>
      <c r="L2" s="1020"/>
      <c r="M2" s="1020"/>
      <c r="N2" s="1916" t="s">
        <v>249</v>
      </c>
      <c r="O2" s="1916"/>
      <c r="P2" s="1916"/>
      <c r="Q2" s="1916"/>
      <c r="R2" s="1916"/>
      <c r="S2" s="1916"/>
      <c r="T2" s="1916"/>
      <c r="U2" s="1916"/>
      <c r="V2" s="1916"/>
      <c r="W2" s="1916"/>
      <c r="X2" s="1916"/>
      <c r="Y2" s="1916"/>
      <c r="Z2" s="1916"/>
      <c r="AA2" s="1916"/>
      <c r="AB2" s="1916"/>
      <c r="AC2" s="1916"/>
      <c r="AD2" s="1916"/>
      <c r="AE2" s="1916"/>
      <c r="AF2" s="1916"/>
      <c r="AG2" s="1916"/>
      <c r="AH2" s="1916"/>
      <c r="AI2" s="1916"/>
      <c r="AJ2" s="1916"/>
      <c r="AK2" s="1916"/>
      <c r="AL2" s="1916"/>
      <c r="AM2" s="1916"/>
      <c r="AN2" s="1916"/>
      <c r="AO2" s="1916"/>
      <c r="AP2" s="1916"/>
      <c r="AQ2" s="1916"/>
      <c r="AR2" s="1916"/>
      <c r="AS2" s="1916"/>
      <c r="AT2" s="1916"/>
      <c r="AU2" s="1916"/>
      <c r="AV2" s="1916"/>
      <c r="AW2" s="1916"/>
      <c r="AX2" s="1916"/>
      <c r="AY2" s="1916"/>
      <c r="AZ2" s="1916"/>
      <c r="BA2" s="1020"/>
      <c r="BB2" s="1902" t="s">
        <v>118</v>
      </c>
      <c r="BC2" s="1903"/>
      <c r="BD2" s="1903"/>
      <c r="BE2" s="1903"/>
      <c r="BF2" s="1903"/>
      <c r="BG2" s="1903"/>
      <c r="BH2" s="1903"/>
      <c r="BI2" s="1904"/>
    </row>
    <row r="3" spans="3:62" ht="21.75" thickBot="1">
      <c r="C3" s="1019"/>
      <c r="D3" s="1017"/>
      <c r="E3" s="1017"/>
      <c r="F3" s="1023"/>
      <c r="H3" s="1905" t="s">
        <v>115</v>
      </c>
      <c r="I3" s="1906"/>
      <c r="J3" s="1906"/>
      <c r="K3" s="1906"/>
      <c r="L3" s="1906"/>
      <c r="M3" s="1906"/>
      <c r="N3" s="1906"/>
      <c r="O3" s="1906"/>
      <c r="P3" s="1906"/>
      <c r="Q3" s="1906"/>
      <c r="R3" s="1906"/>
      <c r="S3" s="1906"/>
      <c r="T3" s="1906"/>
      <c r="U3" s="1906"/>
      <c r="V3" s="1906"/>
      <c r="W3" s="1906"/>
      <c r="X3" s="1906"/>
      <c r="Y3" s="1906"/>
      <c r="Z3" s="1906"/>
      <c r="AA3" s="1906"/>
      <c r="AB3" s="1906"/>
      <c r="AC3" s="1906"/>
      <c r="AD3" s="1906"/>
      <c r="AE3" s="1906"/>
      <c r="AF3" s="1906"/>
      <c r="AG3" s="1906"/>
      <c r="AH3" s="1906"/>
      <c r="AI3" s="1906"/>
      <c r="AJ3" s="1906"/>
      <c r="AK3" s="1906"/>
      <c r="AL3" s="1906"/>
      <c r="AM3" s="1906"/>
      <c r="AN3" s="1906"/>
      <c r="AO3" s="1906"/>
      <c r="AP3" s="1906"/>
      <c r="AQ3" s="1906"/>
      <c r="AR3" s="1906"/>
      <c r="AS3" s="1906"/>
      <c r="AT3" s="1906"/>
      <c r="AU3" s="1906"/>
      <c r="AV3" s="1906"/>
      <c r="AW3" s="1906"/>
      <c r="AX3" s="1906"/>
      <c r="AY3" s="1906"/>
      <c r="AZ3" s="1906"/>
      <c r="BA3" s="1906"/>
      <c r="BB3" s="1906"/>
      <c r="BC3" s="1906"/>
      <c r="BD3" s="1906"/>
      <c r="BE3" s="1906"/>
      <c r="BF3" s="1906"/>
      <c r="BG3" s="1906"/>
      <c r="BH3" s="1906"/>
      <c r="BI3" s="1907"/>
    </row>
    <row r="4" spans="3:62">
      <c r="C4" s="37" t="s">
        <v>44</v>
      </c>
      <c r="D4" s="1869"/>
      <c r="E4" s="1869"/>
      <c r="F4" s="1870"/>
      <c r="H4" s="1908" t="s">
        <v>33</v>
      </c>
      <c r="I4" s="1909"/>
      <c r="J4" s="1871" t="s">
        <v>43</v>
      </c>
      <c r="K4" s="1872"/>
      <c r="L4" s="1872"/>
      <c r="M4" s="1873"/>
      <c r="N4" s="1871" t="s">
        <v>42</v>
      </c>
      <c r="O4" s="1872"/>
      <c r="P4" s="1872"/>
      <c r="Q4" s="1873"/>
      <c r="R4" s="1871" t="s">
        <v>41</v>
      </c>
      <c r="S4" s="1872"/>
      <c r="T4" s="1872"/>
      <c r="U4" s="1873"/>
      <c r="V4" s="1871" t="s">
        <v>40</v>
      </c>
      <c r="W4" s="1872"/>
      <c r="X4" s="1872"/>
      <c r="Y4" s="1873"/>
      <c r="Z4" s="1871" t="s">
        <v>39</v>
      </c>
      <c r="AA4" s="1872"/>
      <c r="AB4" s="1872"/>
      <c r="AC4" s="1873"/>
      <c r="AD4" s="1871" t="s">
        <v>38</v>
      </c>
      <c r="AE4" s="1872"/>
      <c r="AF4" s="1872"/>
      <c r="AG4" s="1873"/>
      <c r="AH4" s="1874" t="s">
        <v>122</v>
      </c>
      <c r="AI4" s="1875"/>
      <c r="AJ4" s="1875"/>
      <c r="AK4" s="1876"/>
      <c r="AL4" s="1871" t="s">
        <v>37</v>
      </c>
      <c r="AM4" s="1872"/>
      <c r="AN4" s="1872"/>
      <c r="AO4" s="1873"/>
      <c r="AP4" s="1871" t="s">
        <v>36</v>
      </c>
      <c r="AQ4" s="1872"/>
      <c r="AR4" s="1872"/>
      <c r="AS4" s="1873"/>
      <c r="AT4" s="1871" t="s">
        <v>35</v>
      </c>
      <c r="AU4" s="1872"/>
      <c r="AV4" s="1872"/>
      <c r="AW4" s="1873"/>
      <c r="AX4" s="1871" t="s">
        <v>34</v>
      </c>
      <c r="AY4" s="1872"/>
      <c r="AZ4" s="1872"/>
      <c r="BA4" s="1873"/>
      <c r="BB4" s="1874" t="s">
        <v>123</v>
      </c>
      <c r="BC4" s="1875"/>
      <c r="BD4" s="1875"/>
      <c r="BE4" s="1876"/>
      <c r="BF4" s="1877" t="s">
        <v>17</v>
      </c>
      <c r="BG4" s="1878"/>
      <c r="BH4" s="1878"/>
      <c r="BI4" s="1878"/>
    </row>
    <row r="5" spans="3:62" ht="15.75" customHeight="1">
      <c r="C5" s="1879" t="s">
        <v>33</v>
      </c>
      <c r="D5" s="1869"/>
      <c r="E5" s="1017" t="s">
        <v>1</v>
      </c>
      <c r="F5" s="1023" t="s">
        <v>2</v>
      </c>
      <c r="H5" s="1910"/>
      <c r="I5" s="1911"/>
      <c r="J5" s="36" t="s">
        <v>1</v>
      </c>
      <c r="K5" s="271" t="s">
        <v>2</v>
      </c>
      <c r="L5" s="693" t="s">
        <v>182</v>
      </c>
      <c r="M5" s="35" t="s">
        <v>247</v>
      </c>
      <c r="N5" s="36" t="s">
        <v>1</v>
      </c>
      <c r="O5" s="271" t="s">
        <v>2</v>
      </c>
      <c r="P5" s="693" t="s">
        <v>182</v>
      </c>
      <c r="Q5" s="35" t="s">
        <v>247</v>
      </c>
      <c r="R5" s="36" t="s">
        <v>1</v>
      </c>
      <c r="S5" s="271" t="s">
        <v>2</v>
      </c>
      <c r="T5" s="693" t="s">
        <v>182</v>
      </c>
      <c r="U5" s="35" t="s">
        <v>247</v>
      </c>
      <c r="V5" s="36" t="s">
        <v>1</v>
      </c>
      <c r="W5" s="271" t="s">
        <v>2</v>
      </c>
      <c r="X5" s="693" t="s">
        <v>182</v>
      </c>
      <c r="Y5" s="35" t="s">
        <v>247</v>
      </c>
      <c r="Z5" s="36" t="s">
        <v>1</v>
      </c>
      <c r="AA5" s="271" t="s">
        <v>2</v>
      </c>
      <c r="AB5" s="693" t="s">
        <v>182</v>
      </c>
      <c r="AC5" s="35" t="s">
        <v>247</v>
      </c>
      <c r="AD5" s="36" t="s">
        <v>1</v>
      </c>
      <c r="AE5" s="271" t="s">
        <v>2</v>
      </c>
      <c r="AF5" s="693" t="s">
        <v>182</v>
      </c>
      <c r="AG5" s="35" t="s">
        <v>247</v>
      </c>
      <c r="AH5" s="36" t="s">
        <v>1</v>
      </c>
      <c r="AI5" s="271" t="s">
        <v>2</v>
      </c>
      <c r="AJ5" s="271" t="s">
        <v>182</v>
      </c>
      <c r="AK5" s="690" t="s">
        <v>196</v>
      </c>
      <c r="AL5" s="36" t="s">
        <v>1</v>
      </c>
      <c r="AM5" s="271" t="s">
        <v>2</v>
      </c>
      <c r="AN5" s="693" t="s">
        <v>182</v>
      </c>
      <c r="AO5" s="35" t="s">
        <v>247</v>
      </c>
      <c r="AP5" s="36" t="s">
        <v>1</v>
      </c>
      <c r="AQ5" s="271" t="s">
        <v>2</v>
      </c>
      <c r="AR5" s="693" t="s">
        <v>182</v>
      </c>
      <c r="AS5" s="35" t="s">
        <v>247</v>
      </c>
      <c r="AT5" s="36" t="s">
        <v>1</v>
      </c>
      <c r="AU5" s="271" t="s">
        <v>2</v>
      </c>
      <c r="AV5" s="693" t="s">
        <v>182</v>
      </c>
      <c r="AW5" s="35" t="s">
        <v>247</v>
      </c>
      <c r="AX5" s="36" t="s">
        <v>1</v>
      </c>
      <c r="AY5" s="271" t="s">
        <v>2</v>
      </c>
      <c r="AZ5" s="693" t="s">
        <v>182</v>
      </c>
      <c r="BA5" s="35" t="s">
        <v>247</v>
      </c>
      <c r="BB5" s="36" t="s">
        <v>1</v>
      </c>
      <c r="BC5" s="271" t="s">
        <v>2</v>
      </c>
      <c r="BD5" s="271" t="s">
        <v>182</v>
      </c>
      <c r="BE5" s="690" t="s">
        <v>196</v>
      </c>
      <c r="BF5" s="274" t="s">
        <v>1</v>
      </c>
      <c r="BG5" s="275" t="s">
        <v>2</v>
      </c>
      <c r="BH5" s="275" t="s">
        <v>182</v>
      </c>
      <c r="BI5" s="698" t="s">
        <v>196</v>
      </c>
    </row>
    <row r="6" spans="3:62" s="28" customFormat="1" ht="20.100000000000001" customHeight="1">
      <c r="C6" s="1879" t="s">
        <v>19</v>
      </c>
      <c r="D6" s="1017" t="s">
        <v>32</v>
      </c>
      <c r="E6" s="1017"/>
      <c r="F6" s="1018"/>
      <c r="H6" s="1886" t="s">
        <v>32</v>
      </c>
      <c r="I6" s="33" t="s">
        <v>32</v>
      </c>
      <c r="J6" s="462"/>
      <c r="K6" s="1068"/>
      <c r="L6" s="463"/>
      <c r="M6" s="691"/>
      <c r="N6" s="462"/>
      <c r="O6" s="463">
        <v>21</v>
      </c>
      <c r="P6" s="463">
        <v>21</v>
      </c>
      <c r="Q6" s="691"/>
      <c r="R6" s="462"/>
      <c r="S6" s="463"/>
      <c r="T6" s="463"/>
      <c r="U6" s="691"/>
      <c r="V6" s="462"/>
      <c r="W6" s="463"/>
      <c r="X6" s="463"/>
      <c r="Y6" s="691"/>
      <c r="Z6" s="462"/>
      <c r="AA6" s="463"/>
      <c r="AB6" s="463"/>
      <c r="AC6" s="691"/>
      <c r="AD6" s="462"/>
      <c r="AE6" s="463"/>
      <c r="AF6" s="463"/>
      <c r="AG6" s="691"/>
      <c r="AH6" s="128">
        <f>J6+N6+R6+V6+Z6+AD6</f>
        <v>0</v>
      </c>
      <c r="AI6" s="273">
        <f>K6+O6+S6+W6+AA6+AE6</f>
        <v>21</v>
      </c>
      <c r="AJ6" s="273">
        <f>L6+P6+T6+X6+AB6+AF6</f>
        <v>21</v>
      </c>
      <c r="AK6" s="694">
        <f>M6+Q6+U6+Y6+AC6+AG6</f>
        <v>0</v>
      </c>
      <c r="AL6" s="462"/>
      <c r="AM6" s="463"/>
      <c r="AN6" s="463"/>
      <c r="AO6" s="691"/>
      <c r="AP6" s="462"/>
      <c r="AQ6" s="463"/>
      <c r="AR6" s="463"/>
      <c r="AS6" s="691"/>
      <c r="AT6" s="462"/>
      <c r="AU6" s="463"/>
      <c r="AV6" s="463"/>
      <c r="AW6" s="691"/>
      <c r="AX6" s="462"/>
      <c r="AY6" s="463"/>
      <c r="AZ6" s="463"/>
      <c r="BA6" s="691"/>
      <c r="BB6" s="128">
        <f>AL6+AP6+AT6+AX6</f>
        <v>0</v>
      </c>
      <c r="BC6" s="273">
        <f>AM6+AQ6+AU6+AY6</f>
        <v>0</v>
      </c>
      <c r="BD6" s="273">
        <f>AN6+AR6+AV6+AZ6</f>
        <v>0</v>
      </c>
      <c r="BE6" s="273">
        <f>AO6+AS6+AW6+BA6</f>
        <v>0</v>
      </c>
      <c r="BF6" s="276">
        <f>AH6+BB6</f>
        <v>0</v>
      </c>
      <c r="BG6" s="277">
        <f>AI6+BC6</f>
        <v>21</v>
      </c>
      <c r="BH6" s="701">
        <f>AJ6+BD6</f>
        <v>21</v>
      </c>
      <c r="BI6" s="699">
        <f>AK6+BE6</f>
        <v>0</v>
      </c>
      <c r="BJ6" s="1064"/>
    </row>
    <row r="7" spans="3:62" s="28" customFormat="1" ht="20.100000000000001" customHeight="1">
      <c r="C7" s="1879"/>
      <c r="D7" s="1017" t="s">
        <v>31</v>
      </c>
      <c r="E7" s="1017"/>
      <c r="F7" s="1018"/>
      <c r="H7" s="1887"/>
      <c r="I7" s="33" t="s">
        <v>31</v>
      </c>
      <c r="J7" s="462"/>
      <c r="K7" s="463"/>
      <c r="L7" s="463"/>
      <c r="M7" s="691"/>
      <c r="N7" s="462"/>
      <c r="O7" s="463"/>
      <c r="P7" s="463"/>
      <c r="Q7" s="691"/>
      <c r="R7" s="462"/>
      <c r="S7" s="463"/>
      <c r="T7" s="463"/>
      <c r="U7" s="691"/>
      <c r="V7" s="462"/>
      <c r="W7" s="463"/>
      <c r="X7" s="463"/>
      <c r="Y7" s="691"/>
      <c r="Z7" s="462"/>
      <c r="AA7" s="463"/>
      <c r="AB7" s="463"/>
      <c r="AC7" s="691"/>
      <c r="AD7" s="462"/>
      <c r="AE7" s="463"/>
      <c r="AF7" s="463"/>
      <c r="AG7" s="691"/>
      <c r="AH7" s="128">
        <f t="shared" ref="AH7:AK9" si="0">J7+N7+R7+V7+Z7+AD7</f>
        <v>0</v>
      </c>
      <c r="AI7" s="273">
        <f t="shared" si="0"/>
        <v>0</v>
      </c>
      <c r="AJ7" s="273">
        <f t="shared" si="0"/>
        <v>0</v>
      </c>
      <c r="AK7" s="694">
        <f t="shared" si="0"/>
        <v>0</v>
      </c>
      <c r="AL7" s="462"/>
      <c r="AM7" s="463"/>
      <c r="AN7" s="463"/>
      <c r="AO7" s="691"/>
      <c r="AP7" s="462"/>
      <c r="AQ7" s="463"/>
      <c r="AR7" s="463"/>
      <c r="AS7" s="691"/>
      <c r="AT7" s="462"/>
      <c r="AU7" s="463"/>
      <c r="AV7" s="463"/>
      <c r="AW7" s="691"/>
      <c r="AX7" s="462"/>
      <c r="AY7" s="463"/>
      <c r="AZ7" s="463"/>
      <c r="BA7" s="691"/>
      <c r="BB7" s="128">
        <f t="shared" ref="BB7:BE9" si="1">AL7+AP7+AT7+AX7</f>
        <v>0</v>
      </c>
      <c r="BC7" s="273">
        <f t="shared" si="1"/>
        <v>0</v>
      </c>
      <c r="BD7" s="273">
        <f t="shared" si="1"/>
        <v>0</v>
      </c>
      <c r="BE7" s="273">
        <f t="shared" si="1"/>
        <v>0</v>
      </c>
      <c r="BF7" s="276">
        <f t="shared" ref="BF7:BI9" si="2">AH7+BB7</f>
        <v>0</v>
      </c>
      <c r="BG7" s="277">
        <f t="shared" si="2"/>
        <v>0</v>
      </c>
      <c r="BH7" s="277">
        <f t="shared" si="2"/>
        <v>0</v>
      </c>
      <c r="BI7" s="699">
        <f t="shared" si="2"/>
        <v>0</v>
      </c>
      <c r="BJ7" s="1064"/>
    </row>
    <row r="8" spans="3:62" s="28" customFormat="1" ht="20.100000000000001" customHeight="1">
      <c r="C8" s="1879"/>
      <c r="D8" s="1017" t="s">
        <v>30</v>
      </c>
      <c r="E8" s="1017"/>
      <c r="F8" s="1018"/>
      <c r="H8" s="1887"/>
      <c r="I8" s="33" t="s">
        <v>30</v>
      </c>
      <c r="J8" s="462"/>
      <c r="K8" s="463"/>
      <c r="L8" s="463"/>
      <c r="M8" s="691"/>
      <c r="N8" s="462"/>
      <c r="O8" s="463"/>
      <c r="P8" s="463"/>
      <c r="Q8" s="691"/>
      <c r="R8" s="462"/>
      <c r="S8" s="463"/>
      <c r="T8" s="463"/>
      <c r="U8" s="691"/>
      <c r="V8" s="462"/>
      <c r="W8" s="463"/>
      <c r="X8" s="463"/>
      <c r="Y8" s="691"/>
      <c r="Z8" s="462"/>
      <c r="AA8" s="463"/>
      <c r="AB8" s="463"/>
      <c r="AC8" s="691"/>
      <c r="AD8" s="462"/>
      <c r="AE8" s="463"/>
      <c r="AF8" s="463"/>
      <c r="AG8" s="691"/>
      <c r="AH8" s="128">
        <f t="shared" si="0"/>
        <v>0</v>
      </c>
      <c r="AI8" s="273">
        <f t="shared" si="0"/>
        <v>0</v>
      </c>
      <c r="AJ8" s="273">
        <f t="shared" si="0"/>
        <v>0</v>
      </c>
      <c r="AK8" s="694">
        <f t="shared" si="0"/>
        <v>0</v>
      </c>
      <c r="AL8" s="462"/>
      <c r="AM8" s="463"/>
      <c r="AN8" s="463"/>
      <c r="AO8" s="691"/>
      <c r="AP8" s="462"/>
      <c r="AQ8" s="463"/>
      <c r="AR8" s="463"/>
      <c r="AS8" s="691"/>
      <c r="AT8" s="462"/>
      <c r="AU8" s="463"/>
      <c r="AV8" s="463"/>
      <c r="AW8" s="691"/>
      <c r="AX8" s="462"/>
      <c r="AY8" s="463"/>
      <c r="AZ8" s="463"/>
      <c r="BA8" s="691"/>
      <c r="BB8" s="128">
        <f t="shared" si="1"/>
        <v>0</v>
      </c>
      <c r="BC8" s="273">
        <f t="shared" si="1"/>
        <v>0</v>
      </c>
      <c r="BD8" s="273">
        <f t="shared" si="1"/>
        <v>0</v>
      </c>
      <c r="BE8" s="273">
        <f t="shared" si="1"/>
        <v>0</v>
      </c>
      <c r="BF8" s="276">
        <f t="shared" si="2"/>
        <v>0</v>
      </c>
      <c r="BG8" s="277">
        <f t="shared" si="2"/>
        <v>0</v>
      </c>
      <c r="BH8" s="277">
        <f t="shared" si="2"/>
        <v>0</v>
      </c>
      <c r="BI8" s="699">
        <f t="shared" si="2"/>
        <v>0</v>
      </c>
      <c r="BJ8" s="1064"/>
    </row>
    <row r="9" spans="3:62" s="28" customFormat="1" ht="20.100000000000001" customHeight="1">
      <c r="C9" s="1885"/>
      <c r="D9" s="1017" t="s">
        <v>29</v>
      </c>
      <c r="E9" s="1017"/>
      <c r="F9" s="1018"/>
      <c r="H9" s="1887"/>
      <c r="I9" s="33" t="s">
        <v>109</v>
      </c>
      <c r="J9" s="462"/>
      <c r="K9" s="463"/>
      <c r="L9" s="463"/>
      <c r="M9" s="691"/>
      <c r="N9" s="462"/>
      <c r="O9" s="463"/>
      <c r="P9" s="463"/>
      <c r="Q9" s="691"/>
      <c r="R9" s="462"/>
      <c r="S9" s="463"/>
      <c r="T9" s="463"/>
      <c r="U9" s="691"/>
      <c r="V9" s="462"/>
      <c r="W9" s="463"/>
      <c r="X9" s="463"/>
      <c r="Y9" s="691"/>
      <c r="Z9" s="462"/>
      <c r="AA9" s="463"/>
      <c r="AB9" s="463"/>
      <c r="AC9" s="691"/>
      <c r="AD9" s="462"/>
      <c r="AE9" s="463"/>
      <c r="AF9" s="463"/>
      <c r="AG9" s="691"/>
      <c r="AH9" s="128">
        <f t="shared" si="0"/>
        <v>0</v>
      </c>
      <c r="AI9" s="273">
        <f t="shared" si="0"/>
        <v>0</v>
      </c>
      <c r="AJ9" s="273">
        <f t="shared" si="0"/>
        <v>0</v>
      </c>
      <c r="AK9" s="694">
        <f t="shared" si="0"/>
        <v>0</v>
      </c>
      <c r="AL9" s="462"/>
      <c r="AM9" s="463"/>
      <c r="AN9" s="463"/>
      <c r="AO9" s="691"/>
      <c r="AP9" s="462"/>
      <c r="AQ9" s="463"/>
      <c r="AR9" s="463"/>
      <c r="AS9" s="691"/>
      <c r="AT9" s="462"/>
      <c r="AU9" s="463"/>
      <c r="AV9" s="463"/>
      <c r="AW9" s="691"/>
      <c r="AX9" s="462"/>
      <c r="AY9" s="463"/>
      <c r="AZ9" s="463"/>
      <c r="BA9" s="691"/>
      <c r="BB9" s="128">
        <f t="shared" si="1"/>
        <v>0</v>
      </c>
      <c r="BC9" s="273">
        <f t="shared" si="1"/>
        <v>0</v>
      </c>
      <c r="BD9" s="273">
        <f t="shared" si="1"/>
        <v>0</v>
      </c>
      <c r="BE9" s="273">
        <f t="shared" si="1"/>
        <v>0</v>
      </c>
      <c r="BF9" s="276">
        <f t="shared" si="2"/>
        <v>0</v>
      </c>
      <c r="BG9" s="277">
        <f t="shared" si="2"/>
        <v>0</v>
      </c>
      <c r="BH9" s="277">
        <f t="shared" si="2"/>
        <v>0</v>
      </c>
      <c r="BI9" s="699">
        <f t="shared" si="2"/>
        <v>0</v>
      </c>
      <c r="BJ9" s="1064"/>
    </row>
    <row r="10" spans="3:62" s="28" customFormat="1" ht="19.5" customHeight="1" thickBot="1">
      <c r="C10" s="32"/>
      <c r="D10" s="31" t="s">
        <v>18</v>
      </c>
      <c r="E10" s="31"/>
      <c r="F10" s="30"/>
      <c r="H10" s="1865" t="s">
        <v>47</v>
      </c>
      <c r="I10" s="1866"/>
      <c r="J10" s="118">
        <f t="shared" ref="J10:BG10" si="3">SUM(J6:J9)</f>
        <v>0</v>
      </c>
      <c r="K10" s="272">
        <f t="shared" si="3"/>
        <v>0</v>
      </c>
      <c r="L10" s="272">
        <f t="shared" si="3"/>
        <v>0</v>
      </c>
      <c r="M10" s="272">
        <f t="shared" si="3"/>
        <v>0</v>
      </c>
      <c r="N10" s="118">
        <f t="shared" si="3"/>
        <v>0</v>
      </c>
      <c r="O10" s="272">
        <f t="shared" si="3"/>
        <v>21</v>
      </c>
      <c r="P10" s="272">
        <f t="shared" si="3"/>
        <v>21</v>
      </c>
      <c r="Q10" s="272">
        <f t="shared" si="3"/>
        <v>0</v>
      </c>
      <c r="R10" s="118">
        <f t="shared" si="3"/>
        <v>0</v>
      </c>
      <c r="S10" s="272">
        <f t="shared" si="3"/>
        <v>0</v>
      </c>
      <c r="T10" s="272">
        <f t="shared" si="3"/>
        <v>0</v>
      </c>
      <c r="U10" s="272">
        <f t="shared" si="3"/>
        <v>0</v>
      </c>
      <c r="V10" s="118">
        <f t="shared" si="3"/>
        <v>0</v>
      </c>
      <c r="W10" s="272">
        <f t="shared" si="3"/>
        <v>0</v>
      </c>
      <c r="X10" s="272">
        <f t="shared" si="3"/>
        <v>0</v>
      </c>
      <c r="Y10" s="272">
        <f t="shared" si="3"/>
        <v>0</v>
      </c>
      <c r="Z10" s="118">
        <f t="shared" si="3"/>
        <v>0</v>
      </c>
      <c r="AA10" s="272">
        <f t="shared" si="3"/>
        <v>0</v>
      </c>
      <c r="AB10" s="272">
        <f t="shared" si="3"/>
        <v>0</v>
      </c>
      <c r="AC10" s="272">
        <f t="shared" si="3"/>
        <v>0</v>
      </c>
      <c r="AD10" s="118">
        <f t="shared" si="3"/>
        <v>0</v>
      </c>
      <c r="AE10" s="272">
        <f t="shared" si="3"/>
        <v>0</v>
      </c>
      <c r="AF10" s="272">
        <f t="shared" si="3"/>
        <v>0</v>
      </c>
      <c r="AG10" s="272">
        <f t="shared" si="3"/>
        <v>0</v>
      </c>
      <c r="AH10" s="118">
        <f t="shared" si="3"/>
        <v>0</v>
      </c>
      <c r="AI10" s="272">
        <f t="shared" si="3"/>
        <v>21</v>
      </c>
      <c r="AJ10" s="272">
        <f>SUM(AJ6:AJ9)</f>
        <v>21</v>
      </c>
      <c r="AK10" s="695">
        <f>SUM(AK6:AK9)</f>
        <v>0</v>
      </c>
      <c r="AL10" s="118">
        <f t="shared" si="3"/>
        <v>0</v>
      </c>
      <c r="AM10" s="1394">
        <f t="shared" si="3"/>
        <v>0</v>
      </c>
      <c r="AN10" s="272">
        <f t="shared" si="3"/>
        <v>0</v>
      </c>
      <c r="AO10" s="272">
        <f t="shared" si="3"/>
        <v>0</v>
      </c>
      <c r="AP10" s="118">
        <f t="shared" si="3"/>
        <v>0</v>
      </c>
      <c r="AQ10" s="272">
        <f t="shared" si="3"/>
        <v>0</v>
      </c>
      <c r="AR10" s="272">
        <f t="shared" si="3"/>
        <v>0</v>
      </c>
      <c r="AS10" s="272">
        <f t="shared" si="3"/>
        <v>0</v>
      </c>
      <c r="AT10" s="118">
        <f t="shared" si="3"/>
        <v>0</v>
      </c>
      <c r="AU10" s="272">
        <f t="shared" si="3"/>
        <v>0</v>
      </c>
      <c r="AV10" s="272">
        <f t="shared" si="3"/>
        <v>0</v>
      </c>
      <c r="AW10" s="272">
        <f t="shared" si="3"/>
        <v>0</v>
      </c>
      <c r="AX10" s="118">
        <f t="shared" si="3"/>
        <v>0</v>
      </c>
      <c r="AY10" s="272">
        <f t="shared" si="3"/>
        <v>0</v>
      </c>
      <c r="AZ10" s="272">
        <f t="shared" si="3"/>
        <v>0</v>
      </c>
      <c r="BA10" s="272">
        <f t="shared" si="3"/>
        <v>0</v>
      </c>
      <c r="BB10" s="118">
        <f t="shared" si="3"/>
        <v>0</v>
      </c>
      <c r="BC10" s="272">
        <f t="shared" si="3"/>
        <v>0</v>
      </c>
      <c r="BD10" s="272">
        <f t="shared" si="3"/>
        <v>0</v>
      </c>
      <c r="BE10" s="272">
        <f t="shared" si="3"/>
        <v>0</v>
      </c>
      <c r="BF10" s="278">
        <f t="shared" si="3"/>
        <v>0</v>
      </c>
      <c r="BG10" s="279">
        <f t="shared" si="3"/>
        <v>21</v>
      </c>
      <c r="BH10" s="702">
        <f>AJ10+BD10</f>
        <v>21</v>
      </c>
      <c r="BI10" s="700">
        <f>AK10+BE10</f>
        <v>0</v>
      </c>
      <c r="BJ10" s="1064"/>
    </row>
    <row r="11" spans="3:62" s="119" customFormat="1" ht="5.25" customHeight="1">
      <c r="D11" s="120"/>
      <c r="E11" s="120"/>
      <c r="F11" s="120"/>
      <c r="H11" s="122"/>
      <c r="I11" s="122"/>
      <c r="J11" s="125"/>
      <c r="K11" s="126"/>
      <c r="L11" s="126"/>
      <c r="M11" s="126"/>
      <c r="N11" s="125"/>
      <c r="O11" s="126"/>
      <c r="P11" s="126"/>
      <c r="Q11" s="126"/>
      <c r="R11" s="125"/>
      <c r="S11" s="126"/>
      <c r="T11" s="126"/>
      <c r="U11" s="126"/>
      <c r="V11" s="125"/>
      <c r="W11" s="126"/>
      <c r="X11" s="126"/>
      <c r="Y11" s="126"/>
      <c r="Z11" s="125"/>
      <c r="AA11" s="126"/>
      <c r="AB11" s="126"/>
      <c r="AC11" s="126"/>
      <c r="AD11" s="125"/>
      <c r="AE11" s="126"/>
      <c r="AF11" s="126"/>
      <c r="AG11" s="126"/>
      <c r="AH11" s="125"/>
      <c r="AI11" s="126"/>
      <c r="AJ11" s="126"/>
      <c r="AK11" s="126"/>
      <c r="AL11" s="125"/>
      <c r="AM11" s="126"/>
      <c r="AN11" s="126"/>
      <c r="AO11" s="126"/>
      <c r="AP11" s="125"/>
      <c r="AQ11" s="126"/>
      <c r="AR11" s="126"/>
      <c r="AS11" s="126"/>
      <c r="AT11" s="125"/>
      <c r="AU11" s="126"/>
      <c r="AV11" s="126"/>
      <c r="AW11" s="126"/>
      <c r="AX11" s="125"/>
      <c r="AY11" s="126"/>
      <c r="AZ11" s="126"/>
      <c r="BA11" s="126"/>
      <c r="BB11" s="125"/>
      <c r="BC11" s="126"/>
      <c r="BD11" s="126"/>
      <c r="BE11" s="126"/>
      <c r="BF11" s="125"/>
      <c r="BG11" s="126"/>
      <c r="BJ11" s="1065"/>
    </row>
    <row r="12" spans="3:62" ht="21.75" thickBot="1">
      <c r="C12" s="1019"/>
      <c r="D12" s="1017"/>
      <c r="E12" s="1017"/>
      <c r="F12" s="1023"/>
      <c r="H12" s="1867" t="s">
        <v>114</v>
      </c>
      <c r="I12" s="1868"/>
      <c r="J12" s="1868"/>
      <c r="K12" s="1868"/>
      <c r="L12" s="1868"/>
      <c r="M12" s="1868"/>
      <c r="N12" s="1868"/>
      <c r="O12" s="1868"/>
      <c r="P12" s="1868"/>
      <c r="Q12" s="1868"/>
      <c r="R12" s="1868"/>
      <c r="S12" s="1868"/>
      <c r="T12" s="1868"/>
      <c r="U12" s="1868"/>
      <c r="V12" s="1868"/>
      <c r="W12" s="1868"/>
      <c r="X12" s="1868"/>
      <c r="Y12" s="1868"/>
      <c r="Z12" s="1868"/>
      <c r="AA12" s="1868"/>
      <c r="AB12" s="1868"/>
      <c r="AC12" s="1868"/>
      <c r="AD12" s="1868"/>
      <c r="AE12" s="1868"/>
      <c r="AF12" s="1868"/>
      <c r="AG12" s="1868"/>
      <c r="AH12" s="1868"/>
      <c r="AI12" s="1868"/>
      <c r="AJ12" s="1868"/>
      <c r="AK12" s="1868"/>
      <c r="AL12" s="1868"/>
      <c r="AM12" s="1868"/>
      <c r="AN12" s="1868"/>
      <c r="AO12" s="1868"/>
      <c r="AP12" s="1868"/>
      <c r="AQ12" s="1868"/>
      <c r="AR12" s="1868"/>
      <c r="AS12" s="1868"/>
      <c r="AT12" s="1868"/>
      <c r="AU12" s="1868"/>
      <c r="AV12" s="1868"/>
      <c r="AW12" s="1868"/>
      <c r="AX12" s="1868"/>
      <c r="AY12" s="1868"/>
      <c r="AZ12" s="1868"/>
      <c r="BA12" s="1868"/>
      <c r="BB12" s="1868"/>
      <c r="BC12" s="1868"/>
      <c r="BD12" s="1868"/>
      <c r="BE12" s="1868"/>
      <c r="BF12" s="1868"/>
      <c r="BG12" s="1868"/>
      <c r="BH12" s="1868"/>
      <c r="BI12" s="1868"/>
    </row>
    <row r="13" spans="3:62" ht="18.75" customHeight="1">
      <c r="C13" s="37" t="s">
        <v>44</v>
      </c>
      <c r="D13" s="1869"/>
      <c r="E13" s="1869"/>
      <c r="F13" s="1870"/>
      <c r="H13" s="1895" t="s">
        <v>117</v>
      </c>
      <c r="I13" s="1896"/>
      <c r="J13" s="1890" t="s">
        <v>43</v>
      </c>
      <c r="K13" s="1891"/>
      <c r="L13" s="1891"/>
      <c r="M13" s="1892"/>
      <c r="N13" s="1890" t="s">
        <v>42</v>
      </c>
      <c r="O13" s="1891"/>
      <c r="P13" s="1891"/>
      <c r="Q13" s="1892"/>
      <c r="R13" s="1890" t="s">
        <v>41</v>
      </c>
      <c r="S13" s="1891"/>
      <c r="T13" s="1891"/>
      <c r="U13" s="1892"/>
      <c r="V13" s="1890" t="s">
        <v>40</v>
      </c>
      <c r="W13" s="1891"/>
      <c r="X13" s="1891"/>
      <c r="Y13" s="1892"/>
      <c r="Z13" s="1890" t="s">
        <v>39</v>
      </c>
      <c r="AA13" s="1891"/>
      <c r="AB13" s="1891"/>
      <c r="AC13" s="1892"/>
      <c r="AD13" s="1890" t="s">
        <v>38</v>
      </c>
      <c r="AE13" s="1891"/>
      <c r="AF13" s="1891"/>
      <c r="AG13" s="1892"/>
      <c r="AH13" s="1882" t="s">
        <v>122</v>
      </c>
      <c r="AI13" s="1883"/>
      <c r="AJ13" s="1883"/>
      <c r="AK13" s="1884"/>
      <c r="AL13" s="1890" t="s">
        <v>37</v>
      </c>
      <c r="AM13" s="1891"/>
      <c r="AN13" s="1891"/>
      <c r="AO13" s="1892"/>
      <c r="AP13" s="1890" t="s">
        <v>36</v>
      </c>
      <c r="AQ13" s="1891"/>
      <c r="AR13" s="1891"/>
      <c r="AS13" s="1892"/>
      <c r="AT13" s="1890" t="s">
        <v>35</v>
      </c>
      <c r="AU13" s="1891"/>
      <c r="AV13" s="1891"/>
      <c r="AW13" s="1892"/>
      <c r="AX13" s="1890" t="s">
        <v>34</v>
      </c>
      <c r="AY13" s="1891"/>
      <c r="AZ13" s="1891"/>
      <c r="BA13" s="1892"/>
      <c r="BB13" s="1882" t="s">
        <v>123</v>
      </c>
      <c r="BC13" s="1883"/>
      <c r="BD13" s="1883"/>
      <c r="BE13" s="1884"/>
      <c r="BF13" s="1880" t="s">
        <v>17</v>
      </c>
      <c r="BG13" s="1881"/>
      <c r="BH13" s="1881"/>
      <c r="BI13" s="1881"/>
    </row>
    <row r="14" spans="3:62" ht="27" customHeight="1">
      <c r="C14" s="1879" t="s">
        <v>33</v>
      </c>
      <c r="D14" s="1869"/>
      <c r="E14" s="1017" t="s">
        <v>1</v>
      </c>
      <c r="F14" s="1023" t="s">
        <v>2</v>
      </c>
      <c r="H14" s="1897"/>
      <c r="I14" s="1898"/>
      <c r="J14" s="36" t="s">
        <v>1</v>
      </c>
      <c r="K14" s="271" t="s">
        <v>2</v>
      </c>
      <c r="L14" s="271" t="s">
        <v>182</v>
      </c>
      <c r="M14" s="35" t="s">
        <v>247</v>
      </c>
      <c r="N14" s="36" t="s">
        <v>1</v>
      </c>
      <c r="O14" s="271" t="s">
        <v>2</v>
      </c>
      <c r="P14" s="271" t="s">
        <v>182</v>
      </c>
      <c r="Q14" s="35" t="s">
        <v>247</v>
      </c>
      <c r="R14" s="36" t="s">
        <v>1</v>
      </c>
      <c r="S14" s="271" t="s">
        <v>2</v>
      </c>
      <c r="T14" s="271" t="s">
        <v>182</v>
      </c>
      <c r="U14" s="35" t="s">
        <v>247</v>
      </c>
      <c r="V14" s="36" t="s">
        <v>1</v>
      </c>
      <c r="W14" s="271" t="s">
        <v>2</v>
      </c>
      <c r="X14" s="271" t="s">
        <v>182</v>
      </c>
      <c r="Y14" s="35" t="s">
        <v>247</v>
      </c>
      <c r="Z14" s="36" t="s">
        <v>1</v>
      </c>
      <c r="AA14" s="271" t="s">
        <v>2</v>
      </c>
      <c r="AB14" s="271" t="s">
        <v>182</v>
      </c>
      <c r="AC14" s="35" t="s">
        <v>247</v>
      </c>
      <c r="AD14" s="36" t="s">
        <v>1</v>
      </c>
      <c r="AE14" s="271" t="s">
        <v>2</v>
      </c>
      <c r="AF14" s="271" t="s">
        <v>182</v>
      </c>
      <c r="AG14" s="35" t="s">
        <v>247</v>
      </c>
      <c r="AH14" s="36" t="s">
        <v>1</v>
      </c>
      <c r="AI14" s="271" t="s">
        <v>2</v>
      </c>
      <c r="AJ14" s="271" t="s">
        <v>182</v>
      </c>
      <c r="AK14" s="690" t="s">
        <v>196</v>
      </c>
      <c r="AL14" s="36" t="s">
        <v>1</v>
      </c>
      <c r="AM14" s="271" t="s">
        <v>2</v>
      </c>
      <c r="AN14" s="271" t="s">
        <v>182</v>
      </c>
      <c r="AO14" s="35" t="s">
        <v>247</v>
      </c>
      <c r="AP14" s="36" t="s">
        <v>1</v>
      </c>
      <c r="AQ14" s="271" t="s">
        <v>2</v>
      </c>
      <c r="AR14" s="271" t="s">
        <v>182</v>
      </c>
      <c r="AS14" s="35" t="s">
        <v>247</v>
      </c>
      <c r="AT14" s="36" t="s">
        <v>1</v>
      </c>
      <c r="AU14" s="271" t="s">
        <v>2</v>
      </c>
      <c r="AV14" s="271" t="s">
        <v>182</v>
      </c>
      <c r="AW14" s="35" t="s">
        <v>247</v>
      </c>
      <c r="AX14" s="36" t="s">
        <v>1</v>
      </c>
      <c r="AY14" s="271" t="s">
        <v>2</v>
      </c>
      <c r="AZ14" s="271" t="s">
        <v>182</v>
      </c>
      <c r="BA14" s="35" t="s">
        <v>247</v>
      </c>
      <c r="BB14" s="36" t="s">
        <v>1</v>
      </c>
      <c r="BC14" s="271" t="s">
        <v>2</v>
      </c>
      <c r="BD14" s="271" t="s">
        <v>182</v>
      </c>
      <c r="BE14" s="690" t="s">
        <v>196</v>
      </c>
      <c r="BF14" s="274" t="s">
        <v>1</v>
      </c>
      <c r="BG14" s="275" t="s">
        <v>2</v>
      </c>
      <c r="BH14" s="275" t="s">
        <v>182</v>
      </c>
      <c r="BI14" s="703" t="s">
        <v>196</v>
      </c>
    </row>
    <row r="15" spans="3:62" s="28" customFormat="1" ht="20.100000000000001" customHeight="1">
      <c r="C15" s="1879" t="s">
        <v>28</v>
      </c>
      <c r="D15" s="1017" t="s">
        <v>27</v>
      </c>
      <c r="E15" s="1021"/>
      <c r="F15" s="34"/>
      <c r="H15" s="1888" t="s">
        <v>112</v>
      </c>
      <c r="I15" s="33" t="s">
        <v>27</v>
      </c>
      <c r="J15" s="462"/>
      <c r="K15" s="463"/>
      <c r="L15" s="463"/>
      <c r="M15" s="692"/>
      <c r="N15" s="462"/>
      <c r="O15" s="463"/>
      <c r="P15" s="463"/>
      <c r="Q15" s="692"/>
      <c r="R15" s="462"/>
      <c r="S15" s="463"/>
      <c r="T15" s="463"/>
      <c r="U15" s="692"/>
      <c r="V15" s="462"/>
      <c r="W15" s="463"/>
      <c r="X15" s="463"/>
      <c r="Y15" s="692"/>
      <c r="Z15" s="462"/>
      <c r="AA15" s="463"/>
      <c r="AB15" s="463"/>
      <c r="AC15" s="692"/>
      <c r="AD15" s="462"/>
      <c r="AE15" s="463"/>
      <c r="AF15" s="463"/>
      <c r="AG15" s="692"/>
      <c r="AH15" s="128">
        <f>J15+N15+R15+V15+Z15+AD15</f>
        <v>0</v>
      </c>
      <c r="AI15" s="273">
        <f>K15+O15+S15+W15+AA15+AE15</f>
        <v>0</v>
      </c>
      <c r="AJ15" s="273">
        <f>L15+P15+T15+X15+AB15+AF15</f>
        <v>0</v>
      </c>
      <c r="AK15" s="694">
        <f>M15+Q15+U15+Y15+AC15+AG15</f>
        <v>0</v>
      </c>
      <c r="AL15" s="462"/>
      <c r="AM15" s="463"/>
      <c r="AN15" s="463"/>
      <c r="AO15" s="692"/>
      <c r="AP15" s="462"/>
      <c r="AQ15" s="463"/>
      <c r="AR15" s="463"/>
      <c r="AS15" s="692"/>
      <c r="AT15" s="462"/>
      <c r="AU15" s="463"/>
      <c r="AV15" s="463"/>
      <c r="AW15" s="692"/>
      <c r="AX15" s="462"/>
      <c r="AY15" s="463"/>
      <c r="AZ15" s="463"/>
      <c r="BA15" s="692"/>
      <c r="BB15" s="128">
        <f>AL15+AP15+AT15+AX15</f>
        <v>0</v>
      </c>
      <c r="BC15" s="273">
        <f>AM15+AQ15+AU15+AY15</f>
        <v>0</v>
      </c>
      <c r="BD15" s="273">
        <f>AN15+AR15+AV15+AZ15</f>
        <v>0</v>
      </c>
      <c r="BE15" s="273">
        <f>AO15+AS15+AW15+BA15</f>
        <v>0</v>
      </c>
      <c r="BF15" s="276">
        <f t="shared" ref="BF15:BI23" si="4">AH15+BB15</f>
        <v>0</v>
      </c>
      <c r="BG15" s="277">
        <f t="shared" si="4"/>
        <v>0</v>
      </c>
      <c r="BH15" s="277">
        <f t="shared" si="4"/>
        <v>0</v>
      </c>
      <c r="BI15" s="704">
        <f t="shared" si="4"/>
        <v>0</v>
      </c>
      <c r="BJ15" s="1064"/>
    </row>
    <row r="16" spans="3:62" s="28" customFormat="1" ht="20.100000000000001" customHeight="1">
      <c r="C16" s="1879"/>
      <c r="D16" s="1017" t="s">
        <v>26</v>
      </c>
      <c r="E16" s="1017"/>
      <c r="F16" s="1018"/>
      <c r="H16" s="1889"/>
      <c r="I16" s="33" t="s">
        <v>26</v>
      </c>
      <c r="J16" s="462"/>
      <c r="K16" s="463"/>
      <c r="L16" s="463"/>
      <c r="M16" s="692"/>
      <c r="N16" s="462"/>
      <c r="O16" s="463"/>
      <c r="P16" s="463"/>
      <c r="Q16" s="692"/>
      <c r="R16" s="462"/>
      <c r="S16" s="463"/>
      <c r="T16" s="463"/>
      <c r="U16" s="692"/>
      <c r="V16" s="462"/>
      <c r="W16" s="463"/>
      <c r="X16" s="463"/>
      <c r="Y16" s="692"/>
      <c r="Z16" s="462"/>
      <c r="AA16" s="463"/>
      <c r="AB16" s="463"/>
      <c r="AC16" s="692"/>
      <c r="AD16" s="462"/>
      <c r="AE16" s="463"/>
      <c r="AF16" s="463"/>
      <c r="AG16" s="692"/>
      <c r="AH16" s="128">
        <f t="shared" ref="AH16:AK23" si="5">J16+N16+R16+V16+Z16+AD16</f>
        <v>0</v>
      </c>
      <c r="AI16" s="273">
        <f t="shared" si="5"/>
        <v>0</v>
      </c>
      <c r="AJ16" s="273">
        <f t="shared" si="5"/>
        <v>0</v>
      </c>
      <c r="AK16" s="694">
        <f t="shared" si="5"/>
        <v>0</v>
      </c>
      <c r="AL16" s="462"/>
      <c r="AM16" s="463"/>
      <c r="AN16" s="463"/>
      <c r="AO16" s="692"/>
      <c r="AP16" s="462"/>
      <c r="AQ16" s="463"/>
      <c r="AR16" s="463"/>
      <c r="AS16" s="692"/>
      <c r="AT16" s="462"/>
      <c r="AU16" s="463"/>
      <c r="AV16" s="463"/>
      <c r="AW16" s="692"/>
      <c r="AX16" s="462"/>
      <c r="AY16" s="463"/>
      <c r="AZ16" s="463"/>
      <c r="BA16" s="692"/>
      <c r="BB16" s="128">
        <f t="shared" ref="BB16:BE23" si="6">AL16+AP16+AT16+AX16</f>
        <v>0</v>
      </c>
      <c r="BC16" s="273">
        <f t="shared" si="6"/>
        <v>0</v>
      </c>
      <c r="BD16" s="273">
        <f t="shared" si="6"/>
        <v>0</v>
      </c>
      <c r="BE16" s="273">
        <f t="shared" si="6"/>
        <v>0</v>
      </c>
      <c r="BF16" s="276">
        <f t="shared" si="4"/>
        <v>0</v>
      </c>
      <c r="BG16" s="277">
        <f t="shared" si="4"/>
        <v>0</v>
      </c>
      <c r="BH16" s="277">
        <f t="shared" si="4"/>
        <v>0</v>
      </c>
      <c r="BI16" s="704">
        <f t="shared" si="4"/>
        <v>0</v>
      </c>
      <c r="BJ16" s="1064"/>
    </row>
    <row r="17" spans="3:62" s="28" customFormat="1" ht="23.25" customHeight="1">
      <c r="C17" s="1879"/>
      <c r="D17" s="1017" t="s">
        <v>25</v>
      </c>
      <c r="E17" s="1017"/>
      <c r="F17" s="1018"/>
      <c r="H17" s="1889"/>
      <c r="I17" s="33" t="s">
        <v>25</v>
      </c>
      <c r="J17" s="462"/>
      <c r="K17" s="463"/>
      <c r="L17" s="463"/>
      <c r="M17" s="692"/>
      <c r="N17" s="462"/>
      <c r="O17" s="463"/>
      <c r="P17" s="463"/>
      <c r="Q17" s="692"/>
      <c r="R17" s="462"/>
      <c r="S17" s="463"/>
      <c r="T17" s="463"/>
      <c r="U17" s="692"/>
      <c r="V17" s="462"/>
      <c r="W17" s="463"/>
      <c r="X17" s="463"/>
      <c r="Y17" s="692"/>
      <c r="Z17" s="462"/>
      <c r="AA17" s="463"/>
      <c r="AB17" s="463"/>
      <c r="AC17" s="692"/>
      <c r="AD17" s="462"/>
      <c r="AE17" s="463"/>
      <c r="AF17" s="463"/>
      <c r="AG17" s="692"/>
      <c r="AH17" s="128">
        <f t="shared" si="5"/>
        <v>0</v>
      </c>
      <c r="AI17" s="273">
        <f t="shared" si="5"/>
        <v>0</v>
      </c>
      <c r="AJ17" s="273">
        <f t="shared" si="5"/>
        <v>0</v>
      </c>
      <c r="AK17" s="694">
        <f t="shared" si="5"/>
        <v>0</v>
      </c>
      <c r="AL17" s="462"/>
      <c r="AM17" s="463"/>
      <c r="AN17" s="463"/>
      <c r="AO17" s="692"/>
      <c r="AP17" s="462"/>
      <c r="AQ17" s="463"/>
      <c r="AR17" s="463"/>
      <c r="AS17" s="692"/>
      <c r="AT17" s="462"/>
      <c r="AU17" s="463"/>
      <c r="AV17" s="463"/>
      <c r="AW17" s="692"/>
      <c r="AX17" s="462"/>
      <c r="AY17" s="463"/>
      <c r="AZ17" s="463"/>
      <c r="BA17" s="692"/>
      <c r="BB17" s="128">
        <f t="shared" si="6"/>
        <v>0</v>
      </c>
      <c r="BC17" s="273">
        <f t="shared" si="6"/>
        <v>0</v>
      </c>
      <c r="BD17" s="273">
        <f t="shared" si="6"/>
        <v>0</v>
      </c>
      <c r="BE17" s="273">
        <f t="shared" si="6"/>
        <v>0</v>
      </c>
      <c r="BF17" s="276">
        <f t="shared" si="4"/>
        <v>0</v>
      </c>
      <c r="BG17" s="277">
        <f t="shared" si="4"/>
        <v>0</v>
      </c>
      <c r="BH17" s="277">
        <f t="shared" si="4"/>
        <v>0</v>
      </c>
      <c r="BI17" s="704">
        <f t="shared" si="4"/>
        <v>0</v>
      </c>
      <c r="BJ17" s="1064"/>
    </row>
    <row r="18" spans="3:62" s="28" customFormat="1">
      <c r="C18" s="1879"/>
      <c r="D18" s="1017" t="s">
        <v>24</v>
      </c>
      <c r="E18" s="1017"/>
      <c r="F18" s="1018"/>
      <c r="H18" s="1889"/>
      <c r="I18" s="33" t="s">
        <v>24</v>
      </c>
      <c r="J18" s="462"/>
      <c r="K18" s="463"/>
      <c r="L18" s="463"/>
      <c r="M18" s="692"/>
      <c r="N18" s="462"/>
      <c r="O18" s="463"/>
      <c r="P18" s="463"/>
      <c r="Q18" s="692"/>
      <c r="R18" s="462"/>
      <c r="S18" s="463"/>
      <c r="T18" s="463"/>
      <c r="U18" s="692"/>
      <c r="V18" s="462"/>
      <c r="W18" s="463"/>
      <c r="X18" s="463"/>
      <c r="Y18" s="692"/>
      <c r="Z18" s="462"/>
      <c r="AA18" s="463"/>
      <c r="AB18" s="463"/>
      <c r="AC18" s="692"/>
      <c r="AD18" s="462"/>
      <c r="AE18" s="463"/>
      <c r="AF18" s="463"/>
      <c r="AG18" s="692"/>
      <c r="AH18" s="128">
        <f t="shared" si="5"/>
        <v>0</v>
      </c>
      <c r="AI18" s="273">
        <f t="shared" si="5"/>
        <v>0</v>
      </c>
      <c r="AJ18" s="273">
        <f t="shared" si="5"/>
        <v>0</v>
      </c>
      <c r="AK18" s="694">
        <f t="shared" si="5"/>
        <v>0</v>
      </c>
      <c r="AL18" s="462"/>
      <c r="AM18" s="463"/>
      <c r="AN18" s="463"/>
      <c r="AO18" s="692"/>
      <c r="AP18" s="462"/>
      <c r="AQ18" s="463"/>
      <c r="AR18" s="463"/>
      <c r="AS18" s="692"/>
      <c r="AT18" s="462"/>
      <c r="AU18" s="463"/>
      <c r="AV18" s="463"/>
      <c r="AW18" s="692"/>
      <c r="AX18" s="462"/>
      <c r="AY18" s="463"/>
      <c r="AZ18" s="463"/>
      <c r="BA18" s="692"/>
      <c r="BB18" s="128">
        <f t="shared" si="6"/>
        <v>0</v>
      </c>
      <c r="BC18" s="273">
        <f t="shared" si="6"/>
        <v>0</v>
      </c>
      <c r="BD18" s="273">
        <f t="shared" si="6"/>
        <v>0</v>
      </c>
      <c r="BE18" s="273">
        <f t="shared" si="6"/>
        <v>0</v>
      </c>
      <c r="BF18" s="276">
        <f t="shared" si="4"/>
        <v>0</v>
      </c>
      <c r="BG18" s="277">
        <f t="shared" si="4"/>
        <v>0</v>
      </c>
      <c r="BH18" s="277">
        <f t="shared" si="4"/>
        <v>0</v>
      </c>
      <c r="BI18" s="704">
        <f t="shared" si="4"/>
        <v>0</v>
      </c>
      <c r="BJ18" s="1064"/>
    </row>
    <row r="19" spans="3:62" s="28" customFormat="1" ht="19.5" customHeight="1">
      <c r="C19" s="1879"/>
      <c r="D19" s="1017" t="s">
        <v>23</v>
      </c>
      <c r="E19" s="1017"/>
      <c r="F19" s="1018"/>
      <c r="H19" s="1889"/>
      <c r="I19" s="33" t="s">
        <v>23</v>
      </c>
      <c r="J19" s="462"/>
      <c r="K19" s="463"/>
      <c r="L19" s="463"/>
      <c r="M19" s="692"/>
      <c r="N19" s="462"/>
      <c r="O19" s="463"/>
      <c r="P19" s="463"/>
      <c r="Q19" s="692"/>
      <c r="R19" s="462"/>
      <c r="S19" s="463"/>
      <c r="T19" s="463"/>
      <c r="U19" s="692"/>
      <c r="V19" s="462"/>
      <c r="W19" s="463"/>
      <c r="X19" s="463"/>
      <c r="Y19" s="692"/>
      <c r="Z19" s="462"/>
      <c r="AA19" s="463"/>
      <c r="AB19" s="463"/>
      <c r="AC19" s="692"/>
      <c r="AD19" s="462"/>
      <c r="AE19" s="463"/>
      <c r="AF19" s="463"/>
      <c r="AG19" s="692"/>
      <c r="AH19" s="128">
        <f t="shared" si="5"/>
        <v>0</v>
      </c>
      <c r="AI19" s="273">
        <f t="shared" si="5"/>
        <v>0</v>
      </c>
      <c r="AJ19" s="273">
        <f t="shared" si="5"/>
        <v>0</v>
      </c>
      <c r="AK19" s="694">
        <f t="shared" si="5"/>
        <v>0</v>
      </c>
      <c r="AL19" s="1012"/>
      <c r="AM19" s="463"/>
      <c r="AN19" s="463"/>
      <c r="AO19" s="692"/>
      <c r="AP19" s="462"/>
      <c r="AQ19" s="463"/>
      <c r="AR19" s="463"/>
      <c r="AS19" s="692"/>
      <c r="AT19" s="462"/>
      <c r="AU19" s="463"/>
      <c r="AV19" s="463"/>
      <c r="AW19" s="692"/>
      <c r="AX19" s="462"/>
      <c r="AY19" s="463"/>
      <c r="AZ19" s="463"/>
      <c r="BA19" s="692"/>
      <c r="BB19" s="128">
        <f t="shared" si="6"/>
        <v>0</v>
      </c>
      <c r="BC19" s="273">
        <f t="shared" si="6"/>
        <v>0</v>
      </c>
      <c r="BD19" s="273">
        <f t="shared" si="6"/>
        <v>0</v>
      </c>
      <c r="BE19" s="273">
        <f t="shared" si="6"/>
        <v>0</v>
      </c>
      <c r="BF19" s="276">
        <f t="shared" si="4"/>
        <v>0</v>
      </c>
      <c r="BG19" s="277">
        <f t="shared" si="4"/>
        <v>0</v>
      </c>
      <c r="BH19" s="277">
        <f t="shared" si="4"/>
        <v>0</v>
      </c>
      <c r="BI19" s="704">
        <f t="shared" si="4"/>
        <v>0</v>
      </c>
      <c r="BJ19" s="1064"/>
    </row>
    <row r="20" spans="3:62" s="28" customFormat="1" ht="19.5" customHeight="1">
      <c r="C20" s="1879"/>
      <c r="D20" s="1017" t="s">
        <v>22</v>
      </c>
      <c r="E20" s="1017"/>
      <c r="F20" s="1018"/>
      <c r="H20" s="1889"/>
      <c r="I20" s="33" t="s">
        <v>22</v>
      </c>
      <c r="J20" s="462"/>
      <c r="K20" s="463"/>
      <c r="L20" s="463"/>
      <c r="M20" s="692"/>
      <c r="N20" s="462"/>
      <c r="O20" s="463"/>
      <c r="P20" s="463"/>
      <c r="Q20" s="692"/>
      <c r="R20" s="462"/>
      <c r="S20" s="463"/>
      <c r="T20" s="463"/>
      <c r="U20" s="692"/>
      <c r="V20" s="462"/>
      <c r="W20" s="463"/>
      <c r="X20" s="463"/>
      <c r="Y20" s="692"/>
      <c r="Z20" s="462"/>
      <c r="AA20" s="463"/>
      <c r="AB20" s="463"/>
      <c r="AC20" s="692"/>
      <c r="AD20" s="462"/>
      <c r="AE20" s="463"/>
      <c r="AF20" s="463"/>
      <c r="AG20" s="692"/>
      <c r="AH20" s="128">
        <f t="shared" si="5"/>
        <v>0</v>
      </c>
      <c r="AI20" s="273">
        <f t="shared" si="5"/>
        <v>0</v>
      </c>
      <c r="AJ20" s="273">
        <f t="shared" si="5"/>
        <v>0</v>
      </c>
      <c r="AK20" s="694">
        <f t="shared" si="5"/>
        <v>0</v>
      </c>
      <c r="AL20" s="462"/>
      <c r="AM20" s="463"/>
      <c r="AN20" s="463"/>
      <c r="AO20" s="692"/>
      <c r="AP20" s="462"/>
      <c r="AQ20" s="463"/>
      <c r="AR20" s="463"/>
      <c r="AS20" s="692"/>
      <c r="AT20" s="462"/>
      <c r="AU20" s="463"/>
      <c r="AV20" s="463"/>
      <c r="AW20" s="692"/>
      <c r="AX20" s="462"/>
      <c r="AY20" s="463"/>
      <c r="AZ20" s="463"/>
      <c r="BA20" s="692"/>
      <c r="BB20" s="128">
        <f t="shared" si="6"/>
        <v>0</v>
      </c>
      <c r="BC20" s="273">
        <f t="shared" si="6"/>
        <v>0</v>
      </c>
      <c r="BD20" s="273">
        <f t="shared" si="6"/>
        <v>0</v>
      </c>
      <c r="BE20" s="273">
        <f t="shared" si="6"/>
        <v>0</v>
      </c>
      <c r="BF20" s="276">
        <f t="shared" si="4"/>
        <v>0</v>
      </c>
      <c r="BG20" s="277">
        <f t="shared" si="4"/>
        <v>0</v>
      </c>
      <c r="BH20" s="277">
        <f t="shared" si="4"/>
        <v>0</v>
      </c>
      <c r="BI20" s="704">
        <f t="shared" si="4"/>
        <v>0</v>
      </c>
      <c r="BJ20" s="1064"/>
    </row>
    <row r="21" spans="3:62" s="28" customFormat="1" ht="20.100000000000001" customHeight="1">
      <c r="C21" s="1885"/>
      <c r="D21" s="1017"/>
      <c r="E21" s="1017"/>
      <c r="F21" s="1018"/>
      <c r="H21" s="1889"/>
      <c r="I21" s="33" t="s">
        <v>21</v>
      </c>
      <c r="J21" s="462"/>
      <c r="K21" s="463"/>
      <c r="L21" s="463"/>
      <c r="M21" s="692"/>
      <c r="N21" s="462"/>
      <c r="O21" s="463"/>
      <c r="P21" s="463"/>
      <c r="Q21" s="692"/>
      <c r="R21" s="462"/>
      <c r="S21" s="463"/>
      <c r="T21" s="463"/>
      <c r="U21" s="692"/>
      <c r="V21" s="462"/>
      <c r="W21" s="463"/>
      <c r="X21" s="463"/>
      <c r="Y21" s="692"/>
      <c r="Z21" s="462"/>
      <c r="AA21" s="463"/>
      <c r="AB21" s="463"/>
      <c r="AC21" s="692"/>
      <c r="AD21" s="462"/>
      <c r="AE21" s="463"/>
      <c r="AF21" s="463"/>
      <c r="AG21" s="692"/>
      <c r="AH21" s="128">
        <f t="shared" si="5"/>
        <v>0</v>
      </c>
      <c r="AI21" s="273">
        <f t="shared" si="5"/>
        <v>0</v>
      </c>
      <c r="AJ21" s="273">
        <f t="shared" si="5"/>
        <v>0</v>
      </c>
      <c r="AK21" s="694">
        <f t="shared" si="5"/>
        <v>0</v>
      </c>
      <c r="AL21" s="462"/>
      <c r="AM21" s="463"/>
      <c r="AN21" s="463"/>
      <c r="AO21" s="692"/>
      <c r="AP21" s="462"/>
      <c r="AQ21" s="463"/>
      <c r="AR21" s="463"/>
      <c r="AS21" s="692"/>
      <c r="AT21" s="462"/>
      <c r="AU21" s="463"/>
      <c r="AV21" s="463"/>
      <c r="AW21" s="692"/>
      <c r="AX21" s="462"/>
      <c r="AY21" s="463"/>
      <c r="AZ21" s="463"/>
      <c r="BA21" s="692"/>
      <c r="BB21" s="128">
        <f t="shared" si="6"/>
        <v>0</v>
      </c>
      <c r="BC21" s="273">
        <f t="shared" si="6"/>
        <v>0</v>
      </c>
      <c r="BD21" s="273">
        <f t="shared" si="6"/>
        <v>0</v>
      </c>
      <c r="BE21" s="273">
        <f t="shared" si="6"/>
        <v>0</v>
      </c>
      <c r="BF21" s="276">
        <f t="shared" si="4"/>
        <v>0</v>
      </c>
      <c r="BG21" s="277">
        <f t="shared" si="4"/>
        <v>0</v>
      </c>
      <c r="BH21" s="277">
        <f t="shared" si="4"/>
        <v>0</v>
      </c>
      <c r="BI21" s="704">
        <f t="shared" si="4"/>
        <v>0</v>
      </c>
      <c r="BJ21" s="1064"/>
    </row>
    <row r="22" spans="3:62" s="28" customFormat="1" ht="20.100000000000001" customHeight="1">
      <c r="C22" s="1885"/>
      <c r="D22" s="1017"/>
      <c r="E22" s="1017"/>
      <c r="F22" s="1018"/>
      <c r="H22" s="1889"/>
      <c r="I22" s="33" t="s">
        <v>20</v>
      </c>
      <c r="J22" s="462"/>
      <c r="K22" s="463"/>
      <c r="L22" s="463"/>
      <c r="M22" s="692"/>
      <c r="N22" s="462"/>
      <c r="O22" s="463"/>
      <c r="P22" s="463"/>
      <c r="Q22" s="692"/>
      <c r="R22" s="462"/>
      <c r="S22" s="463"/>
      <c r="T22" s="463"/>
      <c r="U22" s="692"/>
      <c r="V22" s="462"/>
      <c r="W22" s="463"/>
      <c r="X22" s="463"/>
      <c r="Y22" s="692"/>
      <c r="Z22" s="462"/>
      <c r="AA22" s="463"/>
      <c r="AB22" s="463"/>
      <c r="AC22" s="692"/>
      <c r="AD22" s="462"/>
      <c r="AE22" s="463"/>
      <c r="AF22" s="463"/>
      <c r="AG22" s="692"/>
      <c r="AH22" s="128">
        <f t="shared" si="5"/>
        <v>0</v>
      </c>
      <c r="AI22" s="273">
        <f t="shared" si="5"/>
        <v>0</v>
      </c>
      <c r="AJ22" s="273">
        <f t="shared" si="5"/>
        <v>0</v>
      </c>
      <c r="AK22" s="694">
        <f t="shared" si="5"/>
        <v>0</v>
      </c>
      <c r="AL22" s="462"/>
      <c r="AM22" s="463"/>
      <c r="AN22" s="463"/>
      <c r="AO22" s="692"/>
      <c r="AP22" s="462"/>
      <c r="AQ22" s="463"/>
      <c r="AR22" s="463"/>
      <c r="AS22" s="692"/>
      <c r="AT22" s="462"/>
      <c r="AU22" s="463"/>
      <c r="AV22" s="463"/>
      <c r="AW22" s="692"/>
      <c r="AX22" s="462"/>
      <c r="AY22" s="463"/>
      <c r="AZ22" s="463"/>
      <c r="BA22" s="692"/>
      <c r="BB22" s="128">
        <f t="shared" si="6"/>
        <v>0</v>
      </c>
      <c r="BC22" s="273">
        <f t="shared" si="6"/>
        <v>0</v>
      </c>
      <c r="BD22" s="273">
        <f t="shared" si="6"/>
        <v>0</v>
      </c>
      <c r="BE22" s="273">
        <f t="shared" si="6"/>
        <v>0</v>
      </c>
      <c r="BF22" s="276">
        <f t="shared" si="4"/>
        <v>0</v>
      </c>
      <c r="BG22" s="277">
        <f t="shared" si="4"/>
        <v>0</v>
      </c>
      <c r="BH22" s="277">
        <f t="shared" si="4"/>
        <v>0</v>
      </c>
      <c r="BI22" s="704">
        <f t="shared" si="4"/>
        <v>0</v>
      </c>
      <c r="BJ22" s="1064"/>
    </row>
    <row r="23" spans="3:62" s="28" customFormat="1" ht="20.100000000000001" customHeight="1">
      <c r="C23" s="1885"/>
      <c r="D23" s="1017"/>
      <c r="E23" s="1017"/>
      <c r="F23" s="1018"/>
      <c r="H23" s="1889"/>
      <c r="I23" s="33" t="s">
        <v>19</v>
      </c>
      <c r="J23" s="462"/>
      <c r="K23" s="463"/>
      <c r="L23" s="463"/>
      <c r="M23" s="692"/>
      <c r="N23" s="462"/>
      <c r="O23" s="463"/>
      <c r="P23" s="463"/>
      <c r="Q23" s="692"/>
      <c r="R23" s="462"/>
      <c r="S23" s="463"/>
      <c r="T23" s="463"/>
      <c r="U23" s="692"/>
      <c r="V23" s="462"/>
      <c r="W23" s="463"/>
      <c r="X23" s="463"/>
      <c r="Y23" s="692"/>
      <c r="Z23" s="462"/>
      <c r="AA23" s="463"/>
      <c r="AB23" s="463"/>
      <c r="AC23" s="692"/>
      <c r="AD23" s="462"/>
      <c r="AE23" s="463"/>
      <c r="AF23" s="463"/>
      <c r="AG23" s="692"/>
      <c r="AH23" s="128">
        <f t="shared" si="5"/>
        <v>0</v>
      </c>
      <c r="AI23" s="273">
        <f t="shared" si="5"/>
        <v>0</v>
      </c>
      <c r="AJ23" s="273">
        <f t="shared" si="5"/>
        <v>0</v>
      </c>
      <c r="AK23" s="694">
        <f t="shared" si="5"/>
        <v>0</v>
      </c>
      <c r="AL23" s="462"/>
      <c r="AM23" s="463"/>
      <c r="AN23" s="463"/>
      <c r="AO23" s="692"/>
      <c r="AP23" s="462"/>
      <c r="AQ23" s="463"/>
      <c r="AR23" s="463"/>
      <c r="AS23" s="692"/>
      <c r="AT23" s="462"/>
      <c r="AU23" s="463"/>
      <c r="AV23" s="463"/>
      <c r="AW23" s="692"/>
      <c r="AX23" s="462"/>
      <c r="AY23" s="463"/>
      <c r="AZ23" s="463"/>
      <c r="BA23" s="692"/>
      <c r="BB23" s="128">
        <f t="shared" si="6"/>
        <v>0</v>
      </c>
      <c r="BC23" s="273">
        <f t="shared" si="6"/>
        <v>0</v>
      </c>
      <c r="BD23" s="273">
        <f t="shared" si="6"/>
        <v>0</v>
      </c>
      <c r="BE23" s="273">
        <f t="shared" si="6"/>
        <v>0</v>
      </c>
      <c r="BF23" s="276">
        <f t="shared" si="4"/>
        <v>0</v>
      </c>
      <c r="BG23" s="277">
        <f t="shared" si="4"/>
        <v>0</v>
      </c>
      <c r="BH23" s="277">
        <f t="shared" si="4"/>
        <v>0</v>
      </c>
      <c r="BI23" s="704">
        <f t="shared" si="4"/>
        <v>0</v>
      </c>
      <c r="BJ23" s="1064"/>
    </row>
    <row r="24" spans="3:62" s="28" customFormat="1" ht="20.100000000000001" customHeight="1" thickBot="1">
      <c r="C24" s="1885"/>
      <c r="D24" s="1017"/>
      <c r="E24" s="1017"/>
      <c r="F24" s="1018"/>
      <c r="H24" s="1865" t="s">
        <v>116</v>
      </c>
      <c r="I24" s="1866"/>
      <c r="J24" s="118">
        <f t="shared" ref="J24:BI24" si="7">SUM(J15:J23)</f>
        <v>0</v>
      </c>
      <c r="K24" s="272">
        <f t="shared" si="7"/>
        <v>0</v>
      </c>
      <c r="L24" s="272">
        <f>SUM(L15:L23)</f>
        <v>0</v>
      </c>
      <c r="M24" s="272">
        <f>SUM(M15:M23)</f>
        <v>0</v>
      </c>
      <c r="N24" s="118">
        <f>SUM(N15:N23)</f>
        <v>0</v>
      </c>
      <c r="O24" s="272">
        <f t="shared" ref="O24:AI24" si="8">SUM(O15:O23)</f>
        <v>0</v>
      </c>
      <c r="P24" s="272">
        <f t="shared" si="8"/>
        <v>0</v>
      </c>
      <c r="Q24" s="272">
        <f t="shared" si="8"/>
        <v>0</v>
      </c>
      <c r="R24" s="118">
        <f t="shared" si="8"/>
        <v>0</v>
      </c>
      <c r="S24" s="272">
        <f t="shared" si="8"/>
        <v>0</v>
      </c>
      <c r="T24" s="272">
        <f t="shared" si="8"/>
        <v>0</v>
      </c>
      <c r="U24" s="272">
        <f t="shared" si="8"/>
        <v>0</v>
      </c>
      <c r="V24" s="118">
        <f t="shared" si="8"/>
        <v>0</v>
      </c>
      <c r="W24" s="272">
        <f t="shared" si="8"/>
        <v>0</v>
      </c>
      <c r="X24" s="272">
        <f t="shared" si="8"/>
        <v>0</v>
      </c>
      <c r="Y24" s="272">
        <f t="shared" si="8"/>
        <v>0</v>
      </c>
      <c r="Z24" s="118">
        <f t="shared" si="8"/>
        <v>0</v>
      </c>
      <c r="AA24" s="272">
        <f t="shared" si="8"/>
        <v>0</v>
      </c>
      <c r="AB24" s="272">
        <f t="shared" si="8"/>
        <v>0</v>
      </c>
      <c r="AC24" s="272">
        <f t="shared" si="8"/>
        <v>0</v>
      </c>
      <c r="AD24" s="118">
        <f t="shared" si="8"/>
        <v>0</v>
      </c>
      <c r="AE24" s="272">
        <f t="shared" si="8"/>
        <v>0</v>
      </c>
      <c r="AF24" s="272">
        <f t="shared" si="8"/>
        <v>0</v>
      </c>
      <c r="AG24" s="272">
        <f t="shared" si="8"/>
        <v>0</v>
      </c>
      <c r="AH24" s="118">
        <f t="shared" si="8"/>
        <v>0</v>
      </c>
      <c r="AI24" s="272">
        <f t="shared" si="8"/>
        <v>0</v>
      </c>
      <c r="AJ24" s="272">
        <f>SUM(AJ15:AJ23)</f>
        <v>0</v>
      </c>
      <c r="AK24" s="695">
        <f>SUM(AK15:AK23)</f>
        <v>0</v>
      </c>
      <c r="AL24" s="118">
        <f t="shared" ref="AL24:BC24" si="9">SUM(AL15:AL23)</f>
        <v>0</v>
      </c>
      <c r="AM24" s="272">
        <f t="shared" si="9"/>
        <v>0</v>
      </c>
      <c r="AN24" s="272">
        <f t="shared" si="9"/>
        <v>0</v>
      </c>
      <c r="AO24" s="272">
        <f t="shared" si="9"/>
        <v>0</v>
      </c>
      <c r="AP24" s="118">
        <f t="shared" si="9"/>
        <v>0</v>
      </c>
      <c r="AQ24" s="272">
        <f t="shared" si="9"/>
        <v>0</v>
      </c>
      <c r="AR24" s="272">
        <f t="shared" si="9"/>
        <v>0</v>
      </c>
      <c r="AS24" s="272">
        <f t="shared" si="9"/>
        <v>0</v>
      </c>
      <c r="AT24" s="118">
        <f t="shared" si="9"/>
        <v>0</v>
      </c>
      <c r="AU24" s="272">
        <f t="shared" si="9"/>
        <v>0</v>
      </c>
      <c r="AV24" s="272">
        <f t="shared" si="9"/>
        <v>0</v>
      </c>
      <c r="AW24" s="272">
        <f t="shared" si="9"/>
        <v>0</v>
      </c>
      <c r="AX24" s="118">
        <f t="shared" si="9"/>
        <v>0</v>
      </c>
      <c r="AY24" s="272">
        <f t="shared" si="9"/>
        <v>0</v>
      </c>
      <c r="AZ24" s="272">
        <f t="shared" si="9"/>
        <v>0</v>
      </c>
      <c r="BA24" s="272">
        <f t="shared" si="9"/>
        <v>0</v>
      </c>
      <c r="BB24" s="118">
        <f t="shared" si="9"/>
        <v>0</v>
      </c>
      <c r="BC24" s="272">
        <f t="shared" si="9"/>
        <v>0</v>
      </c>
      <c r="BD24" s="272">
        <f>SUM(BD15:BD23)</f>
        <v>0</v>
      </c>
      <c r="BE24" s="272">
        <f>SUM(BE15:BE23)</f>
        <v>0</v>
      </c>
      <c r="BF24" s="278">
        <f t="shared" si="7"/>
        <v>0</v>
      </c>
      <c r="BG24" s="279">
        <f t="shared" si="7"/>
        <v>0</v>
      </c>
      <c r="BH24" s="279">
        <f t="shared" si="7"/>
        <v>0</v>
      </c>
      <c r="BI24" s="705">
        <f t="shared" si="7"/>
        <v>0</v>
      </c>
      <c r="BJ24" s="1064"/>
    </row>
    <row r="25" spans="3:62" s="119" customFormat="1" ht="9" customHeight="1" thickBot="1">
      <c r="C25" s="121"/>
      <c r="D25" s="121"/>
      <c r="E25" s="121"/>
      <c r="F25" s="121"/>
      <c r="H25" s="122"/>
      <c r="I25" s="122"/>
      <c r="J25" s="125"/>
      <c r="K25" s="126"/>
      <c r="L25" s="126"/>
      <c r="M25" s="126"/>
      <c r="N25" s="125"/>
      <c r="O25" s="126"/>
      <c r="P25" s="126"/>
      <c r="Q25" s="126"/>
      <c r="R25" s="125"/>
      <c r="S25" s="126"/>
      <c r="T25" s="126"/>
      <c r="U25" s="126"/>
      <c r="V25" s="125"/>
      <c r="W25" s="126"/>
      <c r="X25" s="126"/>
      <c r="Y25" s="126"/>
      <c r="Z25" s="125"/>
      <c r="AA25" s="126"/>
      <c r="AB25" s="126"/>
      <c r="AC25" s="126"/>
      <c r="AD25" s="125"/>
      <c r="AE25" s="126"/>
      <c r="AF25" s="126"/>
      <c r="AG25" s="126"/>
      <c r="AH25" s="125"/>
      <c r="AI25" s="126"/>
      <c r="AJ25" s="126"/>
      <c r="AK25" s="126"/>
      <c r="AL25" s="125"/>
      <c r="AM25" s="126"/>
      <c r="AN25" s="126"/>
      <c r="AO25" s="126"/>
      <c r="AP25" s="125"/>
      <c r="AQ25" s="126"/>
      <c r="AR25" s="126"/>
      <c r="AS25" s="126"/>
      <c r="AT25" s="125"/>
      <c r="AU25" s="126"/>
      <c r="AV25" s="126"/>
      <c r="AW25" s="126"/>
      <c r="AX25" s="125"/>
      <c r="AY25" s="126"/>
      <c r="AZ25" s="126"/>
      <c r="BA25" s="126"/>
      <c r="BB25" s="125"/>
      <c r="BC25" s="126"/>
      <c r="BD25" s="126"/>
      <c r="BE25" s="126"/>
      <c r="BF25" s="125"/>
      <c r="BG25" s="126"/>
      <c r="BJ25" s="1065"/>
    </row>
    <row r="26" spans="3:62" s="28" customFormat="1" ht="26.25" customHeight="1" thickBot="1">
      <c r="D26" s="29"/>
      <c r="E26" s="29"/>
      <c r="F26" s="29"/>
      <c r="H26" s="1893" t="s">
        <v>49</v>
      </c>
      <c r="I26" s="1894"/>
      <c r="J26" s="123">
        <f t="shared" ref="J26:BI26" si="10">J10+J24</f>
        <v>0</v>
      </c>
      <c r="K26" s="280">
        <f t="shared" si="10"/>
        <v>0</v>
      </c>
      <c r="L26" s="280">
        <f>L10+L24</f>
        <v>0</v>
      </c>
      <c r="M26" s="280">
        <f>M10+M24</f>
        <v>0</v>
      </c>
      <c r="N26" s="123">
        <f t="shared" ref="N26:O26" si="11">N10+N24</f>
        <v>0</v>
      </c>
      <c r="O26" s="280">
        <f t="shared" si="11"/>
        <v>21</v>
      </c>
      <c r="P26" s="280">
        <f>P10+P24</f>
        <v>21</v>
      </c>
      <c r="Q26" s="280">
        <f>Q10+Q24</f>
        <v>0</v>
      </c>
      <c r="R26" s="123">
        <f t="shared" ref="R26:S26" si="12">R10+R24</f>
        <v>0</v>
      </c>
      <c r="S26" s="280">
        <f t="shared" si="12"/>
        <v>0</v>
      </c>
      <c r="T26" s="280">
        <f>T10+T24</f>
        <v>0</v>
      </c>
      <c r="U26" s="280">
        <f>U10+U24</f>
        <v>0</v>
      </c>
      <c r="V26" s="123">
        <f t="shared" ref="V26:W26" si="13">V10+V24</f>
        <v>0</v>
      </c>
      <c r="W26" s="280">
        <f t="shared" si="13"/>
        <v>0</v>
      </c>
      <c r="X26" s="280">
        <f>X10+X24</f>
        <v>0</v>
      </c>
      <c r="Y26" s="280">
        <f>Y10+Y24</f>
        <v>0</v>
      </c>
      <c r="Z26" s="123">
        <f t="shared" ref="Z26:AA26" si="14">Z10+Z24</f>
        <v>0</v>
      </c>
      <c r="AA26" s="280">
        <f t="shared" si="14"/>
        <v>0</v>
      </c>
      <c r="AB26" s="280">
        <f>AB10+AB24</f>
        <v>0</v>
      </c>
      <c r="AC26" s="280">
        <f>AC10+AC24</f>
        <v>0</v>
      </c>
      <c r="AD26" s="123">
        <f t="shared" ref="AD26:AE26" si="15">AD10+AD24</f>
        <v>0</v>
      </c>
      <c r="AE26" s="280">
        <f t="shared" si="15"/>
        <v>0</v>
      </c>
      <c r="AF26" s="280">
        <f>AF10+AF24</f>
        <v>0</v>
      </c>
      <c r="AG26" s="280">
        <f>AG10+AG24</f>
        <v>0</v>
      </c>
      <c r="AH26" s="127">
        <f t="shared" ref="AH26:AI26" si="16">AH10+AH24</f>
        <v>0</v>
      </c>
      <c r="AI26" s="280">
        <f t="shared" si="16"/>
        <v>21</v>
      </c>
      <c r="AJ26" s="697">
        <f>AJ10+AJ24</f>
        <v>21</v>
      </c>
      <c r="AK26" s="696">
        <f>AK10+AK24</f>
        <v>0</v>
      </c>
      <c r="AL26" s="123">
        <f>AL10+AL24</f>
        <v>0</v>
      </c>
      <c r="AM26" s="1393">
        <f t="shared" ref="AM26" si="17">AM10+AM24</f>
        <v>0</v>
      </c>
      <c r="AN26" s="280">
        <f>AN10+AN24</f>
        <v>0</v>
      </c>
      <c r="AO26" s="280">
        <f>AO10+AO24</f>
        <v>0</v>
      </c>
      <c r="AP26" s="123">
        <f t="shared" ref="AP26:AQ26" si="18">AP10+AP24</f>
        <v>0</v>
      </c>
      <c r="AQ26" s="280">
        <f t="shared" si="18"/>
        <v>0</v>
      </c>
      <c r="AR26" s="280">
        <f>AR10+AR24</f>
        <v>0</v>
      </c>
      <c r="AS26" s="280">
        <f>AS10+AS24</f>
        <v>0</v>
      </c>
      <c r="AT26" s="123">
        <f t="shared" ref="AT26:AU26" si="19">AT10+AT24</f>
        <v>0</v>
      </c>
      <c r="AU26" s="280">
        <f t="shared" si="19"/>
        <v>0</v>
      </c>
      <c r="AV26" s="280">
        <f>AV10+AV24</f>
        <v>0</v>
      </c>
      <c r="AW26" s="280">
        <f>AW10+AW24</f>
        <v>0</v>
      </c>
      <c r="AX26" s="123">
        <f t="shared" ref="AX26:AY26" si="20">AX10+AX24</f>
        <v>0</v>
      </c>
      <c r="AY26" s="280">
        <f t="shared" si="20"/>
        <v>0</v>
      </c>
      <c r="AZ26" s="280">
        <f>AZ10+AZ24</f>
        <v>0</v>
      </c>
      <c r="BA26" s="280">
        <f>BA10+BA24</f>
        <v>0</v>
      </c>
      <c r="BB26" s="127">
        <f t="shared" ref="BB26:BC26" si="21">BB10+BB24</f>
        <v>0</v>
      </c>
      <c r="BC26" s="280">
        <f t="shared" si="21"/>
        <v>0</v>
      </c>
      <c r="BD26" s="697">
        <f>BD10+BD24</f>
        <v>0</v>
      </c>
      <c r="BE26" s="697">
        <f>BE10+BE24</f>
        <v>0</v>
      </c>
      <c r="BF26" s="124">
        <f>BF10+BF24</f>
        <v>0</v>
      </c>
      <c r="BG26" s="707">
        <f t="shared" si="10"/>
        <v>21</v>
      </c>
      <c r="BH26" s="706">
        <f t="shared" si="10"/>
        <v>21</v>
      </c>
      <c r="BI26" s="284">
        <f t="shared" si="10"/>
        <v>0</v>
      </c>
      <c r="BJ26" s="1064"/>
    </row>
    <row r="27" spans="3:62" ht="21" customHeight="1">
      <c r="H27" s="320"/>
      <c r="I27" s="320"/>
      <c r="J27" s="321"/>
      <c r="K27" s="321"/>
      <c r="L27" s="321"/>
      <c r="M27" s="321"/>
      <c r="N27" s="321"/>
      <c r="O27" s="321"/>
      <c r="P27" s="321"/>
      <c r="Q27" s="321"/>
      <c r="R27" s="321"/>
      <c r="S27" s="321"/>
      <c r="T27" s="321"/>
      <c r="U27" s="321"/>
      <c r="V27" s="321"/>
      <c r="W27" s="321"/>
      <c r="X27" s="321"/>
      <c r="Y27" s="321"/>
      <c r="Z27" s="321"/>
      <c r="AA27" s="321"/>
      <c r="AB27" s="323"/>
      <c r="AC27" s="323"/>
      <c r="AD27" s="321"/>
      <c r="AE27" s="321"/>
      <c r="AF27" s="321"/>
      <c r="AG27" s="321"/>
      <c r="AH27" s="321"/>
      <c r="AI27" s="321"/>
      <c r="AJ27" s="321"/>
      <c r="AK27" s="321"/>
      <c r="AL27" s="321"/>
      <c r="AM27" s="321"/>
      <c r="AN27" s="321"/>
      <c r="AO27" s="321"/>
      <c r="AP27" s="321"/>
      <c r="AQ27" s="321"/>
      <c r="AR27" s="321"/>
      <c r="AS27" s="321"/>
      <c r="AT27" s="321"/>
      <c r="AU27" s="321"/>
      <c r="AV27" s="321"/>
      <c r="AW27" s="321"/>
      <c r="AX27" s="321"/>
      <c r="AY27" s="321"/>
      <c r="AZ27" s="321"/>
      <c r="BA27" s="321"/>
      <c r="BB27" s="335"/>
      <c r="BC27" s="1918">
        <f>SUM(I27:AZ29)</f>
        <v>0</v>
      </c>
      <c r="BD27" s="335"/>
      <c r="BE27" s="335"/>
      <c r="BF27" s="335"/>
      <c r="BG27" s="335"/>
      <c r="BH27" s="1917">
        <f>BH26+BI26</f>
        <v>21</v>
      </c>
      <c r="BI27" s="1917"/>
    </row>
    <row r="28" spans="3:62" ht="21" customHeight="1">
      <c r="H28" s="320"/>
      <c r="I28" s="320"/>
      <c r="J28" s="322"/>
      <c r="K28" s="323"/>
      <c r="L28" s="321"/>
      <c r="M28" s="321"/>
      <c r="N28" s="322"/>
      <c r="O28" s="323"/>
      <c r="P28" s="323"/>
      <c r="Q28" s="323"/>
      <c r="R28" s="322"/>
      <c r="S28" s="323"/>
      <c r="T28" s="323"/>
      <c r="U28" s="323"/>
      <c r="V28" s="321"/>
      <c r="W28" s="323"/>
      <c r="X28" s="321"/>
      <c r="Y28" s="321"/>
      <c r="Z28" s="321"/>
      <c r="AA28" s="323"/>
      <c r="AB28" s="323"/>
      <c r="AC28" s="323"/>
      <c r="AD28" s="322"/>
      <c r="AE28" s="323"/>
      <c r="AF28" s="323"/>
      <c r="AG28" s="322"/>
      <c r="AH28" s="322"/>
      <c r="AI28" s="323"/>
      <c r="AJ28" s="323"/>
      <c r="AK28" s="323"/>
      <c r="AL28" s="321"/>
      <c r="AM28" s="323"/>
      <c r="AN28" s="622"/>
      <c r="AO28" s="622"/>
      <c r="AP28" s="321"/>
      <c r="AQ28" s="323"/>
      <c r="AR28" s="323"/>
      <c r="AS28" s="323"/>
      <c r="AT28" s="322"/>
      <c r="AU28" s="323"/>
      <c r="AV28" s="323"/>
      <c r="AW28" s="321"/>
      <c r="AX28" s="322"/>
      <c r="AY28" s="468"/>
      <c r="AZ28" s="468"/>
      <c r="BA28" s="468"/>
      <c r="BB28" s="392"/>
      <c r="BC28" s="1919"/>
      <c r="BD28" s="434"/>
      <c r="BE28" s="434"/>
      <c r="BF28" s="435"/>
      <c r="BG28" s="434"/>
      <c r="BH28" s="726"/>
      <c r="BI28" s="434"/>
    </row>
    <row r="29" spans="3:62" ht="23.25">
      <c r="H29" s="320"/>
      <c r="I29" s="320"/>
      <c r="J29" s="322"/>
      <c r="K29" s="323"/>
      <c r="L29" s="321"/>
      <c r="M29" s="321"/>
      <c r="N29" s="322"/>
      <c r="O29" s="323"/>
      <c r="P29" s="323"/>
      <c r="Q29" s="323"/>
      <c r="R29" s="322"/>
      <c r="S29" s="323"/>
      <c r="T29" s="323"/>
      <c r="U29" s="323"/>
      <c r="V29" s="322"/>
      <c r="W29" s="323"/>
      <c r="X29" s="323"/>
      <c r="Y29" s="323"/>
      <c r="Z29" s="322"/>
      <c r="AA29" s="323"/>
      <c r="AB29" s="323"/>
      <c r="AC29" s="323"/>
      <c r="AD29" s="322"/>
      <c r="AE29" s="323"/>
      <c r="AF29" s="688"/>
      <c r="AG29" s="688"/>
      <c r="AH29" s="322"/>
      <c r="AI29" s="322"/>
      <c r="AJ29" s="323"/>
      <c r="AK29" s="323"/>
      <c r="AL29" s="321"/>
      <c r="AM29" s="323"/>
      <c r="AN29" s="321"/>
      <c r="AO29" s="321"/>
      <c r="AP29" s="322"/>
      <c r="AQ29" s="323"/>
      <c r="AR29" s="323"/>
      <c r="AS29" s="323"/>
      <c r="AT29" s="322"/>
      <c r="AU29" s="323"/>
      <c r="AV29" s="323"/>
      <c r="AW29" s="323"/>
      <c r="AX29" s="322"/>
      <c r="AY29" s="468"/>
      <c r="AZ29" s="468"/>
      <c r="BA29" s="468"/>
      <c r="BB29" s="392"/>
      <c r="BC29" s="434"/>
      <c r="BD29" s="434"/>
      <c r="BE29" s="434"/>
      <c r="BF29" s="435"/>
      <c r="BG29" s="434"/>
      <c r="BH29" s="682"/>
      <c r="BI29" s="434"/>
    </row>
    <row r="30" spans="3:62" s="464" customFormat="1" ht="21.75" thickBot="1">
      <c r="D30" s="576"/>
      <c r="E30" s="576"/>
      <c r="F30" s="576"/>
      <c r="I30" s="577"/>
      <c r="J30" s="578"/>
      <c r="K30" s="579"/>
      <c r="L30" s="579"/>
      <c r="M30" s="579"/>
      <c r="N30" s="578"/>
      <c r="O30" s="579"/>
      <c r="P30" s="579"/>
      <c r="Q30" s="579"/>
      <c r="R30" s="578"/>
      <c r="S30" s="579"/>
      <c r="T30" s="579"/>
      <c r="U30" s="579"/>
      <c r="V30" s="578"/>
      <c r="W30" s="578"/>
      <c r="X30" s="579"/>
      <c r="Y30" s="579"/>
      <c r="Z30" s="579"/>
      <c r="AA30" s="578"/>
      <c r="AB30" s="579"/>
      <c r="AC30" s="579"/>
      <c r="AD30" s="579"/>
      <c r="AE30" s="578"/>
      <c r="AF30" s="579"/>
      <c r="AG30" s="579"/>
      <c r="AH30" s="621"/>
      <c r="AI30" s="578"/>
      <c r="AJ30" s="579"/>
      <c r="AK30" s="579"/>
      <c r="AM30" s="580"/>
      <c r="AN30" s="579"/>
      <c r="AO30" s="579"/>
      <c r="AP30" s="579"/>
      <c r="AQ30" s="578"/>
      <c r="AR30" s="579"/>
      <c r="AS30" s="579"/>
      <c r="AT30" s="579"/>
      <c r="AU30" s="578"/>
      <c r="AV30" s="579"/>
      <c r="AW30" s="579"/>
      <c r="AZ30" s="581"/>
      <c r="BA30" s="581"/>
      <c r="BB30" s="581"/>
      <c r="BC30" s="582"/>
      <c r="BD30" s="583"/>
      <c r="BE30" s="583"/>
      <c r="BF30" s="583"/>
      <c r="BG30" s="584"/>
      <c r="BH30" s="583"/>
      <c r="BI30" s="585"/>
      <c r="BJ30" s="1066"/>
    </row>
    <row r="31" spans="3:62" ht="35.25" customHeight="1" thickBot="1">
      <c r="I31" s="577"/>
      <c r="L31" s="1929" t="s">
        <v>340</v>
      </c>
      <c r="M31" s="1930"/>
      <c r="N31" s="1930"/>
      <c r="O31" s="1930"/>
      <c r="P31" s="1930"/>
      <c r="Q31" s="1930"/>
      <c r="R31" s="1930"/>
      <c r="S31" s="1931"/>
      <c r="T31" s="579"/>
      <c r="U31" s="579"/>
      <c r="V31" s="1929" t="s">
        <v>204</v>
      </c>
      <c r="W31" s="1930"/>
      <c r="X31" s="1930"/>
      <c r="Y31" s="1930"/>
      <c r="Z31" s="1930"/>
      <c r="AA31" s="1930"/>
      <c r="AB31" s="1930"/>
      <c r="AC31" s="1935"/>
      <c r="AD31" s="1936"/>
      <c r="AE31" s="579"/>
      <c r="AF31" s="579"/>
      <c r="AG31" s="26"/>
      <c r="AH31" s="24"/>
      <c r="AJ31" s="685"/>
      <c r="AL31" s="24"/>
      <c r="AM31" s="580"/>
      <c r="AN31" s="579"/>
      <c r="AP31" s="24"/>
      <c r="AS31" s="26"/>
      <c r="AT31" s="24"/>
      <c r="AX31" s="24"/>
      <c r="AY31" s="25"/>
      <c r="AZ31" s="25"/>
      <c r="BA31" s="24"/>
      <c r="BB31" s="24"/>
      <c r="BE31" s="23"/>
      <c r="BF31" s="23"/>
      <c r="BG31" s="23"/>
    </row>
    <row r="32" spans="3:62" s="24" customFormat="1" ht="28.5" customHeight="1" thickBot="1">
      <c r="C32" s="23"/>
      <c r="D32" s="27"/>
      <c r="E32" s="27"/>
      <c r="F32" s="27"/>
      <c r="G32" s="23"/>
      <c r="H32" s="23"/>
      <c r="I32" s="577"/>
      <c r="L32" s="450" t="s">
        <v>0</v>
      </c>
      <c r="M32" s="439" t="s">
        <v>200</v>
      </c>
      <c r="N32" s="454" t="s">
        <v>205</v>
      </c>
      <c r="O32" s="439" t="s">
        <v>31</v>
      </c>
      <c r="P32" s="448" t="s">
        <v>201</v>
      </c>
      <c r="Q32" s="455" t="s">
        <v>206</v>
      </c>
      <c r="R32" s="436" t="s">
        <v>22</v>
      </c>
      <c r="S32" s="438" t="s">
        <v>191</v>
      </c>
      <c r="T32" s="579"/>
      <c r="U32" s="579"/>
      <c r="V32" s="571" t="s">
        <v>0</v>
      </c>
      <c r="W32" s="572" t="s">
        <v>200</v>
      </c>
      <c r="X32" s="623" t="s">
        <v>205</v>
      </c>
      <c r="Y32" s="572" t="s">
        <v>31</v>
      </c>
      <c r="Z32" s="573" t="s">
        <v>201</v>
      </c>
      <c r="AA32" s="574" t="s">
        <v>206</v>
      </c>
      <c r="AB32" s="717" t="s">
        <v>22</v>
      </c>
      <c r="AC32" s="721" t="s">
        <v>191</v>
      </c>
      <c r="AD32" s="722" t="s">
        <v>226</v>
      </c>
      <c r="AE32" s="579"/>
      <c r="AF32" s="579"/>
      <c r="AG32" s="599"/>
      <c r="AH32" s="599"/>
      <c r="AI32" s="599"/>
      <c r="AM32" s="580"/>
      <c r="AN32" s="579"/>
      <c r="AT32" s="25"/>
      <c r="AU32" s="25"/>
      <c r="AW32" s="23"/>
      <c r="AX32" s="23"/>
      <c r="BJ32" s="1030"/>
    </row>
    <row r="33" spans="1:62" ht="23.25">
      <c r="I33" s="577"/>
      <c r="L33" s="441" t="s">
        <v>189</v>
      </c>
      <c r="M33" s="470">
        <f>$J$6</f>
        <v>0</v>
      </c>
      <c r="N33" s="430">
        <f>$J9</f>
        <v>0</v>
      </c>
      <c r="O33" s="430">
        <f>$J7</f>
        <v>0</v>
      </c>
      <c r="P33" s="430">
        <f>$J8</f>
        <v>0</v>
      </c>
      <c r="Q33" s="430">
        <f>J15+J16+J17+J18+J19+J21+J22+J23</f>
        <v>0</v>
      </c>
      <c r="R33" s="430">
        <f>$J20</f>
        <v>0</v>
      </c>
      <c r="S33" s="446">
        <f t="shared" ref="S33:S42" si="22">SUM(M33:R33)</f>
        <v>0</v>
      </c>
      <c r="T33" s="579"/>
      <c r="U33" s="579"/>
      <c r="V33" s="447" t="s">
        <v>189</v>
      </c>
      <c r="W33" s="569">
        <f>L$6</f>
        <v>0</v>
      </c>
      <c r="X33" s="570">
        <f>$L9</f>
        <v>0</v>
      </c>
      <c r="Y33" s="570">
        <f>$L7</f>
        <v>0</v>
      </c>
      <c r="Z33" s="570">
        <f>$L8</f>
        <v>0</v>
      </c>
      <c r="AA33" s="570">
        <f>L$15+L$16+L$17+L$18+L$19+L$21+L$22+L$23</f>
        <v>0</v>
      </c>
      <c r="AB33" s="718">
        <f>$L20</f>
        <v>0</v>
      </c>
      <c r="AC33" s="723">
        <f t="shared" ref="AC33:AC42" si="23">SUM(W33:AB33)</f>
        <v>0</v>
      </c>
      <c r="AD33" s="587">
        <f>M6+M7+M8++M9+M15+M16+M17+M18+M19+M21+M20+M22+M23</f>
        <v>0</v>
      </c>
      <c r="AE33" s="579">
        <f>AC33+AD33</f>
        <v>0</v>
      </c>
      <c r="AF33" s="579"/>
      <c r="AG33" s="599"/>
      <c r="AH33" s="599"/>
      <c r="AI33" s="599"/>
      <c r="AL33" s="24"/>
      <c r="AN33" s="26"/>
      <c r="AP33" s="24"/>
      <c r="AT33" s="25"/>
      <c r="AU33" s="25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>
        <f>375-332</f>
        <v>43</v>
      </c>
    </row>
    <row r="34" spans="1:62" s="24" customFormat="1" ht="23.25">
      <c r="A34" s="23"/>
      <c r="B34" s="23"/>
      <c r="C34" s="23"/>
      <c r="D34" s="27"/>
      <c r="E34" s="27"/>
      <c r="F34" s="27"/>
      <c r="G34" s="23"/>
      <c r="H34" s="23"/>
      <c r="I34" s="577"/>
      <c r="L34" s="441" t="s">
        <v>183</v>
      </c>
      <c r="M34" s="470">
        <f>$N$6</f>
        <v>0</v>
      </c>
      <c r="N34" s="430">
        <f>$N9</f>
        <v>0</v>
      </c>
      <c r="O34" s="430">
        <f>$N7</f>
        <v>0</v>
      </c>
      <c r="P34" s="430">
        <f>$N8</f>
        <v>0</v>
      </c>
      <c r="Q34" s="430">
        <f>N15+N16+N17+N18+N19+N21+N22+N23</f>
        <v>0</v>
      </c>
      <c r="R34" s="430">
        <f>$N20</f>
        <v>0</v>
      </c>
      <c r="S34" s="446">
        <f t="shared" si="22"/>
        <v>0</v>
      </c>
      <c r="T34" s="686"/>
      <c r="U34" s="26"/>
      <c r="V34" s="441" t="s">
        <v>183</v>
      </c>
      <c r="W34" s="440">
        <f>P$6</f>
        <v>21</v>
      </c>
      <c r="X34" s="430">
        <f>$P9</f>
        <v>0</v>
      </c>
      <c r="Y34" s="430">
        <f>$P7</f>
        <v>0</v>
      </c>
      <c r="Z34" s="430">
        <f>$P8</f>
        <v>0</v>
      </c>
      <c r="AA34" s="430">
        <f>P$15+P$16+P$17+P$18+P$19+P$21+P$22+P$23</f>
        <v>0</v>
      </c>
      <c r="AB34" s="719">
        <f>$P20</f>
        <v>0</v>
      </c>
      <c r="AC34" s="723">
        <f t="shared" si="23"/>
        <v>21</v>
      </c>
      <c r="AD34" s="587">
        <f>Q6+Q7+Q8+Q9+Q15+Q16+Q17+Q18+Q19+Q20+Q21+Q22+Q23</f>
        <v>0</v>
      </c>
      <c r="AE34" s="579">
        <f t="shared" ref="AE34:AE43" si="24">AC34+AD34</f>
        <v>21</v>
      </c>
      <c r="AG34" s="599"/>
      <c r="AH34" s="599"/>
      <c r="AI34" s="599"/>
      <c r="AN34" s="26"/>
      <c r="AT34" s="25"/>
      <c r="AU34" s="25"/>
      <c r="BJ34" s="1030"/>
    </row>
    <row r="35" spans="1:62" ht="23.25">
      <c r="L35" s="441" t="s">
        <v>184</v>
      </c>
      <c r="M35" s="470">
        <f>$R$6</f>
        <v>0</v>
      </c>
      <c r="N35" s="430">
        <f>$R9</f>
        <v>0</v>
      </c>
      <c r="O35" s="430">
        <f>$R7</f>
        <v>0</v>
      </c>
      <c r="P35" s="430">
        <f>$R8</f>
        <v>0</v>
      </c>
      <c r="Q35" s="430">
        <f>R15+R16+R17+R18+R19+R21+R22+R23</f>
        <v>0</v>
      </c>
      <c r="R35" s="430">
        <f>$R20</f>
        <v>0</v>
      </c>
      <c r="S35" s="446">
        <f t="shared" si="22"/>
        <v>0</v>
      </c>
      <c r="T35" s="686"/>
      <c r="U35" s="26"/>
      <c r="V35" s="441" t="s">
        <v>184</v>
      </c>
      <c r="W35" s="440">
        <f>T$6</f>
        <v>0</v>
      </c>
      <c r="X35" s="430">
        <f>$T9</f>
        <v>0</v>
      </c>
      <c r="Y35" s="430">
        <f>$T7</f>
        <v>0</v>
      </c>
      <c r="Z35" s="430">
        <f>$T8</f>
        <v>0</v>
      </c>
      <c r="AA35" s="430">
        <f>T$15+T$16+T$17+T$18+T$19+T$21+T$22+T$23</f>
        <v>0</v>
      </c>
      <c r="AB35" s="719">
        <f>$T20</f>
        <v>0</v>
      </c>
      <c r="AC35" s="723">
        <f t="shared" si="23"/>
        <v>0</v>
      </c>
      <c r="AD35" s="587">
        <f>U6+U7+U8+U9+U15+U16+U17+U18+U19+U20+U21+U22+U23</f>
        <v>0</v>
      </c>
      <c r="AE35" s="579">
        <f t="shared" si="24"/>
        <v>0</v>
      </c>
      <c r="AF35" s="26"/>
      <c r="AG35" s="599"/>
      <c r="AH35" s="599"/>
      <c r="AI35" s="599"/>
      <c r="AL35" s="24"/>
      <c r="AN35" s="26"/>
      <c r="AP35" s="24"/>
      <c r="AT35" s="25"/>
      <c r="AU35" s="25"/>
      <c r="AX35" s="23"/>
      <c r="AY35" s="23"/>
      <c r="AZ35" s="23"/>
      <c r="BA35" s="23"/>
      <c r="BB35" s="23"/>
      <c r="BC35" s="23"/>
      <c r="BD35" s="23"/>
      <c r="BE35" s="23"/>
      <c r="BF35" s="23"/>
      <c r="BG35" s="23"/>
    </row>
    <row r="36" spans="1:62" ht="23.25">
      <c r="L36" s="441" t="s">
        <v>170</v>
      </c>
      <c r="M36" s="470">
        <f>$V$6</f>
        <v>0</v>
      </c>
      <c r="N36" s="430">
        <f>$V9</f>
        <v>0</v>
      </c>
      <c r="O36" s="430">
        <f>$V7</f>
        <v>0</v>
      </c>
      <c r="P36" s="430">
        <f>$V8</f>
        <v>0</v>
      </c>
      <c r="Q36" s="430">
        <f>V15+V16+V17+V18+V19+V21++V22+V23</f>
        <v>0</v>
      </c>
      <c r="R36" s="430">
        <f>$V20</f>
        <v>0</v>
      </c>
      <c r="S36" s="446">
        <f t="shared" si="22"/>
        <v>0</v>
      </c>
      <c r="T36" s="686"/>
      <c r="U36" s="26"/>
      <c r="V36" s="441" t="s">
        <v>170</v>
      </c>
      <c r="W36" s="440">
        <f>X$6</f>
        <v>0</v>
      </c>
      <c r="X36" s="430">
        <f>$X9</f>
        <v>0</v>
      </c>
      <c r="Y36" s="430">
        <f>$X7</f>
        <v>0</v>
      </c>
      <c r="Z36" s="430">
        <f>$X8</f>
        <v>0</v>
      </c>
      <c r="AA36" s="430">
        <f>X$15+X$16+X$17+X$18+X$19+X$21+X$22+X$23</f>
        <v>0</v>
      </c>
      <c r="AB36" s="719">
        <f>$X20</f>
        <v>0</v>
      </c>
      <c r="AC36" s="723">
        <f t="shared" si="23"/>
        <v>0</v>
      </c>
      <c r="AD36" s="587">
        <f>Y6+Y7+Y8+Y9+Y15+Y16+Y17+Y18+Y19+Y20+Y21+Y22+Y23</f>
        <v>0</v>
      </c>
      <c r="AE36" s="579">
        <f t="shared" si="24"/>
        <v>0</v>
      </c>
      <c r="AF36" s="26"/>
      <c r="AG36" s="599"/>
      <c r="AH36" s="599"/>
      <c r="AI36" s="599"/>
      <c r="AL36" s="24"/>
      <c r="AN36" s="26"/>
      <c r="AP36" s="24"/>
      <c r="AT36" s="25"/>
      <c r="AU36" s="25"/>
      <c r="AX36" s="23"/>
      <c r="AY36" s="23"/>
      <c r="AZ36" s="23"/>
      <c r="BA36" s="23"/>
      <c r="BB36" s="23"/>
      <c r="BC36" s="23"/>
      <c r="BD36" s="23"/>
      <c r="BE36" s="23"/>
      <c r="BF36" s="23"/>
      <c r="BG36" s="23"/>
    </row>
    <row r="37" spans="1:62" ht="23.25">
      <c r="L37" s="441" t="s">
        <v>171</v>
      </c>
      <c r="M37" s="470">
        <f>$Z$6</f>
        <v>0</v>
      </c>
      <c r="N37" s="430">
        <f>$Z9</f>
        <v>0</v>
      </c>
      <c r="O37" s="430">
        <f>$Z7</f>
        <v>0</v>
      </c>
      <c r="P37" s="430">
        <f>$Z8</f>
        <v>0</v>
      </c>
      <c r="Q37" s="430">
        <f>Z15+Z16+Z17+Z18+Z19+Z21+Z22+Z23</f>
        <v>0</v>
      </c>
      <c r="R37" s="430">
        <f>$Z20</f>
        <v>0</v>
      </c>
      <c r="S37" s="446">
        <f t="shared" si="22"/>
        <v>0</v>
      </c>
      <c r="T37" s="686"/>
      <c r="U37" s="26"/>
      <c r="V37" s="441" t="s">
        <v>171</v>
      </c>
      <c r="W37" s="440">
        <f>AB$6</f>
        <v>0</v>
      </c>
      <c r="X37" s="430">
        <f>$AB9</f>
        <v>0</v>
      </c>
      <c r="Y37" s="430">
        <f>$AB7</f>
        <v>0</v>
      </c>
      <c r="Z37" s="430">
        <f>$AB8</f>
        <v>0</v>
      </c>
      <c r="AA37" s="430">
        <f>AB$15+AB$16+AB$17+AB$18+AB$19+AB$21+AB$22+AB$23</f>
        <v>0</v>
      </c>
      <c r="AB37" s="719">
        <f>$AB20</f>
        <v>0</v>
      </c>
      <c r="AC37" s="723">
        <f t="shared" si="23"/>
        <v>0</v>
      </c>
      <c r="AD37" s="587">
        <f>AC6+AC7+AC8+AC9+AC15+AC17+AC16+AC18+AC19+AC20+AC21+AC22+AC23</f>
        <v>0</v>
      </c>
      <c r="AE37" s="579">
        <f t="shared" si="24"/>
        <v>0</v>
      </c>
      <c r="AF37" s="26"/>
      <c r="AG37" s="26"/>
      <c r="AI37" s="26"/>
      <c r="AJ37" s="26"/>
      <c r="AK37" s="26"/>
      <c r="AL37" s="24"/>
      <c r="AN37" s="26"/>
      <c r="AP37" s="24"/>
      <c r="AT37" s="24"/>
      <c r="AX37" s="23"/>
      <c r="AY37" s="23"/>
      <c r="AZ37" s="23"/>
      <c r="BA37" s="23"/>
      <c r="BB37" s="23"/>
      <c r="BC37" s="23"/>
      <c r="BD37" s="23"/>
      <c r="BE37" s="23"/>
      <c r="BF37" s="23"/>
      <c r="BG37" s="23"/>
    </row>
    <row r="38" spans="1:62" ht="23.25">
      <c r="L38" s="441" t="s">
        <v>190</v>
      </c>
      <c r="M38" s="492">
        <f>$AD$6</f>
        <v>0</v>
      </c>
      <c r="N38" s="471">
        <f>$AD9</f>
        <v>0</v>
      </c>
      <c r="O38" s="471">
        <f>$AD7</f>
        <v>0</v>
      </c>
      <c r="P38" s="471">
        <f>$AD8</f>
        <v>0</v>
      </c>
      <c r="Q38" s="430">
        <f>AD15+AD16+AD17+AD18+AD19+AD21+AD22+AD23</f>
        <v>0</v>
      </c>
      <c r="R38" s="471">
        <f>$AD20</f>
        <v>0</v>
      </c>
      <c r="S38" s="446">
        <f t="shared" si="22"/>
        <v>0</v>
      </c>
      <c r="T38" s="686"/>
      <c r="U38" s="26"/>
      <c r="V38" s="441" t="s">
        <v>190</v>
      </c>
      <c r="W38" s="440">
        <f>AF$6</f>
        <v>0</v>
      </c>
      <c r="X38" s="430">
        <f>$AF9</f>
        <v>0</v>
      </c>
      <c r="Y38" s="430">
        <f>$AF7</f>
        <v>0</v>
      </c>
      <c r="Z38" s="430">
        <f>$AF8</f>
        <v>0</v>
      </c>
      <c r="AA38" s="430">
        <f>AF$15+AF$16+AF$17+AF$18+AF$19+AF$21+AF$22+AF$23</f>
        <v>0</v>
      </c>
      <c r="AB38" s="719">
        <f>$AF20</f>
        <v>0</v>
      </c>
      <c r="AC38" s="723">
        <f t="shared" si="23"/>
        <v>0</v>
      </c>
      <c r="AD38" s="587">
        <f>AG6+AG7+AG8+AG9+AG15+AG16+AG17+AG18+AG19+AG20+AG21+AG22+AG23</f>
        <v>0</v>
      </c>
      <c r="AE38" s="579">
        <f t="shared" si="24"/>
        <v>0</v>
      </c>
      <c r="AF38" s="26"/>
      <c r="AG38" s="26"/>
      <c r="AI38" s="26"/>
      <c r="AJ38" s="26"/>
      <c r="AK38" s="26"/>
      <c r="AL38" s="24"/>
      <c r="AN38" s="26"/>
      <c r="AP38" s="24"/>
      <c r="AT38" s="24"/>
      <c r="AX38" s="23"/>
      <c r="AY38" s="23"/>
      <c r="AZ38" s="23"/>
      <c r="BA38" s="23"/>
      <c r="BB38" s="23"/>
      <c r="BC38" s="23"/>
      <c r="BD38" s="23"/>
      <c r="BE38" s="23"/>
      <c r="BF38" s="23"/>
      <c r="BG38" s="23"/>
    </row>
    <row r="39" spans="1:62" ht="23.25">
      <c r="L39" s="441" t="s">
        <v>185</v>
      </c>
      <c r="M39" s="470">
        <f>$AL$6</f>
        <v>0</v>
      </c>
      <c r="N39" s="430">
        <f>$AL9</f>
        <v>0</v>
      </c>
      <c r="O39" s="430">
        <f>$AL7</f>
        <v>0</v>
      </c>
      <c r="P39" s="430">
        <f>$AL8</f>
        <v>0</v>
      </c>
      <c r="Q39" s="430">
        <f>AL15+AL16+AL17+AL18+AL19+AL21+AL22+AL23</f>
        <v>0</v>
      </c>
      <c r="R39" s="430">
        <f>$AL20</f>
        <v>0</v>
      </c>
      <c r="S39" s="446">
        <f t="shared" si="22"/>
        <v>0</v>
      </c>
      <c r="T39" s="686"/>
      <c r="U39" s="26"/>
      <c r="V39" s="441" t="s">
        <v>185</v>
      </c>
      <c r="W39" s="469">
        <f>AN$6</f>
        <v>0</v>
      </c>
      <c r="X39" s="430">
        <f>$AN9</f>
        <v>0</v>
      </c>
      <c r="Y39" s="430">
        <f>$AN7</f>
        <v>0</v>
      </c>
      <c r="Z39" s="430">
        <f>$AN8</f>
        <v>0</v>
      </c>
      <c r="AA39" s="430">
        <f>AN$15+AN$16+AN$17+AN$18+AN$19+AN$21+AN$22+AN$23</f>
        <v>0</v>
      </c>
      <c r="AB39" s="719">
        <f>$AN20</f>
        <v>0</v>
      </c>
      <c r="AC39" s="723">
        <f t="shared" si="23"/>
        <v>0</v>
      </c>
      <c r="AD39" s="587">
        <f>AO6+AO7+AO8+AO9+AO15+AO16+AO17+AO18+AO19+AO20+AO21+AO22+AO23</f>
        <v>0</v>
      </c>
      <c r="AE39" s="579">
        <f t="shared" si="24"/>
        <v>0</v>
      </c>
      <c r="AF39" s="23"/>
      <c r="AG39" s="26"/>
      <c r="AI39" s="26"/>
      <c r="AJ39" s="26"/>
      <c r="AK39" s="26"/>
      <c r="AL39" s="24"/>
      <c r="AN39" s="26"/>
      <c r="AP39" s="24"/>
      <c r="AT39" s="24"/>
      <c r="AX39" s="23"/>
      <c r="AY39" s="23"/>
      <c r="AZ39" s="23"/>
      <c r="BA39" s="23"/>
      <c r="BB39" s="23"/>
      <c r="BC39" s="23"/>
      <c r="BD39" s="23"/>
      <c r="BE39" s="23"/>
      <c r="BF39" s="23"/>
      <c r="BG39" s="23"/>
    </row>
    <row r="40" spans="1:62" ht="23.25">
      <c r="L40" s="441" t="s">
        <v>202</v>
      </c>
      <c r="M40" s="470">
        <f>$AP$6</f>
        <v>0</v>
      </c>
      <c r="N40" s="430">
        <f>$AP9</f>
        <v>0</v>
      </c>
      <c r="O40" s="430">
        <f>$AP7</f>
        <v>0</v>
      </c>
      <c r="P40" s="430">
        <f>$AP8</f>
        <v>0</v>
      </c>
      <c r="Q40" s="430">
        <f>AP15+AP16+AP17+AP18+AP19+AP21+AP22+AP23</f>
        <v>0</v>
      </c>
      <c r="R40" s="430">
        <f>$AP20</f>
        <v>0</v>
      </c>
      <c r="S40" s="446">
        <f t="shared" si="22"/>
        <v>0</v>
      </c>
      <c r="T40" s="686"/>
      <c r="U40" s="26"/>
      <c r="V40" s="441" t="s">
        <v>202</v>
      </c>
      <c r="W40" s="440">
        <f>AR$6</f>
        <v>0</v>
      </c>
      <c r="X40" s="430">
        <f>$AR9</f>
        <v>0</v>
      </c>
      <c r="Y40" s="430">
        <f>$AR7</f>
        <v>0</v>
      </c>
      <c r="Z40" s="430">
        <f>$AR8</f>
        <v>0</v>
      </c>
      <c r="AA40" s="430">
        <f>AR$15+AR$16+AR$17+AR$18+AR$19+AR$21+AR$22+AR$23</f>
        <v>0</v>
      </c>
      <c r="AB40" s="719">
        <f>$AR20</f>
        <v>0</v>
      </c>
      <c r="AC40" s="723">
        <f t="shared" si="23"/>
        <v>0</v>
      </c>
      <c r="AD40" s="587">
        <f>AS6+AS7+AS8+AS9+AS15+AS16+AS17+AS18+AS19+AS20+AS21+AS22+AS23</f>
        <v>0</v>
      </c>
      <c r="AE40" s="579">
        <f t="shared" si="24"/>
        <v>0</v>
      </c>
      <c r="AF40" s="28"/>
      <c r="AG40" s="26"/>
      <c r="AI40" s="26"/>
      <c r="AJ40" s="26"/>
      <c r="AK40" s="26"/>
      <c r="AL40" s="24"/>
      <c r="AN40" s="26"/>
      <c r="AP40" s="24"/>
      <c r="AS40" s="23"/>
      <c r="AT40" s="24"/>
      <c r="AX40" s="23"/>
      <c r="AY40" s="23"/>
      <c r="AZ40" s="23"/>
      <c r="BA40" s="23"/>
      <c r="BB40" s="23"/>
      <c r="BC40" s="23"/>
      <c r="BD40" s="23"/>
      <c r="BE40" s="23"/>
      <c r="BF40" s="23"/>
      <c r="BG40" s="23"/>
    </row>
    <row r="41" spans="1:62" ht="23.25">
      <c r="L41" s="441" t="s">
        <v>186</v>
      </c>
      <c r="M41" s="470">
        <f>$AT$6</f>
        <v>0</v>
      </c>
      <c r="N41" s="430">
        <f>$AT9</f>
        <v>0</v>
      </c>
      <c r="O41" s="430">
        <f>$AT7</f>
        <v>0</v>
      </c>
      <c r="P41" s="430">
        <f>$AT8</f>
        <v>0</v>
      </c>
      <c r="Q41" s="430">
        <f>AT15+AT16+AT17+AT18+AT19+AT21+AT22+AT23</f>
        <v>0</v>
      </c>
      <c r="R41" s="430">
        <f>$AT20</f>
        <v>0</v>
      </c>
      <c r="S41" s="446">
        <f t="shared" si="22"/>
        <v>0</v>
      </c>
      <c r="T41" s="686"/>
      <c r="U41" s="26"/>
      <c r="V41" s="441" t="s">
        <v>186</v>
      </c>
      <c r="W41" s="440">
        <f>AV$6</f>
        <v>0</v>
      </c>
      <c r="X41" s="430">
        <f>$AV9</f>
        <v>0</v>
      </c>
      <c r="Y41" s="430">
        <f>$AV7</f>
        <v>0</v>
      </c>
      <c r="Z41" s="430">
        <f>$AV8</f>
        <v>0</v>
      </c>
      <c r="AA41" s="430">
        <f>AV$15+AV$16+AV$17+AV$18+AV$19+AV$21+AV$22+AV$23</f>
        <v>0</v>
      </c>
      <c r="AB41" s="719">
        <f>$AV20</f>
        <v>0</v>
      </c>
      <c r="AC41" s="723">
        <f t="shared" si="23"/>
        <v>0</v>
      </c>
      <c r="AD41" s="587">
        <f>AW6+AW7+AW8+AW9+AW15+AW16+AW17+AW18+AW20+AW19+AW21+AW22+AW23</f>
        <v>0</v>
      </c>
      <c r="AE41" s="579">
        <f t="shared" si="24"/>
        <v>0</v>
      </c>
      <c r="AH41" s="24"/>
      <c r="AJ41" s="25"/>
      <c r="AL41" s="24"/>
      <c r="AN41" s="25"/>
      <c r="AP41" s="24"/>
      <c r="AR41" s="25"/>
      <c r="AT41" s="24"/>
      <c r="AX41" s="23"/>
      <c r="AY41" s="23"/>
      <c r="AZ41" s="23"/>
      <c r="BA41" s="23"/>
      <c r="BB41" s="23"/>
      <c r="BC41" s="23"/>
      <c r="BD41" s="23"/>
      <c r="BE41" s="23"/>
      <c r="BF41" s="23"/>
      <c r="BG41" s="23"/>
    </row>
    <row r="42" spans="1:62" ht="23.25">
      <c r="L42" s="441" t="s">
        <v>203</v>
      </c>
      <c r="M42" s="470">
        <f>$AX$6</f>
        <v>0</v>
      </c>
      <c r="N42" s="430">
        <f>$AX9</f>
        <v>0</v>
      </c>
      <c r="O42" s="430">
        <f>$AX7</f>
        <v>0</v>
      </c>
      <c r="P42" s="430">
        <f>$AX8</f>
        <v>0</v>
      </c>
      <c r="Q42" s="430">
        <f>AX15+AX16+AX17+AX18+AX19+AX21+AX22+AX23</f>
        <v>0</v>
      </c>
      <c r="R42" s="430">
        <f>$AX20</f>
        <v>0</v>
      </c>
      <c r="S42" s="446">
        <f t="shared" si="22"/>
        <v>0</v>
      </c>
      <c r="T42" s="686"/>
      <c r="U42" s="26"/>
      <c r="V42" s="441" t="s">
        <v>203</v>
      </c>
      <c r="W42" s="440">
        <f>AZ$6</f>
        <v>0</v>
      </c>
      <c r="X42" s="430">
        <f>$AZ9</f>
        <v>0</v>
      </c>
      <c r="Y42" s="430">
        <f>$AZ7</f>
        <v>0</v>
      </c>
      <c r="Z42" s="430">
        <f>$AZ8</f>
        <v>0</v>
      </c>
      <c r="AA42" s="430">
        <f>AZ$15+AZ$16+AZ$17+AZ$18+AZ$19+AZ$21+AZ$22+AZ$23</f>
        <v>0</v>
      </c>
      <c r="AB42" s="719">
        <f>$AZ20</f>
        <v>0</v>
      </c>
      <c r="AC42" s="723">
        <f t="shared" si="23"/>
        <v>0</v>
      </c>
      <c r="AD42" s="587">
        <f>BA6+BA7+BA8+BA9+BA15+BA16+BA17+BA18+BA19+BA20+BA21+BA22+BA23</f>
        <v>0</v>
      </c>
      <c r="AE42" s="579">
        <f t="shared" si="24"/>
        <v>0</v>
      </c>
      <c r="AH42" s="24"/>
      <c r="AJ42" s="25"/>
      <c r="AL42" s="24"/>
      <c r="AN42" s="25"/>
      <c r="AP42" s="24"/>
      <c r="AR42" s="25"/>
      <c r="AT42" s="24"/>
      <c r="AV42" s="25"/>
      <c r="AX42" s="23"/>
      <c r="AY42" s="23"/>
      <c r="AZ42" s="23"/>
      <c r="BA42" s="23"/>
      <c r="BB42" s="23"/>
      <c r="BC42" s="23"/>
      <c r="BD42" s="23"/>
      <c r="BE42" s="23"/>
      <c r="BF42" s="23"/>
      <c r="BG42" s="23"/>
    </row>
    <row r="43" spans="1:62" ht="24" thickBot="1">
      <c r="L43" s="442" t="s">
        <v>191</v>
      </c>
      <c r="M43" s="443">
        <f t="shared" ref="M43" si="25">SUM(M33:M42)</f>
        <v>0</v>
      </c>
      <c r="N43" s="444">
        <f>SUM(N33:N42)</f>
        <v>0</v>
      </c>
      <c r="O43" s="443">
        <f t="shared" ref="O43" si="26">SUM(O33:O42)</f>
        <v>0</v>
      </c>
      <c r="P43" s="444">
        <f>SUM(P33:P42)</f>
        <v>0</v>
      </c>
      <c r="Q43" s="444">
        <f>SUM(Q33:Q42)</f>
        <v>0</v>
      </c>
      <c r="R43" s="445">
        <f>SUM(R33:R42)</f>
        <v>0</v>
      </c>
      <c r="S43" s="451">
        <f>SUM(S33:S42)</f>
        <v>0</v>
      </c>
      <c r="T43" s="687"/>
      <c r="U43" s="26"/>
      <c r="V43" s="442" t="s">
        <v>191</v>
      </c>
      <c r="W43" s="443">
        <f t="shared" ref="W43:Y43" si="27">SUM(W33:W42)</f>
        <v>21</v>
      </c>
      <c r="X43" s="444">
        <f>SUM(X33:X42)</f>
        <v>0</v>
      </c>
      <c r="Y43" s="443">
        <f t="shared" si="27"/>
        <v>0</v>
      </c>
      <c r="Z43" s="444">
        <f>SUM(Z33:Z42)</f>
        <v>0</v>
      </c>
      <c r="AA43" s="444">
        <f>SUM(AA33:AA42)</f>
        <v>0</v>
      </c>
      <c r="AB43" s="720">
        <f>SUM(AB33:AB42)</f>
        <v>0</v>
      </c>
      <c r="AC43" s="724">
        <f>SUM(AC33:AC42)</f>
        <v>21</v>
      </c>
      <c r="AD43" s="725">
        <f>SUM(AD33:AD42)</f>
        <v>0</v>
      </c>
      <c r="AE43" s="579">
        <f t="shared" si="24"/>
        <v>21</v>
      </c>
      <c r="AH43" s="24"/>
      <c r="AJ43" s="25"/>
      <c r="AL43" s="24"/>
      <c r="AN43" s="25"/>
      <c r="AP43" s="24"/>
      <c r="AR43" s="25"/>
      <c r="AT43" s="24"/>
      <c r="AV43" s="25"/>
      <c r="AX43" s="23"/>
      <c r="AY43" s="23"/>
      <c r="AZ43" s="23"/>
      <c r="BA43" s="23"/>
      <c r="BB43" s="23"/>
      <c r="BC43" s="23"/>
      <c r="BD43" s="23"/>
      <c r="BE43" s="23"/>
      <c r="BF43" s="23"/>
      <c r="BG43" s="23"/>
    </row>
    <row r="44" spans="1:62" ht="21.75" thickBot="1">
      <c r="L44" s="26"/>
      <c r="M44" s="26"/>
      <c r="N44" s="24"/>
      <c r="P44" s="26"/>
      <c r="Q44" s="26"/>
      <c r="R44" s="24"/>
      <c r="T44" s="26"/>
      <c r="U44" s="26"/>
      <c r="V44" s="24"/>
      <c r="Z44" s="24"/>
      <c r="AD44" s="24"/>
      <c r="AE44" s="26"/>
      <c r="AF44" s="466"/>
      <c r="AG44" s="466"/>
      <c r="AH44" s="466"/>
      <c r="AI44" s="467"/>
      <c r="AL44" s="24"/>
      <c r="AM44" s="25"/>
      <c r="AP44" s="24"/>
      <c r="AQ44" s="25"/>
      <c r="AT44" s="24"/>
      <c r="AU44" s="25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</row>
    <row r="45" spans="1:62" ht="27" thickBot="1">
      <c r="L45" s="1929" t="str">
        <f>L31</f>
        <v>Mode wise Collection Plan-1-11-2021</v>
      </c>
      <c r="M45" s="1930"/>
      <c r="N45" s="1930"/>
      <c r="O45" s="1930"/>
      <c r="P45" s="1930"/>
      <c r="Q45" s="1930"/>
      <c r="R45" s="1930"/>
      <c r="S45" s="1930"/>
      <c r="T45" s="1931"/>
      <c r="U45" s="26"/>
      <c r="V45" s="1923" t="s">
        <v>278</v>
      </c>
      <c r="W45" s="1567"/>
      <c r="X45" s="1567"/>
      <c r="Y45" s="1567"/>
      <c r="Z45" s="1567"/>
      <c r="AA45" s="1567"/>
      <c r="AB45" s="1567"/>
      <c r="AC45" s="1567"/>
      <c r="AD45" s="1567"/>
      <c r="AE45" s="1568"/>
      <c r="AF45" s="466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</row>
    <row r="46" spans="1:62" s="28" customFormat="1" ht="31.5">
      <c r="D46" s="29"/>
      <c r="E46" s="29"/>
      <c r="F46" s="29"/>
      <c r="I46" s="29"/>
      <c r="J46" s="1011" t="s">
        <v>270</v>
      </c>
      <c r="K46" s="1011" t="s">
        <v>196</v>
      </c>
      <c r="L46" s="450" t="s">
        <v>0</v>
      </c>
      <c r="M46" s="439" t="s">
        <v>200</v>
      </c>
      <c r="N46" s="454" t="s">
        <v>205</v>
      </c>
      <c r="O46" s="439" t="s">
        <v>31</v>
      </c>
      <c r="P46" s="448" t="s">
        <v>201</v>
      </c>
      <c r="Q46" s="455" t="s">
        <v>206</v>
      </c>
      <c r="R46" s="436" t="s">
        <v>22</v>
      </c>
      <c r="S46" s="438" t="s">
        <v>191</v>
      </c>
      <c r="T46" s="438" t="s">
        <v>244</v>
      </c>
      <c r="U46" s="26"/>
      <c r="V46" s="596" t="s">
        <v>0</v>
      </c>
      <c r="W46" s="436" t="s">
        <v>200</v>
      </c>
      <c r="X46" s="454" t="s">
        <v>205</v>
      </c>
      <c r="Y46" s="436" t="s">
        <v>31</v>
      </c>
      <c r="Z46" s="448" t="s">
        <v>201</v>
      </c>
      <c r="AA46" s="453" t="s">
        <v>206</v>
      </c>
      <c r="AB46" s="453" t="s">
        <v>210</v>
      </c>
      <c r="AC46" s="436" t="s">
        <v>22</v>
      </c>
      <c r="AD46" s="437" t="s">
        <v>191</v>
      </c>
      <c r="AE46" s="438" t="s">
        <v>244</v>
      </c>
      <c r="AF46" s="952" t="s">
        <v>32</v>
      </c>
      <c r="AG46" s="1024" t="s">
        <v>22</v>
      </c>
      <c r="AH46" s="1022" t="s">
        <v>23</v>
      </c>
      <c r="AI46" s="1022" t="s">
        <v>271</v>
      </c>
      <c r="AJ46" s="23"/>
      <c r="AK46" s="23"/>
      <c r="AL46" s="23"/>
      <c r="AM46" s="23"/>
      <c r="AN46" s="23"/>
      <c r="AO46" s="23"/>
      <c r="AP46" s="23"/>
      <c r="AQ46" s="23"/>
      <c r="AR46" s="23"/>
      <c r="BJ46" s="1064"/>
    </row>
    <row r="47" spans="1:62" ht="26.25">
      <c r="J47" s="441">
        <f>19.5+19.76+18.95+9.45</f>
        <v>67.660000000000011</v>
      </c>
      <c r="K47" s="441"/>
      <c r="L47" s="441" t="s">
        <v>189</v>
      </c>
      <c r="M47" s="470">
        <v>65</v>
      </c>
      <c r="N47" s="430">
        <v>0</v>
      </c>
      <c r="O47" s="430">
        <v>0</v>
      </c>
      <c r="P47" s="430">
        <v>0</v>
      </c>
      <c r="Q47" s="430">
        <v>20</v>
      </c>
      <c r="R47" s="430">
        <v>7</v>
      </c>
      <c r="S47" s="446">
        <f t="shared" ref="S47:S56" si="28">SUM(M47:R47)</f>
        <v>92</v>
      </c>
      <c r="T47" s="446"/>
      <c r="U47" s="26"/>
      <c r="V47" s="586" t="s">
        <v>189</v>
      </c>
      <c r="W47" s="430">
        <v>2.5</v>
      </c>
      <c r="X47" s="430">
        <v>0.36</v>
      </c>
      <c r="Y47" s="430">
        <v>0</v>
      </c>
      <c r="Z47" s="430">
        <v>0</v>
      </c>
      <c r="AA47" s="430">
        <v>0</v>
      </c>
      <c r="AB47" s="655">
        <v>0</v>
      </c>
      <c r="AC47" s="430"/>
      <c r="AD47" s="568">
        <f t="shared" ref="AD47:AD56" si="29">SUM(W47:AC47)</f>
        <v>2.86</v>
      </c>
      <c r="AE47" s="1025">
        <f>L27+L28+L29</f>
        <v>0</v>
      </c>
      <c r="AF47" s="953">
        <v>19.5</v>
      </c>
      <c r="AG47" s="1017">
        <v>28.4</v>
      </c>
      <c r="AH47" s="1017"/>
      <c r="AI47" s="1017"/>
      <c r="AJ47" s="28"/>
      <c r="AK47" s="28"/>
      <c r="AL47" s="28"/>
      <c r="AM47" s="28"/>
      <c r="AN47" s="28"/>
      <c r="AO47" s="28"/>
      <c r="AP47" s="28"/>
      <c r="AQ47" s="28"/>
      <c r="AR47" s="28"/>
      <c r="AT47" s="24"/>
      <c r="AU47" s="25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</row>
    <row r="48" spans="1:62" ht="26.25">
      <c r="J48" s="441">
        <v>16.5</v>
      </c>
      <c r="K48" s="441">
        <v>22</v>
      </c>
      <c r="L48" s="441" t="s">
        <v>183</v>
      </c>
      <c r="M48" s="470">
        <v>21</v>
      </c>
      <c r="N48" s="430">
        <v>0</v>
      </c>
      <c r="O48" s="430">
        <v>0</v>
      </c>
      <c r="P48" s="430">
        <v>0</v>
      </c>
      <c r="Q48" s="430">
        <v>14</v>
      </c>
      <c r="R48" s="430">
        <v>0</v>
      </c>
      <c r="S48" s="446">
        <f t="shared" si="28"/>
        <v>35</v>
      </c>
      <c r="T48" s="446"/>
      <c r="U48" s="466"/>
      <c r="V48" s="586" t="s">
        <v>183</v>
      </c>
      <c r="W48" s="430">
        <v>0</v>
      </c>
      <c r="X48" s="430">
        <v>0.61</v>
      </c>
      <c r="Y48" s="430">
        <v>0</v>
      </c>
      <c r="Z48" s="430">
        <v>1</v>
      </c>
      <c r="AA48" s="430">
        <v>0</v>
      </c>
      <c r="AB48" s="655">
        <v>0</v>
      </c>
      <c r="AC48" s="430"/>
      <c r="AD48" s="568">
        <f t="shared" si="29"/>
        <v>1.6099999999999999</v>
      </c>
      <c r="AE48" s="1025">
        <f>P27+P28+P29</f>
        <v>0</v>
      </c>
      <c r="AF48" s="953"/>
      <c r="AG48" s="951">
        <v>16.47</v>
      </c>
      <c r="AH48" s="951"/>
      <c r="AI48" s="655"/>
      <c r="AL48" s="24"/>
      <c r="AM48" s="25"/>
      <c r="AP48" s="24"/>
      <c r="AQ48" s="25"/>
      <c r="AT48" s="24"/>
      <c r="AU48" s="25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</row>
    <row r="49" spans="4:62" ht="26.25">
      <c r="J49" s="441"/>
      <c r="K49" s="441"/>
      <c r="L49" s="441" t="s">
        <v>184</v>
      </c>
      <c r="M49" s="470">
        <v>0</v>
      </c>
      <c r="N49" s="430">
        <v>12</v>
      </c>
      <c r="O49" s="430">
        <v>0</v>
      </c>
      <c r="P49" s="430">
        <v>0</v>
      </c>
      <c r="Q49" s="430">
        <v>0</v>
      </c>
      <c r="R49" s="430">
        <v>8</v>
      </c>
      <c r="S49" s="446">
        <f t="shared" si="28"/>
        <v>20</v>
      </c>
      <c r="T49" s="446"/>
      <c r="U49" s="466"/>
      <c r="V49" s="586" t="s">
        <v>184</v>
      </c>
      <c r="W49" s="430">
        <v>2</v>
      </c>
      <c r="X49" s="430">
        <v>0</v>
      </c>
      <c r="Y49" s="430">
        <v>0</v>
      </c>
      <c r="Z49" s="430">
        <v>0</v>
      </c>
      <c r="AA49" s="430">
        <v>0</v>
      </c>
      <c r="AB49" s="655">
        <v>0</v>
      </c>
      <c r="AC49" s="430"/>
      <c r="AD49" s="568">
        <f t="shared" si="29"/>
        <v>2</v>
      </c>
      <c r="AE49" s="1025">
        <f>T27+T28+T29</f>
        <v>0</v>
      </c>
      <c r="AF49" s="953"/>
      <c r="AG49" s="951"/>
      <c r="AH49" s="951"/>
      <c r="AI49" s="655"/>
      <c r="AL49" s="24"/>
      <c r="AM49" s="25"/>
      <c r="AP49" s="24"/>
      <c r="AQ49" s="25"/>
      <c r="AT49" s="24"/>
      <c r="AU49" s="25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</row>
    <row r="50" spans="4:62" ht="26.25">
      <c r="J50" s="441">
        <f>21+12</f>
        <v>33</v>
      </c>
      <c r="K50" s="441">
        <v>14</v>
      </c>
      <c r="L50" s="441" t="s">
        <v>170</v>
      </c>
      <c r="M50" s="470">
        <v>0</v>
      </c>
      <c r="N50" s="430">
        <v>0</v>
      </c>
      <c r="O50" s="430">
        <v>0</v>
      </c>
      <c r="P50" s="430">
        <v>0</v>
      </c>
      <c r="Q50" s="430">
        <v>15</v>
      </c>
      <c r="R50" s="430">
        <v>0</v>
      </c>
      <c r="S50" s="446">
        <f t="shared" si="28"/>
        <v>15</v>
      </c>
      <c r="T50" s="446"/>
      <c r="U50" s="466"/>
      <c r="V50" s="586" t="s">
        <v>170</v>
      </c>
      <c r="W50" s="430">
        <v>0</v>
      </c>
      <c r="X50" s="430">
        <v>0</v>
      </c>
      <c r="Y50" s="430">
        <v>0</v>
      </c>
      <c r="Z50" s="430">
        <v>0</v>
      </c>
      <c r="AA50" s="430">
        <v>0</v>
      </c>
      <c r="AB50" s="655">
        <v>0</v>
      </c>
      <c r="AC50" s="430"/>
      <c r="AD50" s="568">
        <f t="shared" si="29"/>
        <v>0</v>
      </c>
      <c r="AE50" s="1025">
        <f>X27+X28+X29</f>
        <v>0</v>
      </c>
      <c r="AF50" s="953">
        <v>11</v>
      </c>
      <c r="AG50" s="951">
        <v>12</v>
      </c>
      <c r="AH50" s="951"/>
      <c r="AI50" s="655"/>
      <c r="AL50" s="24"/>
      <c r="AM50" s="25"/>
      <c r="AP50" s="24"/>
      <c r="AQ50" s="25"/>
      <c r="AT50" s="24"/>
      <c r="AU50" s="25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</row>
    <row r="51" spans="4:62" ht="26.25">
      <c r="J51" s="441"/>
      <c r="K51" s="441"/>
      <c r="L51" s="441" t="s">
        <v>171</v>
      </c>
      <c r="M51" s="470">
        <v>0</v>
      </c>
      <c r="N51" s="430">
        <v>3</v>
      </c>
      <c r="O51" s="430">
        <v>0</v>
      </c>
      <c r="P51" s="430">
        <v>0</v>
      </c>
      <c r="Q51" s="430">
        <v>0</v>
      </c>
      <c r="R51" s="430">
        <v>0</v>
      </c>
      <c r="S51" s="446">
        <f t="shared" si="28"/>
        <v>3</v>
      </c>
      <c r="T51" s="446"/>
      <c r="U51" s="466"/>
      <c r="V51" s="586" t="s">
        <v>171</v>
      </c>
      <c r="W51" s="430">
        <v>1</v>
      </c>
      <c r="X51" s="430">
        <v>0</v>
      </c>
      <c r="Y51" s="430">
        <v>0</v>
      </c>
      <c r="Z51" s="430">
        <v>0</v>
      </c>
      <c r="AA51" s="430">
        <v>0</v>
      </c>
      <c r="AB51" s="655">
        <v>0</v>
      </c>
      <c r="AC51" s="430"/>
      <c r="AD51" s="568">
        <f t="shared" si="29"/>
        <v>1</v>
      </c>
      <c r="AE51" s="1025">
        <f>AB27+AB28+AB29</f>
        <v>0</v>
      </c>
      <c r="AF51" s="953"/>
      <c r="AG51" s="951"/>
      <c r="AH51" s="951"/>
      <c r="AI51" s="655"/>
      <c r="AL51" s="24"/>
      <c r="AM51" s="25"/>
      <c r="AP51" s="24"/>
      <c r="AQ51" s="25"/>
      <c r="AT51" s="24"/>
      <c r="AU51" s="25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</row>
    <row r="52" spans="4:62" ht="26.25">
      <c r="J52" s="441"/>
      <c r="K52" s="441">
        <v>5</v>
      </c>
      <c r="L52" s="441" t="s">
        <v>190</v>
      </c>
      <c r="M52" s="492">
        <v>35</v>
      </c>
      <c r="N52" s="471">
        <v>0</v>
      </c>
      <c r="O52" s="471">
        <v>0</v>
      </c>
      <c r="P52" s="471">
        <v>0</v>
      </c>
      <c r="Q52" s="430">
        <v>35</v>
      </c>
      <c r="R52" s="471">
        <v>0</v>
      </c>
      <c r="S52" s="446">
        <f t="shared" si="28"/>
        <v>70</v>
      </c>
      <c r="T52" s="446"/>
      <c r="U52" s="466"/>
      <c r="V52" s="586" t="s">
        <v>190</v>
      </c>
      <c r="W52" s="430">
        <v>15</v>
      </c>
      <c r="X52" s="430">
        <v>0</v>
      </c>
      <c r="Y52" s="430">
        <v>0</v>
      </c>
      <c r="Z52" s="430">
        <v>1</v>
      </c>
      <c r="AA52" s="430">
        <v>0</v>
      </c>
      <c r="AB52" s="655">
        <v>0</v>
      </c>
      <c r="AC52" s="430"/>
      <c r="AD52" s="568">
        <f t="shared" si="29"/>
        <v>16</v>
      </c>
      <c r="AE52" s="1025">
        <f>AF27+AF28+AF29</f>
        <v>0</v>
      </c>
      <c r="AF52" s="954"/>
      <c r="AG52" s="951"/>
      <c r="AH52" s="951"/>
      <c r="AI52" s="655"/>
      <c r="AL52" s="24"/>
      <c r="AM52" s="25"/>
      <c r="AP52" s="24"/>
      <c r="AQ52" s="25"/>
      <c r="AT52" s="24"/>
      <c r="AU52" s="25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</row>
    <row r="53" spans="4:62" ht="26.25">
      <c r="J53" s="441">
        <f>17.89+17.23+19.1+21.68</f>
        <v>75.900000000000006</v>
      </c>
      <c r="K53" s="441">
        <f>8.5</f>
        <v>8.5</v>
      </c>
      <c r="L53" s="441" t="s">
        <v>185</v>
      </c>
      <c r="M53" s="470">
        <v>30</v>
      </c>
      <c r="N53" s="430">
        <v>0</v>
      </c>
      <c r="O53" s="430">
        <v>0</v>
      </c>
      <c r="P53" s="430">
        <v>0</v>
      </c>
      <c r="Q53" s="430">
        <v>40</v>
      </c>
      <c r="R53" s="430">
        <v>0</v>
      </c>
      <c r="S53" s="446">
        <f t="shared" si="28"/>
        <v>70</v>
      </c>
      <c r="T53" s="446"/>
      <c r="U53" s="466"/>
      <c r="V53" s="586" t="s">
        <v>185</v>
      </c>
      <c r="W53" s="430">
        <v>0</v>
      </c>
      <c r="X53" s="430">
        <v>1.5</v>
      </c>
      <c r="Y53" s="430">
        <v>0</v>
      </c>
      <c r="Z53" s="430">
        <v>0.5</v>
      </c>
      <c r="AA53" s="430">
        <v>0</v>
      </c>
      <c r="AB53" s="655">
        <v>0</v>
      </c>
      <c r="AC53" s="430"/>
      <c r="AD53" s="568">
        <f t="shared" si="29"/>
        <v>2</v>
      </c>
      <c r="AE53" s="1025">
        <f>AN27+AN28+AN29</f>
        <v>0</v>
      </c>
      <c r="AF53" s="954">
        <v>53.99</v>
      </c>
      <c r="AG53" s="951"/>
      <c r="AH53" s="951"/>
      <c r="AI53" s="655"/>
      <c r="AL53" s="24"/>
      <c r="AM53" s="25"/>
      <c r="AP53" s="24"/>
      <c r="AQ53" s="25"/>
      <c r="AT53" s="24"/>
      <c r="AU53" s="25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</row>
    <row r="54" spans="4:62" ht="26.25">
      <c r="J54" s="441">
        <f>20.9+3</f>
        <v>23.9</v>
      </c>
      <c r="K54" s="441"/>
      <c r="L54" s="441" t="s">
        <v>202</v>
      </c>
      <c r="M54" s="470">
        <v>0</v>
      </c>
      <c r="N54" s="430">
        <v>1</v>
      </c>
      <c r="O54" s="430">
        <v>0</v>
      </c>
      <c r="P54" s="430">
        <v>0</v>
      </c>
      <c r="Q54" s="430">
        <v>9</v>
      </c>
      <c r="R54" s="430">
        <v>0</v>
      </c>
      <c r="S54" s="446">
        <f t="shared" si="28"/>
        <v>10</v>
      </c>
      <c r="T54" s="446"/>
      <c r="U54" s="466"/>
      <c r="V54" s="586" t="s">
        <v>202</v>
      </c>
      <c r="W54" s="430">
        <v>0</v>
      </c>
      <c r="X54" s="430">
        <v>0</v>
      </c>
      <c r="Y54" s="430">
        <v>0</v>
      </c>
      <c r="Z54" s="430">
        <v>0</v>
      </c>
      <c r="AA54" s="430">
        <v>31</v>
      </c>
      <c r="AB54" s="655">
        <v>0</v>
      </c>
      <c r="AC54" s="430"/>
      <c r="AD54" s="568">
        <f t="shared" si="29"/>
        <v>31</v>
      </c>
      <c r="AE54" s="1025">
        <f>AR27+AR28+AR29</f>
        <v>0</v>
      </c>
      <c r="AF54" s="952"/>
      <c r="AG54" s="951"/>
      <c r="AH54" s="951"/>
      <c r="AI54" s="655"/>
      <c r="AL54" s="24"/>
      <c r="AM54" s="25"/>
      <c r="AP54" s="24"/>
      <c r="AQ54" s="25"/>
      <c r="AT54" s="24"/>
      <c r="AU54" s="25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</row>
    <row r="55" spans="4:62" ht="26.25">
      <c r="J55" s="441">
        <f>21+22+25</f>
        <v>68</v>
      </c>
      <c r="K55" s="441"/>
      <c r="L55" s="441" t="s">
        <v>186</v>
      </c>
      <c r="M55" s="470">
        <v>20</v>
      </c>
      <c r="N55" s="430">
        <v>0</v>
      </c>
      <c r="O55" s="430">
        <v>0</v>
      </c>
      <c r="P55" s="430">
        <v>0</v>
      </c>
      <c r="Q55" s="430">
        <v>0</v>
      </c>
      <c r="R55" s="430">
        <v>0</v>
      </c>
      <c r="S55" s="446">
        <f t="shared" si="28"/>
        <v>20</v>
      </c>
      <c r="T55" s="446"/>
      <c r="U55" s="466"/>
      <c r="V55" s="586" t="s">
        <v>186</v>
      </c>
      <c r="W55" s="430">
        <v>0</v>
      </c>
      <c r="X55" s="430">
        <v>0</v>
      </c>
      <c r="Y55" s="430">
        <v>0</v>
      </c>
      <c r="Z55" s="430">
        <v>0</v>
      </c>
      <c r="AA55" s="430">
        <v>0</v>
      </c>
      <c r="AB55" s="655">
        <v>0</v>
      </c>
      <c r="AC55" s="430"/>
      <c r="AD55" s="568">
        <f t="shared" si="29"/>
        <v>0</v>
      </c>
      <c r="AE55" s="1025">
        <f>AV27+AV28+AV29</f>
        <v>0</v>
      </c>
      <c r="AF55" s="952">
        <v>28.93</v>
      </c>
      <c r="AG55" s="951"/>
      <c r="AH55" s="951"/>
      <c r="AI55" s="655"/>
      <c r="AL55" s="24"/>
      <c r="AM55" s="25"/>
      <c r="AP55" s="24"/>
      <c r="AQ55" s="25"/>
      <c r="AT55" s="24"/>
      <c r="AU55" s="25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</row>
    <row r="56" spans="4:62" ht="26.25">
      <c r="J56" s="441"/>
      <c r="K56" s="441"/>
      <c r="L56" s="441" t="s">
        <v>203</v>
      </c>
      <c r="M56" s="470">
        <v>20</v>
      </c>
      <c r="N56" s="430">
        <v>0</v>
      </c>
      <c r="O56" s="430">
        <v>0</v>
      </c>
      <c r="P56" s="430">
        <v>0</v>
      </c>
      <c r="Q56" s="430">
        <v>20</v>
      </c>
      <c r="R56" s="430">
        <v>0</v>
      </c>
      <c r="S56" s="446">
        <f t="shared" si="28"/>
        <v>40</v>
      </c>
      <c r="T56" s="446"/>
      <c r="U56" s="466"/>
      <c r="V56" s="586" t="s">
        <v>203</v>
      </c>
      <c r="W56" s="430">
        <v>7</v>
      </c>
      <c r="X56" s="430">
        <v>0</v>
      </c>
      <c r="Y56" s="430">
        <v>0</v>
      </c>
      <c r="Z56" s="430">
        <v>0</v>
      </c>
      <c r="AA56" s="430">
        <v>0</v>
      </c>
      <c r="AB56" s="655">
        <v>0</v>
      </c>
      <c r="AC56" s="430"/>
      <c r="AD56" s="568">
        <f t="shared" si="29"/>
        <v>7</v>
      </c>
      <c r="AE56" s="1025">
        <f>AZ27+AZ28+AZ29</f>
        <v>0</v>
      </c>
      <c r="AF56" s="952"/>
      <c r="AG56" s="951"/>
      <c r="AH56" s="951"/>
      <c r="AI56" s="655"/>
      <c r="AL56" s="24"/>
      <c r="AM56" s="25"/>
      <c r="AP56" s="24"/>
      <c r="AQ56" s="25"/>
      <c r="AT56" s="24"/>
      <c r="AU56" s="25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</row>
    <row r="57" spans="4:62" ht="24" thickBot="1">
      <c r="J57" s="442">
        <f t="shared" ref="J57:K57" si="30">SUM(J47:J56)</f>
        <v>284.96000000000004</v>
      </c>
      <c r="K57" s="442">
        <f t="shared" si="30"/>
        <v>49.5</v>
      </c>
      <c r="L57" s="442" t="s">
        <v>191</v>
      </c>
      <c r="M57" s="443">
        <f t="shared" ref="M57" si="31">SUM(M47:M56)</f>
        <v>191</v>
      </c>
      <c r="N57" s="444">
        <f>SUM(N47:N56)</f>
        <v>16</v>
      </c>
      <c r="O57" s="443">
        <f t="shared" ref="O57" si="32">SUM(O47:O56)</f>
        <v>0</v>
      </c>
      <c r="P57" s="444">
        <f>SUM(P47:P56)</f>
        <v>0</v>
      </c>
      <c r="Q57" s="444">
        <f>SUM(Q47:Q56)</f>
        <v>153</v>
      </c>
      <c r="R57" s="445">
        <f>SUM(R47:R56)</f>
        <v>15</v>
      </c>
      <c r="S57" s="451">
        <f>SUM(S47:S56)</f>
        <v>375</v>
      </c>
      <c r="T57" s="451">
        <f>SUM(T47:T56)</f>
        <v>0</v>
      </c>
      <c r="U57" s="466"/>
      <c r="V57" s="588" t="s">
        <v>191</v>
      </c>
      <c r="W57" s="589">
        <f t="shared" ref="W57" si="33">SUM(W47:W56)</f>
        <v>27.5</v>
      </c>
      <c r="X57" s="444">
        <f>SUM(X47:X56)</f>
        <v>2.4699999999999998</v>
      </c>
      <c r="Y57" s="444">
        <f t="shared" ref="Y57" si="34">SUM(Y47:Y56)</f>
        <v>0</v>
      </c>
      <c r="Z57" s="444">
        <f>SUM(Z47:Z56)</f>
        <v>2.5</v>
      </c>
      <c r="AA57" s="444">
        <f>SUM(AA47:AA56)</f>
        <v>31</v>
      </c>
      <c r="AB57" s="444"/>
      <c r="AC57" s="444">
        <f t="shared" ref="AC57" si="35">SUM(AC47:AC56)</f>
        <v>0</v>
      </c>
      <c r="AD57" s="630">
        <f>SUM(AD47:AD56)</f>
        <v>63.47</v>
      </c>
      <c r="AE57" s="631">
        <f>SUM(AE47:AE56)</f>
        <v>0</v>
      </c>
      <c r="AF57" s="1016">
        <f t="shared" ref="AF57:AI57" si="36">SUM(AF47:AF56)</f>
        <v>113.42000000000002</v>
      </c>
      <c r="AG57" s="1015">
        <f t="shared" si="36"/>
        <v>56.87</v>
      </c>
      <c r="AH57" s="1015">
        <f t="shared" si="36"/>
        <v>0</v>
      </c>
      <c r="AI57" s="1015">
        <f t="shared" si="36"/>
        <v>0</v>
      </c>
      <c r="AL57" s="24"/>
      <c r="AM57" s="25"/>
      <c r="AP57" s="24"/>
      <c r="AQ57" s="25"/>
      <c r="AT57" s="24"/>
      <c r="AU57" s="25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</row>
    <row r="58" spans="4:62" ht="27" thickBot="1">
      <c r="N58" s="24"/>
      <c r="O58" s="1924" t="s">
        <v>254</v>
      </c>
      <c r="P58" s="1925"/>
      <c r="Q58" s="1925"/>
      <c r="R58" s="1926"/>
      <c r="S58" s="1927">
        <f>S57+T57</f>
        <v>375</v>
      </c>
      <c r="T58" s="1928"/>
      <c r="U58" s="466"/>
      <c r="V58" s="1932" t="s">
        <v>221</v>
      </c>
      <c r="W58" s="1932"/>
      <c r="X58" s="1932"/>
      <c r="Y58" s="1932"/>
      <c r="Z58" s="1932"/>
      <c r="AA58" s="1932"/>
      <c r="AB58" s="1932"/>
      <c r="AC58" s="1932"/>
      <c r="AD58" s="1933">
        <f>AD57+AE57</f>
        <v>63.47</v>
      </c>
      <c r="AE58" s="1934"/>
      <c r="AF58" s="466"/>
      <c r="AH58" s="24"/>
      <c r="AI58" s="25"/>
      <c r="AL58" s="24"/>
      <c r="AM58" s="25"/>
      <c r="AP58" s="24"/>
      <c r="AQ58" s="25"/>
      <c r="AT58" s="24"/>
      <c r="AU58" s="25"/>
      <c r="AX58" s="24"/>
      <c r="AY58" s="24"/>
      <c r="AZ58" s="25"/>
      <c r="BA58" s="24"/>
      <c r="BB58" s="24"/>
      <c r="BC58" s="23"/>
      <c r="BD58" s="23"/>
      <c r="BE58" s="23"/>
      <c r="BF58" s="23"/>
      <c r="BG58" s="23"/>
    </row>
    <row r="59" spans="4:62" ht="27" thickBot="1">
      <c r="J59" s="24"/>
      <c r="N59" s="24"/>
      <c r="R59" s="24"/>
      <c r="T59" s="26"/>
      <c r="U59" s="26"/>
      <c r="V59" s="966"/>
      <c r="W59" s="966"/>
      <c r="X59" s="966"/>
      <c r="Y59" s="1922" t="s">
        <v>235</v>
      </c>
      <c r="Z59" s="1922"/>
      <c r="AA59" s="1922"/>
      <c r="AB59" s="1922"/>
      <c r="AC59" s="1922"/>
      <c r="AD59" s="1920">
        <f>BH6+BI6+BD20+BE20</f>
        <v>21</v>
      </c>
      <c r="AE59" s="1921"/>
      <c r="AF59" s="466"/>
      <c r="AH59" s="24"/>
      <c r="AI59" s="25">
        <v>191</v>
      </c>
      <c r="AL59" s="24"/>
      <c r="AP59" s="25"/>
      <c r="AT59" s="25"/>
      <c r="AX59" s="25"/>
      <c r="AY59" s="24"/>
      <c r="AZ59" s="24"/>
      <c r="BA59" s="24"/>
      <c r="BB59" s="25"/>
      <c r="BE59" s="23"/>
      <c r="BF59" s="23"/>
      <c r="BG59" s="23"/>
    </row>
    <row r="60" spans="4:62" s="28" customFormat="1" ht="25.5" customHeight="1" thickBot="1">
      <c r="D60" s="29"/>
      <c r="E60" s="29"/>
      <c r="F60" s="29"/>
      <c r="I60" s="29"/>
      <c r="J60" s="24"/>
      <c r="K60" s="24"/>
      <c r="L60" s="1923" t="s">
        <v>319</v>
      </c>
      <c r="M60" s="1937"/>
      <c r="N60" s="1937"/>
      <c r="O60" s="1937"/>
      <c r="P60" s="1937"/>
      <c r="Q60" s="1937"/>
      <c r="R60" s="1937"/>
      <c r="S60" s="1937"/>
      <c r="T60" s="1937"/>
      <c r="U60" s="1938"/>
      <c r="V60" s="966"/>
      <c r="W60" s="966"/>
      <c r="X60" s="966"/>
      <c r="Y60" s="1013"/>
      <c r="Z60" s="966"/>
      <c r="AA60" s="966"/>
      <c r="AB60" s="966"/>
      <c r="AC60" s="1013"/>
      <c r="AD60" s="966"/>
      <c r="AE60" s="964"/>
      <c r="AF60" s="966"/>
      <c r="AG60" s="964"/>
      <c r="AH60" s="964"/>
      <c r="AI60" s="967">
        <v>20</v>
      </c>
      <c r="AJ60" s="964"/>
      <c r="AK60" s="964"/>
      <c r="AL60" s="964"/>
      <c r="AM60" s="964"/>
      <c r="AN60" s="964"/>
      <c r="AO60" s="964"/>
      <c r="AP60" s="967"/>
      <c r="AQ60" s="964"/>
      <c r="AR60" s="964"/>
      <c r="AS60" s="964"/>
      <c r="AT60" s="967"/>
      <c r="AU60" s="964"/>
      <c r="AV60" s="964"/>
      <c r="AW60" s="964"/>
      <c r="AX60" s="967"/>
      <c r="AY60" s="965"/>
      <c r="AZ60" s="965"/>
      <c r="BA60" s="964"/>
      <c r="BB60" s="964"/>
      <c r="BC60" s="967"/>
      <c r="BD60" s="967"/>
      <c r="BE60" s="964"/>
      <c r="BJ60" s="1064"/>
    </row>
    <row r="61" spans="4:62" ht="32.25" thickBot="1">
      <c r="J61" s="24"/>
      <c r="L61" s="1252" t="s">
        <v>0</v>
      </c>
      <c r="M61" s="436" t="s">
        <v>200</v>
      </c>
      <c r="N61" s="454" t="s">
        <v>205</v>
      </c>
      <c r="O61" s="436" t="s">
        <v>31</v>
      </c>
      <c r="P61" s="448" t="s">
        <v>201</v>
      </c>
      <c r="Q61" s="453" t="s">
        <v>206</v>
      </c>
      <c r="R61" s="453" t="s">
        <v>210</v>
      </c>
      <c r="S61" s="436" t="s">
        <v>22</v>
      </c>
      <c r="T61" s="437" t="s">
        <v>191</v>
      </c>
      <c r="U61" s="438" t="s">
        <v>244</v>
      </c>
      <c r="V61" s="966"/>
      <c r="W61" s="466"/>
      <c r="X61" s="466"/>
      <c r="Y61" s="465"/>
      <c r="Z61" s="466"/>
      <c r="AA61" s="466"/>
      <c r="AB61" s="466"/>
      <c r="AC61" s="465"/>
      <c r="AD61" s="466"/>
      <c r="AF61" s="466"/>
      <c r="AH61" s="24"/>
      <c r="AI61" s="25">
        <v>31</v>
      </c>
      <c r="AL61" s="24"/>
      <c r="AM61" s="26"/>
      <c r="AN61" s="26"/>
      <c r="AP61" s="24"/>
      <c r="AQ61" s="26"/>
      <c r="AR61" s="26"/>
      <c r="AT61" s="24"/>
      <c r="AU61" s="26"/>
      <c r="AV61" s="26"/>
      <c r="AX61" s="24"/>
      <c r="AY61" s="26"/>
      <c r="AZ61" s="26"/>
      <c r="BA61" s="24"/>
      <c r="BB61" s="24"/>
      <c r="BC61" s="25"/>
      <c r="BD61" s="25"/>
      <c r="BF61" s="23"/>
      <c r="BG61" s="23"/>
    </row>
    <row r="62" spans="4:62" ht="26.25">
      <c r="J62" s="24"/>
      <c r="L62" s="1254" t="s">
        <v>189</v>
      </c>
      <c r="M62" s="440">
        <v>56.46</v>
      </c>
      <c r="N62" s="430">
        <v>0</v>
      </c>
      <c r="O62" s="430">
        <v>0</v>
      </c>
      <c r="P62" s="430">
        <v>0</v>
      </c>
      <c r="Q62" s="430">
        <v>0</v>
      </c>
      <c r="R62" s="655">
        <v>0</v>
      </c>
      <c r="S62" s="430"/>
      <c r="T62" s="568">
        <f t="shared" ref="T62:T71" si="37">SUM(M62:S62)</f>
        <v>56.46</v>
      </c>
      <c r="U62" s="1025">
        <v>0</v>
      </c>
      <c r="V62" s="966"/>
      <c r="W62" s="466"/>
      <c r="X62" s="466"/>
      <c r="Y62" s="465"/>
      <c r="Z62" s="466"/>
      <c r="AA62" s="466"/>
      <c r="AB62" s="466"/>
      <c r="AC62" s="465"/>
      <c r="AD62" s="466"/>
      <c r="AF62" s="466"/>
      <c r="AH62" s="24"/>
      <c r="AI62" s="25">
        <v>10</v>
      </c>
      <c r="AL62" s="24"/>
      <c r="AM62" s="26"/>
      <c r="AN62" s="26"/>
      <c r="AP62" s="24"/>
      <c r="AQ62" s="26"/>
      <c r="AR62" s="26"/>
      <c r="AT62" s="24"/>
      <c r="AU62" s="26"/>
      <c r="AV62" s="26"/>
      <c r="AX62" s="24"/>
      <c r="AY62" s="26"/>
      <c r="AZ62" s="26"/>
      <c r="BA62" s="24"/>
      <c r="BB62" s="24"/>
      <c r="BC62" s="25"/>
      <c r="BD62" s="25"/>
      <c r="BF62" s="23"/>
      <c r="BG62" s="23"/>
    </row>
    <row r="63" spans="4:62" ht="26.25">
      <c r="J63" s="24"/>
      <c r="L63" s="441" t="s">
        <v>183</v>
      </c>
      <c r="M63" s="440">
        <v>30.21</v>
      </c>
      <c r="N63" s="430">
        <v>0</v>
      </c>
      <c r="O63" s="430">
        <v>0</v>
      </c>
      <c r="P63" s="430">
        <v>0</v>
      </c>
      <c r="Q63" s="430">
        <v>0</v>
      </c>
      <c r="R63" s="655">
        <v>0</v>
      </c>
      <c r="S63" s="430"/>
      <c r="T63" s="568">
        <f t="shared" si="37"/>
        <v>30.21</v>
      </c>
      <c r="U63" s="1025">
        <v>6.4</v>
      </c>
      <c r="V63" s="966"/>
      <c r="W63" s="466"/>
      <c r="X63" s="466"/>
      <c r="Y63" s="465"/>
      <c r="Z63" s="466"/>
      <c r="AA63" s="466"/>
      <c r="AB63" s="466"/>
      <c r="AC63" s="465"/>
      <c r="AD63" s="466"/>
      <c r="AG63" s="26"/>
      <c r="AH63" s="24"/>
      <c r="AK63" s="49"/>
      <c r="AL63" s="24"/>
      <c r="AM63" s="26"/>
      <c r="AN63" s="26"/>
      <c r="AP63" s="24"/>
      <c r="AQ63" s="26"/>
      <c r="AR63" s="26"/>
      <c r="AT63" s="24"/>
      <c r="AU63" s="26"/>
      <c r="AV63" s="26"/>
      <c r="AX63" s="24"/>
      <c r="AY63" s="26"/>
      <c r="AZ63" s="26"/>
      <c r="BA63" s="24"/>
      <c r="BB63" s="24"/>
      <c r="BC63" s="25"/>
      <c r="BD63" s="25"/>
      <c r="BF63" s="23"/>
      <c r="BG63" s="23"/>
    </row>
    <row r="64" spans="4:62" ht="26.25">
      <c r="J64" s="24"/>
      <c r="L64" s="441" t="s">
        <v>184</v>
      </c>
      <c r="M64" s="440">
        <v>0</v>
      </c>
      <c r="N64" s="430">
        <v>6</v>
      </c>
      <c r="O64" s="430">
        <v>0</v>
      </c>
      <c r="P64" s="430">
        <v>0</v>
      </c>
      <c r="Q64" s="430">
        <v>0</v>
      </c>
      <c r="R64" s="655">
        <v>0</v>
      </c>
      <c r="S64" s="430"/>
      <c r="T64" s="568">
        <f t="shared" si="37"/>
        <v>6</v>
      </c>
      <c r="U64" s="1025">
        <v>0</v>
      </c>
      <c r="V64" s="966"/>
      <c r="W64" s="466"/>
      <c r="X64" s="466"/>
      <c r="Y64" s="465"/>
      <c r="Z64" s="466"/>
      <c r="AA64" s="465"/>
      <c r="AB64" s="466"/>
      <c r="AC64" s="465"/>
      <c r="AD64" s="466"/>
      <c r="AG64" s="26"/>
      <c r="AH64" s="24"/>
      <c r="AK64" s="49"/>
      <c r="AL64" s="24"/>
      <c r="AO64" s="26"/>
      <c r="AP64" s="24"/>
      <c r="AQ64" s="26"/>
      <c r="AR64" s="26"/>
      <c r="AT64" s="24"/>
      <c r="AU64" s="26"/>
      <c r="AV64" s="26"/>
      <c r="AX64" s="24"/>
      <c r="AY64" s="26"/>
      <c r="AZ64" s="26"/>
      <c r="BA64" s="24"/>
      <c r="BB64" s="24"/>
      <c r="BE64" s="25"/>
      <c r="BF64" s="24"/>
      <c r="BG64" s="23"/>
    </row>
    <row r="65" spans="10:59" ht="26.25">
      <c r="J65" s="24"/>
      <c r="L65" s="441" t="s">
        <v>170</v>
      </c>
      <c r="M65" s="440">
        <v>5</v>
      </c>
      <c r="N65" s="430">
        <v>0</v>
      </c>
      <c r="O65" s="430">
        <v>0</v>
      </c>
      <c r="P65" s="430">
        <v>0</v>
      </c>
      <c r="Q65" s="430">
        <v>0</v>
      </c>
      <c r="R65" s="655">
        <v>0</v>
      </c>
      <c r="S65" s="430"/>
      <c r="T65" s="568">
        <f t="shared" si="37"/>
        <v>5</v>
      </c>
      <c r="U65" s="1025">
        <v>0</v>
      </c>
      <c r="V65" s="966"/>
      <c r="W65" s="466"/>
      <c r="X65" s="466"/>
      <c r="Y65" s="465"/>
      <c r="Z65" s="466"/>
      <c r="AA65" s="465"/>
      <c r="AB65" s="466"/>
      <c r="AC65" s="465"/>
      <c r="AD65" s="466"/>
      <c r="AG65" s="26"/>
      <c r="AH65" s="24"/>
      <c r="AK65" s="49"/>
      <c r="AL65" s="24"/>
      <c r="AO65" s="26"/>
      <c r="AP65" s="24"/>
      <c r="AQ65" s="26"/>
      <c r="AR65" s="26"/>
      <c r="AT65" s="24"/>
      <c r="AU65" s="26"/>
      <c r="AV65" s="26"/>
      <c r="AX65" s="24"/>
      <c r="AY65" s="26"/>
      <c r="AZ65" s="26"/>
      <c r="BA65" s="24"/>
      <c r="BB65" s="24"/>
      <c r="BE65" s="25"/>
      <c r="BF65" s="24"/>
      <c r="BG65" s="23"/>
    </row>
    <row r="66" spans="10:59" ht="26.25">
      <c r="J66" s="24"/>
      <c r="L66" s="441" t="s">
        <v>171</v>
      </c>
      <c r="M66" s="440">
        <v>2.6</v>
      </c>
      <c r="N66" s="430">
        <v>0</v>
      </c>
      <c r="O66" s="430">
        <v>0</v>
      </c>
      <c r="P66" s="430">
        <v>0</v>
      </c>
      <c r="Q66" s="430">
        <v>0</v>
      </c>
      <c r="R66" s="655">
        <v>0</v>
      </c>
      <c r="S66" s="430"/>
      <c r="T66" s="568">
        <f t="shared" si="37"/>
        <v>2.6</v>
      </c>
      <c r="U66" s="1025">
        <v>15</v>
      </c>
      <c r="V66" s="966"/>
      <c r="W66" s="466"/>
      <c r="X66" s="466"/>
      <c r="Y66" s="465"/>
      <c r="Z66" s="466"/>
      <c r="AA66" s="465"/>
      <c r="AB66" s="466"/>
      <c r="AC66" s="465"/>
      <c r="AD66" s="466"/>
      <c r="AG66" s="26"/>
      <c r="AH66" s="24"/>
      <c r="AK66" s="49"/>
      <c r="AL66" s="24"/>
      <c r="AO66" s="26"/>
      <c r="AP66" s="24"/>
      <c r="AQ66" s="26"/>
      <c r="AR66" s="26"/>
      <c r="AT66" s="24"/>
      <c r="AU66" s="26"/>
      <c r="AV66" s="26"/>
      <c r="AX66" s="24"/>
      <c r="AY66" s="26"/>
      <c r="AZ66" s="26"/>
      <c r="BA66" s="24"/>
      <c r="BB66" s="24"/>
      <c r="BE66" s="25"/>
      <c r="BF66" s="24"/>
      <c r="BG66" s="23"/>
    </row>
    <row r="67" spans="10:59" ht="26.25">
      <c r="J67" s="24"/>
      <c r="L67" s="441" t="s">
        <v>190</v>
      </c>
      <c r="M67" s="440">
        <v>41.5</v>
      </c>
      <c r="N67" s="430">
        <v>0</v>
      </c>
      <c r="O67" s="430">
        <v>30.2</v>
      </c>
      <c r="P67" s="430">
        <v>10</v>
      </c>
      <c r="Q67" s="430">
        <v>0</v>
      </c>
      <c r="R67" s="655">
        <v>0</v>
      </c>
      <c r="S67" s="430"/>
      <c r="T67" s="568">
        <f t="shared" si="37"/>
        <v>81.7</v>
      </c>
      <c r="U67" s="1025">
        <v>7</v>
      </c>
      <c r="V67" s="966"/>
      <c r="W67" s="466"/>
      <c r="X67" s="466"/>
      <c r="Y67" s="465"/>
      <c r="Z67" s="466"/>
      <c r="AA67" s="466"/>
      <c r="AB67" s="466"/>
      <c r="AC67" s="465"/>
      <c r="AD67" s="466"/>
      <c r="AG67" s="26"/>
      <c r="AH67" s="24"/>
      <c r="AK67" s="49"/>
      <c r="AL67" s="24"/>
      <c r="AO67" s="26"/>
      <c r="AP67" s="24"/>
      <c r="AQ67" s="26"/>
      <c r="AR67" s="26"/>
      <c r="AT67" s="24"/>
      <c r="AU67" s="26"/>
      <c r="AV67" s="26"/>
      <c r="AX67" s="24"/>
      <c r="AY67" s="26"/>
      <c r="AZ67" s="26"/>
      <c r="BA67" s="24"/>
      <c r="BB67" s="24"/>
      <c r="BE67" s="25"/>
      <c r="BF67" s="24"/>
      <c r="BG67" s="23"/>
    </row>
    <row r="68" spans="10:59" ht="26.25">
      <c r="J68" s="24"/>
      <c r="L68" s="441" t="s">
        <v>185</v>
      </c>
      <c r="M68" s="440">
        <v>15.8</v>
      </c>
      <c r="N68" s="430">
        <v>0</v>
      </c>
      <c r="O68" s="430">
        <v>0</v>
      </c>
      <c r="P68" s="430">
        <v>0</v>
      </c>
      <c r="Q68" s="430">
        <v>0</v>
      </c>
      <c r="R68" s="655">
        <v>0</v>
      </c>
      <c r="S68" s="430"/>
      <c r="T68" s="568">
        <f t="shared" si="37"/>
        <v>15.8</v>
      </c>
      <c r="U68" s="1025">
        <v>17.600000000000001</v>
      </c>
      <c r="V68" s="966"/>
      <c r="W68" s="466"/>
      <c r="X68" s="466"/>
      <c r="Y68" s="465"/>
      <c r="Z68" s="466"/>
      <c r="AA68" s="466"/>
      <c r="AB68" s="466"/>
      <c r="AC68" s="465"/>
      <c r="AD68" s="466"/>
      <c r="AG68" s="26"/>
      <c r="AH68" s="24"/>
      <c r="AK68" s="49"/>
      <c r="AL68" s="24"/>
      <c r="AO68" s="26"/>
      <c r="AP68" s="24"/>
      <c r="AQ68" s="26"/>
      <c r="AR68" s="26"/>
      <c r="AT68" s="24"/>
      <c r="AU68" s="26"/>
      <c r="AV68" s="26"/>
      <c r="AX68" s="24"/>
      <c r="AY68" s="26"/>
      <c r="AZ68" s="26"/>
      <c r="BA68" s="24"/>
      <c r="BB68" s="24"/>
      <c r="BE68" s="25"/>
      <c r="BF68" s="24"/>
      <c r="BG68" s="23"/>
    </row>
    <row r="69" spans="10:59" ht="26.25">
      <c r="L69" s="441" t="s">
        <v>202</v>
      </c>
      <c r="M69" s="440">
        <v>0</v>
      </c>
      <c r="N69" s="430">
        <v>0</v>
      </c>
      <c r="O69" s="430">
        <v>0</v>
      </c>
      <c r="P69" s="430">
        <v>0</v>
      </c>
      <c r="Q69" s="430">
        <v>0</v>
      </c>
      <c r="R69" s="655">
        <v>0</v>
      </c>
      <c r="S69" s="430"/>
      <c r="T69" s="568">
        <f t="shared" si="37"/>
        <v>0</v>
      </c>
      <c r="U69" s="1025">
        <v>0</v>
      </c>
      <c r="V69" s="966"/>
      <c r="W69" s="466"/>
      <c r="X69" s="466"/>
      <c r="Y69" s="465"/>
      <c r="Z69" s="466"/>
      <c r="AA69" s="466"/>
      <c r="AB69" s="466"/>
      <c r="AC69" s="465"/>
      <c r="AD69" s="466"/>
      <c r="AG69" s="26"/>
      <c r="AH69" s="24"/>
      <c r="AK69" s="49"/>
      <c r="AL69" s="24"/>
      <c r="AO69" s="26"/>
      <c r="AP69" s="24"/>
      <c r="AQ69" s="26"/>
      <c r="AR69" s="26"/>
      <c r="AT69" s="24"/>
      <c r="AU69" s="26"/>
      <c r="AV69" s="26"/>
      <c r="AX69" s="24"/>
      <c r="AY69" s="26"/>
      <c r="AZ69" s="26"/>
      <c r="BA69" s="24"/>
      <c r="BB69" s="24"/>
      <c r="BE69" s="25"/>
      <c r="BF69" s="24"/>
      <c r="BG69" s="23"/>
    </row>
    <row r="70" spans="10:59" ht="26.25">
      <c r="L70" s="441" t="s">
        <v>186</v>
      </c>
      <c r="M70" s="440">
        <v>26.5</v>
      </c>
      <c r="N70" s="430">
        <v>3.5</v>
      </c>
      <c r="O70" s="430">
        <v>0</v>
      </c>
      <c r="P70" s="430">
        <v>0</v>
      </c>
      <c r="Q70" s="430">
        <v>0</v>
      </c>
      <c r="R70" s="655">
        <v>0</v>
      </c>
      <c r="S70" s="430"/>
      <c r="T70" s="568">
        <f t="shared" si="37"/>
        <v>30</v>
      </c>
      <c r="U70" s="1025">
        <v>0</v>
      </c>
      <c r="V70" s="966"/>
      <c r="W70" s="466"/>
      <c r="X70" s="466"/>
      <c r="Y70" s="465"/>
      <c r="Z70" s="466"/>
      <c r="AA70" s="466"/>
      <c r="AB70" s="466"/>
      <c r="AC70" s="465"/>
      <c r="AD70" s="466"/>
      <c r="AG70" s="26"/>
      <c r="AH70" s="24"/>
      <c r="AK70" s="49"/>
      <c r="AL70" s="24"/>
      <c r="AM70" s="26"/>
      <c r="AN70" s="26"/>
      <c r="AY70" s="24"/>
      <c r="AZ70" s="24"/>
      <c r="BA70" s="24"/>
      <c r="BB70" s="24"/>
      <c r="BC70" s="25"/>
      <c r="BD70" s="25"/>
      <c r="BF70" s="23"/>
      <c r="BG70" s="23"/>
    </row>
    <row r="71" spans="10:59" ht="27" thickBot="1">
      <c r="L71" s="1255" t="s">
        <v>203</v>
      </c>
      <c r="M71" s="440">
        <v>20</v>
      </c>
      <c r="N71" s="430">
        <v>1</v>
      </c>
      <c r="O71" s="430">
        <v>0</v>
      </c>
      <c r="P71" s="430">
        <v>0</v>
      </c>
      <c r="Q71" s="430">
        <v>0</v>
      </c>
      <c r="R71" s="655">
        <v>0</v>
      </c>
      <c r="S71" s="430">
        <v>0</v>
      </c>
      <c r="T71" s="568">
        <f t="shared" si="37"/>
        <v>21</v>
      </c>
      <c r="U71" s="1025">
        <v>15</v>
      </c>
      <c r="V71" s="466"/>
      <c r="W71" s="466"/>
      <c r="X71" s="466"/>
      <c r="Y71" s="465"/>
      <c r="Z71" s="466"/>
      <c r="AA71" s="466"/>
      <c r="AB71" s="466"/>
      <c r="AC71" s="465"/>
      <c r="AD71" s="466"/>
      <c r="AG71" s="26"/>
      <c r="AH71" s="24"/>
      <c r="AK71" s="49"/>
      <c r="AL71" s="24"/>
      <c r="AM71" s="26"/>
      <c r="AN71" s="26"/>
      <c r="AY71" s="24"/>
      <c r="AZ71" s="24"/>
      <c r="BA71" s="24"/>
      <c r="BB71" s="24"/>
      <c r="BC71" s="25"/>
      <c r="BD71" s="25"/>
      <c r="BF71" s="23"/>
      <c r="BG71" s="23"/>
    </row>
    <row r="72" spans="10:59" ht="24" thickBot="1">
      <c r="L72" s="1253" t="s">
        <v>191</v>
      </c>
      <c r="M72" s="589">
        <f t="shared" ref="M72" si="38">SUM(M62:M71)</f>
        <v>198.07</v>
      </c>
      <c r="N72" s="444">
        <f>SUM(N62:N71)</f>
        <v>10.5</v>
      </c>
      <c r="O72" s="444">
        <f t="shared" ref="O72" si="39">SUM(O62:O71)</f>
        <v>30.2</v>
      </c>
      <c r="P72" s="444">
        <f>SUM(P62:P71)</f>
        <v>10</v>
      </c>
      <c r="Q72" s="444">
        <f>SUM(Q62:Q71)</f>
        <v>0</v>
      </c>
      <c r="R72" s="444"/>
      <c r="S72" s="444">
        <f t="shared" ref="S72" si="40">SUM(S62:S71)</f>
        <v>0</v>
      </c>
      <c r="T72" s="630">
        <f>SUM(T62:T71)</f>
        <v>248.77</v>
      </c>
      <c r="U72" s="1392">
        <f>SUM(U62:U71)</f>
        <v>61</v>
      </c>
      <c r="V72" s="466"/>
      <c r="W72" s="466"/>
      <c r="X72" s="466"/>
      <c r="Y72" s="465"/>
      <c r="Z72" s="466"/>
      <c r="AA72" s="466"/>
      <c r="AB72" s="466"/>
      <c r="AC72" s="465"/>
      <c r="AD72" s="466"/>
      <c r="AG72" s="26"/>
      <c r="AH72" s="24"/>
      <c r="AK72" s="49"/>
      <c r="AL72" s="24"/>
      <c r="AM72" s="26"/>
      <c r="AN72" s="26"/>
      <c r="AY72" s="24"/>
      <c r="AZ72" s="24"/>
      <c r="BA72" s="24"/>
      <c r="BB72" s="24"/>
      <c r="BC72" s="25"/>
      <c r="BD72" s="25"/>
      <c r="BF72" s="23"/>
      <c r="BG72" s="23"/>
    </row>
    <row r="73" spans="10:59" ht="27" thickBot="1">
      <c r="L73" s="1932" t="s">
        <v>221</v>
      </c>
      <c r="M73" s="1932"/>
      <c r="N73" s="1932"/>
      <c r="O73" s="1932"/>
      <c r="P73" s="1932"/>
      <c r="Q73" s="1932"/>
      <c r="R73" s="1932"/>
      <c r="S73" s="1932"/>
      <c r="T73" s="1933">
        <f>T72+U72</f>
        <v>309.77</v>
      </c>
      <c r="U73" s="1934"/>
      <c r="V73" s="466"/>
      <c r="W73" s="466"/>
      <c r="X73" s="466"/>
      <c r="Y73" s="465"/>
      <c r="Z73" s="466"/>
      <c r="AA73" s="466"/>
      <c r="AB73" s="466"/>
      <c r="AC73" s="465"/>
      <c r="AD73" s="466"/>
      <c r="AG73" s="26"/>
      <c r="AH73" s="24"/>
      <c r="AK73" s="49"/>
      <c r="AL73" s="24"/>
      <c r="AM73" s="26"/>
      <c r="AN73" s="26"/>
      <c r="AY73" s="24"/>
      <c r="AZ73" s="24"/>
      <c r="BA73" s="24"/>
      <c r="BB73" s="24"/>
      <c r="BC73" s="25"/>
      <c r="BD73" s="25"/>
      <c r="BF73" s="23"/>
      <c r="BG73" s="23"/>
    </row>
    <row r="74" spans="10:59" ht="23.25" customHeight="1">
      <c r="L74" s="966"/>
      <c r="M74" s="966"/>
      <c r="N74" s="966"/>
      <c r="O74" s="1922" t="s">
        <v>235</v>
      </c>
      <c r="P74" s="1922"/>
      <c r="Q74" s="1922"/>
      <c r="R74" s="1922"/>
      <c r="S74" s="1922"/>
      <c r="T74" s="1920">
        <f>M72+U72</f>
        <v>259.07</v>
      </c>
      <c r="U74" s="1921"/>
      <c r="V74" s="466"/>
      <c r="W74" s="466"/>
      <c r="X74" s="466"/>
      <c r="Y74" s="465"/>
      <c r="Z74" s="466"/>
      <c r="AA74" s="466"/>
      <c r="AB74" s="466"/>
      <c r="AC74" s="465"/>
      <c r="AD74" s="466"/>
      <c r="AG74" s="26"/>
      <c r="AH74" s="24"/>
      <c r="AK74" s="49"/>
      <c r="AL74" s="24"/>
      <c r="AM74" s="26"/>
      <c r="AN74" s="26"/>
      <c r="AP74" s="24"/>
      <c r="AQ74" s="26"/>
      <c r="AR74" s="26"/>
      <c r="AT74" s="24"/>
      <c r="AU74" s="26"/>
      <c r="AV74" s="26"/>
      <c r="AW74" s="50"/>
      <c r="AX74" s="50"/>
      <c r="AY74" s="26"/>
      <c r="AZ74" s="26"/>
      <c r="BA74" s="24"/>
      <c r="BB74" s="24"/>
      <c r="BC74" s="25"/>
      <c r="BD74" s="25"/>
      <c r="BF74" s="23"/>
      <c r="BG74" s="23"/>
    </row>
    <row r="75" spans="10:59" ht="27" customHeight="1">
      <c r="L75" s="26"/>
      <c r="M75" s="26"/>
      <c r="N75" s="24"/>
      <c r="P75" s="26"/>
      <c r="Q75" s="26"/>
      <c r="R75" s="24"/>
      <c r="T75" s="26"/>
      <c r="U75" s="26"/>
      <c r="V75" s="24"/>
      <c r="W75" s="466"/>
      <c r="X75" s="466"/>
      <c r="Y75" s="466"/>
      <c r="Z75" s="465"/>
      <c r="AA75" s="466"/>
      <c r="AB75" s="466"/>
      <c r="AC75" s="466"/>
      <c r="AD75" s="465"/>
      <c r="AE75" s="466"/>
      <c r="AN75" s="26"/>
      <c r="AO75" s="26"/>
      <c r="AP75" s="24"/>
      <c r="AR75" s="26"/>
      <c r="AS75" s="26"/>
      <c r="AT75" s="24"/>
      <c r="AV75" s="26"/>
      <c r="AW75" s="26"/>
      <c r="AX75" s="50"/>
      <c r="AZ75" s="26"/>
      <c r="BA75" s="26"/>
      <c r="BB75" s="24"/>
      <c r="BD75" s="25"/>
      <c r="BE75" s="25"/>
      <c r="BF75" s="24"/>
      <c r="BG75" s="23"/>
    </row>
    <row r="76" spans="10:59" ht="27" customHeight="1">
      <c r="L76" s="26"/>
      <c r="M76" s="26"/>
      <c r="N76" s="24"/>
      <c r="P76" s="26"/>
      <c r="Q76" s="26"/>
      <c r="R76" s="24"/>
      <c r="T76" s="26"/>
      <c r="U76" s="26"/>
      <c r="V76" s="24"/>
      <c r="W76" s="466"/>
      <c r="X76" s="466"/>
      <c r="Y76" s="466"/>
      <c r="Z76" s="465"/>
      <c r="AA76" s="466"/>
      <c r="AB76" s="466"/>
      <c r="AC76" s="466"/>
      <c r="AD76" s="465"/>
      <c r="AE76" s="466"/>
      <c r="AN76" s="26"/>
      <c r="AO76" s="26"/>
      <c r="AP76" s="24"/>
      <c r="AR76" s="26"/>
      <c r="AS76" s="26"/>
      <c r="AT76" s="24"/>
      <c r="AV76" s="26"/>
      <c r="AW76" s="26"/>
      <c r="AX76" s="50"/>
      <c r="AZ76" s="26"/>
      <c r="BA76" s="26"/>
      <c r="BB76" s="24"/>
      <c r="BD76" s="25"/>
      <c r="BE76" s="25"/>
      <c r="BF76" s="24"/>
      <c r="BG76" s="23"/>
    </row>
    <row r="77" spans="10:59">
      <c r="L77" s="26"/>
      <c r="M77" s="26"/>
      <c r="N77" s="24"/>
      <c r="P77" s="26"/>
      <c r="Q77" s="26"/>
      <c r="R77" s="24"/>
      <c r="T77" s="26"/>
      <c r="U77" s="26"/>
      <c r="V77" s="24"/>
      <c r="W77" s="466"/>
      <c r="X77" s="466"/>
      <c r="Y77" s="466"/>
      <c r="Z77" s="465"/>
      <c r="AA77" s="466"/>
      <c r="AB77" s="466"/>
      <c r="AC77" s="466"/>
      <c r="AD77" s="465"/>
      <c r="AE77" s="466"/>
      <c r="AN77" s="26"/>
      <c r="AO77" s="26"/>
      <c r="AP77" s="24"/>
      <c r="AR77" s="26"/>
      <c r="AS77" s="26"/>
      <c r="AT77" s="24"/>
      <c r="AV77" s="26"/>
      <c r="AW77" s="26"/>
      <c r="AX77" s="50"/>
      <c r="AZ77" s="26"/>
      <c r="BA77" s="26"/>
      <c r="BB77" s="24"/>
      <c r="BD77" s="25"/>
      <c r="BE77" s="25"/>
      <c r="BF77" s="24"/>
      <c r="BG77" s="23"/>
    </row>
    <row r="78" spans="10:59">
      <c r="L78" s="26"/>
      <c r="M78" s="26"/>
      <c r="N78" s="24"/>
      <c r="P78" s="26"/>
      <c r="Q78" s="26"/>
      <c r="R78" s="24"/>
      <c r="T78" s="26"/>
      <c r="U78" s="26"/>
      <c r="V78" s="24"/>
      <c r="W78" s="466"/>
      <c r="X78" s="466"/>
      <c r="Y78" s="466"/>
      <c r="Z78" s="465"/>
      <c r="AA78" s="466"/>
      <c r="AB78" s="466"/>
      <c r="AC78" s="466"/>
      <c r="AD78" s="465"/>
      <c r="AE78" s="466"/>
      <c r="AN78" s="26"/>
      <c r="AO78" s="26"/>
      <c r="AP78" s="24"/>
      <c r="AR78" s="26"/>
      <c r="AS78" s="26"/>
      <c r="AT78" s="24"/>
      <c r="AV78" s="26"/>
      <c r="AW78" s="26"/>
      <c r="AX78" s="50"/>
      <c r="AZ78" s="26"/>
      <c r="BA78" s="26"/>
      <c r="BB78" s="24"/>
      <c r="BD78" s="25"/>
      <c r="BE78" s="25"/>
      <c r="BF78" s="24"/>
      <c r="BG78" s="23"/>
    </row>
    <row r="79" spans="10:59">
      <c r="L79" s="26"/>
      <c r="M79" s="26"/>
      <c r="N79" s="24"/>
      <c r="P79" s="26"/>
      <c r="Q79" s="26"/>
      <c r="R79" s="24"/>
      <c r="T79" s="26"/>
      <c r="U79" s="26"/>
      <c r="V79" s="24"/>
      <c r="X79" s="26"/>
      <c r="Y79" s="26"/>
      <c r="Z79" s="24"/>
      <c r="AB79" s="26"/>
      <c r="AC79" s="26"/>
      <c r="AD79" s="24"/>
      <c r="AF79" s="26"/>
      <c r="AG79" s="26"/>
      <c r="AH79" s="24"/>
      <c r="AJ79" s="49"/>
      <c r="AK79" s="49"/>
      <c r="AL79" s="24"/>
      <c r="AN79" s="26"/>
      <c r="AO79" s="26"/>
      <c r="AP79" s="24"/>
      <c r="AR79" s="26"/>
      <c r="AS79" s="26"/>
      <c r="AT79" s="24"/>
      <c r="AV79" s="26"/>
      <c r="AW79" s="26"/>
      <c r="AX79" s="50"/>
      <c r="AZ79" s="26"/>
      <c r="BA79" s="26"/>
      <c r="BB79" s="24"/>
      <c r="BD79" s="25"/>
      <c r="BE79" s="25"/>
      <c r="BF79" s="24"/>
      <c r="BG79" s="23"/>
    </row>
    <row r="80" spans="10:59">
      <c r="L80" s="26"/>
      <c r="M80" s="26"/>
      <c r="N80" s="24"/>
      <c r="P80" s="26"/>
      <c r="Q80" s="26"/>
      <c r="R80" s="24"/>
      <c r="T80" s="26"/>
      <c r="U80" s="26"/>
      <c r="V80" s="24"/>
      <c r="X80" s="26"/>
      <c r="Y80" s="26"/>
      <c r="Z80" s="24"/>
      <c r="AB80" s="26"/>
      <c r="AC80" s="26"/>
      <c r="AD80" s="24"/>
      <c r="AF80" s="26"/>
      <c r="AG80" s="26"/>
      <c r="AH80" s="24"/>
      <c r="AJ80" s="49"/>
      <c r="AK80" s="49"/>
      <c r="AL80" s="24"/>
      <c r="AN80" s="26"/>
      <c r="AO80" s="26"/>
      <c r="AP80" s="24"/>
      <c r="AR80" s="26"/>
      <c r="AS80" s="26"/>
      <c r="AT80" s="24"/>
      <c r="AV80" s="26"/>
      <c r="AW80" s="26"/>
      <c r="AX80" s="50"/>
      <c r="AZ80" s="26"/>
      <c r="BA80" s="26"/>
      <c r="BB80" s="24"/>
      <c r="BD80" s="25"/>
      <c r="BE80" s="25"/>
      <c r="BF80" s="24"/>
      <c r="BG80" s="23"/>
    </row>
  </sheetData>
  <mergeCells count="62">
    <mergeCell ref="L60:U60"/>
    <mergeCell ref="L73:S73"/>
    <mergeCell ref="T73:U73"/>
    <mergeCell ref="O74:S74"/>
    <mergeCell ref="T74:U74"/>
    <mergeCell ref="BB13:BE13"/>
    <mergeCell ref="V58:AC58"/>
    <mergeCell ref="AD58:AE58"/>
    <mergeCell ref="V31:AD31"/>
    <mergeCell ref="L31:S31"/>
    <mergeCell ref="AD59:AE59"/>
    <mergeCell ref="Y59:AC59"/>
    <mergeCell ref="V45:AE45"/>
    <mergeCell ref="O58:R58"/>
    <mergeCell ref="S58:T58"/>
    <mergeCell ref="L45:T45"/>
    <mergeCell ref="H26:I26"/>
    <mergeCell ref="J13:M13"/>
    <mergeCell ref="N13:Q13"/>
    <mergeCell ref="R13:U13"/>
    <mergeCell ref="V13:Y13"/>
    <mergeCell ref="H13:I14"/>
    <mergeCell ref="BH27:BI27"/>
    <mergeCell ref="BC27:BC28"/>
    <mergeCell ref="Z13:AC13"/>
    <mergeCell ref="Z4:AC4"/>
    <mergeCell ref="AD4:AG4"/>
    <mergeCell ref="BF4:BI4"/>
    <mergeCell ref="H12:BI12"/>
    <mergeCell ref="BF13:BI13"/>
    <mergeCell ref="AX4:BA4"/>
    <mergeCell ref="AP13:AS13"/>
    <mergeCell ref="AT13:AW13"/>
    <mergeCell ref="AX13:BA13"/>
    <mergeCell ref="AH4:AK4"/>
    <mergeCell ref="AH13:AK13"/>
    <mergeCell ref="H10:I10"/>
    <mergeCell ref="AL4:AO4"/>
    <mergeCell ref="C15:C24"/>
    <mergeCell ref="H15:H23"/>
    <mergeCell ref="H24:I24"/>
    <mergeCell ref="AP4:AS4"/>
    <mergeCell ref="AT4:AW4"/>
    <mergeCell ref="C14:D14"/>
    <mergeCell ref="D13:F13"/>
    <mergeCell ref="AD13:AG13"/>
    <mergeCell ref="AL13:AO13"/>
    <mergeCell ref="C2:F2"/>
    <mergeCell ref="H2:K2"/>
    <mergeCell ref="N2:AZ2"/>
    <mergeCell ref="C6:C9"/>
    <mergeCell ref="H6:H9"/>
    <mergeCell ref="D4:F4"/>
    <mergeCell ref="H4:I5"/>
    <mergeCell ref="C5:D5"/>
    <mergeCell ref="J4:M4"/>
    <mergeCell ref="N4:Q4"/>
    <mergeCell ref="R4:U4"/>
    <mergeCell ref="V4:Y4"/>
    <mergeCell ref="H3:BI3"/>
    <mergeCell ref="BB2:BI2"/>
    <mergeCell ref="BB4:BE4"/>
  </mergeCells>
  <conditionalFormatting sqref="M47:R56">
    <cfRule type="cellIs" dxfId="67" priority="2" operator="equal">
      <formula>0</formula>
    </cfRule>
  </conditionalFormatting>
  <conditionalFormatting sqref="M62:S71">
    <cfRule type="cellIs" dxfId="66" priority="1" operator="equal">
      <formula>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2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BJ137"/>
  <sheetViews>
    <sheetView showGridLines="0" topLeftCell="I1" zoomScale="59" zoomScaleNormal="59" workbookViewId="0">
      <pane xSplit="1" topLeftCell="AI1" activePane="topRight" state="frozen"/>
      <selection activeCell="I1" sqref="I1"/>
      <selection pane="topRight" activeCell="J16" sqref="J16:AG22"/>
    </sheetView>
  </sheetViews>
  <sheetFormatPr defaultColWidth="9.140625" defaultRowHeight="18.75"/>
  <cols>
    <col min="1" max="2" width="9.140625" style="23" hidden="1" customWidth="1"/>
    <col min="3" max="3" width="14.5703125" style="23" hidden="1" customWidth="1"/>
    <col min="4" max="4" width="11.42578125" style="27" hidden="1" customWidth="1"/>
    <col min="5" max="5" width="6.85546875" style="27" hidden="1" customWidth="1"/>
    <col min="6" max="6" width="9.140625" style="27" hidden="1" customWidth="1"/>
    <col min="7" max="7" width="3.42578125" style="23" hidden="1" customWidth="1"/>
    <col min="8" max="8" width="6.140625" style="23" customWidth="1"/>
    <col min="9" max="9" width="15.28515625" style="27" bestFit="1" customWidth="1"/>
    <col min="10" max="10" width="11.5703125" style="26" customWidth="1"/>
    <col min="11" max="11" width="9.140625" style="24" customWidth="1"/>
    <col min="12" max="13" width="12.85546875" style="24" customWidth="1"/>
    <col min="14" max="14" width="10.5703125" style="26" customWidth="1"/>
    <col min="15" max="15" width="10.28515625" style="24" customWidth="1"/>
    <col min="16" max="17" width="10.5703125" style="24" customWidth="1"/>
    <col min="18" max="18" width="8.5703125" style="26" customWidth="1"/>
    <col min="19" max="19" width="11.5703125" style="24" customWidth="1"/>
    <col min="20" max="20" width="14" style="24" bestFit="1" customWidth="1"/>
    <col min="21" max="21" width="10.5703125" style="24" customWidth="1"/>
    <col min="22" max="22" width="13.7109375" style="26" bestFit="1" customWidth="1"/>
    <col min="23" max="23" width="11" style="24" bestFit="1" customWidth="1"/>
    <col min="24" max="24" width="9.7109375" style="24" customWidth="1"/>
    <col min="25" max="25" width="10.7109375" style="24" customWidth="1"/>
    <col min="26" max="26" width="11" style="26" customWidth="1"/>
    <col min="27" max="27" width="12.42578125" style="24" customWidth="1"/>
    <col min="28" max="29" width="11.85546875" style="24" customWidth="1"/>
    <col min="30" max="30" width="11" style="26" bestFit="1" customWidth="1"/>
    <col min="31" max="31" width="11.7109375" style="24" bestFit="1" customWidth="1"/>
    <col min="32" max="32" width="10.5703125" style="24" bestFit="1" customWidth="1"/>
    <col min="33" max="33" width="10.5703125" style="24" customWidth="1"/>
    <col min="34" max="34" width="11.5703125" style="26" bestFit="1" customWidth="1"/>
    <col min="35" max="35" width="13.5703125" style="24" customWidth="1"/>
    <col min="36" max="37" width="11.5703125" style="24" customWidth="1"/>
    <col min="38" max="38" width="10.5703125" style="49" customWidth="1"/>
    <col min="39" max="39" width="9" style="24" customWidth="1"/>
    <col min="40" max="40" width="12" style="24" bestFit="1" customWidth="1"/>
    <col min="41" max="41" width="12" style="24" customWidth="1"/>
    <col min="42" max="42" width="8.42578125" style="26" customWidth="1"/>
    <col min="43" max="43" width="10" style="24" bestFit="1" customWidth="1"/>
    <col min="44" max="44" width="13.85546875" style="24" bestFit="1" customWidth="1"/>
    <col min="45" max="45" width="13.85546875" style="24" customWidth="1"/>
    <col min="46" max="46" width="11.7109375" style="26" customWidth="1"/>
    <col min="47" max="47" width="11.7109375" style="24" customWidth="1"/>
    <col min="48" max="48" width="10.5703125" style="24" bestFit="1" customWidth="1"/>
    <col min="49" max="49" width="10.5703125" style="24" customWidth="1"/>
    <col min="50" max="50" width="9.140625" style="26" bestFit="1" customWidth="1"/>
    <col min="51" max="51" width="9.140625" style="50" bestFit="1" customWidth="1"/>
    <col min="52" max="52" width="10.5703125" style="50" bestFit="1" customWidth="1"/>
    <col min="53" max="53" width="10.5703125" style="50" customWidth="1"/>
    <col min="54" max="54" width="10.7109375" style="26" bestFit="1" customWidth="1"/>
    <col min="55" max="55" width="12.85546875" style="24" bestFit="1" customWidth="1"/>
    <col min="56" max="56" width="10.5703125" style="24" bestFit="1" customWidth="1"/>
    <col min="57" max="57" width="10.5703125" style="24" customWidth="1"/>
    <col min="58" max="58" width="16" style="25" bestFit="1" customWidth="1"/>
    <col min="59" max="59" width="10.7109375" style="24" bestFit="1" customWidth="1"/>
    <col min="60" max="60" width="13" style="23" bestFit="1" customWidth="1"/>
    <col min="61" max="61" width="9.140625" style="23"/>
    <col min="62" max="62" width="9.5703125" style="1058" bestFit="1" customWidth="1"/>
    <col min="63" max="63" width="9.28515625" style="23" bestFit="1" customWidth="1"/>
    <col min="64" max="16384" width="9.140625" style="23"/>
  </cols>
  <sheetData>
    <row r="1" spans="3:62" ht="15" customHeight="1" thickBot="1"/>
    <row r="2" spans="3:62" ht="21.75" thickBot="1">
      <c r="C2" s="1899" t="s">
        <v>45</v>
      </c>
      <c r="D2" s="1900"/>
      <c r="E2" s="1900"/>
      <c r="F2" s="1901"/>
      <c r="H2" s="1915"/>
      <c r="I2" s="1567"/>
      <c r="J2" s="1567"/>
      <c r="K2" s="1567"/>
      <c r="L2" s="1020"/>
      <c r="M2" s="1020"/>
      <c r="N2" s="1916" t="s">
        <v>249</v>
      </c>
      <c r="O2" s="1916"/>
      <c r="P2" s="1916"/>
      <c r="Q2" s="1916"/>
      <c r="R2" s="1916"/>
      <c r="S2" s="1916"/>
      <c r="T2" s="1916"/>
      <c r="U2" s="1916"/>
      <c r="V2" s="1916"/>
      <c r="W2" s="1916"/>
      <c r="X2" s="1916"/>
      <c r="Y2" s="1916"/>
      <c r="Z2" s="1916"/>
      <c r="AA2" s="1916"/>
      <c r="AB2" s="1916"/>
      <c r="AC2" s="1916"/>
      <c r="AD2" s="1916"/>
      <c r="AE2" s="1916"/>
      <c r="AF2" s="1916"/>
      <c r="AG2" s="1916"/>
      <c r="AH2" s="1916"/>
      <c r="AI2" s="1916"/>
      <c r="AJ2" s="1916"/>
      <c r="AK2" s="1916"/>
      <c r="AL2" s="1916"/>
      <c r="AM2" s="1916"/>
      <c r="AN2" s="1916"/>
      <c r="AO2" s="1916"/>
      <c r="AP2" s="1916"/>
      <c r="AQ2" s="1916"/>
      <c r="AR2" s="1916"/>
      <c r="AS2" s="1916"/>
      <c r="AT2" s="1916"/>
      <c r="AU2" s="1916"/>
      <c r="AV2" s="1916"/>
      <c r="AW2" s="1916"/>
      <c r="AX2" s="1916"/>
      <c r="AY2" s="1916"/>
      <c r="AZ2" s="1916"/>
      <c r="BA2" s="1020"/>
      <c r="BB2" s="1902" t="s">
        <v>118</v>
      </c>
      <c r="BC2" s="1903"/>
      <c r="BD2" s="1903"/>
      <c r="BE2" s="1903"/>
      <c r="BF2" s="1903"/>
      <c r="BG2" s="1903"/>
      <c r="BH2" s="1903"/>
      <c r="BI2" s="1904"/>
    </row>
    <row r="3" spans="3:62" ht="19.5" thickBot="1">
      <c r="C3" s="1019"/>
      <c r="D3" s="1017"/>
      <c r="E3" s="1017"/>
      <c r="F3" s="1023"/>
      <c r="H3" s="1905" t="s">
        <v>115</v>
      </c>
      <c r="I3" s="1906"/>
      <c r="J3" s="1906"/>
      <c r="K3" s="1906"/>
      <c r="L3" s="1906"/>
      <c r="M3" s="1906"/>
      <c r="N3" s="1906"/>
      <c r="O3" s="1906"/>
      <c r="P3" s="1906"/>
      <c r="Q3" s="1906"/>
      <c r="R3" s="1906"/>
      <c r="S3" s="1906"/>
      <c r="T3" s="1906"/>
      <c r="U3" s="1906"/>
      <c r="V3" s="1906"/>
      <c r="W3" s="1906"/>
      <c r="X3" s="1906"/>
      <c r="Y3" s="1906"/>
      <c r="Z3" s="1906"/>
      <c r="AA3" s="1906"/>
      <c r="AB3" s="1906"/>
      <c r="AC3" s="1906"/>
      <c r="AD3" s="1906"/>
      <c r="AE3" s="1906"/>
      <c r="AF3" s="1906"/>
      <c r="AG3" s="1906"/>
      <c r="AH3" s="1906"/>
      <c r="AI3" s="1906"/>
      <c r="AJ3" s="1906"/>
      <c r="AK3" s="1906"/>
      <c r="AL3" s="1906"/>
      <c r="AM3" s="1906"/>
      <c r="AN3" s="1906"/>
      <c r="AO3" s="1906"/>
      <c r="AP3" s="1906"/>
      <c r="AQ3" s="1906"/>
      <c r="AR3" s="1906"/>
      <c r="AS3" s="1906"/>
      <c r="AT3" s="1906"/>
      <c r="AU3" s="1906"/>
      <c r="AV3" s="1906"/>
      <c r="AW3" s="1906"/>
      <c r="AX3" s="1906"/>
      <c r="AY3" s="1906"/>
      <c r="AZ3" s="1906"/>
      <c r="BA3" s="1906"/>
      <c r="BB3" s="1906"/>
      <c r="BC3" s="1906"/>
      <c r="BD3" s="1906"/>
      <c r="BE3" s="1906"/>
      <c r="BF3" s="1906"/>
      <c r="BG3" s="1906"/>
      <c r="BH3" s="1906"/>
      <c r="BI3" s="1907"/>
    </row>
    <row r="4" spans="3:62">
      <c r="C4" s="37" t="s">
        <v>44</v>
      </c>
      <c r="D4" s="1869"/>
      <c r="E4" s="1869"/>
      <c r="F4" s="1870"/>
      <c r="H4" s="1908" t="s">
        <v>33</v>
      </c>
      <c r="I4" s="1909"/>
      <c r="J4" s="1871" t="s">
        <v>43</v>
      </c>
      <c r="K4" s="1872"/>
      <c r="L4" s="1872"/>
      <c r="M4" s="1873"/>
      <c r="N4" s="1871" t="s">
        <v>42</v>
      </c>
      <c r="O4" s="1872"/>
      <c r="P4" s="1872"/>
      <c r="Q4" s="1873"/>
      <c r="R4" s="1871" t="s">
        <v>41</v>
      </c>
      <c r="S4" s="1872"/>
      <c r="T4" s="1872"/>
      <c r="U4" s="1873"/>
      <c r="V4" s="1871" t="s">
        <v>40</v>
      </c>
      <c r="W4" s="1872"/>
      <c r="X4" s="1872"/>
      <c r="Y4" s="1873"/>
      <c r="Z4" s="1871" t="s">
        <v>39</v>
      </c>
      <c r="AA4" s="1872"/>
      <c r="AB4" s="1872"/>
      <c r="AC4" s="1873"/>
      <c r="AD4" s="1871" t="s">
        <v>38</v>
      </c>
      <c r="AE4" s="1872"/>
      <c r="AF4" s="1872"/>
      <c r="AG4" s="1873"/>
      <c r="AH4" s="1874" t="s">
        <v>122</v>
      </c>
      <c r="AI4" s="1875"/>
      <c r="AJ4" s="1875"/>
      <c r="AK4" s="1876"/>
      <c r="AL4" s="1871" t="s">
        <v>37</v>
      </c>
      <c r="AM4" s="1872"/>
      <c r="AN4" s="1872"/>
      <c r="AO4" s="1873"/>
      <c r="AP4" s="1871" t="s">
        <v>36</v>
      </c>
      <c r="AQ4" s="1872"/>
      <c r="AR4" s="1872"/>
      <c r="AS4" s="1873"/>
      <c r="AT4" s="1871" t="s">
        <v>35</v>
      </c>
      <c r="AU4" s="1872"/>
      <c r="AV4" s="1872"/>
      <c r="AW4" s="1873"/>
      <c r="AX4" s="1871" t="s">
        <v>34</v>
      </c>
      <c r="AY4" s="1872"/>
      <c r="AZ4" s="1872"/>
      <c r="BA4" s="1873"/>
      <c r="BB4" s="1874" t="s">
        <v>123</v>
      </c>
      <c r="BC4" s="1875"/>
      <c r="BD4" s="1875"/>
      <c r="BE4" s="1876"/>
      <c r="BF4" s="1877" t="s">
        <v>17</v>
      </c>
      <c r="BG4" s="1878"/>
      <c r="BH4" s="1878"/>
      <c r="BI4" s="1878"/>
    </row>
    <row r="5" spans="3:62" ht="15.75" customHeight="1">
      <c r="C5" s="1879" t="s">
        <v>33</v>
      </c>
      <c r="D5" s="1869"/>
      <c r="E5" s="1017" t="s">
        <v>1</v>
      </c>
      <c r="F5" s="1023" t="s">
        <v>2</v>
      </c>
      <c r="H5" s="1910"/>
      <c r="I5" s="1911"/>
      <c r="J5" s="36" t="s">
        <v>1</v>
      </c>
      <c r="K5" s="271" t="s">
        <v>2</v>
      </c>
      <c r="L5" s="693" t="s">
        <v>182</v>
      </c>
      <c r="M5" s="35" t="s">
        <v>247</v>
      </c>
      <c r="N5" s="36" t="s">
        <v>1</v>
      </c>
      <c r="O5" s="271" t="s">
        <v>2</v>
      </c>
      <c r="P5" s="693" t="s">
        <v>182</v>
      </c>
      <c r="Q5" s="35" t="s">
        <v>247</v>
      </c>
      <c r="R5" s="36" t="s">
        <v>1</v>
      </c>
      <c r="S5" s="271" t="s">
        <v>2</v>
      </c>
      <c r="T5" s="693" t="s">
        <v>182</v>
      </c>
      <c r="U5" s="35" t="s">
        <v>247</v>
      </c>
      <c r="V5" s="36" t="s">
        <v>1</v>
      </c>
      <c r="W5" s="271" t="s">
        <v>2</v>
      </c>
      <c r="X5" s="693" t="s">
        <v>182</v>
      </c>
      <c r="Y5" s="35" t="s">
        <v>247</v>
      </c>
      <c r="Z5" s="36" t="s">
        <v>1</v>
      </c>
      <c r="AA5" s="271" t="s">
        <v>2</v>
      </c>
      <c r="AB5" s="693" t="s">
        <v>182</v>
      </c>
      <c r="AC5" s="35" t="s">
        <v>247</v>
      </c>
      <c r="AD5" s="36" t="s">
        <v>1</v>
      </c>
      <c r="AE5" s="271" t="s">
        <v>2</v>
      </c>
      <c r="AF5" s="693" t="s">
        <v>182</v>
      </c>
      <c r="AG5" s="35" t="s">
        <v>247</v>
      </c>
      <c r="AH5" s="36" t="s">
        <v>1</v>
      </c>
      <c r="AI5" s="271" t="s">
        <v>2</v>
      </c>
      <c r="AJ5" s="271" t="s">
        <v>182</v>
      </c>
      <c r="AK5" s="690" t="s">
        <v>196</v>
      </c>
      <c r="AL5" s="36" t="s">
        <v>1</v>
      </c>
      <c r="AM5" s="271" t="s">
        <v>2</v>
      </c>
      <c r="AN5" s="693" t="s">
        <v>182</v>
      </c>
      <c r="AO5" s="35" t="s">
        <v>247</v>
      </c>
      <c r="AP5" s="36" t="s">
        <v>1</v>
      </c>
      <c r="AQ5" s="271" t="s">
        <v>2</v>
      </c>
      <c r="AR5" s="693" t="s">
        <v>182</v>
      </c>
      <c r="AS5" s="35" t="s">
        <v>247</v>
      </c>
      <c r="AT5" s="36" t="s">
        <v>1</v>
      </c>
      <c r="AU5" s="271" t="s">
        <v>2</v>
      </c>
      <c r="AV5" s="693" t="s">
        <v>182</v>
      </c>
      <c r="AW5" s="35" t="s">
        <v>247</v>
      </c>
      <c r="AX5" s="36" t="s">
        <v>1</v>
      </c>
      <c r="AY5" s="271" t="s">
        <v>2</v>
      </c>
      <c r="AZ5" s="693" t="s">
        <v>182</v>
      </c>
      <c r="BA5" s="35" t="s">
        <v>247</v>
      </c>
      <c r="BB5" s="36" t="s">
        <v>1</v>
      </c>
      <c r="BC5" s="271" t="s">
        <v>2</v>
      </c>
      <c r="BD5" s="271" t="s">
        <v>182</v>
      </c>
      <c r="BE5" s="690" t="s">
        <v>196</v>
      </c>
      <c r="BF5" s="274" t="s">
        <v>1</v>
      </c>
      <c r="BG5" s="275" t="s">
        <v>2</v>
      </c>
      <c r="BH5" s="275" t="s">
        <v>182</v>
      </c>
      <c r="BI5" s="698" t="s">
        <v>196</v>
      </c>
    </row>
    <row r="6" spans="3:62" s="28" customFormat="1" ht="20.100000000000001" customHeight="1">
      <c r="C6" s="1879" t="s">
        <v>19</v>
      </c>
      <c r="D6" s="1017" t="s">
        <v>32</v>
      </c>
      <c r="E6" s="1017"/>
      <c r="F6" s="1018"/>
      <c r="H6" s="1886" t="s">
        <v>32</v>
      </c>
      <c r="I6" s="33" t="s">
        <v>32</v>
      </c>
      <c r="J6" s="462"/>
      <c r="K6" s="463"/>
      <c r="L6" s="463"/>
      <c r="M6" s="691"/>
      <c r="N6" s="462"/>
      <c r="O6" s="463"/>
      <c r="P6" s="463"/>
      <c r="Q6" s="691"/>
      <c r="R6" s="462"/>
      <c r="S6" s="463"/>
      <c r="T6" s="463"/>
      <c r="U6" s="691"/>
      <c r="V6" s="462"/>
      <c r="W6" s="463"/>
      <c r="X6" s="463"/>
      <c r="Y6" s="691"/>
      <c r="Z6" s="462"/>
      <c r="AA6" s="463"/>
      <c r="AB6" s="463"/>
      <c r="AC6" s="691"/>
      <c r="AD6" s="462"/>
      <c r="AE6" s="463"/>
      <c r="AF6" s="463"/>
      <c r="AG6" s="691"/>
      <c r="AH6" s="128">
        <f>J6+N6+R6+V6+Z6+AD6</f>
        <v>0</v>
      </c>
      <c r="AI6" s="273">
        <f>K6+O6+S6+W6+AA6+AE6</f>
        <v>0</v>
      </c>
      <c r="AJ6" s="273">
        <f>L6+P6+T6+X6+AB6+AF6</f>
        <v>0</v>
      </c>
      <c r="AK6" s="694">
        <f>M6+Q6+U6+Y6+AC6+AG6</f>
        <v>0</v>
      </c>
      <c r="AL6" s="462"/>
      <c r="AM6" s="463"/>
      <c r="AN6" s="463"/>
      <c r="AO6" s="691"/>
      <c r="AP6" s="462"/>
      <c r="AQ6" s="463"/>
      <c r="AR6" s="463"/>
      <c r="AS6" s="691"/>
      <c r="AT6" s="462"/>
      <c r="AU6" s="463"/>
      <c r="AV6" s="463"/>
      <c r="AW6" s="691"/>
      <c r="AX6" s="462"/>
      <c r="AY6" s="463"/>
      <c r="AZ6" s="463"/>
      <c r="BA6" s="691"/>
      <c r="BB6" s="128">
        <f>AL6+AP6+AT6+AX6</f>
        <v>0</v>
      </c>
      <c r="BC6" s="273">
        <f>AM6+AQ6+AU6+AY6</f>
        <v>0</v>
      </c>
      <c r="BD6" s="273">
        <f>AN6+AR6+AV6+AZ6</f>
        <v>0</v>
      </c>
      <c r="BE6" s="273">
        <f>AO6+AS6+AW6+BA6</f>
        <v>0</v>
      </c>
      <c r="BF6" s="276">
        <f>AH6+BB6</f>
        <v>0</v>
      </c>
      <c r="BG6" s="277">
        <f>AI6+BC6</f>
        <v>0</v>
      </c>
      <c r="BH6" s="701">
        <f>AJ6+BD6</f>
        <v>0</v>
      </c>
      <c r="BI6" s="699">
        <f>AK6+BE6</f>
        <v>0</v>
      </c>
      <c r="BJ6" s="1067"/>
    </row>
    <row r="7" spans="3:62" s="28" customFormat="1" ht="20.100000000000001" customHeight="1">
      <c r="C7" s="1879"/>
      <c r="D7" s="1017" t="s">
        <v>31</v>
      </c>
      <c r="E7" s="1017"/>
      <c r="F7" s="1018"/>
      <c r="H7" s="1887"/>
      <c r="I7" s="33" t="s">
        <v>31</v>
      </c>
      <c r="J7" s="462"/>
      <c r="K7" s="463"/>
      <c r="L7" s="463"/>
      <c r="M7" s="691"/>
      <c r="N7" s="462"/>
      <c r="O7" s="463"/>
      <c r="P7" s="463"/>
      <c r="Q7" s="691"/>
      <c r="R7" s="462"/>
      <c r="S7" s="463"/>
      <c r="T7" s="463"/>
      <c r="U7" s="691"/>
      <c r="V7" s="462"/>
      <c r="W7" s="463"/>
      <c r="X7" s="463"/>
      <c r="Y7" s="691"/>
      <c r="Z7" s="462"/>
      <c r="AA7" s="463"/>
      <c r="AB7" s="463"/>
      <c r="AC7" s="691"/>
      <c r="AD7" s="462"/>
      <c r="AE7" s="463"/>
      <c r="AF7" s="463"/>
      <c r="AG7" s="691"/>
      <c r="AH7" s="128">
        <f t="shared" ref="AH7:AK9" si="0">J7+N7+R7+V7+Z7+AD7</f>
        <v>0</v>
      </c>
      <c r="AI7" s="273">
        <f t="shared" si="0"/>
        <v>0</v>
      </c>
      <c r="AJ7" s="273">
        <f t="shared" si="0"/>
        <v>0</v>
      </c>
      <c r="AK7" s="694">
        <f t="shared" si="0"/>
        <v>0</v>
      </c>
      <c r="AL7" s="462"/>
      <c r="AM7" s="463"/>
      <c r="AN7" s="463"/>
      <c r="AO7" s="691"/>
      <c r="AP7" s="462"/>
      <c r="AQ7" s="463"/>
      <c r="AR7" s="463"/>
      <c r="AS7" s="691"/>
      <c r="AT7" s="462"/>
      <c r="AU7" s="463"/>
      <c r="AV7" s="463"/>
      <c r="AW7" s="691"/>
      <c r="AX7" s="462"/>
      <c r="AY7" s="463"/>
      <c r="AZ7" s="463"/>
      <c r="BA7" s="691"/>
      <c r="BB7" s="128">
        <f t="shared" ref="BB7:BE9" si="1">AL7+AP7+AT7+AX7</f>
        <v>0</v>
      </c>
      <c r="BC7" s="273">
        <f t="shared" si="1"/>
        <v>0</v>
      </c>
      <c r="BD7" s="273">
        <f t="shared" si="1"/>
        <v>0</v>
      </c>
      <c r="BE7" s="273">
        <f t="shared" si="1"/>
        <v>0</v>
      </c>
      <c r="BF7" s="276">
        <f t="shared" ref="BF7:BI9" si="2">AH7+BB7</f>
        <v>0</v>
      </c>
      <c r="BG7" s="277">
        <f t="shared" si="2"/>
        <v>0</v>
      </c>
      <c r="BH7" s="277">
        <f t="shared" si="2"/>
        <v>0</v>
      </c>
      <c r="BI7" s="699">
        <f t="shared" si="2"/>
        <v>0</v>
      </c>
      <c r="BJ7" s="1067"/>
    </row>
    <row r="8" spans="3:62" s="28" customFormat="1" ht="20.100000000000001" customHeight="1">
      <c r="C8" s="1879"/>
      <c r="D8" s="1017" t="s">
        <v>30</v>
      </c>
      <c r="E8" s="1017"/>
      <c r="F8" s="1018"/>
      <c r="H8" s="1887"/>
      <c r="I8" s="33" t="s">
        <v>30</v>
      </c>
      <c r="J8" s="462"/>
      <c r="K8" s="463"/>
      <c r="L8" s="463"/>
      <c r="M8" s="691"/>
      <c r="N8" s="462"/>
      <c r="O8" s="463"/>
      <c r="P8" s="463"/>
      <c r="Q8" s="691"/>
      <c r="R8" s="462"/>
      <c r="S8" s="463"/>
      <c r="T8" s="463"/>
      <c r="U8" s="691"/>
      <c r="V8" s="462"/>
      <c r="W8" s="463"/>
      <c r="X8" s="463"/>
      <c r="Y8" s="691"/>
      <c r="Z8" s="462"/>
      <c r="AA8" s="463"/>
      <c r="AB8" s="463"/>
      <c r="AC8" s="691"/>
      <c r="AD8" s="462"/>
      <c r="AE8" s="463"/>
      <c r="AF8" s="463"/>
      <c r="AG8" s="691"/>
      <c r="AH8" s="128">
        <f t="shared" si="0"/>
        <v>0</v>
      </c>
      <c r="AI8" s="273">
        <f t="shared" si="0"/>
        <v>0</v>
      </c>
      <c r="AJ8" s="273">
        <f t="shared" si="0"/>
        <v>0</v>
      </c>
      <c r="AK8" s="694">
        <f t="shared" si="0"/>
        <v>0</v>
      </c>
      <c r="AL8" s="462"/>
      <c r="AM8" s="463"/>
      <c r="AN8" s="463"/>
      <c r="AO8" s="691"/>
      <c r="AP8" s="462"/>
      <c r="AQ8" s="463"/>
      <c r="AR8" s="463"/>
      <c r="AS8" s="691"/>
      <c r="AT8" s="462"/>
      <c r="AU8" s="463"/>
      <c r="AV8" s="463"/>
      <c r="AW8" s="691"/>
      <c r="AX8" s="462"/>
      <c r="AY8" s="463"/>
      <c r="AZ8" s="463"/>
      <c r="BA8" s="691"/>
      <c r="BB8" s="128">
        <f t="shared" si="1"/>
        <v>0</v>
      </c>
      <c r="BC8" s="273">
        <f t="shared" si="1"/>
        <v>0</v>
      </c>
      <c r="BD8" s="273">
        <f t="shared" si="1"/>
        <v>0</v>
      </c>
      <c r="BE8" s="273">
        <f t="shared" si="1"/>
        <v>0</v>
      </c>
      <c r="BF8" s="276">
        <f t="shared" si="2"/>
        <v>0</v>
      </c>
      <c r="BG8" s="277">
        <f t="shared" si="2"/>
        <v>0</v>
      </c>
      <c r="BH8" s="277">
        <f t="shared" si="2"/>
        <v>0</v>
      </c>
      <c r="BI8" s="699">
        <f t="shared" si="2"/>
        <v>0</v>
      </c>
      <c r="BJ8" s="1067"/>
    </row>
    <row r="9" spans="3:62" s="28" customFormat="1" ht="20.100000000000001" customHeight="1">
      <c r="C9" s="1885"/>
      <c r="D9" s="1017" t="s">
        <v>29</v>
      </c>
      <c r="E9" s="1017"/>
      <c r="F9" s="1018"/>
      <c r="H9" s="1887"/>
      <c r="I9" s="33" t="s">
        <v>109</v>
      </c>
      <c r="J9" s="462"/>
      <c r="K9" s="463"/>
      <c r="L9" s="463"/>
      <c r="M9" s="691"/>
      <c r="N9" s="462"/>
      <c r="O9" s="463"/>
      <c r="P9" s="463"/>
      <c r="Q9" s="691"/>
      <c r="R9" s="462"/>
      <c r="S9" s="463"/>
      <c r="T9" s="463"/>
      <c r="U9" s="691"/>
      <c r="V9" s="462"/>
      <c r="W9" s="463"/>
      <c r="X9" s="463"/>
      <c r="Y9" s="691"/>
      <c r="Z9" s="462"/>
      <c r="AA9" s="463"/>
      <c r="AB9" s="463"/>
      <c r="AC9" s="691"/>
      <c r="AD9" s="462"/>
      <c r="AE9" s="463"/>
      <c r="AF9" s="463"/>
      <c r="AG9" s="691"/>
      <c r="AH9" s="128">
        <f t="shared" si="0"/>
        <v>0</v>
      </c>
      <c r="AI9" s="273">
        <f t="shared" si="0"/>
        <v>0</v>
      </c>
      <c r="AJ9" s="273">
        <f t="shared" si="0"/>
        <v>0</v>
      </c>
      <c r="AK9" s="694">
        <f t="shared" si="0"/>
        <v>0</v>
      </c>
      <c r="AL9" s="462"/>
      <c r="AM9" s="463"/>
      <c r="AN9" s="463"/>
      <c r="AO9" s="691"/>
      <c r="AP9" s="462"/>
      <c r="AQ9" s="463"/>
      <c r="AR9" s="463"/>
      <c r="AS9" s="691"/>
      <c r="AT9" s="462"/>
      <c r="AU9" s="463"/>
      <c r="AV9" s="463"/>
      <c r="AW9" s="691"/>
      <c r="AX9" s="462"/>
      <c r="AY9" s="463"/>
      <c r="AZ9" s="463"/>
      <c r="BA9" s="691"/>
      <c r="BB9" s="128">
        <f t="shared" si="1"/>
        <v>0</v>
      </c>
      <c r="BC9" s="273">
        <f t="shared" si="1"/>
        <v>0</v>
      </c>
      <c r="BD9" s="273">
        <f t="shared" si="1"/>
        <v>0</v>
      </c>
      <c r="BE9" s="273">
        <f t="shared" si="1"/>
        <v>0</v>
      </c>
      <c r="BF9" s="276">
        <f t="shared" si="2"/>
        <v>0</v>
      </c>
      <c r="BG9" s="277">
        <f t="shared" si="2"/>
        <v>0</v>
      </c>
      <c r="BH9" s="277">
        <f t="shared" si="2"/>
        <v>0</v>
      </c>
      <c r="BI9" s="699">
        <f t="shared" si="2"/>
        <v>0</v>
      </c>
      <c r="BJ9" s="1067"/>
    </row>
    <row r="10" spans="3:62" s="28" customFormat="1" ht="19.5" customHeight="1" thickBot="1">
      <c r="C10" s="32"/>
      <c r="D10" s="31" t="s">
        <v>18</v>
      </c>
      <c r="E10" s="31"/>
      <c r="F10" s="30"/>
      <c r="H10" s="1865" t="s">
        <v>47</v>
      </c>
      <c r="I10" s="1866"/>
      <c r="J10" s="118">
        <f t="shared" ref="J10:BG10" si="3">SUM(J6:J9)</f>
        <v>0</v>
      </c>
      <c r="K10" s="272">
        <f t="shared" si="3"/>
        <v>0</v>
      </c>
      <c r="L10" s="272">
        <f t="shared" si="3"/>
        <v>0</v>
      </c>
      <c r="M10" s="272">
        <f t="shared" si="3"/>
        <v>0</v>
      </c>
      <c r="N10" s="118">
        <f t="shared" si="3"/>
        <v>0</v>
      </c>
      <c r="O10" s="272">
        <f t="shared" si="3"/>
        <v>0</v>
      </c>
      <c r="P10" s="272">
        <f t="shared" si="3"/>
        <v>0</v>
      </c>
      <c r="Q10" s="272">
        <f t="shared" si="3"/>
        <v>0</v>
      </c>
      <c r="R10" s="118">
        <f t="shared" si="3"/>
        <v>0</v>
      </c>
      <c r="S10" s="272">
        <f t="shared" si="3"/>
        <v>0</v>
      </c>
      <c r="T10" s="272">
        <f t="shared" si="3"/>
        <v>0</v>
      </c>
      <c r="U10" s="272">
        <f t="shared" si="3"/>
        <v>0</v>
      </c>
      <c r="V10" s="118">
        <f t="shared" si="3"/>
        <v>0</v>
      </c>
      <c r="W10" s="272">
        <f t="shared" si="3"/>
        <v>0</v>
      </c>
      <c r="X10" s="272">
        <f t="shared" si="3"/>
        <v>0</v>
      </c>
      <c r="Y10" s="272">
        <f t="shared" si="3"/>
        <v>0</v>
      </c>
      <c r="Z10" s="118">
        <f t="shared" si="3"/>
        <v>0</v>
      </c>
      <c r="AA10" s="272">
        <f t="shared" si="3"/>
        <v>0</v>
      </c>
      <c r="AB10" s="272">
        <f t="shared" si="3"/>
        <v>0</v>
      </c>
      <c r="AC10" s="272">
        <f t="shared" si="3"/>
        <v>0</v>
      </c>
      <c r="AD10" s="118">
        <f t="shared" si="3"/>
        <v>0</v>
      </c>
      <c r="AE10" s="272">
        <f t="shared" si="3"/>
        <v>0</v>
      </c>
      <c r="AF10" s="272">
        <f t="shared" si="3"/>
        <v>0</v>
      </c>
      <c r="AG10" s="272">
        <f t="shared" si="3"/>
        <v>0</v>
      </c>
      <c r="AH10" s="118">
        <f t="shared" si="3"/>
        <v>0</v>
      </c>
      <c r="AI10" s="272">
        <f t="shared" si="3"/>
        <v>0</v>
      </c>
      <c r="AJ10" s="272">
        <f>SUM(AJ6:AJ9)</f>
        <v>0</v>
      </c>
      <c r="AK10" s="695">
        <f>SUM(AK6:AK9)</f>
        <v>0</v>
      </c>
      <c r="AL10" s="118">
        <f t="shared" si="3"/>
        <v>0</v>
      </c>
      <c r="AM10" s="272">
        <f t="shared" si="3"/>
        <v>0</v>
      </c>
      <c r="AN10" s="272">
        <f t="shared" si="3"/>
        <v>0</v>
      </c>
      <c r="AO10" s="272">
        <f t="shared" si="3"/>
        <v>0</v>
      </c>
      <c r="AP10" s="118">
        <f t="shared" si="3"/>
        <v>0</v>
      </c>
      <c r="AQ10" s="272">
        <f t="shared" si="3"/>
        <v>0</v>
      </c>
      <c r="AR10" s="272">
        <f t="shared" si="3"/>
        <v>0</v>
      </c>
      <c r="AS10" s="272">
        <f t="shared" si="3"/>
        <v>0</v>
      </c>
      <c r="AT10" s="118">
        <f t="shared" si="3"/>
        <v>0</v>
      </c>
      <c r="AU10" s="272">
        <f t="shared" si="3"/>
        <v>0</v>
      </c>
      <c r="AV10" s="272">
        <f t="shared" si="3"/>
        <v>0</v>
      </c>
      <c r="AW10" s="272">
        <f t="shared" si="3"/>
        <v>0</v>
      </c>
      <c r="AX10" s="118">
        <f t="shared" si="3"/>
        <v>0</v>
      </c>
      <c r="AY10" s="272">
        <f t="shared" si="3"/>
        <v>0</v>
      </c>
      <c r="AZ10" s="272">
        <f t="shared" si="3"/>
        <v>0</v>
      </c>
      <c r="BA10" s="272">
        <f t="shared" si="3"/>
        <v>0</v>
      </c>
      <c r="BB10" s="118">
        <f t="shared" si="3"/>
        <v>0</v>
      </c>
      <c r="BC10" s="272">
        <f t="shared" si="3"/>
        <v>0</v>
      </c>
      <c r="BD10" s="272">
        <f t="shared" si="3"/>
        <v>0</v>
      </c>
      <c r="BE10" s="272">
        <f t="shared" si="3"/>
        <v>0</v>
      </c>
      <c r="BF10" s="278">
        <f t="shared" si="3"/>
        <v>0</v>
      </c>
      <c r="BG10" s="279">
        <f t="shared" si="3"/>
        <v>0</v>
      </c>
      <c r="BH10" s="702">
        <f>AJ10+BD10</f>
        <v>0</v>
      </c>
      <c r="BI10" s="700">
        <f>AK10+BE10</f>
        <v>0</v>
      </c>
      <c r="BJ10" s="1059"/>
    </row>
    <row r="11" spans="3:62" s="119" customFormat="1" ht="5.25" customHeight="1">
      <c r="D11" s="120"/>
      <c r="E11" s="120"/>
      <c r="F11" s="120"/>
      <c r="H11" s="122"/>
      <c r="I11" s="122"/>
      <c r="J11" s="125"/>
      <c r="K11" s="126"/>
      <c r="L11" s="126"/>
      <c r="M11" s="126"/>
      <c r="N11" s="125"/>
      <c r="O11" s="126"/>
      <c r="P11" s="126"/>
      <c r="Q11" s="126"/>
      <c r="R11" s="125"/>
      <c r="S11" s="126"/>
      <c r="T11" s="126"/>
      <c r="U11" s="126"/>
      <c r="V11" s="125"/>
      <c r="W11" s="126"/>
      <c r="X11" s="126"/>
      <c r="Y11" s="126"/>
      <c r="Z11" s="125"/>
      <c r="AA11" s="126"/>
      <c r="AB11" s="126"/>
      <c r="AC11" s="126"/>
      <c r="AD11" s="125"/>
      <c r="AE11" s="126"/>
      <c r="AF11" s="126"/>
      <c r="AG11" s="126"/>
      <c r="AH11" s="125"/>
      <c r="AI11" s="126"/>
      <c r="AJ11" s="126"/>
      <c r="AK11" s="126"/>
      <c r="AL11" s="125"/>
      <c r="AM11" s="126"/>
      <c r="AN11" s="126"/>
      <c r="AO11" s="126"/>
      <c r="AP11" s="125"/>
      <c r="AQ11" s="126"/>
      <c r="AR11" s="126"/>
      <c r="AS11" s="126"/>
      <c r="AT11" s="125"/>
      <c r="AU11" s="126"/>
      <c r="AV11" s="126"/>
      <c r="AW11" s="126"/>
      <c r="AX11" s="125"/>
      <c r="AY11" s="126"/>
      <c r="AZ11" s="126"/>
      <c r="BA11" s="126"/>
      <c r="BB11" s="125"/>
      <c r="BC11" s="126"/>
      <c r="BD11" s="126"/>
      <c r="BE11" s="126"/>
      <c r="BF11" s="125"/>
      <c r="BG11" s="126"/>
      <c r="BJ11" s="1060"/>
    </row>
    <row r="12" spans="3:62" ht="19.5" thickBot="1">
      <c r="C12" s="1019"/>
      <c r="D12" s="1017"/>
      <c r="E12" s="1017"/>
      <c r="F12" s="1023"/>
      <c r="H12" s="1867" t="s">
        <v>114</v>
      </c>
      <c r="I12" s="1868"/>
      <c r="J12" s="1868"/>
      <c r="K12" s="1868"/>
      <c r="L12" s="1868"/>
      <c r="M12" s="1868"/>
      <c r="N12" s="1868"/>
      <c r="O12" s="1868"/>
      <c r="P12" s="1868"/>
      <c r="Q12" s="1868"/>
      <c r="R12" s="1868"/>
      <c r="S12" s="1868"/>
      <c r="T12" s="1868"/>
      <c r="U12" s="1868"/>
      <c r="V12" s="1868"/>
      <c r="W12" s="1868"/>
      <c r="X12" s="1868"/>
      <c r="Y12" s="1868"/>
      <c r="Z12" s="1868"/>
      <c r="AA12" s="1868"/>
      <c r="AB12" s="1868"/>
      <c r="AC12" s="1868"/>
      <c r="AD12" s="1868"/>
      <c r="AE12" s="1868"/>
      <c r="AF12" s="1868"/>
      <c r="AG12" s="1868"/>
      <c r="AH12" s="1868"/>
      <c r="AI12" s="1868"/>
      <c r="AJ12" s="1868"/>
      <c r="AK12" s="1868"/>
      <c r="AL12" s="1868"/>
      <c r="AM12" s="1868"/>
      <c r="AN12" s="1868"/>
      <c r="AO12" s="1868"/>
      <c r="AP12" s="1868"/>
      <c r="AQ12" s="1868"/>
      <c r="AR12" s="1868"/>
      <c r="AS12" s="1868"/>
      <c r="AT12" s="1868"/>
      <c r="AU12" s="1868"/>
      <c r="AV12" s="1868"/>
      <c r="AW12" s="1868"/>
      <c r="AX12" s="1868"/>
      <c r="AY12" s="1868"/>
      <c r="AZ12" s="1868"/>
      <c r="BA12" s="1868"/>
      <c r="BB12" s="1868"/>
      <c r="BC12" s="1868"/>
      <c r="BD12" s="1868"/>
      <c r="BE12" s="1868"/>
      <c r="BF12" s="1868"/>
      <c r="BG12" s="1868"/>
      <c r="BH12" s="1868"/>
      <c r="BI12" s="1868"/>
    </row>
    <row r="13" spans="3:62" ht="18.75" customHeight="1">
      <c r="C13" s="37" t="s">
        <v>44</v>
      </c>
      <c r="D13" s="1869"/>
      <c r="E13" s="1869"/>
      <c r="F13" s="1870"/>
      <c r="H13" s="1895" t="s">
        <v>117</v>
      </c>
      <c r="I13" s="1896"/>
      <c r="J13" s="1890" t="s">
        <v>43</v>
      </c>
      <c r="K13" s="1891"/>
      <c r="L13" s="1891"/>
      <c r="M13" s="1892"/>
      <c r="N13" s="1890" t="s">
        <v>42</v>
      </c>
      <c r="O13" s="1891"/>
      <c r="P13" s="1891"/>
      <c r="Q13" s="1892"/>
      <c r="R13" s="1890" t="s">
        <v>41</v>
      </c>
      <c r="S13" s="1891"/>
      <c r="T13" s="1891"/>
      <c r="U13" s="1892"/>
      <c r="V13" s="1890" t="s">
        <v>40</v>
      </c>
      <c r="W13" s="1891"/>
      <c r="X13" s="1891"/>
      <c r="Y13" s="1892"/>
      <c r="Z13" s="1890" t="s">
        <v>39</v>
      </c>
      <c r="AA13" s="1891"/>
      <c r="AB13" s="1891"/>
      <c r="AC13" s="1892"/>
      <c r="AD13" s="1890" t="s">
        <v>38</v>
      </c>
      <c r="AE13" s="1891"/>
      <c r="AF13" s="1891"/>
      <c r="AG13" s="1892"/>
      <c r="AH13" s="1882" t="s">
        <v>122</v>
      </c>
      <c r="AI13" s="1883"/>
      <c r="AJ13" s="1883"/>
      <c r="AK13" s="1884"/>
      <c r="AL13" s="1890" t="s">
        <v>37</v>
      </c>
      <c r="AM13" s="1891"/>
      <c r="AN13" s="1891"/>
      <c r="AO13" s="1892"/>
      <c r="AP13" s="1890" t="s">
        <v>36</v>
      </c>
      <c r="AQ13" s="1891"/>
      <c r="AR13" s="1891"/>
      <c r="AS13" s="1892"/>
      <c r="AT13" s="1890" t="s">
        <v>35</v>
      </c>
      <c r="AU13" s="1891"/>
      <c r="AV13" s="1891"/>
      <c r="AW13" s="1892"/>
      <c r="AX13" s="1890" t="s">
        <v>34</v>
      </c>
      <c r="AY13" s="1891"/>
      <c r="AZ13" s="1891"/>
      <c r="BA13" s="1892"/>
      <c r="BB13" s="1882" t="s">
        <v>123</v>
      </c>
      <c r="BC13" s="1883"/>
      <c r="BD13" s="1883"/>
      <c r="BE13" s="1884"/>
      <c r="BF13" s="1880" t="s">
        <v>17</v>
      </c>
      <c r="BG13" s="1881"/>
      <c r="BH13" s="1881"/>
      <c r="BI13" s="1881"/>
    </row>
    <row r="14" spans="3:62" ht="27" customHeight="1">
      <c r="C14" s="1879" t="s">
        <v>33</v>
      </c>
      <c r="D14" s="1869"/>
      <c r="E14" s="1017" t="s">
        <v>1</v>
      </c>
      <c r="F14" s="1023" t="s">
        <v>2</v>
      </c>
      <c r="H14" s="1897"/>
      <c r="I14" s="1898"/>
      <c r="J14" s="36" t="s">
        <v>1</v>
      </c>
      <c r="K14" s="271" t="s">
        <v>2</v>
      </c>
      <c r="L14" s="271" t="s">
        <v>182</v>
      </c>
      <c r="M14" s="35" t="s">
        <v>247</v>
      </c>
      <c r="N14" s="36" t="s">
        <v>1</v>
      </c>
      <c r="O14" s="271" t="s">
        <v>2</v>
      </c>
      <c r="P14" s="271" t="s">
        <v>182</v>
      </c>
      <c r="Q14" s="35" t="s">
        <v>247</v>
      </c>
      <c r="R14" s="36" t="s">
        <v>1</v>
      </c>
      <c r="S14" s="271" t="s">
        <v>2</v>
      </c>
      <c r="T14" s="271" t="s">
        <v>182</v>
      </c>
      <c r="U14" s="35" t="s">
        <v>247</v>
      </c>
      <c r="V14" s="36" t="s">
        <v>1</v>
      </c>
      <c r="W14" s="271" t="s">
        <v>2</v>
      </c>
      <c r="X14" s="271" t="s">
        <v>182</v>
      </c>
      <c r="Y14" s="35" t="s">
        <v>247</v>
      </c>
      <c r="Z14" s="36" t="s">
        <v>1</v>
      </c>
      <c r="AA14" s="271" t="s">
        <v>2</v>
      </c>
      <c r="AB14" s="271" t="s">
        <v>182</v>
      </c>
      <c r="AC14" s="35" t="s">
        <v>247</v>
      </c>
      <c r="AD14" s="36" t="s">
        <v>1</v>
      </c>
      <c r="AE14" s="271" t="s">
        <v>2</v>
      </c>
      <c r="AF14" s="271" t="s">
        <v>182</v>
      </c>
      <c r="AG14" s="35" t="s">
        <v>247</v>
      </c>
      <c r="AH14" s="36" t="s">
        <v>1</v>
      </c>
      <c r="AI14" s="271" t="s">
        <v>2</v>
      </c>
      <c r="AJ14" s="271" t="s">
        <v>182</v>
      </c>
      <c r="AK14" s="690" t="s">
        <v>196</v>
      </c>
      <c r="AL14" s="36" t="s">
        <v>1</v>
      </c>
      <c r="AM14" s="271" t="s">
        <v>2</v>
      </c>
      <c r="AN14" s="271" t="s">
        <v>182</v>
      </c>
      <c r="AO14" s="35" t="s">
        <v>247</v>
      </c>
      <c r="AP14" s="36" t="s">
        <v>1</v>
      </c>
      <c r="AQ14" s="271" t="s">
        <v>2</v>
      </c>
      <c r="AR14" s="271" t="s">
        <v>182</v>
      </c>
      <c r="AS14" s="35" t="s">
        <v>247</v>
      </c>
      <c r="AT14" s="36" t="s">
        <v>1</v>
      </c>
      <c r="AU14" s="271" t="s">
        <v>2</v>
      </c>
      <c r="AV14" s="271" t="s">
        <v>182</v>
      </c>
      <c r="AW14" s="35" t="s">
        <v>247</v>
      </c>
      <c r="AX14" s="36" t="s">
        <v>1</v>
      </c>
      <c r="AY14" s="271" t="s">
        <v>2</v>
      </c>
      <c r="AZ14" s="271" t="s">
        <v>182</v>
      </c>
      <c r="BA14" s="35" t="s">
        <v>247</v>
      </c>
      <c r="BB14" s="36" t="s">
        <v>1</v>
      </c>
      <c r="BC14" s="271" t="s">
        <v>2</v>
      </c>
      <c r="BD14" s="271" t="s">
        <v>182</v>
      </c>
      <c r="BE14" s="690" t="s">
        <v>196</v>
      </c>
      <c r="BF14" s="274" t="s">
        <v>1</v>
      </c>
      <c r="BG14" s="275" t="s">
        <v>2</v>
      </c>
      <c r="BH14" s="275" t="s">
        <v>182</v>
      </c>
      <c r="BI14" s="703" t="s">
        <v>196</v>
      </c>
    </row>
    <row r="15" spans="3:62" s="28" customFormat="1" ht="20.100000000000001" customHeight="1">
      <c r="C15" s="1879" t="s">
        <v>28</v>
      </c>
      <c r="D15" s="1017" t="s">
        <v>27</v>
      </c>
      <c r="E15" s="1021"/>
      <c r="F15" s="34"/>
      <c r="H15" s="1888" t="s">
        <v>112</v>
      </c>
      <c r="I15" s="33" t="s">
        <v>27</v>
      </c>
      <c r="J15" s="462"/>
      <c r="K15" s="463"/>
      <c r="L15" s="463"/>
      <c r="M15" s="692"/>
      <c r="N15" s="462"/>
      <c r="O15" s="463"/>
      <c r="P15" s="463"/>
      <c r="Q15" s="692"/>
      <c r="R15" s="462"/>
      <c r="S15" s="463"/>
      <c r="T15" s="463"/>
      <c r="U15" s="692"/>
      <c r="V15" s="462"/>
      <c r="W15" s="463"/>
      <c r="X15" s="463"/>
      <c r="Y15" s="692"/>
      <c r="Z15" s="462"/>
      <c r="AA15" s="463"/>
      <c r="AB15" s="463"/>
      <c r="AC15" s="692"/>
      <c r="AD15" s="462"/>
      <c r="AE15" s="463"/>
      <c r="AF15" s="463"/>
      <c r="AG15" s="692"/>
      <c r="AH15" s="128">
        <f>J15+N15+R15+V15+Z15+AD15</f>
        <v>0</v>
      </c>
      <c r="AI15" s="273">
        <f>K15+O15+S15+W15+AA15+AE15</f>
        <v>0</v>
      </c>
      <c r="AJ15" s="273">
        <f>L15+P15+T15+X15+AB15+AF15</f>
        <v>0</v>
      </c>
      <c r="AK15" s="694">
        <f>M15+Q15+U15+Y15+AC15+AG15</f>
        <v>0</v>
      </c>
      <c r="AL15" s="462"/>
      <c r="AM15" s="463"/>
      <c r="AN15" s="463"/>
      <c r="AO15" s="692"/>
      <c r="AP15" s="462"/>
      <c r="AQ15" s="463"/>
      <c r="AR15" s="463"/>
      <c r="AS15" s="692"/>
      <c r="AT15" s="462"/>
      <c r="AU15" s="463"/>
      <c r="AV15" s="463"/>
      <c r="AW15" s="692"/>
      <c r="AX15" s="462"/>
      <c r="AY15" s="463"/>
      <c r="AZ15" s="463"/>
      <c r="BA15" s="692"/>
      <c r="BB15" s="128">
        <f>AL15+AP15+AT15+AX15</f>
        <v>0</v>
      </c>
      <c r="BC15" s="273">
        <f>AM15+AQ15+AU15+AY15</f>
        <v>0</v>
      </c>
      <c r="BD15" s="273">
        <f>AN15+AR15+AV15+AZ15</f>
        <v>0</v>
      </c>
      <c r="BE15" s="273">
        <f>AO15+AS15+AW15+BA15</f>
        <v>0</v>
      </c>
      <c r="BF15" s="276">
        <f t="shared" ref="BF15:BI23" si="4">AH15+BB15</f>
        <v>0</v>
      </c>
      <c r="BG15" s="277">
        <f t="shared" si="4"/>
        <v>0</v>
      </c>
      <c r="BH15" s="277">
        <f t="shared" si="4"/>
        <v>0</v>
      </c>
      <c r="BI15" s="704">
        <f t="shared" si="4"/>
        <v>0</v>
      </c>
      <c r="BJ15" s="1067"/>
    </row>
    <row r="16" spans="3:62" s="28" customFormat="1" ht="19.5" customHeight="1">
      <c r="C16" s="1879"/>
      <c r="D16" s="1017" t="s">
        <v>26</v>
      </c>
      <c r="E16" s="1017"/>
      <c r="F16" s="1018"/>
      <c r="H16" s="1889"/>
      <c r="I16" s="33" t="s">
        <v>26</v>
      </c>
      <c r="J16" s="462"/>
      <c r="K16" s="463"/>
      <c r="L16" s="463"/>
      <c r="M16" s="692"/>
      <c r="N16" s="462"/>
      <c r="O16" s="463"/>
      <c r="P16" s="463"/>
      <c r="Q16" s="692"/>
      <c r="R16" s="462"/>
      <c r="S16" s="463"/>
      <c r="T16" s="463"/>
      <c r="U16" s="692"/>
      <c r="V16" s="462"/>
      <c r="W16" s="463"/>
      <c r="X16" s="463"/>
      <c r="Y16" s="692"/>
      <c r="Z16" s="462"/>
      <c r="AA16" s="463"/>
      <c r="AB16" s="463"/>
      <c r="AC16" s="692"/>
      <c r="AD16" s="462"/>
      <c r="AE16" s="463"/>
      <c r="AF16" s="463"/>
      <c r="AG16" s="692"/>
      <c r="AH16" s="128">
        <f t="shared" ref="AH16:AK23" si="5">J16+N16+R16+V16+Z16+AD16</f>
        <v>0</v>
      </c>
      <c r="AI16" s="273">
        <f t="shared" si="5"/>
        <v>0</v>
      </c>
      <c r="AJ16" s="273">
        <f t="shared" si="5"/>
        <v>0</v>
      </c>
      <c r="AK16" s="694">
        <f t="shared" si="5"/>
        <v>0</v>
      </c>
      <c r="AL16" s="462"/>
      <c r="AM16" s="463"/>
      <c r="AN16" s="463"/>
      <c r="AO16" s="692"/>
      <c r="AP16" s="462"/>
      <c r="AQ16" s="463"/>
      <c r="AR16" s="463"/>
      <c r="AS16" s="692"/>
      <c r="AT16" s="462"/>
      <c r="AU16" s="463"/>
      <c r="AV16" s="463"/>
      <c r="AW16" s="692"/>
      <c r="AX16" s="462"/>
      <c r="AY16" s="463"/>
      <c r="AZ16" s="463"/>
      <c r="BA16" s="692"/>
      <c r="BB16" s="128">
        <f t="shared" ref="BB16:BE23" si="6">AL16+AP16+AT16+AX16</f>
        <v>0</v>
      </c>
      <c r="BC16" s="273">
        <f t="shared" si="6"/>
        <v>0</v>
      </c>
      <c r="BD16" s="273">
        <f t="shared" si="6"/>
        <v>0</v>
      </c>
      <c r="BE16" s="273">
        <f t="shared" si="6"/>
        <v>0</v>
      </c>
      <c r="BF16" s="276">
        <f t="shared" si="4"/>
        <v>0</v>
      </c>
      <c r="BG16" s="277">
        <f t="shared" si="4"/>
        <v>0</v>
      </c>
      <c r="BH16" s="277">
        <f t="shared" si="4"/>
        <v>0</v>
      </c>
      <c r="BI16" s="704">
        <f t="shared" si="4"/>
        <v>0</v>
      </c>
      <c r="BJ16" s="1067"/>
    </row>
    <row r="17" spans="3:62" s="28" customFormat="1" ht="23.25" customHeight="1">
      <c r="C17" s="1879"/>
      <c r="D17" s="1017" t="s">
        <v>25</v>
      </c>
      <c r="E17" s="1017"/>
      <c r="F17" s="1018"/>
      <c r="H17" s="1889"/>
      <c r="I17" s="33" t="s">
        <v>25</v>
      </c>
      <c r="J17" s="462"/>
      <c r="K17" s="463"/>
      <c r="L17" s="463"/>
      <c r="M17" s="692"/>
      <c r="N17" s="462"/>
      <c r="O17" s="463"/>
      <c r="P17" s="463"/>
      <c r="Q17" s="692"/>
      <c r="R17" s="462"/>
      <c r="S17" s="463"/>
      <c r="T17" s="463"/>
      <c r="U17" s="692"/>
      <c r="V17" s="462"/>
      <c r="W17" s="463"/>
      <c r="X17" s="463"/>
      <c r="Y17" s="692"/>
      <c r="Z17" s="462"/>
      <c r="AA17" s="463"/>
      <c r="AB17" s="463"/>
      <c r="AC17" s="692"/>
      <c r="AD17" s="462"/>
      <c r="AE17" s="463"/>
      <c r="AF17" s="463"/>
      <c r="AG17" s="692"/>
      <c r="AH17" s="128">
        <f t="shared" si="5"/>
        <v>0</v>
      </c>
      <c r="AI17" s="273">
        <f t="shared" si="5"/>
        <v>0</v>
      </c>
      <c r="AJ17" s="273">
        <f t="shared" si="5"/>
        <v>0</v>
      </c>
      <c r="AK17" s="694">
        <f t="shared" si="5"/>
        <v>0</v>
      </c>
      <c r="AL17" s="462"/>
      <c r="AM17" s="463"/>
      <c r="AN17" s="463"/>
      <c r="AO17" s="692"/>
      <c r="AP17" s="462"/>
      <c r="AQ17" s="463"/>
      <c r="AR17" s="463"/>
      <c r="AS17" s="692"/>
      <c r="AT17" s="462"/>
      <c r="AU17" s="463"/>
      <c r="AV17" s="463"/>
      <c r="AW17" s="692"/>
      <c r="AX17" s="462"/>
      <c r="AY17" s="463"/>
      <c r="AZ17" s="463"/>
      <c r="BA17" s="692"/>
      <c r="BB17" s="128">
        <f t="shared" si="6"/>
        <v>0</v>
      </c>
      <c r="BC17" s="273">
        <f t="shared" si="6"/>
        <v>0</v>
      </c>
      <c r="BD17" s="273">
        <f t="shared" si="6"/>
        <v>0</v>
      </c>
      <c r="BE17" s="273">
        <f t="shared" si="6"/>
        <v>0</v>
      </c>
      <c r="BF17" s="276">
        <f t="shared" si="4"/>
        <v>0</v>
      </c>
      <c r="BG17" s="277">
        <f t="shared" si="4"/>
        <v>0</v>
      </c>
      <c r="BH17" s="277">
        <f t="shared" si="4"/>
        <v>0</v>
      </c>
      <c r="BI17" s="704">
        <f t="shared" si="4"/>
        <v>0</v>
      </c>
      <c r="BJ17" s="1067"/>
    </row>
    <row r="18" spans="3:62" s="28" customFormat="1" ht="21">
      <c r="C18" s="1879"/>
      <c r="D18" s="1017" t="s">
        <v>24</v>
      </c>
      <c r="E18" s="1017"/>
      <c r="F18" s="1018"/>
      <c r="H18" s="1889"/>
      <c r="I18" s="33" t="s">
        <v>24</v>
      </c>
      <c r="J18" s="462"/>
      <c r="K18" s="463"/>
      <c r="L18" s="463"/>
      <c r="M18" s="692"/>
      <c r="N18" s="462"/>
      <c r="O18" s="463"/>
      <c r="P18" s="463"/>
      <c r="Q18" s="692"/>
      <c r="R18" s="462"/>
      <c r="S18" s="463"/>
      <c r="T18" s="463"/>
      <c r="U18" s="692"/>
      <c r="V18" s="462"/>
      <c r="W18" s="463"/>
      <c r="X18" s="463"/>
      <c r="Y18" s="692"/>
      <c r="Z18" s="462"/>
      <c r="AA18" s="463"/>
      <c r="AB18" s="463"/>
      <c r="AC18" s="692"/>
      <c r="AD18" s="462"/>
      <c r="AE18" s="463"/>
      <c r="AF18" s="463"/>
      <c r="AG18" s="692"/>
      <c r="AH18" s="128">
        <f t="shared" si="5"/>
        <v>0</v>
      </c>
      <c r="AI18" s="273">
        <f t="shared" si="5"/>
        <v>0</v>
      </c>
      <c r="AJ18" s="273">
        <f t="shared" si="5"/>
        <v>0</v>
      </c>
      <c r="AK18" s="694">
        <f t="shared" si="5"/>
        <v>0</v>
      </c>
      <c r="AL18" s="462"/>
      <c r="AM18" s="463"/>
      <c r="AN18" s="463"/>
      <c r="AO18" s="692"/>
      <c r="AP18" s="462"/>
      <c r="AQ18" s="463"/>
      <c r="AR18" s="463"/>
      <c r="AS18" s="692"/>
      <c r="AT18" s="462"/>
      <c r="AU18" s="463"/>
      <c r="AV18" s="463"/>
      <c r="AW18" s="692"/>
      <c r="AX18" s="462"/>
      <c r="AY18" s="463"/>
      <c r="AZ18" s="463"/>
      <c r="BA18" s="692"/>
      <c r="BB18" s="128">
        <f t="shared" si="6"/>
        <v>0</v>
      </c>
      <c r="BC18" s="273">
        <f t="shared" si="6"/>
        <v>0</v>
      </c>
      <c r="BD18" s="273">
        <f t="shared" si="6"/>
        <v>0</v>
      </c>
      <c r="BE18" s="273">
        <f t="shared" si="6"/>
        <v>0</v>
      </c>
      <c r="BF18" s="276">
        <f t="shared" si="4"/>
        <v>0</v>
      </c>
      <c r="BG18" s="277">
        <f t="shared" si="4"/>
        <v>0</v>
      </c>
      <c r="BH18" s="277">
        <f t="shared" si="4"/>
        <v>0</v>
      </c>
      <c r="BI18" s="704">
        <f t="shared" si="4"/>
        <v>0</v>
      </c>
      <c r="BJ18" s="1067"/>
    </row>
    <row r="19" spans="3:62" s="28" customFormat="1" ht="19.5" customHeight="1">
      <c r="C19" s="1879"/>
      <c r="D19" s="1017" t="s">
        <v>23</v>
      </c>
      <c r="E19" s="1017"/>
      <c r="F19" s="1018"/>
      <c r="H19" s="1889"/>
      <c r="I19" s="33" t="s">
        <v>23</v>
      </c>
      <c r="J19" s="462"/>
      <c r="K19" s="463"/>
      <c r="L19" s="463"/>
      <c r="M19" s="692"/>
      <c r="N19" s="462"/>
      <c r="O19" s="463"/>
      <c r="P19" s="463"/>
      <c r="Q19" s="692"/>
      <c r="R19" s="462"/>
      <c r="S19" s="463"/>
      <c r="T19" s="463"/>
      <c r="U19" s="692"/>
      <c r="V19" s="462"/>
      <c r="W19" s="463"/>
      <c r="X19" s="463"/>
      <c r="Y19" s="692"/>
      <c r="Z19" s="462"/>
      <c r="AA19" s="463"/>
      <c r="AB19" s="463"/>
      <c r="AC19" s="692"/>
      <c r="AD19" s="462"/>
      <c r="AE19" s="463"/>
      <c r="AF19" s="463"/>
      <c r="AG19" s="692"/>
      <c r="AH19" s="128">
        <f t="shared" si="5"/>
        <v>0</v>
      </c>
      <c r="AI19" s="273">
        <f t="shared" si="5"/>
        <v>0</v>
      </c>
      <c r="AJ19" s="273">
        <f t="shared" si="5"/>
        <v>0</v>
      </c>
      <c r="AK19" s="694">
        <f t="shared" si="5"/>
        <v>0</v>
      </c>
      <c r="AL19" s="1012"/>
      <c r="AM19" s="463"/>
      <c r="AN19" s="463"/>
      <c r="AO19" s="692"/>
      <c r="AP19" s="462"/>
      <c r="AQ19" s="463"/>
      <c r="AR19" s="463"/>
      <c r="AS19" s="692"/>
      <c r="AT19" s="462"/>
      <c r="AU19" s="463"/>
      <c r="AV19" s="463"/>
      <c r="AW19" s="692"/>
      <c r="AX19" s="462"/>
      <c r="AY19" s="463"/>
      <c r="AZ19" s="463"/>
      <c r="BA19" s="692"/>
      <c r="BB19" s="128">
        <f t="shared" si="6"/>
        <v>0</v>
      </c>
      <c r="BC19" s="273">
        <f t="shared" si="6"/>
        <v>0</v>
      </c>
      <c r="BD19" s="273">
        <f t="shared" si="6"/>
        <v>0</v>
      </c>
      <c r="BE19" s="273">
        <f t="shared" si="6"/>
        <v>0</v>
      </c>
      <c r="BF19" s="276">
        <f t="shared" si="4"/>
        <v>0</v>
      </c>
      <c r="BG19" s="277">
        <f t="shared" si="4"/>
        <v>0</v>
      </c>
      <c r="BH19" s="277">
        <f t="shared" si="4"/>
        <v>0</v>
      </c>
      <c r="BI19" s="704">
        <f t="shared" si="4"/>
        <v>0</v>
      </c>
      <c r="BJ19" s="1067"/>
    </row>
    <row r="20" spans="3:62" s="28" customFormat="1" ht="19.5" customHeight="1">
      <c r="C20" s="1879"/>
      <c r="D20" s="1017" t="s">
        <v>22</v>
      </c>
      <c r="E20" s="1017"/>
      <c r="F20" s="1018"/>
      <c r="H20" s="1889"/>
      <c r="I20" s="33" t="s">
        <v>22</v>
      </c>
      <c r="J20" s="462"/>
      <c r="K20" s="463"/>
      <c r="L20" s="463"/>
      <c r="M20" s="692"/>
      <c r="N20" s="462"/>
      <c r="O20" s="463"/>
      <c r="P20" s="463"/>
      <c r="Q20" s="692"/>
      <c r="R20" s="462"/>
      <c r="S20" s="463"/>
      <c r="T20" s="463"/>
      <c r="U20" s="692"/>
      <c r="V20" s="462"/>
      <c r="W20" s="463"/>
      <c r="X20" s="463"/>
      <c r="Y20" s="692"/>
      <c r="Z20" s="462"/>
      <c r="AA20" s="463"/>
      <c r="AB20" s="463"/>
      <c r="AC20" s="692"/>
      <c r="AD20" s="462"/>
      <c r="AE20" s="463"/>
      <c r="AF20" s="463"/>
      <c r="AG20" s="692"/>
      <c r="AH20" s="128">
        <f t="shared" si="5"/>
        <v>0</v>
      </c>
      <c r="AI20" s="273">
        <f t="shared" si="5"/>
        <v>0</v>
      </c>
      <c r="AJ20" s="273">
        <f t="shared" si="5"/>
        <v>0</v>
      </c>
      <c r="AK20" s="694">
        <f t="shared" si="5"/>
        <v>0</v>
      </c>
      <c r="AL20" s="462"/>
      <c r="AM20" s="463"/>
      <c r="AN20" s="463"/>
      <c r="AO20" s="692"/>
      <c r="AP20" s="462"/>
      <c r="AQ20" s="463"/>
      <c r="AR20" s="463"/>
      <c r="AS20" s="692"/>
      <c r="AT20" s="462"/>
      <c r="AU20" s="463"/>
      <c r="AV20" s="463"/>
      <c r="AW20" s="692"/>
      <c r="AX20" s="462"/>
      <c r="AY20" s="463"/>
      <c r="AZ20" s="463"/>
      <c r="BA20" s="692"/>
      <c r="BB20" s="128">
        <f t="shared" si="6"/>
        <v>0</v>
      </c>
      <c r="BC20" s="273">
        <f t="shared" si="6"/>
        <v>0</v>
      </c>
      <c r="BD20" s="273">
        <f t="shared" si="6"/>
        <v>0</v>
      </c>
      <c r="BE20" s="273">
        <f t="shared" si="6"/>
        <v>0</v>
      </c>
      <c r="BF20" s="276">
        <f t="shared" si="4"/>
        <v>0</v>
      </c>
      <c r="BG20" s="277">
        <f t="shared" si="4"/>
        <v>0</v>
      </c>
      <c r="BH20" s="277">
        <f t="shared" si="4"/>
        <v>0</v>
      </c>
      <c r="BI20" s="704">
        <f t="shared" si="4"/>
        <v>0</v>
      </c>
      <c r="BJ20" s="1067"/>
    </row>
    <row r="21" spans="3:62" s="28" customFormat="1" ht="20.100000000000001" customHeight="1">
      <c r="C21" s="1885"/>
      <c r="D21" s="1017"/>
      <c r="E21" s="1017"/>
      <c r="F21" s="1018"/>
      <c r="H21" s="1889"/>
      <c r="I21" s="33" t="s">
        <v>21</v>
      </c>
      <c r="J21" s="462"/>
      <c r="K21" s="463"/>
      <c r="L21" s="463"/>
      <c r="M21" s="692"/>
      <c r="N21" s="462"/>
      <c r="O21" s="463"/>
      <c r="P21" s="463"/>
      <c r="Q21" s="692"/>
      <c r="R21" s="462"/>
      <c r="S21" s="463"/>
      <c r="T21" s="463"/>
      <c r="U21" s="692"/>
      <c r="V21" s="462"/>
      <c r="W21" s="463"/>
      <c r="X21" s="463"/>
      <c r="Y21" s="692"/>
      <c r="Z21" s="462"/>
      <c r="AA21" s="463"/>
      <c r="AB21" s="463"/>
      <c r="AC21" s="692"/>
      <c r="AD21" s="462"/>
      <c r="AE21" s="463"/>
      <c r="AF21" s="463"/>
      <c r="AG21" s="692"/>
      <c r="AH21" s="128">
        <f t="shared" si="5"/>
        <v>0</v>
      </c>
      <c r="AI21" s="273">
        <f t="shared" si="5"/>
        <v>0</v>
      </c>
      <c r="AJ21" s="273">
        <f t="shared" si="5"/>
        <v>0</v>
      </c>
      <c r="AK21" s="694">
        <f t="shared" si="5"/>
        <v>0</v>
      </c>
      <c r="AL21" s="462"/>
      <c r="AM21" s="463"/>
      <c r="AN21" s="463"/>
      <c r="AO21" s="692"/>
      <c r="AP21" s="462"/>
      <c r="AQ21" s="463"/>
      <c r="AR21" s="463"/>
      <c r="AS21" s="692"/>
      <c r="AT21" s="462"/>
      <c r="AU21" s="463"/>
      <c r="AV21" s="463"/>
      <c r="AW21" s="692"/>
      <c r="AX21" s="462"/>
      <c r="AY21" s="463"/>
      <c r="AZ21" s="463"/>
      <c r="BA21" s="692"/>
      <c r="BB21" s="128">
        <f t="shared" si="6"/>
        <v>0</v>
      </c>
      <c r="BC21" s="273">
        <f t="shared" si="6"/>
        <v>0</v>
      </c>
      <c r="BD21" s="273">
        <f t="shared" si="6"/>
        <v>0</v>
      </c>
      <c r="BE21" s="273">
        <f t="shared" si="6"/>
        <v>0</v>
      </c>
      <c r="BF21" s="276">
        <f t="shared" si="4"/>
        <v>0</v>
      </c>
      <c r="BG21" s="277">
        <f t="shared" si="4"/>
        <v>0</v>
      </c>
      <c r="BH21" s="277">
        <f t="shared" si="4"/>
        <v>0</v>
      </c>
      <c r="BI21" s="704">
        <f t="shared" si="4"/>
        <v>0</v>
      </c>
      <c r="BJ21" s="1067"/>
    </row>
    <row r="22" spans="3:62" s="28" customFormat="1" ht="19.5" customHeight="1">
      <c r="C22" s="1885"/>
      <c r="D22" s="1017"/>
      <c r="E22" s="1017"/>
      <c r="F22" s="1018"/>
      <c r="H22" s="1889"/>
      <c r="I22" s="33" t="s">
        <v>20</v>
      </c>
      <c r="J22" s="462"/>
      <c r="K22" s="463"/>
      <c r="L22" s="463"/>
      <c r="M22" s="692"/>
      <c r="N22" s="462"/>
      <c r="O22" s="463"/>
      <c r="P22" s="463"/>
      <c r="Q22" s="692"/>
      <c r="R22" s="462"/>
      <c r="S22" s="463"/>
      <c r="T22" s="463"/>
      <c r="U22" s="692"/>
      <c r="V22" s="462"/>
      <c r="W22" s="463"/>
      <c r="X22" s="463"/>
      <c r="Y22" s="692"/>
      <c r="Z22" s="462"/>
      <c r="AA22" s="463"/>
      <c r="AB22" s="463"/>
      <c r="AC22" s="692"/>
      <c r="AD22" s="462"/>
      <c r="AE22" s="463"/>
      <c r="AF22" s="463"/>
      <c r="AG22" s="692"/>
      <c r="AH22" s="128">
        <f t="shared" si="5"/>
        <v>0</v>
      </c>
      <c r="AI22" s="273">
        <f t="shared" si="5"/>
        <v>0</v>
      </c>
      <c r="AJ22" s="273">
        <f t="shared" si="5"/>
        <v>0</v>
      </c>
      <c r="AK22" s="694">
        <f t="shared" si="5"/>
        <v>0</v>
      </c>
      <c r="AL22" s="462"/>
      <c r="AM22" s="463"/>
      <c r="AN22" s="463"/>
      <c r="AO22" s="692"/>
      <c r="AP22" s="462"/>
      <c r="AQ22" s="463"/>
      <c r="AR22" s="463"/>
      <c r="AS22" s="692"/>
      <c r="AT22" s="462"/>
      <c r="AU22" s="463"/>
      <c r="AV22" s="463"/>
      <c r="AW22" s="692"/>
      <c r="AX22" s="462"/>
      <c r="AY22" s="463"/>
      <c r="AZ22" s="463"/>
      <c r="BA22" s="692"/>
      <c r="BB22" s="128">
        <f t="shared" si="6"/>
        <v>0</v>
      </c>
      <c r="BC22" s="273">
        <f t="shared" si="6"/>
        <v>0</v>
      </c>
      <c r="BD22" s="273">
        <f t="shared" si="6"/>
        <v>0</v>
      </c>
      <c r="BE22" s="273">
        <f t="shared" si="6"/>
        <v>0</v>
      </c>
      <c r="BF22" s="276">
        <f t="shared" si="4"/>
        <v>0</v>
      </c>
      <c r="BG22" s="277">
        <f t="shared" si="4"/>
        <v>0</v>
      </c>
      <c r="BH22" s="277">
        <f t="shared" si="4"/>
        <v>0</v>
      </c>
      <c r="BI22" s="704">
        <f t="shared" si="4"/>
        <v>0</v>
      </c>
      <c r="BJ22" s="1067"/>
    </row>
    <row r="23" spans="3:62" s="28" customFormat="1" ht="20.100000000000001" customHeight="1">
      <c r="C23" s="1885"/>
      <c r="D23" s="1017"/>
      <c r="E23" s="1017"/>
      <c r="F23" s="1018"/>
      <c r="H23" s="1889"/>
      <c r="I23" s="33" t="s">
        <v>19</v>
      </c>
      <c r="J23" s="462"/>
      <c r="K23" s="463"/>
      <c r="L23" s="463"/>
      <c r="M23" s="692"/>
      <c r="N23" s="462"/>
      <c r="O23" s="463"/>
      <c r="P23" s="463"/>
      <c r="Q23" s="692"/>
      <c r="R23" s="462"/>
      <c r="S23" s="463"/>
      <c r="T23" s="463"/>
      <c r="U23" s="692"/>
      <c r="V23" s="462"/>
      <c r="W23" s="463"/>
      <c r="X23" s="463"/>
      <c r="Y23" s="692"/>
      <c r="Z23" s="462"/>
      <c r="AA23" s="463"/>
      <c r="AB23" s="463"/>
      <c r="AC23" s="692"/>
      <c r="AD23" s="462"/>
      <c r="AE23" s="463"/>
      <c r="AF23" s="463"/>
      <c r="AG23" s="692"/>
      <c r="AH23" s="128">
        <f t="shared" si="5"/>
        <v>0</v>
      </c>
      <c r="AI23" s="273">
        <f t="shared" si="5"/>
        <v>0</v>
      </c>
      <c r="AJ23" s="273">
        <f t="shared" si="5"/>
        <v>0</v>
      </c>
      <c r="AK23" s="694">
        <f t="shared" si="5"/>
        <v>0</v>
      </c>
      <c r="AL23" s="462"/>
      <c r="AM23" s="463"/>
      <c r="AN23" s="463"/>
      <c r="AO23" s="692"/>
      <c r="AP23" s="462"/>
      <c r="AQ23" s="463"/>
      <c r="AR23" s="463"/>
      <c r="AS23" s="692"/>
      <c r="AT23" s="462"/>
      <c r="AU23" s="463"/>
      <c r="AV23" s="463"/>
      <c r="AW23" s="692"/>
      <c r="AX23" s="462"/>
      <c r="AY23" s="463"/>
      <c r="AZ23" s="463"/>
      <c r="BA23" s="692"/>
      <c r="BB23" s="128">
        <f t="shared" si="6"/>
        <v>0</v>
      </c>
      <c r="BC23" s="273">
        <f t="shared" si="6"/>
        <v>0</v>
      </c>
      <c r="BD23" s="273">
        <f t="shared" si="6"/>
        <v>0</v>
      </c>
      <c r="BE23" s="273">
        <f t="shared" si="6"/>
        <v>0</v>
      </c>
      <c r="BF23" s="276">
        <f t="shared" si="4"/>
        <v>0</v>
      </c>
      <c r="BG23" s="277">
        <f t="shared" si="4"/>
        <v>0</v>
      </c>
      <c r="BH23" s="277">
        <f t="shared" si="4"/>
        <v>0</v>
      </c>
      <c r="BI23" s="704">
        <f t="shared" si="4"/>
        <v>0</v>
      </c>
      <c r="BJ23" s="1067"/>
    </row>
    <row r="24" spans="3:62" s="28" customFormat="1" ht="20.100000000000001" customHeight="1" thickBot="1">
      <c r="C24" s="1885"/>
      <c r="D24" s="1017"/>
      <c r="E24" s="1017"/>
      <c r="F24" s="1018"/>
      <c r="H24" s="1865" t="s">
        <v>116</v>
      </c>
      <c r="I24" s="1866"/>
      <c r="J24" s="118">
        <f t="shared" ref="J24:BI24" si="7">SUM(J15:J23)</f>
        <v>0</v>
      </c>
      <c r="K24" s="272">
        <f t="shared" si="7"/>
        <v>0</v>
      </c>
      <c r="L24" s="272">
        <f>SUM(L15:L23)</f>
        <v>0</v>
      </c>
      <c r="M24" s="272">
        <f>SUM(M15:M23)</f>
        <v>0</v>
      </c>
      <c r="N24" s="118">
        <f t="shared" ref="N24:AI24" si="8">SUM(N15:N23)</f>
        <v>0</v>
      </c>
      <c r="O24" s="272">
        <f t="shared" si="8"/>
        <v>0</v>
      </c>
      <c r="P24" s="272">
        <f t="shared" si="8"/>
        <v>0</v>
      </c>
      <c r="Q24" s="272">
        <f t="shared" si="8"/>
        <v>0</v>
      </c>
      <c r="R24" s="118">
        <f t="shared" si="8"/>
        <v>0</v>
      </c>
      <c r="S24" s="272">
        <f t="shared" si="8"/>
        <v>0</v>
      </c>
      <c r="T24" s="272">
        <f t="shared" si="8"/>
        <v>0</v>
      </c>
      <c r="U24" s="272">
        <f t="shared" si="8"/>
        <v>0</v>
      </c>
      <c r="V24" s="118">
        <f t="shared" si="8"/>
        <v>0</v>
      </c>
      <c r="W24" s="272">
        <f t="shared" si="8"/>
        <v>0</v>
      </c>
      <c r="X24" s="272">
        <f t="shared" si="8"/>
        <v>0</v>
      </c>
      <c r="Y24" s="272">
        <f t="shared" si="8"/>
        <v>0</v>
      </c>
      <c r="Z24" s="118">
        <f t="shared" si="8"/>
        <v>0</v>
      </c>
      <c r="AA24" s="272">
        <f t="shared" si="8"/>
        <v>0</v>
      </c>
      <c r="AB24" s="272">
        <f t="shared" si="8"/>
        <v>0</v>
      </c>
      <c r="AC24" s="272">
        <f t="shared" si="8"/>
        <v>0</v>
      </c>
      <c r="AD24" s="118">
        <f t="shared" si="8"/>
        <v>0</v>
      </c>
      <c r="AE24" s="272">
        <f t="shared" si="8"/>
        <v>0</v>
      </c>
      <c r="AF24" s="272">
        <f t="shared" si="8"/>
        <v>0</v>
      </c>
      <c r="AG24" s="272">
        <f t="shared" si="8"/>
        <v>0</v>
      </c>
      <c r="AH24" s="118">
        <f t="shared" si="8"/>
        <v>0</v>
      </c>
      <c r="AI24" s="272">
        <f t="shared" si="8"/>
        <v>0</v>
      </c>
      <c r="AJ24" s="272">
        <f>SUM(AJ15:AJ23)</f>
        <v>0</v>
      </c>
      <c r="AK24" s="695">
        <f>SUM(AK15:AK23)</f>
        <v>0</v>
      </c>
      <c r="AL24" s="118">
        <f t="shared" ref="AL24:BC24" si="9">SUM(AL15:AL23)</f>
        <v>0</v>
      </c>
      <c r="AM24" s="272">
        <f t="shared" si="9"/>
        <v>0</v>
      </c>
      <c r="AN24" s="272">
        <f t="shared" si="9"/>
        <v>0</v>
      </c>
      <c r="AO24" s="272">
        <f t="shared" si="9"/>
        <v>0</v>
      </c>
      <c r="AP24" s="118">
        <f t="shared" si="9"/>
        <v>0</v>
      </c>
      <c r="AQ24" s="272">
        <f t="shared" si="9"/>
        <v>0</v>
      </c>
      <c r="AR24" s="272">
        <f t="shared" si="9"/>
        <v>0</v>
      </c>
      <c r="AS24" s="272">
        <f t="shared" si="9"/>
        <v>0</v>
      </c>
      <c r="AT24" s="118">
        <f t="shared" si="9"/>
        <v>0</v>
      </c>
      <c r="AU24" s="272">
        <f t="shared" si="9"/>
        <v>0</v>
      </c>
      <c r="AV24" s="272">
        <f t="shared" si="9"/>
        <v>0</v>
      </c>
      <c r="AW24" s="272">
        <f t="shared" si="9"/>
        <v>0</v>
      </c>
      <c r="AX24" s="118">
        <f t="shared" si="9"/>
        <v>0</v>
      </c>
      <c r="AY24" s="272">
        <f t="shared" si="9"/>
        <v>0</v>
      </c>
      <c r="AZ24" s="272">
        <f t="shared" si="9"/>
        <v>0</v>
      </c>
      <c r="BA24" s="272">
        <f t="shared" si="9"/>
        <v>0</v>
      </c>
      <c r="BB24" s="118">
        <f t="shared" si="9"/>
        <v>0</v>
      </c>
      <c r="BC24" s="272">
        <f t="shared" si="9"/>
        <v>0</v>
      </c>
      <c r="BD24" s="272">
        <f>SUM(BD15:BD23)</f>
        <v>0</v>
      </c>
      <c r="BE24" s="272">
        <f>SUM(BE15:BE23)</f>
        <v>0</v>
      </c>
      <c r="BF24" s="278">
        <f t="shared" si="7"/>
        <v>0</v>
      </c>
      <c r="BG24" s="279">
        <f t="shared" si="7"/>
        <v>0</v>
      </c>
      <c r="BH24" s="279">
        <f t="shared" si="7"/>
        <v>0</v>
      </c>
      <c r="BI24" s="705">
        <f t="shared" si="7"/>
        <v>0</v>
      </c>
      <c r="BJ24" s="1059"/>
    </row>
    <row r="25" spans="3:62" s="119" customFormat="1" ht="9" customHeight="1" thickBot="1">
      <c r="C25" s="121"/>
      <c r="D25" s="121"/>
      <c r="E25" s="121"/>
      <c r="F25" s="121"/>
      <c r="H25" s="122"/>
      <c r="I25" s="122"/>
      <c r="J25" s="125"/>
      <c r="K25" s="126"/>
      <c r="L25" s="126"/>
      <c r="M25" s="126"/>
      <c r="N25" s="125"/>
      <c r="O25" s="126"/>
      <c r="P25" s="126"/>
      <c r="Q25" s="126"/>
      <c r="R25" s="125"/>
      <c r="S25" s="126"/>
      <c r="T25" s="126"/>
      <c r="U25" s="126"/>
      <c r="V25" s="125"/>
      <c r="W25" s="126"/>
      <c r="X25" s="126"/>
      <c r="Y25" s="126"/>
      <c r="Z25" s="125"/>
      <c r="AA25" s="126"/>
      <c r="AB25" s="126"/>
      <c r="AC25" s="126"/>
      <c r="AD25" s="125"/>
      <c r="AE25" s="126"/>
      <c r="AF25" s="126"/>
      <c r="AG25" s="126"/>
      <c r="AH25" s="125"/>
      <c r="AI25" s="126"/>
      <c r="AJ25" s="126"/>
      <c r="AK25" s="126"/>
      <c r="AL25" s="125"/>
      <c r="AM25" s="126"/>
      <c r="AN25" s="126"/>
      <c r="AO25" s="126"/>
      <c r="AP25" s="125"/>
      <c r="AQ25" s="126"/>
      <c r="AR25" s="126"/>
      <c r="AS25" s="126"/>
      <c r="AT25" s="125"/>
      <c r="AU25" s="126"/>
      <c r="AV25" s="126"/>
      <c r="AW25" s="126"/>
      <c r="AX25" s="125"/>
      <c r="AY25" s="126"/>
      <c r="AZ25" s="126"/>
      <c r="BA25" s="126"/>
      <c r="BB25" s="125"/>
      <c r="BC25" s="126"/>
      <c r="BD25" s="126"/>
      <c r="BE25" s="126"/>
      <c r="BF25" s="125"/>
      <c r="BG25" s="126"/>
      <c r="BJ25" s="1060"/>
    </row>
    <row r="26" spans="3:62" s="28" customFormat="1" ht="26.25" customHeight="1" thickBot="1">
      <c r="D26" s="29"/>
      <c r="E26" s="29"/>
      <c r="F26" s="29"/>
      <c r="H26" s="1893" t="s">
        <v>49</v>
      </c>
      <c r="I26" s="1894"/>
      <c r="J26" s="123">
        <f t="shared" ref="J26:BI26" si="10">J10+J24</f>
        <v>0</v>
      </c>
      <c r="K26" s="280">
        <f t="shared" si="10"/>
        <v>0</v>
      </c>
      <c r="L26" s="280">
        <f>L10+L24</f>
        <v>0</v>
      </c>
      <c r="M26" s="280">
        <f>M10+M24</f>
        <v>0</v>
      </c>
      <c r="N26" s="123">
        <f t="shared" ref="N26:O26" si="11">N10+N24</f>
        <v>0</v>
      </c>
      <c r="O26" s="280">
        <f t="shared" si="11"/>
        <v>0</v>
      </c>
      <c r="P26" s="280">
        <f>P10+P24</f>
        <v>0</v>
      </c>
      <c r="Q26" s="280">
        <f>Q10+Q24</f>
        <v>0</v>
      </c>
      <c r="R26" s="123">
        <f t="shared" ref="R26:S26" si="12">R10+R24</f>
        <v>0</v>
      </c>
      <c r="S26" s="280">
        <f t="shared" si="12"/>
        <v>0</v>
      </c>
      <c r="T26" s="280">
        <f>T10+T24</f>
        <v>0</v>
      </c>
      <c r="U26" s="280">
        <f>U10+U24</f>
        <v>0</v>
      </c>
      <c r="V26" s="123">
        <f t="shared" ref="V26:W26" si="13">V10+V24</f>
        <v>0</v>
      </c>
      <c r="W26" s="280">
        <f t="shared" si="13"/>
        <v>0</v>
      </c>
      <c r="X26" s="280">
        <f>X10+X24</f>
        <v>0</v>
      </c>
      <c r="Y26" s="280">
        <f>Y10+Y24</f>
        <v>0</v>
      </c>
      <c r="Z26" s="123">
        <f t="shared" ref="Z26:AA26" si="14">Z10+Z24</f>
        <v>0</v>
      </c>
      <c r="AA26" s="280">
        <f t="shared" si="14"/>
        <v>0</v>
      </c>
      <c r="AB26" s="280">
        <f>AB10+AB24</f>
        <v>0</v>
      </c>
      <c r="AC26" s="280">
        <f>AC10+AC24</f>
        <v>0</v>
      </c>
      <c r="AD26" s="123">
        <f t="shared" ref="AD26:AE26" si="15">AD10+AD24</f>
        <v>0</v>
      </c>
      <c r="AE26" s="280">
        <f t="shared" si="15"/>
        <v>0</v>
      </c>
      <c r="AF26" s="280">
        <f>AF10+AF24</f>
        <v>0</v>
      </c>
      <c r="AG26" s="280">
        <f>AG10+AG24</f>
        <v>0</v>
      </c>
      <c r="AH26" s="127">
        <f t="shared" ref="AH26:AI26" si="16">AH10+AH24</f>
        <v>0</v>
      </c>
      <c r="AI26" s="280">
        <f t="shared" si="16"/>
        <v>0</v>
      </c>
      <c r="AJ26" s="697">
        <f>AJ10+AJ24</f>
        <v>0</v>
      </c>
      <c r="AK26" s="696">
        <f>AK10+AK24</f>
        <v>0</v>
      </c>
      <c r="AL26" s="123">
        <f t="shared" ref="AL26:AM26" si="17">AL10+AL24</f>
        <v>0</v>
      </c>
      <c r="AM26" s="280">
        <f t="shared" si="17"/>
        <v>0</v>
      </c>
      <c r="AN26" s="280">
        <f>AN10+AN24</f>
        <v>0</v>
      </c>
      <c r="AO26" s="280">
        <f>AO10+AO24</f>
        <v>0</v>
      </c>
      <c r="AP26" s="123">
        <f t="shared" ref="AP26:AQ26" si="18">AP10+AP24</f>
        <v>0</v>
      </c>
      <c r="AQ26" s="280">
        <f t="shared" si="18"/>
        <v>0</v>
      </c>
      <c r="AR26" s="280">
        <f>AR10+AR24</f>
        <v>0</v>
      </c>
      <c r="AS26" s="280">
        <f>AS10+AS24</f>
        <v>0</v>
      </c>
      <c r="AT26" s="123">
        <f t="shared" ref="AT26:AU26" si="19">AT10+AT24</f>
        <v>0</v>
      </c>
      <c r="AU26" s="280">
        <f t="shared" si="19"/>
        <v>0</v>
      </c>
      <c r="AV26" s="280">
        <f>AV10+AV24</f>
        <v>0</v>
      </c>
      <c r="AW26" s="280">
        <f>AW10+AW24</f>
        <v>0</v>
      </c>
      <c r="AX26" s="123">
        <f t="shared" ref="AX26:AY26" si="20">AX10+AX24</f>
        <v>0</v>
      </c>
      <c r="AY26" s="280">
        <f t="shared" si="20"/>
        <v>0</v>
      </c>
      <c r="AZ26" s="280">
        <f>AZ10+AZ24</f>
        <v>0</v>
      </c>
      <c r="BA26" s="280">
        <f>BA10+BA24</f>
        <v>0</v>
      </c>
      <c r="BB26" s="127">
        <f t="shared" ref="BB26:BC26" si="21">BB10+BB24</f>
        <v>0</v>
      </c>
      <c r="BC26" s="280">
        <f t="shared" si="21"/>
        <v>0</v>
      </c>
      <c r="BD26" s="697">
        <f>BD10+BD24</f>
        <v>0</v>
      </c>
      <c r="BE26" s="697">
        <f>BE10+BE24</f>
        <v>0</v>
      </c>
      <c r="BF26" s="124">
        <f>BF10+BF24</f>
        <v>0</v>
      </c>
      <c r="BG26" s="707">
        <f t="shared" si="10"/>
        <v>0</v>
      </c>
      <c r="BH26" s="706">
        <f t="shared" si="10"/>
        <v>0</v>
      </c>
      <c r="BI26" s="284">
        <f t="shared" si="10"/>
        <v>0</v>
      </c>
      <c r="BJ26" s="1067"/>
    </row>
    <row r="27" spans="3:62" ht="21" customHeight="1">
      <c r="H27" s="320"/>
      <c r="I27" s="320"/>
      <c r="J27" s="321"/>
      <c r="K27" s="321"/>
      <c r="L27" s="321"/>
      <c r="M27" s="321"/>
      <c r="N27" s="321"/>
      <c r="O27" s="321"/>
      <c r="P27" s="321"/>
      <c r="Q27" s="321"/>
      <c r="R27" s="321"/>
      <c r="S27" s="321"/>
      <c r="T27" s="321"/>
      <c r="U27" s="321"/>
      <c r="V27" s="321"/>
      <c r="W27" s="321"/>
      <c r="X27" s="321"/>
      <c r="Y27" s="321"/>
      <c r="Z27" s="321"/>
      <c r="AA27" s="321"/>
      <c r="AB27" s="323"/>
      <c r="AC27" s="323"/>
      <c r="AD27" s="321"/>
      <c r="AE27" s="321"/>
      <c r="AF27" s="323"/>
      <c r="AG27" s="323"/>
      <c r="AH27" s="323"/>
      <c r="AI27" s="321"/>
      <c r="AJ27" s="321"/>
      <c r="AK27" s="321"/>
      <c r="AL27" s="321"/>
      <c r="AM27" s="321"/>
      <c r="AN27" s="321"/>
      <c r="AO27" s="321"/>
      <c r="AP27" s="321"/>
      <c r="AQ27" s="321"/>
      <c r="AR27" s="321"/>
      <c r="AS27" s="321"/>
      <c r="AT27" s="321"/>
      <c r="AU27" s="321"/>
      <c r="AV27" s="321"/>
      <c r="AW27" s="321"/>
      <c r="AX27" s="321"/>
      <c r="AY27" s="321"/>
      <c r="AZ27" s="321"/>
      <c r="BA27" s="321"/>
      <c r="BB27" s="335"/>
      <c r="BC27" s="1918">
        <f>SUM(I27:AZ29)</f>
        <v>0</v>
      </c>
      <c r="BD27" s="335"/>
      <c r="BE27" s="335"/>
      <c r="BF27" s="335"/>
      <c r="BG27" s="335"/>
      <c r="BH27" s="1917">
        <f>BH26+BI26</f>
        <v>0</v>
      </c>
      <c r="BI27" s="1917"/>
    </row>
    <row r="28" spans="3:62" ht="21" customHeight="1">
      <c r="H28" s="320"/>
      <c r="I28" s="320"/>
      <c r="J28" s="322"/>
      <c r="K28" s="323"/>
      <c r="L28" s="323"/>
      <c r="M28" s="323"/>
      <c r="N28" s="322"/>
      <c r="O28" s="323"/>
      <c r="P28" s="323"/>
      <c r="Q28" s="323"/>
      <c r="R28" s="322"/>
      <c r="S28" s="323"/>
      <c r="T28" s="323"/>
      <c r="U28" s="323"/>
      <c r="V28" s="321"/>
      <c r="W28" s="323"/>
      <c r="X28" s="323"/>
      <c r="Y28" s="323"/>
      <c r="Z28" s="322"/>
      <c r="AA28" s="323"/>
      <c r="AB28" s="323"/>
      <c r="AC28" s="323"/>
      <c r="AD28" s="322"/>
      <c r="AE28" s="323"/>
      <c r="AF28" s="323"/>
      <c r="AG28" s="323"/>
      <c r="AH28" s="323"/>
      <c r="AI28" s="323"/>
      <c r="AJ28" s="323"/>
      <c r="AK28" s="323"/>
      <c r="AL28" s="321"/>
      <c r="AM28" s="323"/>
      <c r="AN28" s="622"/>
      <c r="AO28" s="622"/>
      <c r="AP28" s="321"/>
      <c r="AQ28" s="323"/>
      <c r="AR28" s="323"/>
      <c r="AS28" s="323"/>
      <c r="AT28" s="322"/>
      <c r="AU28" s="323"/>
      <c r="AV28" s="321"/>
      <c r="AW28" s="321"/>
      <c r="AX28" s="322"/>
      <c r="AY28" s="468"/>
      <c r="AZ28" s="468"/>
      <c r="BA28" s="468"/>
      <c r="BB28" s="392"/>
      <c r="BC28" s="1919"/>
      <c r="BD28" s="434"/>
      <c r="BE28" s="434"/>
      <c r="BF28" s="435"/>
      <c r="BG28" s="434"/>
      <c r="BH28" s="726"/>
      <c r="BI28" s="434"/>
    </row>
    <row r="29" spans="3:62" ht="23.25">
      <c r="H29" s="320"/>
      <c r="I29" s="320"/>
      <c r="J29" s="322"/>
      <c r="K29" s="323"/>
      <c r="L29" s="323"/>
      <c r="M29" s="323"/>
      <c r="N29" s="322"/>
      <c r="O29" s="323"/>
      <c r="P29" s="323"/>
      <c r="Q29" s="323"/>
      <c r="R29" s="322"/>
      <c r="S29" s="323"/>
      <c r="T29" s="323"/>
      <c r="U29" s="323"/>
      <c r="V29" s="322"/>
      <c r="W29" s="323"/>
      <c r="X29" s="323"/>
      <c r="Y29" s="323"/>
      <c r="Z29" s="322"/>
      <c r="AA29" s="323"/>
      <c r="AB29" s="323"/>
      <c r="AC29" s="323"/>
      <c r="AD29" s="322"/>
      <c r="AE29" s="323"/>
      <c r="AF29" s="688"/>
      <c r="AG29" s="688"/>
      <c r="AH29" s="322"/>
      <c r="AI29" s="322"/>
      <c r="AJ29" s="323"/>
      <c r="AK29" s="323"/>
      <c r="AL29" s="321"/>
      <c r="AM29" s="323"/>
      <c r="AN29" s="622"/>
      <c r="AO29" s="321"/>
      <c r="AP29" s="322"/>
      <c r="AQ29" s="323"/>
      <c r="AR29" s="323"/>
      <c r="AS29" s="323"/>
      <c r="AT29" s="322"/>
      <c r="AU29" s="323"/>
      <c r="AV29" s="323"/>
      <c r="AW29" s="323"/>
      <c r="AX29" s="322"/>
      <c r="AY29" s="468"/>
      <c r="AZ29" s="468"/>
      <c r="BA29" s="468"/>
      <c r="BB29" s="392"/>
      <c r="BC29" s="434"/>
      <c r="BD29" s="434"/>
      <c r="BE29" s="434"/>
      <c r="BF29" s="435"/>
      <c r="BG29" s="434"/>
      <c r="BH29" s="682"/>
      <c r="BI29" s="434"/>
    </row>
    <row r="30" spans="3:62" s="464" customFormat="1" ht="21.75" thickBot="1">
      <c r="D30" s="576"/>
      <c r="E30" s="576"/>
      <c r="F30" s="576"/>
      <c r="I30" s="577"/>
      <c r="J30" s="578"/>
      <c r="K30" s="579"/>
      <c r="L30" s="579"/>
      <c r="M30" s="579"/>
      <c r="N30" s="578"/>
      <c r="O30" s="579"/>
      <c r="P30" s="579"/>
      <c r="Q30" s="579"/>
      <c r="R30" s="578"/>
      <c r="S30" s="579"/>
      <c r="T30" s="579"/>
      <c r="U30" s="579"/>
      <c r="V30" s="578"/>
      <c r="W30" s="578"/>
      <c r="X30" s="579"/>
      <c r="Y30" s="579"/>
      <c r="Z30" s="579"/>
      <c r="AA30" s="578"/>
      <c r="AB30" s="579"/>
      <c r="AC30" s="579"/>
      <c r="AD30" s="579"/>
      <c r="AE30" s="578"/>
      <c r="AF30" s="579"/>
      <c r="AG30" s="579"/>
      <c r="AH30" s="621"/>
      <c r="AI30" s="578"/>
      <c r="AJ30" s="579"/>
      <c r="AK30" s="579"/>
      <c r="AM30" s="580"/>
      <c r="AN30" s="579"/>
      <c r="AO30" s="579"/>
      <c r="AP30" s="579"/>
      <c r="AQ30" s="578"/>
      <c r="AR30" s="579"/>
      <c r="AS30" s="579"/>
      <c r="AT30" s="579"/>
      <c r="AU30" s="578"/>
      <c r="AV30" s="579"/>
      <c r="AW30" s="579"/>
      <c r="AZ30" s="581"/>
      <c r="BA30" s="581"/>
      <c r="BB30" s="581"/>
      <c r="BC30" s="582"/>
      <c r="BD30" s="583"/>
      <c r="BE30" s="583"/>
      <c r="BF30" s="583"/>
      <c r="BG30" s="584"/>
      <c r="BH30" s="583"/>
      <c r="BI30" s="585"/>
      <c r="BJ30" s="1061"/>
    </row>
    <row r="31" spans="3:62" ht="35.25" customHeight="1" thickBot="1">
      <c r="L31" s="1929" t="s">
        <v>345</v>
      </c>
      <c r="M31" s="1930"/>
      <c r="N31" s="1930"/>
      <c r="O31" s="1930"/>
      <c r="P31" s="1930"/>
      <c r="Q31" s="1930"/>
      <c r="R31" s="1930"/>
      <c r="S31" s="1931"/>
      <c r="T31" s="579"/>
      <c r="U31" s="579"/>
      <c r="V31" s="1929" t="s">
        <v>204</v>
      </c>
      <c r="W31" s="1930"/>
      <c r="X31" s="1930"/>
      <c r="Y31" s="1930"/>
      <c r="Z31" s="1930"/>
      <c r="AA31" s="1930"/>
      <c r="AB31" s="1930"/>
      <c r="AC31" s="1935"/>
      <c r="AD31" s="1936"/>
      <c r="AE31" s="579"/>
      <c r="AF31" s="579"/>
      <c r="AG31" s="26"/>
      <c r="AH31" s="24"/>
      <c r="AJ31" s="685"/>
      <c r="AL31" s="24"/>
      <c r="AM31" s="580"/>
      <c r="AN31" s="579"/>
      <c r="AO31" s="579"/>
      <c r="AP31" s="579"/>
      <c r="AQ31" s="578"/>
      <c r="AR31" s="579"/>
      <c r="AS31" s="26"/>
      <c r="AT31" s="24"/>
      <c r="AX31" s="24"/>
      <c r="AY31" s="25"/>
      <c r="AZ31" s="25"/>
      <c r="BA31" s="24"/>
      <c r="BB31" s="24"/>
      <c r="BE31" s="23"/>
      <c r="BF31" s="23"/>
      <c r="BG31" s="23"/>
    </row>
    <row r="32" spans="3:62" s="24" customFormat="1" ht="28.5" customHeight="1" thickBot="1">
      <c r="C32" s="23"/>
      <c r="D32" s="27"/>
      <c r="E32" s="27"/>
      <c r="F32" s="27"/>
      <c r="G32" s="23"/>
      <c r="H32" s="23"/>
      <c r="I32" s="27"/>
      <c r="L32" s="450" t="s">
        <v>0</v>
      </c>
      <c r="M32" s="439" t="s">
        <v>200</v>
      </c>
      <c r="N32" s="454" t="s">
        <v>205</v>
      </c>
      <c r="O32" s="439" t="s">
        <v>31</v>
      </c>
      <c r="P32" s="448" t="s">
        <v>201</v>
      </c>
      <c r="Q32" s="455" t="s">
        <v>206</v>
      </c>
      <c r="R32" s="436" t="s">
        <v>22</v>
      </c>
      <c r="S32" s="438" t="s">
        <v>191</v>
      </c>
      <c r="T32" s="579"/>
      <c r="U32" s="579"/>
      <c r="V32" s="571" t="s">
        <v>0</v>
      </c>
      <c r="W32" s="572" t="s">
        <v>200</v>
      </c>
      <c r="X32" s="623" t="s">
        <v>205</v>
      </c>
      <c r="Y32" s="572" t="s">
        <v>31</v>
      </c>
      <c r="Z32" s="573" t="s">
        <v>201</v>
      </c>
      <c r="AA32" s="574" t="s">
        <v>206</v>
      </c>
      <c r="AB32" s="717" t="s">
        <v>22</v>
      </c>
      <c r="AC32" s="721" t="s">
        <v>191</v>
      </c>
      <c r="AD32" s="722" t="s">
        <v>226</v>
      </c>
      <c r="AE32" s="579"/>
      <c r="AF32" s="579"/>
      <c r="AG32" s="599"/>
      <c r="AH32" s="599"/>
      <c r="AI32" s="599"/>
      <c r="AM32" s="580"/>
      <c r="AN32" s="579"/>
      <c r="AO32" s="579"/>
      <c r="AP32" s="579"/>
      <c r="AQ32" s="578"/>
      <c r="AR32" s="579"/>
      <c r="AT32" s="25"/>
      <c r="AU32" s="25"/>
      <c r="AW32" s="23"/>
      <c r="AX32" s="23"/>
      <c r="BF32" s="24">
        <f>484-225</f>
        <v>259</v>
      </c>
      <c r="BJ32" s="1062"/>
    </row>
    <row r="33" spans="1:62" ht="23.25">
      <c r="L33" s="441" t="s">
        <v>189</v>
      </c>
      <c r="M33" s="470">
        <f>$J$6</f>
        <v>0</v>
      </c>
      <c r="N33" s="430">
        <f>$J9</f>
        <v>0</v>
      </c>
      <c r="O33" s="430">
        <f>$J7</f>
        <v>0</v>
      </c>
      <c r="P33" s="430">
        <f>$J8</f>
        <v>0</v>
      </c>
      <c r="Q33" s="430">
        <f>J15+J16+J17+J18+J19+J21+J22+J23</f>
        <v>0</v>
      </c>
      <c r="R33" s="430">
        <f>$J20</f>
        <v>0</v>
      </c>
      <c r="S33" s="446">
        <f t="shared" ref="S33:S42" si="22">SUM(M33:R33)</f>
        <v>0</v>
      </c>
      <c r="T33" s="579"/>
      <c r="U33" s="579"/>
      <c r="V33" s="447" t="s">
        <v>189</v>
      </c>
      <c r="W33" s="569">
        <f>L$6</f>
        <v>0</v>
      </c>
      <c r="X33" s="570">
        <f>$L9</f>
        <v>0</v>
      </c>
      <c r="Y33" s="570">
        <f>$L7</f>
        <v>0</v>
      </c>
      <c r="Z33" s="570">
        <f>$L8</f>
        <v>0</v>
      </c>
      <c r="AA33" s="570">
        <f>L$15+L$16+L$17+L$18+L$19+L$21+L$22+L$23</f>
        <v>0</v>
      </c>
      <c r="AB33" s="718">
        <f>$L20</f>
        <v>0</v>
      </c>
      <c r="AC33" s="723">
        <f t="shared" ref="AC33:AC42" si="23">SUM(W33:AB33)</f>
        <v>0</v>
      </c>
      <c r="AD33" s="587">
        <f>M6+M7+M8++M9+M15+M16+M17+M18+M19+M21+M20+M22+M23</f>
        <v>0</v>
      </c>
      <c r="AE33" s="579">
        <f>AC33+AD33</f>
        <v>0</v>
      </c>
      <c r="AF33" s="579"/>
      <c r="AG33" s="599"/>
      <c r="AH33" s="599"/>
      <c r="AI33" s="599"/>
      <c r="AL33" s="24"/>
      <c r="AN33" s="26"/>
      <c r="AP33" s="24"/>
      <c r="AT33" s="25"/>
      <c r="AU33" s="25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</row>
    <row r="34" spans="1:62" s="24" customFormat="1" ht="23.25">
      <c r="A34" s="23"/>
      <c r="B34" s="23"/>
      <c r="C34" s="23"/>
      <c r="D34" s="27"/>
      <c r="E34" s="27"/>
      <c r="F34" s="27"/>
      <c r="G34" s="23"/>
      <c r="H34" s="23"/>
      <c r="I34" s="27"/>
      <c r="L34" s="441" t="s">
        <v>183</v>
      </c>
      <c r="M34" s="470">
        <f>$N$6</f>
        <v>0</v>
      </c>
      <c r="N34" s="430">
        <f>$N9</f>
        <v>0</v>
      </c>
      <c r="O34" s="430">
        <f>$N7</f>
        <v>0</v>
      </c>
      <c r="P34" s="430">
        <f>$N8</f>
        <v>0</v>
      </c>
      <c r="Q34" s="430">
        <f>N15+N16+N17+N18+N19+N21+N22+N23</f>
        <v>0</v>
      </c>
      <c r="R34" s="430">
        <f>$N20</f>
        <v>0</v>
      </c>
      <c r="S34" s="446">
        <f t="shared" si="22"/>
        <v>0</v>
      </c>
      <c r="T34" s="686"/>
      <c r="U34" s="26"/>
      <c r="V34" s="441" t="s">
        <v>183</v>
      </c>
      <c r="W34" s="440">
        <f>P$6</f>
        <v>0</v>
      </c>
      <c r="X34" s="430">
        <f>$P9</f>
        <v>0</v>
      </c>
      <c r="Y34" s="430">
        <f>$P7</f>
        <v>0</v>
      </c>
      <c r="Z34" s="430">
        <f>$P8</f>
        <v>0</v>
      </c>
      <c r="AA34" s="430">
        <f>P$15+P$16+P$17+P$18+P$19+P$21+P$22+P$23</f>
        <v>0</v>
      </c>
      <c r="AB34" s="719">
        <f>$P20</f>
        <v>0</v>
      </c>
      <c r="AC34" s="723">
        <f t="shared" si="23"/>
        <v>0</v>
      </c>
      <c r="AD34" s="587">
        <f>Q6+Q7+Q8+Q9+Q15+Q16+Q17+Q18+Q19+Q20+Q21+Q22+Q23</f>
        <v>0</v>
      </c>
      <c r="AE34" s="579">
        <f t="shared" ref="AE34:AE43" si="24">AC34+AD34</f>
        <v>0</v>
      </c>
      <c r="AG34" s="599"/>
      <c r="AH34" s="599">
        <v>23</v>
      </c>
      <c r="AI34" s="599"/>
      <c r="AN34" s="26"/>
      <c r="AT34" s="25"/>
      <c r="AU34" s="25"/>
      <c r="BJ34" s="1062"/>
    </row>
    <row r="35" spans="1:62" ht="23.25">
      <c r="L35" s="441" t="s">
        <v>184</v>
      </c>
      <c r="M35" s="470">
        <f>$R$6</f>
        <v>0</v>
      </c>
      <c r="N35" s="430">
        <f>$R9</f>
        <v>0</v>
      </c>
      <c r="O35" s="430">
        <f>$R7</f>
        <v>0</v>
      </c>
      <c r="P35" s="430">
        <f>$R8</f>
        <v>0</v>
      </c>
      <c r="Q35" s="430">
        <f>R15+R16+R17+R18+R19+R21+R22+R23</f>
        <v>0</v>
      </c>
      <c r="R35" s="430">
        <f>$R20</f>
        <v>0</v>
      </c>
      <c r="S35" s="446">
        <f t="shared" si="22"/>
        <v>0</v>
      </c>
      <c r="T35" s="686"/>
      <c r="U35" s="26"/>
      <c r="V35" s="441" t="s">
        <v>184</v>
      </c>
      <c r="W35" s="440">
        <f>T$6</f>
        <v>0</v>
      </c>
      <c r="X35" s="430">
        <f>$T9</f>
        <v>0</v>
      </c>
      <c r="Y35" s="430">
        <f>$T7</f>
        <v>0</v>
      </c>
      <c r="Z35" s="430">
        <f>$T8</f>
        <v>0</v>
      </c>
      <c r="AA35" s="430">
        <f>T$15+T$16+T$17+T$18+T$19+T$21+T$22+T$23</f>
        <v>0</v>
      </c>
      <c r="AB35" s="719">
        <f>$T20</f>
        <v>0</v>
      </c>
      <c r="AC35" s="723">
        <f t="shared" si="23"/>
        <v>0</v>
      </c>
      <c r="AD35" s="587">
        <f>U6+U7+U8+U9+U15+U16+U17+U18+U19+U20+U21+U22+U23</f>
        <v>0</v>
      </c>
      <c r="AE35" s="579">
        <f t="shared" si="24"/>
        <v>0</v>
      </c>
      <c r="AF35" s="26"/>
      <c r="AG35" s="599"/>
      <c r="AH35" s="599">
        <v>22</v>
      </c>
      <c r="AI35" s="599"/>
      <c r="AL35" s="24"/>
      <c r="AN35" s="26"/>
      <c r="AP35" s="24"/>
      <c r="AT35" s="25"/>
      <c r="AU35" s="25"/>
      <c r="AX35" s="23"/>
      <c r="AY35" s="23"/>
      <c r="AZ35" s="23"/>
      <c r="BA35" s="23"/>
      <c r="BB35" s="23"/>
      <c r="BC35" s="23"/>
      <c r="BD35" s="23"/>
      <c r="BE35" s="23"/>
      <c r="BF35" s="23"/>
      <c r="BG35" s="23"/>
    </row>
    <row r="36" spans="1:62" ht="23.25">
      <c r="L36" s="441" t="s">
        <v>170</v>
      </c>
      <c r="M36" s="470">
        <f>$V$6</f>
        <v>0</v>
      </c>
      <c r="N36" s="430">
        <f>$V9</f>
        <v>0</v>
      </c>
      <c r="O36" s="430">
        <f>$V7</f>
        <v>0</v>
      </c>
      <c r="P36" s="430">
        <f>$V8</f>
        <v>0</v>
      </c>
      <c r="Q36" s="430">
        <f>V15+V16+V17+V18+V19+V21++V22+V23</f>
        <v>0</v>
      </c>
      <c r="R36" s="430">
        <f>$V20</f>
        <v>0</v>
      </c>
      <c r="S36" s="446">
        <f t="shared" si="22"/>
        <v>0</v>
      </c>
      <c r="T36" s="686"/>
      <c r="U36" s="26"/>
      <c r="V36" s="441" t="s">
        <v>170</v>
      </c>
      <c r="W36" s="440">
        <f>X$6</f>
        <v>0</v>
      </c>
      <c r="X36" s="430">
        <f>$X9</f>
        <v>0</v>
      </c>
      <c r="Y36" s="430">
        <f>$X7</f>
        <v>0</v>
      </c>
      <c r="Z36" s="430">
        <f>$X8</f>
        <v>0</v>
      </c>
      <c r="AA36" s="430">
        <f>X$15+X$16+X$17+X$18+X$19+X$21+X$22+X$23</f>
        <v>0</v>
      </c>
      <c r="AB36" s="719">
        <f>$X20</f>
        <v>0</v>
      </c>
      <c r="AC36" s="723">
        <f t="shared" si="23"/>
        <v>0</v>
      </c>
      <c r="AD36" s="587">
        <f>Y6+Y7+Y8+Y9+Y15+Y16+Y17+Y18+Y19+Y20+Y21+Y22+Y23</f>
        <v>0</v>
      </c>
      <c r="AE36" s="579">
        <f t="shared" si="24"/>
        <v>0</v>
      </c>
      <c r="AF36" s="26"/>
      <c r="AG36" s="599"/>
      <c r="AH36" s="599"/>
      <c r="AI36" s="599"/>
      <c r="AL36" s="24"/>
      <c r="AN36" s="26"/>
      <c r="AP36" s="24"/>
      <c r="AT36" s="25"/>
      <c r="AU36" s="25"/>
      <c r="AX36" s="23"/>
      <c r="AY36" s="23"/>
      <c r="AZ36" s="23"/>
      <c r="BA36" s="23"/>
      <c r="BB36" s="23"/>
      <c r="BC36" s="23"/>
      <c r="BD36" s="23"/>
      <c r="BE36" s="23"/>
      <c r="BF36" s="23"/>
      <c r="BG36" s="23"/>
    </row>
    <row r="37" spans="1:62" ht="23.25">
      <c r="L37" s="441" t="s">
        <v>171</v>
      </c>
      <c r="M37" s="470">
        <f>$Z$6</f>
        <v>0</v>
      </c>
      <c r="N37" s="430">
        <f>$Z9</f>
        <v>0</v>
      </c>
      <c r="O37" s="430">
        <f>$Z7</f>
        <v>0</v>
      </c>
      <c r="P37" s="430">
        <f>$Z8</f>
        <v>0</v>
      </c>
      <c r="Q37" s="430">
        <f>Z15+Z16+Z17+Z18+Z19+Z21+Z22+Z23</f>
        <v>0</v>
      </c>
      <c r="R37" s="430">
        <f>$Z20</f>
        <v>0</v>
      </c>
      <c r="S37" s="446">
        <f t="shared" si="22"/>
        <v>0</v>
      </c>
      <c r="T37" s="686"/>
      <c r="U37" s="26"/>
      <c r="V37" s="441" t="s">
        <v>171</v>
      </c>
      <c r="W37" s="440">
        <f>AB$6</f>
        <v>0</v>
      </c>
      <c r="X37" s="430">
        <f>$AB9</f>
        <v>0</v>
      </c>
      <c r="Y37" s="430">
        <f>$AB7</f>
        <v>0</v>
      </c>
      <c r="Z37" s="430">
        <f>$AB8</f>
        <v>0</v>
      </c>
      <c r="AA37" s="430">
        <f>AB$15+AB$16+AB$17+AB$18+AB$19+AB$21+AB$22+AB$23</f>
        <v>0</v>
      </c>
      <c r="AB37" s="719">
        <f>$AB20</f>
        <v>0</v>
      </c>
      <c r="AC37" s="723">
        <f t="shared" si="23"/>
        <v>0</v>
      </c>
      <c r="AD37" s="587">
        <f>AC6+AC7+AC8+AC9+AC15+AC17+AC16+AC18+AC19+AC20+AC21+AC22+AC23</f>
        <v>0</v>
      </c>
      <c r="AE37" s="579">
        <f t="shared" si="24"/>
        <v>0</v>
      </c>
      <c r="AF37" s="26"/>
      <c r="AG37" s="26"/>
      <c r="AI37" s="26"/>
      <c r="AJ37" s="26"/>
      <c r="AK37" s="26"/>
      <c r="AL37" s="24"/>
      <c r="AN37" s="26"/>
      <c r="AP37" s="24"/>
      <c r="AT37" s="24"/>
      <c r="AX37" s="23"/>
      <c r="AY37" s="23"/>
      <c r="AZ37" s="23"/>
      <c r="BA37" s="23"/>
      <c r="BB37" s="23"/>
      <c r="BC37" s="23"/>
      <c r="BD37" s="23"/>
      <c r="BE37" s="23"/>
      <c r="BF37" s="23"/>
      <c r="BG37" s="23"/>
    </row>
    <row r="38" spans="1:62" ht="23.25">
      <c r="L38" s="441" t="s">
        <v>190</v>
      </c>
      <c r="M38" s="492">
        <f>$AD$6</f>
        <v>0</v>
      </c>
      <c r="N38" s="471">
        <f>$AD9</f>
        <v>0</v>
      </c>
      <c r="O38" s="471">
        <f>$AD7</f>
        <v>0</v>
      </c>
      <c r="P38" s="471">
        <f>$AD8</f>
        <v>0</v>
      </c>
      <c r="Q38" s="430">
        <f>AD15+AD16+AD17+AD18+AD19+AD21+AD22+AD23</f>
        <v>0</v>
      </c>
      <c r="R38" s="471">
        <f>$AD20</f>
        <v>0</v>
      </c>
      <c r="S38" s="446">
        <f t="shared" si="22"/>
        <v>0</v>
      </c>
      <c r="T38" s="686"/>
      <c r="U38" s="26"/>
      <c r="V38" s="441" t="s">
        <v>190</v>
      </c>
      <c r="W38" s="440">
        <f>AF$6</f>
        <v>0</v>
      </c>
      <c r="X38" s="430">
        <f>$AF9</f>
        <v>0</v>
      </c>
      <c r="Y38" s="430">
        <f>$AF7</f>
        <v>0</v>
      </c>
      <c r="Z38" s="430">
        <f>$AF8</f>
        <v>0</v>
      </c>
      <c r="AA38" s="430">
        <f>AF$15+AF$16+AF$17+AF$18+AF$19+AF$21+AF$22+AF$23</f>
        <v>0</v>
      </c>
      <c r="AB38" s="719">
        <f>$AF20</f>
        <v>0</v>
      </c>
      <c r="AC38" s="723">
        <f t="shared" si="23"/>
        <v>0</v>
      </c>
      <c r="AD38" s="587">
        <f>AG6+AG7+AG8+AG9+AG15+AG16+AG17+AG18+AG19+AG20+AG21+AG22+AG23</f>
        <v>0</v>
      </c>
      <c r="AE38" s="579">
        <f t="shared" si="24"/>
        <v>0</v>
      </c>
      <c r="AF38" s="26"/>
      <c r="AG38" s="26"/>
      <c r="AI38" s="26"/>
      <c r="AJ38" s="26"/>
      <c r="AK38" s="26"/>
      <c r="AL38" s="24"/>
      <c r="AN38" s="26"/>
      <c r="AP38" s="24"/>
      <c r="AT38" s="24"/>
      <c r="AX38" s="23"/>
      <c r="AY38" s="23"/>
      <c r="AZ38" s="23"/>
      <c r="BA38" s="23"/>
      <c r="BB38" s="23"/>
      <c r="BC38" s="23"/>
      <c r="BD38" s="23"/>
      <c r="BE38" s="23"/>
      <c r="BF38" s="23"/>
      <c r="BG38" s="23"/>
    </row>
    <row r="39" spans="1:62" ht="23.25">
      <c r="L39" s="441" t="s">
        <v>185</v>
      </c>
      <c r="M39" s="470">
        <f>$AL$6</f>
        <v>0</v>
      </c>
      <c r="N39" s="430">
        <f>$AL9</f>
        <v>0</v>
      </c>
      <c r="O39" s="430">
        <f>$AL7</f>
        <v>0</v>
      </c>
      <c r="P39" s="430">
        <f>$AL8</f>
        <v>0</v>
      </c>
      <c r="Q39" s="430">
        <f>AL15+AL16+AL17+AL18+AL19+AL21+AL22+AL23</f>
        <v>0</v>
      </c>
      <c r="R39" s="430">
        <f>$AL20</f>
        <v>0</v>
      </c>
      <c r="S39" s="446">
        <f t="shared" si="22"/>
        <v>0</v>
      </c>
      <c r="T39" s="686"/>
      <c r="U39" s="26"/>
      <c r="V39" s="441" t="s">
        <v>185</v>
      </c>
      <c r="W39" s="469">
        <f>AN$6</f>
        <v>0</v>
      </c>
      <c r="X39" s="430">
        <f>$AN9</f>
        <v>0</v>
      </c>
      <c r="Y39" s="430">
        <f>$AN7</f>
        <v>0</v>
      </c>
      <c r="Z39" s="430">
        <f>$AN8</f>
        <v>0</v>
      </c>
      <c r="AA39" s="430">
        <f>AN$15+AN$16+AN$17+AN$18+AN$19+AN$21+AN$22+AN$23</f>
        <v>0</v>
      </c>
      <c r="AB39" s="719">
        <f>$AN20</f>
        <v>0</v>
      </c>
      <c r="AC39" s="723">
        <f t="shared" si="23"/>
        <v>0</v>
      </c>
      <c r="AD39" s="587">
        <f>AO6+AO7+AO8+AO9+AO15+AO16+AO17+AO18+AO19+AO20+AO21+AO22+AO23</f>
        <v>0</v>
      </c>
      <c r="AE39" s="579">
        <f t="shared" si="24"/>
        <v>0</v>
      </c>
      <c r="AF39" s="23"/>
      <c r="AG39" s="26"/>
      <c r="AI39" s="26"/>
      <c r="AJ39" s="26"/>
      <c r="AK39" s="26"/>
      <c r="AL39" s="24"/>
      <c r="AN39" s="26"/>
      <c r="AP39" s="24"/>
      <c r="AT39" s="24"/>
      <c r="AX39" s="23"/>
      <c r="AY39" s="23"/>
      <c r="AZ39" s="23"/>
      <c r="BA39" s="23"/>
      <c r="BB39" s="23"/>
      <c r="BC39" s="23"/>
      <c r="BD39" s="23"/>
      <c r="BE39" s="23"/>
      <c r="BF39" s="23"/>
      <c r="BG39" s="23"/>
    </row>
    <row r="40" spans="1:62" ht="23.25">
      <c r="L40" s="441" t="s">
        <v>202</v>
      </c>
      <c r="M40" s="470">
        <f>$AP$6</f>
        <v>0</v>
      </c>
      <c r="N40" s="430">
        <f>$AP9</f>
        <v>0</v>
      </c>
      <c r="O40" s="430">
        <f>$AP7</f>
        <v>0</v>
      </c>
      <c r="P40" s="430">
        <f>$AP8</f>
        <v>0</v>
      </c>
      <c r="Q40" s="430">
        <f>AP15+AP16+AP17+AP18+AP19+AP21+AP22+AP23</f>
        <v>0</v>
      </c>
      <c r="R40" s="430">
        <f>$AP20</f>
        <v>0</v>
      </c>
      <c r="S40" s="446">
        <f t="shared" si="22"/>
        <v>0</v>
      </c>
      <c r="T40" s="686"/>
      <c r="U40" s="26"/>
      <c r="V40" s="441" t="s">
        <v>202</v>
      </c>
      <c r="W40" s="440">
        <f>AR$6</f>
        <v>0</v>
      </c>
      <c r="X40" s="430">
        <f>$AR9</f>
        <v>0</v>
      </c>
      <c r="Y40" s="430">
        <f>$AR7</f>
        <v>0</v>
      </c>
      <c r="Z40" s="430">
        <f>$AR8</f>
        <v>0</v>
      </c>
      <c r="AA40" s="430">
        <f>AR$15+AR$16+AR$17+AR$18+AR$19+AR$21+AR$22+AR$23</f>
        <v>0</v>
      </c>
      <c r="AB40" s="719">
        <f>$AR20</f>
        <v>0</v>
      </c>
      <c r="AC40" s="723">
        <f t="shared" si="23"/>
        <v>0</v>
      </c>
      <c r="AD40" s="587">
        <f>AS6+AS7+AS8+AS9+AS15+AS16+AS17+AS18+AS19+AS20+AS21+AS22+AS23</f>
        <v>0</v>
      </c>
      <c r="AE40" s="579">
        <f t="shared" si="24"/>
        <v>0</v>
      </c>
      <c r="AF40" s="28"/>
      <c r="AG40" s="26"/>
      <c r="AI40" s="26"/>
      <c r="AJ40" s="26"/>
      <c r="AK40" s="26"/>
      <c r="AL40" s="24"/>
      <c r="AN40" s="26"/>
      <c r="AP40" s="24"/>
      <c r="AS40" s="23"/>
      <c r="AT40" s="24"/>
      <c r="AX40" s="23"/>
      <c r="AY40" s="23"/>
      <c r="AZ40" s="23"/>
      <c r="BA40" s="23"/>
      <c r="BB40" s="23"/>
      <c r="BC40" s="23"/>
      <c r="BD40" s="23"/>
      <c r="BE40" s="23"/>
      <c r="BF40" s="23"/>
      <c r="BG40" s="23"/>
    </row>
    <row r="41" spans="1:62" ht="23.25">
      <c r="L41" s="441" t="s">
        <v>186</v>
      </c>
      <c r="M41" s="470">
        <f>$AT$6</f>
        <v>0</v>
      </c>
      <c r="N41" s="430">
        <f>$AT9</f>
        <v>0</v>
      </c>
      <c r="O41" s="430">
        <f>$AT7</f>
        <v>0</v>
      </c>
      <c r="P41" s="430">
        <f>$AT8</f>
        <v>0</v>
      </c>
      <c r="Q41" s="430">
        <f>AT15+AT16+AT17+AT18+AT19+AT21+AT22+AT23</f>
        <v>0</v>
      </c>
      <c r="R41" s="430">
        <f>$AT20</f>
        <v>0</v>
      </c>
      <c r="S41" s="446">
        <f t="shared" si="22"/>
        <v>0</v>
      </c>
      <c r="T41" s="686"/>
      <c r="U41" s="26"/>
      <c r="V41" s="441" t="s">
        <v>186</v>
      </c>
      <c r="W41" s="440">
        <f>AV$6</f>
        <v>0</v>
      </c>
      <c r="X41" s="430">
        <f>$AV9</f>
        <v>0</v>
      </c>
      <c r="Y41" s="430">
        <f>$AV7</f>
        <v>0</v>
      </c>
      <c r="Z41" s="430">
        <f>$AV8</f>
        <v>0</v>
      </c>
      <c r="AA41" s="430">
        <f>AV$15+AV$16+AV$17+AV$18+AV$19+AV$21+AV$22+AV$23</f>
        <v>0</v>
      </c>
      <c r="AB41" s="719">
        <f>$AV20</f>
        <v>0</v>
      </c>
      <c r="AC41" s="723">
        <f t="shared" si="23"/>
        <v>0</v>
      </c>
      <c r="AD41" s="587">
        <f>AW6+AW7+AW8+AW9+AW15+AW16+AW17+AW18+AW20+AW19+AW21+AW22+AW23</f>
        <v>0</v>
      </c>
      <c r="AE41" s="579">
        <f t="shared" si="24"/>
        <v>0</v>
      </c>
      <c r="AH41" s="24"/>
      <c r="AJ41" s="25"/>
      <c r="AL41" s="24"/>
      <c r="AN41" s="25"/>
      <c r="AP41" s="24"/>
      <c r="AR41" s="25"/>
      <c r="AT41" s="24"/>
      <c r="AX41" s="23"/>
      <c r="AY41" s="23"/>
      <c r="AZ41" s="23"/>
      <c r="BA41" s="23"/>
      <c r="BB41" s="23"/>
      <c r="BC41" s="23"/>
      <c r="BD41" s="23"/>
      <c r="BE41" s="23"/>
      <c r="BF41" s="23"/>
      <c r="BG41" s="23"/>
    </row>
    <row r="42" spans="1:62" ht="23.25">
      <c r="L42" s="441" t="s">
        <v>203</v>
      </c>
      <c r="M42" s="470">
        <f>$AX$6</f>
        <v>0</v>
      </c>
      <c r="N42" s="430">
        <f>$AX9</f>
        <v>0</v>
      </c>
      <c r="O42" s="430">
        <f>$AX7</f>
        <v>0</v>
      </c>
      <c r="P42" s="430">
        <f>$AX8</f>
        <v>0</v>
      </c>
      <c r="Q42" s="430">
        <f>AX15+AX16+AX17+AX18+AX19+AX21+AX22+AX23</f>
        <v>0</v>
      </c>
      <c r="R42" s="430">
        <f>$AX20</f>
        <v>0</v>
      </c>
      <c r="S42" s="446">
        <f t="shared" si="22"/>
        <v>0</v>
      </c>
      <c r="T42" s="686"/>
      <c r="U42" s="26"/>
      <c r="V42" s="441" t="s">
        <v>203</v>
      </c>
      <c r="W42" s="440">
        <f>AZ$6</f>
        <v>0</v>
      </c>
      <c r="X42" s="430">
        <f>$AZ9</f>
        <v>0</v>
      </c>
      <c r="Y42" s="430">
        <f>$AZ7</f>
        <v>0</v>
      </c>
      <c r="Z42" s="430">
        <f>$AZ8</f>
        <v>0</v>
      </c>
      <c r="AA42" s="430">
        <f>AZ$15+AZ$16+AZ$17+AZ$18+AZ$19+AZ$21+AZ$22+AZ$23</f>
        <v>0</v>
      </c>
      <c r="AB42" s="719">
        <f>$AZ20</f>
        <v>0</v>
      </c>
      <c r="AC42" s="723">
        <f t="shared" si="23"/>
        <v>0</v>
      </c>
      <c r="AD42" s="587">
        <f>BA6+BA7+BA8+BA9+BA15+BA16+BA17+BA18+BA19+BA20+BA21+BA22+BA23</f>
        <v>0</v>
      </c>
      <c r="AE42" s="579">
        <f t="shared" si="24"/>
        <v>0</v>
      </c>
      <c r="AH42" s="24"/>
      <c r="AJ42" s="25"/>
      <c r="AL42" s="24"/>
      <c r="AN42" s="25"/>
      <c r="AP42" s="24"/>
      <c r="AR42" s="25"/>
      <c r="AT42" s="24"/>
      <c r="AV42" s="25"/>
      <c r="AX42" s="23"/>
      <c r="AY42" s="23"/>
      <c r="AZ42" s="23"/>
      <c r="BA42" s="23"/>
      <c r="BB42" s="23"/>
      <c r="BC42" s="23"/>
      <c r="BD42" s="23"/>
      <c r="BE42" s="23"/>
      <c r="BF42" s="23"/>
      <c r="BG42" s="23"/>
    </row>
    <row r="43" spans="1:62" ht="24" thickBot="1">
      <c r="L43" s="442" t="s">
        <v>191</v>
      </c>
      <c r="M43" s="443">
        <f t="shared" ref="M43" si="25">SUM(M33:M42)</f>
        <v>0</v>
      </c>
      <c r="N43" s="444">
        <f>SUM(N33:N42)</f>
        <v>0</v>
      </c>
      <c r="O43" s="443">
        <f t="shared" ref="O43" si="26">SUM(O33:O42)</f>
        <v>0</v>
      </c>
      <c r="P43" s="444">
        <f>SUM(P33:P42)</f>
        <v>0</v>
      </c>
      <c r="Q43" s="444">
        <f>SUM(Q33:Q42)</f>
        <v>0</v>
      </c>
      <c r="R43" s="445">
        <f>SUM(R33:R42)</f>
        <v>0</v>
      </c>
      <c r="S43" s="451">
        <f>SUM(S33:S42)</f>
        <v>0</v>
      </c>
      <c r="T43" s="687"/>
      <c r="U43" s="26"/>
      <c r="V43" s="442" t="s">
        <v>191</v>
      </c>
      <c r="W43" s="443">
        <f t="shared" ref="W43:Y43" si="27">SUM(W33:W42)</f>
        <v>0</v>
      </c>
      <c r="X43" s="444">
        <f>SUM(X33:X42)</f>
        <v>0</v>
      </c>
      <c r="Y43" s="443">
        <f t="shared" si="27"/>
        <v>0</v>
      </c>
      <c r="Z43" s="444">
        <f>SUM(Z33:Z42)</f>
        <v>0</v>
      </c>
      <c r="AA43" s="444">
        <f>SUM(AA33:AA42)</f>
        <v>0</v>
      </c>
      <c r="AB43" s="720">
        <f>SUM(AB33:AB42)</f>
        <v>0</v>
      </c>
      <c r="AC43" s="724">
        <f>SUM(AC33:AC42)</f>
        <v>0</v>
      </c>
      <c r="AD43" s="725">
        <f>SUM(AD33:AD42)</f>
        <v>0</v>
      </c>
      <c r="AE43" s="579">
        <f t="shared" si="24"/>
        <v>0</v>
      </c>
      <c r="AH43" s="24"/>
      <c r="AJ43" s="25"/>
      <c r="AL43" s="24"/>
      <c r="AN43" s="25"/>
      <c r="AP43" s="24"/>
      <c r="AR43" s="25"/>
      <c r="AT43" s="24"/>
      <c r="AV43" s="25"/>
      <c r="AX43" s="23"/>
      <c r="AY43" s="23"/>
      <c r="AZ43" s="23"/>
      <c r="BA43" s="23"/>
      <c r="BB43" s="23"/>
      <c r="BC43" s="23"/>
      <c r="BD43" s="23"/>
      <c r="BE43" s="23"/>
      <c r="BF43" s="23"/>
      <c r="BG43" s="23"/>
    </row>
    <row r="44" spans="1:62" ht="19.5" thickBot="1">
      <c r="L44" s="26"/>
      <c r="M44" s="26"/>
      <c r="N44" s="24"/>
      <c r="P44" s="26"/>
      <c r="Q44" s="26"/>
      <c r="R44" s="24"/>
      <c r="T44" s="26"/>
      <c r="U44" s="26"/>
      <c r="V44" s="24"/>
      <c r="Z44" s="24"/>
      <c r="AD44" s="24"/>
      <c r="AE44" s="26"/>
      <c r="AF44" s="466"/>
      <c r="AG44" s="466"/>
      <c r="AH44" s="466"/>
      <c r="AI44" s="467"/>
      <c r="AL44" s="24"/>
      <c r="AM44" s="25"/>
      <c r="AP44" s="24"/>
      <c r="AQ44" s="25"/>
      <c r="AT44" s="24"/>
      <c r="AU44" s="25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</row>
    <row r="45" spans="1:62" ht="27" thickBot="1">
      <c r="L45" s="1929" t="str">
        <f>L31</f>
        <v>Mode wise Collection Plan-2-11-2021</v>
      </c>
      <c r="M45" s="1930"/>
      <c r="N45" s="1930"/>
      <c r="O45" s="1930"/>
      <c r="P45" s="1930"/>
      <c r="Q45" s="1930"/>
      <c r="R45" s="1930"/>
      <c r="S45" s="1930"/>
      <c r="T45" s="1931"/>
      <c r="U45" s="26"/>
      <c r="V45" s="1923" t="s">
        <v>279</v>
      </c>
      <c r="W45" s="1937"/>
      <c r="X45" s="1937"/>
      <c r="Y45" s="1937"/>
      <c r="Z45" s="1937"/>
      <c r="AA45" s="1937"/>
      <c r="AB45" s="1937"/>
      <c r="AC45" s="1937"/>
      <c r="AD45" s="1937"/>
      <c r="AE45" s="1938"/>
      <c r="AF45" s="466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</row>
    <row r="46" spans="1:62" s="28" customFormat="1" ht="31.5">
      <c r="D46" s="29"/>
      <c r="E46" s="29"/>
      <c r="F46" s="29"/>
      <c r="I46" s="29"/>
      <c r="J46" s="1011" t="s">
        <v>270</v>
      </c>
      <c r="K46" s="1011" t="s">
        <v>196</v>
      </c>
      <c r="L46" s="450" t="s">
        <v>0</v>
      </c>
      <c r="M46" s="439" t="s">
        <v>200</v>
      </c>
      <c r="N46" s="454" t="s">
        <v>205</v>
      </c>
      <c r="O46" s="439" t="s">
        <v>31</v>
      </c>
      <c r="P46" s="448" t="s">
        <v>201</v>
      </c>
      <c r="Q46" s="455" t="s">
        <v>206</v>
      </c>
      <c r="R46" s="436" t="s">
        <v>22</v>
      </c>
      <c r="S46" s="438" t="s">
        <v>191</v>
      </c>
      <c r="T46" s="438" t="s">
        <v>244</v>
      </c>
      <c r="U46" s="26"/>
      <c r="V46" s="596" t="s">
        <v>0</v>
      </c>
      <c r="W46" s="436" t="s">
        <v>200</v>
      </c>
      <c r="X46" s="454" t="s">
        <v>205</v>
      </c>
      <c r="Y46" s="436" t="s">
        <v>31</v>
      </c>
      <c r="Z46" s="448" t="s">
        <v>201</v>
      </c>
      <c r="AA46" s="453" t="s">
        <v>206</v>
      </c>
      <c r="AB46" s="453" t="s">
        <v>210</v>
      </c>
      <c r="AC46" s="436" t="s">
        <v>22</v>
      </c>
      <c r="AD46" s="437" t="s">
        <v>191</v>
      </c>
      <c r="AE46" s="438" t="s">
        <v>244</v>
      </c>
      <c r="AF46" s="952" t="s">
        <v>32</v>
      </c>
      <c r="AG46" s="1022" t="s">
        <v>25</v>
      </c>
      <c r="AH46" s="1022" t="s">
        <v>23</v>
      </c>
      <c r="AI46" s="1022" t="s">
        <v>271</v>
      </c>
      <c r="AJ46" s="23"/>
      <c r="AK46" s="23"/>
      <c r="AL46" s="23"/>
      <c r="AM46" s="23"/>
      <c r="AN46" s="23"/>
      <c r="AO46" s="23"/>
      <c r="AP46" s="23"/>
      <c r="AQ46" s="23"/>
      <c r="AR46" s="23"/>
      <c r="BJ46" s="1059"/>
    </row>
    <row r="47" spans="1:62" ht="23.25">
      <c r="J47" s="441">
        <v>9.9</v>
      </c>
      <c r="K47" s="441"/>
      <c r="L47" s="441" t="s">
        <v>189</v>
      </c>
      <c r="M47" s="470">
        <v>25</v>
      </c>
      <c r="N47" s="430">
        <v>0</v>
      </c>
      <c r="O47" s="430">
        <v>0</v>
      </c>
      <c r="P47" s="430">
        <v>25</v>
      </c>
      <c r="Q47" s="430">
        <v>10</v>
      </c>
      <c r="R47" s="430">
        <v>0</v>
      </c>
      <c r="S47" s="446">
        <f t="shared" ref="S47:S56" si="28">SUM(M47:R47)</f>
        <v>60</v>
      </c>
      <c r="T47" s="446"/>
      <c r="U47" s="26"/>
      <c r="V47" s="586" t="s">
        <v>189</v>
      </c>
      <c r="W47" s="430">
        <v>1</v>
      </c>
      <c r="X47" s="430">
        <v>0</v>
      </c>
      <c r="Y47" s="430">
        <v>0</v>
      </c>
      <c r="Z47" s="430">
        <v>0</v>
      </c>
      <c r="AA47" s="430">
        <v>0</v>
      </c>
      <c r="AB47" s="655">
        <v>0</v>
      </c>
      <c r="AC47" s="430"/>
      <c r="AD47" s="568">
        <f t="shared" ref="AD47:AD56" si="29">SUM(W47:AC47)</f>
        <v>1</v>
      </c>
      <c r="AE47" s="587">
        <f>L27+L28+L29</f>
        <v>0</v>
      </c>
      <c r="AF47" s="953"/>
      <c r="AG47" s="1017">
        <v>9.9499999999999993</v>
      </c>
      <c r="AH47" s="1017">
        <v>27.69</v>
      </c>
      <c r="AI47" s="1017"/>
      <c r="AJ47" s="28"/>
      <c r="AK47" s="28"/>
      <c r="AL47" s="28"/>
      <c r="AM47" s="28"/>
      <c r="AN47" s="28"/>
      <c r="AO47" s="28"/>
      <c r="AP47" s="28"/>
      <c r="AQ47" s="28"/>
      <c r="AR47" s="28"/>
      <c r="AT47" s="24"/>
      <c r="AU47" s="25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</row>
    <row r="48" spans="1:62" ht="23.25">
      <c r="J48" s="441"/>
      <c r="K48" s="441"/>
      <c r="L48" s="441" t="s">
        <v>183</v>
      </c>
      <c r="M48" s="470">
        <v>5</v>
      </c>
      <c r="N48" s="430">
        <v>0</v>
      </c>
      <c r="O48" s="430">
        <v>0</v>
      </c>
      <c r="P48" s="430">
        <v>0</v>
      </c>
      <c r="Q48" s="430">
        <v>0</v>
      </c>
      <c r="R48" s="430">
        <v>20</v>
      </c>
      <c r="S48" s="446">
        <f t="shared" si="28"/>
        <v>25</v>
      </c>
      <c r="T48" s="446"/>
      <c r="U48" s="466"/>
      <c r="V48" s="586" t="s">
        <v>183</v>
      </c>
      <c r="W48" s="430">
        <v>0</v>
      </c>
      <c r="X48" s="430">
        <v>0</v>
      </c>
      <c r="Y48" s="430">
        <v>0</v>
      </c>
      <c r="Z48" s="430">
        <v>0</v>
      </c>
      <c r="AA48" s="430">
        <v>0</v>
      </c>
      <c r="AB48" s="655">
        <v>0</v>
      </c>
      <c r="AC48" s="430"/>
      <c r="AD48" s="568">
        <f t="shared" si="29"/>
        <v>0</v>
      </c>
      <c r="AE48" s="587">
        <f>P27+P28+P29</f>
        <v>0</v>
      </c>
      <c r="AF48" s="953"/>
      <c r="AG48" s="951"/>
      <c r="AH48" s="951"/>
      <c r="AI48" s="655"/>
      <c r="AL48" s="24"/>
      <c r="AM48" s="25"/>
      <c r="AP48" s="24"/>
      <c r="AQ48" s="25"/>
      <c r="AT48" s="24"/>
      <c r="AU48" s="25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</row>
    <row r="49" spans="4:62" ht="23.25">
      <c r="J49" s="441"/>
      <c r="K49" s="441"/>
      <c r="L49" s="441" t="s">
        <v>184</v>
      </c>
      <c r="M49" s="470">
        <v>0</v>
      </c>
      <c r="N49" s="430">
        <v>0</v>
      </c>
      <c r="O49" s="430">
        <v>0</v>
      </c>
      <c r="P49" s="430">
        <v>0</v>
      </c>
      <c r="Q49" s="430">
        <v>0</v>
      </c>
      <c r="R49" s="430">
        <v>0</v>
      </c>
      <c r="S49" s="446">
        <f t="shared" si="28"/>
        <v>0</v>
      </c>
      <c r="T49" s="446"/>
      <c r="U49" s="466"/>
      <c r="V49" s="586" t="s">
        <v>184</v>
      </c>
      <c r="W49" s="430">
        <v>0</v>
      </c>
      <c r="X49" s="430">
        <v>0</v>
      </c>
      <c r="Y49" s="430">
        <v>0</v>
      </c>
      <c r="Z49" s="430">
        <v>0</v>
      </c>
      <c r="AA49" s="430">
        <v>0</v>
      </c>
      <c r="AB49" s="655">
        <v>0</v>
      </c>
      <c r="AC49" s="430"/>
      <c r="AD49" s="568">
        <f t="shared" si="29"/>
        <v>0</v>
      </c>
      <c r="AE49" s="587">
        <f>T27+T28+T29</f>
        <v>0</v>
      </c>
      <c r="AF49" s="953">
        <v>25</v>
      </c>
      <c r="AG49" s="951"/>
      <c r="AH49" s="951"/>
      <c r="AI49" s="655"/>
      <c r="AL49" s="24"/>
      <c r="AM49" s="25"/>
      <c r="AP49" s="24"/>
      <c r="AQ49" s="25"/>
      <c r="AT49" s="24"/>
      <c r="AU49" s="25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</row>
    <row r="50" spans="4:62" ht="23.25">
      <c r="J50" s="441"/>
      <c r="K50" s="441">
        <v>21</v>
      </c>
      <c r="L50" s="441" t="s">
        <v>170</v>
      </c>
      <c r="M50" s="470">
        <v>35</v>
      </c>
      <c r="N50" s="430">
        <v>0</v>
      </c>
      <c r="O50" s="430">
        <v>0</v>
      </c>
      <c r="P50" s="430">
        <v>0</v>
      </c>
      <c r="Q50" s="430">
        <v>0</v>
      </c>
      <c r="R50" s="430">
        <v>0</v>
      </c>
      <c r="S50" s="446">
        <f t="shared" si="28"/>
        <v>35</v>
      </c>
      <c r="T50" s="446"/>
      <c r="U50" s="466"/>
      <c r="V50" s="586" t="s">
        <v>170</v>
      </c>
      <c r="W50" s="430">
        <v>0</v>
      </c>
      <c r="X50" s="430">
        <v>0</v>
      </c>
      <c r="Y50" s="430">
        <v>0</v>
      </c>
      <c r="Z50" s="430">
        <v>0</v>
      </c>
      <c r="AA50" s="430">
        <v>0</v>
      </c>
      <c r="AB50" s="655">
        <v>0</v>
      </c>
      <c r="AC50" s="430"/>
      <c r="AD50" s="568">
        <f t="shared" si="29"/>
        <v>0</v>
      </c>
      <c r="AE50" s="587">
        <f>X27+X28+X29</f>
        <v>0</v>
      </c>
      <c r="AF50" s="953">
        <v>21.69</v>
      </c>
      <c r="AG50" s="951"/>
      <c r="AH50" s="951"/>
      <c r="AI50" s="655"/>
      <c r="AL50" s="24"/>
      <c r="AM50" s="25"/>
      <c r="AP50" s="24"/>
      <c r="AQ50" s="25"/>
      <c r="AT50" s="24"/>
      <c r="AU50" s="25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</row>
    <row r="51" spans="4:62" ht="23.25">
      <c r="J51" s="441"/>
      <c r="K51" s="441"/>
      <c r="L51" s="441" t="s">
        <v>171</v>
      </c>
      <c r="M51" s="470">
        <v>3</v>
      </c>
      <c r="N51" s="430">
        <v>2</v>
      </c>
      <c r="O51" s="430">
        <v>0</v>
      </c>
      <c r="P51" s="430">
        <v>0</v>
      </c>
      <c r="Q51" s="430">
        <v>0</v>
      </c>
      <c r="R51" s="430">
        <v>0</v>
      </c>
      <c r="S51" s="446">
        <f t="shared" si="28"/>
        <v>5</v>
      </c>
      <c r="T51" s="446"/>
      <c r="U51" s="466"/>
      <c r="V51" s="586" t="s">
        <v>171</v>
      </c>
      <c r="W51" s="430">
        <v>1</v>
      </c>
      <c r="X51" s="430">
        <v>0</v>
      </c>
      <c r="Y51" s="430">
        <v>0</v>
      </c>
      <c r="Z51" s="430">
        <v>0</v>
      </c>
      <c r="AA51" s="430">
        <v>0</v>
      </c>
      <c r="AB51" s="655">
        <v>0</v>
      </c>
      <c r="AC51" s="430"/>
      <c r="AD51" s="568">
        <f t="shared" si="29"/>
        <v>1</v>
      </c>
      <c r="AE51" s="587">
        <f>AB27+AB28+AB29</f>
        <v>0</v>
      </c>
      <c r="AF51" s="953"/>
      <c r="AG51" s="951"/>
      <c r="AH51" s="951"/>
      <c r="AI51" s="655"/>
      <c r="AL51" s="24"/>
      <c r="AM51" s="25"/>
      <c r="AP51" s="24"/>
      <c r="AQ51" s="25"/>
      <c r="AT51" s="24"/>
      <c r="AU51" s="25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</row>
    <row r="52" spans="4:62" ht="23.25">
      <c r="J52" s="441"/>
      <c r="K52" s="441">
        <v>35</v>
      </c>
      <c r="L52" s="441" t="s">
        <v>190</v>
      </c>
      <c r="M52" s="492">
        <v>15</v>
      </c>
      <c r="N52" s="471">
        <v>0</v>
      </c>
      <c r="O52" s="471">
        <v>0</v>
      </c>
      <c r="P52" s="471">
        <v>5</v>
      </c>
      <c r="Q52" s="430">
        <v>0</v>
      </c>
      <c r="R52" s="471">
        <v>0</v>
      </c>
      <c r="S52" s="446">
        <f t="shared" si="28"/>
        <v>20</v>
      </c>
      <c r="T52" s="446">
        <v>25</v>
      </c>
      <c r="U52" s="466"/>
      <c r="V52" s="586" t="s">
        <v>190</v>
      </c>
      <c r="W52" s="430">
        <v>7</v>
      </c>
      <c r="X52" s="430">
        <v>0</v>
      </c>
      <c r="Y52" s="430">
        <v>0</v>
      </c>
      <c r="Z52" s="430">
        <v>0</v>
      </c>
      <c r="AA52" s="430">
        <v>0</v>
      </c>
      <c r="AB52" s="655">
        <v>0</v>
      </c>
      <c r="AC52" s="430"/>
      <c r="AD52" s="568">
        <f t="shared" si="29"/>
        <v>7</v>
      </c>
      <c r="AE52" s="587">
        <f>AF27+AF28+AF29</f>
        <v>0</v>
      </c>
      <c r="AF52" s="954">
        <v>20</v>
      </c>
      <c r="AG52" s="951">
        <v>35</v>
      </c>
      <c r="AH52" s="951"/>
      <c r="AI52" s="655"/>
      <c r="AL52" s="24"/>
      <c r="AM52" s="25"/>
      <c r="AP52" s="24"/>
      <c r="AQ52" s="25"/>
      <c r="AT52" s="24"/>
      <c r="AU52" s="25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</row>
    <row r="53" spans="4:62" ht="23.25">
      <c r="J53" s="441">
        <v>27.7</v>
      </c>
      <c r="K53" s="441"/>
      <c r="L53" s="441" t="s">
        <v>185</v>
      </c>
      <c r="M53" s="470">
        <v>20</v>
      </c>
      <c r="N53" s="430">
        <v>0</v>
      </c>
      <c r="O53" s="430">
        <v>0</v>
      </c>
      <c r="P53" s="430">
        <v>0</v>
      </c>
      <c r="Q53" s="430">
        <v>0</v>
      </c>
      <c r="R53" s="430">
        <v>10</v>
      </c>
      <c r="S53" s="446">
        <f t="shared" si="28"/>
        <v>30</v>
      </c>
      <c r="T53" s="446"/>
      <c r="U53" s="466"/>
      <c r="V53" s="586" t="s">
        <v>185</v>
      </c>
      <c r="W53" s="430">
        <v>0</v>
      </c>
      <c r="X53" s="430">
        <v>0</v>
      </c>
      <c r="Y53" s="430">
        <v>0</v>
      </c>
      <c r="Z53" s="430">
        <v>0</v>
      </c>
      <c r="AA53" s="430">
        <v>0</v>
      </c>
      <c r="AB53" s="655">
        <v>0</v>
      </c>
      <c r="AC53" s="430"/>
      <c r="AD53" s="568">
        <f t="shared" si="29"/>
        <v>0</v>
      </c>
      <c r="AE53" s="587">
        <f>AN27+AN28+AN29</f>
        <v>0</v>
      </c>
      <c r="AF53" s="954">
        <v>6</v>
      </c>
      <c r="AG53" s="951"/>
      <c r="AH53" s="951">
        <f>21.72+27.7</f>
        <v>49.42</v>
      </c>
      <c r="AI53" s="655"/>
      <c r="AL53" s="24"/>
      <c r="AM53" s="25"/>
      <c r="AP53" s="24"/>
      <c r="AQ53" s="25"/>
      <c r="AT53" s="24"/>
      <c r="AU53" s="25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</row>
    <row r="54" spans="4:62" ht="23.25">
      <c r="J54" s="441"/>
      <c r="K54" s="441">
        <v>3</v>
      </c>
      <c r="L54" s="441" t="s">
        <v>202</v>
      </c>
      <c r="M54" s="470">
        <v>18</v>
      </c>
      <c r="N54" s="430">
        <v>0</v>
      </c>
      <c r="O54" s="430">
        <v>0</v>
      </c>
      <c r="P54" s="430">
        <v>0</v>
      </c>
      <c r="Q54" s="430">
        <v>0</v>
      </c>
      <c r="R54" s="430">
        <v>0</v>
      </c>
      <c r="S54" s="446">
        <f t="shared" si="28"/>
        <v>18</v>
      </c>
      <c r="T54" s="446"/>
      <c r="U54" s="466"/>
      <c r="V54" s="586" t="s">
        <v>202</v>
      </c>
      <c r="W54" s="430">
        <v>0</v>
      </c>
      <c r="X54" s="430">
        <v>1.5</v>
      </c>
      <c r="Y54" s="430">
        <v>0</v>
      </c>
      <c r="Z54" s="430">
        <v>0</v>
      </c>
      <c r="AA54" s="430">
        <v>0</v>
      </c>
      <c r="AB54" s="655">
        <v>0</v>
      </c>
      <c r="AC54" s="430"/>
      <c r="AD54" s="568">
        <f t="shared" si="29"/>
        <v>1.5</v>
      </c>
      <c r="AE54" s="587">
        <f>AR27+AR28+AR29</f>
        <v>0</v>
      </c>
      <c r="AF54" s="952"/>
      <c r="AG54" s="951"/>
      <c r="AH54" s="951">
        <v>2.93</v>
      </c>
      <c r="AI54" s="655"/>
      <c r="AL54" s="24"/>
      <c r="AM54" s="25"/>
      <c r="AP54" s="24"/>
      <c r="AQ54" s="25"/>
      <c r="AT54" s="24"/>
      <c r="AU54" s="25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</row>
    <row r="55" spans="4:62" ht="23.25">
      <c r="J55" s="441"/>
      <c r="K55" s="441">
        <f>22+16+25</f>
        <v>63</v>
      </c>
      <c r="L55" s="441" t="s">
        <v>186</v>
      </c>
      <c r="M55" s="470">
        <v>30</v>
      </c>
      <c r="N55" s="430">
        <v>0</v>
      </c>
      <c r="O55" s="430">
        <v>0</v>
      </c>
      <c r="P55" s="430">
        <v>0</v>
      </c>
      <c r="Q55" s="430">
        <v>0</v>
      </c>
      <c r="R55" s="430">
        <v>0</v>
      </c>
      <c r="S55" s="446">
        <f t="shared" si="28"/>
        <v>30</v>
      </c>
      <c r="T55" s="446"/>
      <c r="U55" s="466"/>
      <c r="V55" s="586" t="s">
        <v>186</v>
      </c>
      <c r="W55" s="430">
        <v>8</v>
      </c>
      <c r="X55" s="430">
        <v>0</v>
      </c>
      <c r="Y55" s="430">
        <v>0</v>
      </c>
      <c r="Z55" s="430">
        <v>12.9</v>
      </c>
      <c r="AA55" s="430">
        <v>0</v>
      </c>
      <c r="AB55" s="655">
        <v>0</v>
      </c>
      <c r="AC55" s="430"/>
      <c r="AD55" s="568">
        <f t="shared" si="29"/>
        <v>20.9</v>
      </c>
      <c r="AE55" s="587">
        <f>AV27+AV28+AV29</f>
        <v>0</v>
      </c>
      <c r="AF55" s="952">
        <f>25+39.21</f>
        <v>64.210000000000008</v>
      </c>
      <c r="AG55" s="951"/>
      <c r="AH55" s="951"/>
      <c r="AI55" s="655"/>
      <c r="AL55" s="24"/>
      <c r="AM55" s="25"/>
      <c r="AP55" s="24"/>
      <c r="AQ55" s="25"/>
      <c r="AT55" s="24"/>
      <c r="AU55" s="25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</row>
    <row r="56" spans="4:62" ht="23.25">
      <c r="J56" s="441"/>
      <c r="K56" s="441"/>
      <c r="L56" s="441" t="s">
        <v>203</v>
      </c>
      <c r="M56" s="470">
        <v>10</v>
      </c>
      <c r="N56" s="430">
        <v>0</v>
      </c>
      <c r="O56" s="430">
        <v>0</v>
      </c>
      <c r="P56" s="430">
        <v>0</v>
      </c>
      <c r="Q56" s="430">
        <v>0</v>
      </c>
      <c r="R56" s="430">
        <v>0</v>
      </c>
      <c r="S56" s="446">
        <f t="shared" si="28"/>
        <v>10</v>
      </c>
      <c r="T56" s="446"/>
      <c r="U56" s="466"/>
      <c r="V56" s="586" t="s">
        <v>203</v>
      </c>
      <c r="W56" s="430">
        <v>0</v>
      </c>
      <c r="X56" s="430">
        <v>0</v>
      </c>
      <c r="Y56" s="430">
        <v>0</v>
      </c>
      <c r="Z56" s="430">
        <v>0</v>
      </c>
      <c r="AA56" s="430">
        <v>0</v>
      </c>
      <c r="AB56" s="655">
        <v>0</v>
      </c>
      <c r="AC56" s="430"/>
      <c r="AD56" s="568">
        <f t="shared" si="29"/>
        <v>0</v>
      </c>
      <c r="AE56" s="587">
        <f>AZ27+AZ28+AZ29</f>
        <v>0</v>
      </c>
      <c r="AF56" s="952"/>
      <c r="AG56" s="951"/>
      <c r="AH56" s="951"/>
      <c r="AI56" s="655"/>
      <c r="AL56" s="24"/>
      <c r="AM56" s="25"/>
      <c r="AP56" s="24"/>
      <c r="AQ56" s="25"/>
      <c r="AT56" s="24"/>
      <c r="AU56" s="25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</row>
    <row r="57" spans="4:62" ht="24" thickBot="1">
      <c r="J57" s="442">
        <f t="shared" ref="J57:K57" si="30">SUM(J47:J56)</f>
        <v>37.6</v>
      </c>
      <c r="K57" s="442">
        <f t="shared" si="30"/>
        <v>122</v>
      </c>
      <c r="L57" s="442" t="s">
        <v>191</v>
      </c>
      <c r="M57" s="443">
        <f t="shared" ref="M57" si="31">SUM(M47:M56)</f>
        <v>161</v>
      </c>
      <c r="N57" s="444">
        <f>SUM(N47:N56)</f>
        <v>2</v>
      </c>
      <c r="O57" s="443">
        <f t="shared" ref="O57" si="32">SUM(O47:O56)</f>
        <v>0</v>
      </c>
      <c r="P57" s="444">
        <f>SUM(P47:P56)</f>
        <v>30</v>
      </c>
      <c r="Q57" s="444">
        <f>SUM(Q47:Q56)</f>
        <v>10</v>
      </c>
      <c r="R57" s="445">
        <f>SUM(R47:R56)</f>
        <v>30</v>
      </c>
      <c r="S57" s="451">
        <f>SUM(S47:S56)</f>
        <v>233</v>
      </c>
      <c r="T57" s="451">
        <f>SUM(T47:T56)</f>
        <v>25</v>
      </c>
      <c r="U57" s="466"/>
      <c r="V57" s="588" t="s">
        <v>191</v>
      </c>
      <c r="W57" s="589">
        <f t="shared" ref="W57" si="33">SUM(W47:W56)</f>
        <v>17</v>
      </c>
      <c r="X57" s="444">
        <f>SUM(X47:X56)</f>
        <v>1.5</v>
      </c>
      <c r="Y57" s="444">
        <f t="shared" ref="Y57" si="34">SUM(Y47:Y56)</f>
        <v>0</v>
      </c>
      <c r="Z57" s="444">
        <f>SUM(Z47:Z56)</f>
        <v>12.9</v>
      </c>
      <c r="AA57" s="444">
        <f>SUM(AA47:AA56)</f>
        <v>0</v>
      </c>
      <c r="AB57" s="444"/>
      <c r="AC57" s="444">
        <f t="shared" ref="AC57" si="35">SUM(AC47:AC56)</f>
        <v>0</v>
      </c>
      <c r="AD57" s="630">
        <f>SUM(AD47:AD56)</f>
        <v>31.4</v>
      </c>
      <c r="AE57" s="631">
        <f>SUM(AE47:AE56)</f>
        <v>0</v>
      </c>
      <c r="AF57" s="1016">
        <f t="shared" ref="AF57:AI57" si="36">SUM(AF47:AF56)</f>
        <v>136.9</v>
      </c>
      <c r="AG57" s="1015">
        <f t="shared" si="36"/>
        <v>44.95</v>
      </c>
      <c r="AH57" s="1015">
        <f t="shared" si="36"/>
        <v>80.040000000000006</v>
      </c>
      <c r="AI57" s="1015">
        <f t="shared" si="36"/>
        <v>0</v>
      </c>
      <c r="AL57" s="24"/>
      <c r="AM57" s="25"/>
      <c r="AP57" s="24"/>
      <c r="AQ57" s="25"/>
      <c r="AT57" s="24"/>
      <c r="AU57" s="25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</row>
    <row r="58" spans="4:62" ht="24" customHeight="1" thickBot="1">
      <c r="N58" s="24"/>
      <c r="O58" s="1924" t="s">
        <v>254</v>
      </c>
      <c r="P58" s="1925"/>
      <c r="Q58" s="1925"/>
      <c r="R58" s="1926"/>
      <c r="S58" s="1927">
        <f>S57+T57</f>
        <v>258</v>
      </c>
      <c r="T58" s="1928"/>
      <c r="U58" s="466"/>
      <c r="V58" s="1932" t="s">
        <v>221</v>
      </c>
      <c r="W58" s="1932"/>
      <c r="X58" s="1932"/>
      <c r="Y58" s="1932"/>
      <c r="Z58" s="1932"/>
      <c r="AA58" s="1932"/>
      <c r="AB58" s="1932"/>
      <c r="AC58" s="1932"/>
      <c r="AD58" s="1933">
        <f>AD57+AE57</f>
        <v>31.4</v>
      </c>
      <c r="AE58" s="1934"/>
      <c r="AF58" s="466"/>
      <c r="AH58" s="24"/>
      <c r="AI58" s="25"/>
      <c r="AL58" s="24"/>
      <c r="AM58" s="25"/>
      <c r="AP58" s="24"/>
      <c r="AQ58" s="25"/>
      <c r="AT58" s="24"/>
      <c r="AU58" s="25"/>
      <c r="AX58" s="24"/>
      <c r="AY58" s="24"/>
      <c r="AZ58" s="25"/>
      <c r="BA58" s="24"/>
      <c r="BB58" s="24"/>
      <c r="BC58" s="23"/>
      <c r="BD58" s="23"/>
      <c r="BE58" s="23"/>
      <c r="BF58" s="23"/>
      <c r="BG58" s="23"/>
    </row>
    <row r="59" spans="4:62" ht="24" customHeight="1" thickBot="1">
      <c r="J59" s="24"/>
      <c r="L59" s="1248"/>
      <c r="M59" s="1248"/>
      <c r="N59" s="1248"/>
      <c r="O59" s="1249"/>
      <c r="P59" s="1249"/>
      <c r="Q59" s="1249"/>
      <c r="R59" s="1249"/>
      <c r="S59" s="1310"/>
      <c r="T59" s="1311"/>
      <c r="U59" s="1248"/>
      <c r="V59" s="966"/>
      <c r="W59" s="966"/>
      <c r="X59" s="966"/>
      <c r="Y59" s="1922" t="s">
        <v>235</v>
      </c>
      <c r="Z59" s="1922"/>
      <c r="AA59" s="1922"/>
      <c r="AB59" s="1922"/>
      <c r="AC59" s="1922"/>
      <c r="AD59" s="1920">
        <f>BH6+BI6+BD20+BE20+BH9</f>
        <v>0</v>
      </c>
      <c r="AE59" s="1921"/>
      <c r="AF59" s="466"/>
      <c r="AH59" s="24"/>
      <c r="AI59" s="25"/>
      <c r="AL59" s="24"/>
      <c r="AP59" s="25"/>
      <c r="AT59" s="25"/>
      <c r="AX59" s="25"/>
      <c r="AY59" s="24"/>
      <c r="AZ59" s="24"/>
      <c r="BA59" s="24"/>
      <c r="BB59" s="25"/>
      <c r="BE59" s="23"/>
      <c r="BF59" s="23"/>
      <c r="BG59" s="23"/>
    </row>
    <row r="60" spans="4:62" s="28" customFormat="1" ht="26.25" customHeight="1" thickBot="1">
      <c r="D60" s="29"/>
      <c r="E60" s="29"/>
      <c r="F60" s="29"/>
      <c r="I60" s="29"/>
      <c r="J60" s="24"/>
      <c r="K60" s="24"/>
      <c r="L60" s="1923" t="s">
        <v>319</v>
      </c>
      <c r="M60" s="1937"/>
      <c r="N60" s="1937"/>
      <c r="O60" s="1937"/>
      <c r="P60" s="1937"/>
      <c r="Q60" s="1937"/>
      <c r="R60" s="1937"/>
      <c r="S60" s="1937"/>
      <c r="T60" s="1937"/>
      <c r="U60" s="1938"/>
      <c r="V60" s="966"/>
      <c r="W60" s="966"/>
      <c r="X60" s="966"/>
      <c r="Y60" s="1013"/>
      <c r="Z60" s="966"/>
      <c r="AA60" s="966"/>
      <c r="AB60" s="966"/>
      <c r="AC60" s="1013"/>
      <c r="AD60" s="966"/>
      <c r="AE60" s="964"/>
      <c r="AF60" s="966"/>
      <c r="AG60" s="964"/>
      <c r="AH60" s="964"/>
      <c r="AI60" s="967"/>
      <c r="AJ60" s="964"/>
      <c r="AK60" s="964"/>
      <c r="AL60" s="964"/>
      <c r="AM60" s="964"/>
      <c r="AN60" s="964"/>
      <c r="AO60" s="964"/>
      <c r="AP60" s="967"/>
      <c r="AQ60" s="964"/>
      <c r="AR60" s="964"/>
      <c r="AS60" s="964"/>
      <c r="AT60" s="967"/>
      <c r="AU60" s="964"/>
      <c r="AV60" s="964"/>
      <c r="AW60" s="964"/>
      <c r="AX60" s="967"/>
      <c r="AY60" s="965"/>
      <c r="AZ60" s="965"/>
      <c r="BA60" s="964"/>
      <c r="BB60" s="964"/>
      <c r="BC60" s="967"/>
      <c r="BD60" s="967"/>
      <c r="BE60" s="964"/>
      <c r="BJ60" s="1059"/>
    </row>
    <row r="61" spans="4:62" ht="31.5">
      <c r="J61" s="24"/>
      <c r="L61" s="596" t="s">
        <v>0</v>
      </c>
      <c r="M61" s="436" t="s">
        <v>200</v>
      </c>
      <c r="N61" s="454" t="s">
        <v>205</v>
      </c>
      <c r="O61" s="436" t="s">
        <v>31</v>
      </c>
      <c r="P61" s="448" t="s">
        <v>201</v>
      </c>
      <c r="Q61" s="453" t="s">
        <v>206</v>
      </c>
      <c r="R61" s="453" t="s">
        <v>210</v>
      </c>
      <c r="S61" s="436" t="s">
        <v>22</v>
      </c>
      <c r="T61" s="437" t="s">
        <v>191</v>
      </c>
      <c r="U61" s="438" t="s">
        <v>244</v>
      </c>
      <c r="V61" s="466"/>
      <c r="W61" s="466"/>
      <c r="X61" s="466"/>
      <c r="Y61" s="465"/>
      <c r="Z61" s="466"/>
      <c r="AA61" s="466"/>
      <c r="AB61" s="466"/>
      <c r="AC61" s="465"/>
      <c r="AD61" s="466"/>
      <c r="AF61" s="466"/>
      <c r="AH61" s="24"/>
      <c r="AI61" s="25"/>
      <c r="AL61" s="24"/>
      <c r="AM61" s="26"/>
      <c r="AN61" s="26"/>
      <c r="AP61" s="24"/>
      <c r="AQ61" s="26"/>
      <c r="AR61" s="26"/>
      <c r="AT61" s="24"/>
      <c r="AU61" s="26"/>
      <c r="AV61" s="26"/>
      <c r="AX61" s="24"/>
      <c r="AY61" s="26"/>
      <c r="AZ61" s="26"/>
      <c r="BA61" s="24"/>
      <c r="BB61" s="24"/>
      <c r="BC61" s="25"/>
      <c r="BD61" s="25"/>
      <c r="BF61" s="23"/>
      <c r="BG61" s="23"/>
    </row>
    <row r="62" spans="4:62" ht="23.25">
      <c r="J62" s="24"/>
      <c r="L62" s="586" t="s">
        <v>189</v>
      </c>
      <c r="M62" s="430">
        <v>0</v>
      </c>
      <c r="N62" s="430">
        <v>1</v>
      </c>
      <c r="O62" s="430">
        <v>0</v>
      </c>
      <c r="P62" s="430">
        <v>7.45</v>
      </c>
      <c r="Q62" s="430">
        <v>0</v>
      </c>
      <c r="R62" s="655"/>
      <c r="S62" s="430"/>
      <c r="T62" s="568">
        <f t="shared" ref="T62:T71" si="37">SUM(M62:S62)</f>
        <v>8.4499999999999993</v>
      </c>
      <c r="U62" s="587">
        <v>25</v>
      </c>
      <c r="V62" s="466"/>
      <c r="W62" s="466"/>
      <c r="X62" s="466"/>
      <c r="Y62" s="465"/>
      <c r="Z62" s="466"/>
      <c r="AA62" s="466"/>
      <c r="AB62" s="466"/>
      <c r="AC62" s="465"/>
      <c r="AD62" s="466"/>
      <c r="AF62" s="466"/>
      <c r="AH62" s="24"/>
      <c r="AI62" s="25"/>
      <c r="AL62" s="24"/>
      <c r="AM62" s="26"/>
      <c r="AN62" s="26"/>
      <c r="AP62" s="24"/>
      <c r="AQ62" s="26"/>
      <c r="AR62" s="26"/>
      <c r="AT62" s="24"/>
      <c r="AU62" s="26"/>
      <c r="AV62" s="26"/>
      <c r="AX62" s="24"/>
      <c r="AY62" s="26"/>
      <c r="AZ62" s="26"/>
      <c r="BA62" s="24"/>
      <c r="BB62" s="24"/>
      <c r="BC62" s="25"/>
      <c r="BD62" s="25"/>
      <c r="BF62" s="23"/>
      <c r="BG62" s="23"/>
    </row>
    <row r="63" spans="4:62" ht="23.25">
      <c r="J63" s="24"/>
      <c r="L63" s="586" t="s">
        <v>183</v>
      </c>
      <c r="M63" s="430">
        <v>4.5</v>
      </c>
      <c r="N63" s="430">
        <v>0</v>
      </c>
      <c r="O63" s="430">
        <v>0</v>
      </c>
      <c r="P63" s="430">
        <v>0</v>
      </c>
      <c r="Q63" s="430">
        <v>0</v>
      </c>
      <c r="R63" s="655">
        <v>0</v>
      </c>
      <c r="S63" s="430"/>
      <c r="T63" s="568">
        <f t="shared" si="37"/>
        <v>4.5</v>
      </c>
      <c r="U63" s="1312"/>
      <c r="V63" s="466"/>
      <c r="W63" s="466"/>
      <c r="X63" s="466"/>
      <c r="Y63" s="465"/>
      <c r="Z63" s="466"/>
      <c r="AA63" s="466"/>
      <c r="AB63" s="466"/>
      <c r="AC63" s="465"/>
      <c r="AD63" s="466"/>
      <c r="AG63" s="26"/>
      <c r="AH63" s="24"/>
      <c r="AK63" s="49"/>
      <c r="AL63" s="24"/>
      <c r="AM63" s="26"/>
      <c r="AN63" s="26"/>
      <c r="AP63" s="24"/>
      <c r="AQ63" s="26"/>
      <c r="AR63" s="26"/>
      <c r="AT63" s="24"/>
      <c r="AU63" s="26"/>
      <c r="AV63" s="26"/>
      <c r="AX63" s="24"/>
      <c r="AY63" s="26"/>
      <c r="AZ63" s="26"/>
      <c r="BA63" s="24"/>
      <c r="BB63" s="24"/>
      <c r="BC63" s="25"/>
      <c r="BD63" s="25"/>
      <c r="BF63" s="23"/>
      <c r="BG63" s="23"/>
    </row>
    <row r="64" spans="4:62" ht="23.25">
      <c r="J64" s="24"/>
      <c r="L64" s="586" t="s">
        <v>184</v>
      </c>
      <c r="M64" s="430">
        <v>0</v>
      </c>
      <c r="N64" s="430">
        <v>0</v>
      </c>
      <c r="O64" s="430">
        <v>0</v>
      </c>
      <c r="P64" s="430">
        <v>0</v>
      </c>
      <c r="Q64" s="430">
        <v>0</v>
      </c>
      <c r="R64" s="655">
        <v>0</v>
      </c>
      <c r="S64" s="430"/>
      <c r="T64" s="568">
        <f t="shared" si="37"/>
        <v>0</v>
      </c>
      <c r="U64" s="587"/>
      <c r="V64" s="466"/>
      <c r="W64" s="466"/>
      <c r="X64" s="466"/>
      <c r="Y64" s="465"/>
      <c r="Z64" s="466"/>
      <c r="AA64" s="466"/>
      <c r="AB64" s="466"/>
      <c r="AC64" s="465"/>
      <c r="AD64" s="466"/>
      <c r="AG64" s="26"/>
      <c r="AH64" s="24"/>
      <c r="AK64" s="49"/>
      <c r="AL64" s="24"/>
      <c r="AO64" s="26"/>
      <c r="AP64" s="24"/>
      <c r="AQ64" s="26"/>
      <c r="AR64" s="26"/>
      <c r="AT64" s="24"/>
      <c r="AU64" s="26"/>
      <c r="AV64" s="26"/>
      <c r="AX64" s="24"/>
      <c r="AY64" s="26"/>
      <c r="AZ64" s="26"/>
      <c r="BA64" s="24"/>
      <c r="BB64" s="24"/>
      <c r="BE64" s="25"/>
      <c r="BF64" s="24"/>
      <c r="BG64" s="23"/>
    </row>
    <row r="65" spans="10:59" ht="23.25">
      <c r="J65" s="24"/>
      <c r="L65" s="586" t="s">
        <v>170</v>
      </c>
      <c r="M65" s="430">
        <v>30</v>
      </c>
      <c r="N65" s="430">
        <v>0</v>
      </c>
      <c r="O65" s="430">
        <v>0</v>
      </c>
      <c r="P65" s="430">
        <v>0</v>
      </c>
      <c r="Q65" s="430">
        <v>0</v>
      </c>
      <c r="R65" s="655">
        <v>0</v>
      </c>
      <c r="S65" s="430"/>
      <c r="T65" s="568">
        <f t="shared" si="37"/>
        <v>30</v>
      </c>
      <c r="U65" s="587"/>
      <c r="V65" s="466"/>
      <c r="W65" s="466"/>
      <c r="X65" s="466"/>
      <c r="Y65" s="465"/>
      <c r="Z65" s="466"/>
      <c r="AA65" s="466"/>
      <c r="AB65" s="466"/>
      <c r="AC65" s="465"/>
      <c r="AD65" s="466"/>
      <c r="AG65" s="26"/>
      <c r="AH65" s="24"/>
      <c r="AK65" s="49"/>
      <c r="AL65" s="24"/>
      <c r="AO65" s="26"/>
      <c r="AP65" s="24"/>
      <c r="AQ65" s="26"/>
      <c r="AR65" s="26"/>
      <c r="AT65" s="24"/>
      <c r="AU65" s="26"/>
      <c r="AV65" s="26"/>
      <c r="AX65" s="24"/>
      <c r="AY65" s="26"/>
      <c r="AZ65" s="26"/>
      <c r="BA65" s="24"/>
      <c r="BB65" s="24"/>
      <c r="BE65" s="25"/>
      <c r="BF65" s="24"/>
      <c r="BG65" s="23"/>
    </row>
    <row r="66" spans="10:59" ht="23.25">
      <c r="J66" s="24"/>
      <c r="L66" s="586" t="s">
        <v>171</v>
      </c>
      <c r="M66" s="430">
        <v>0</v>
      </c>
      <c r="N66" s="430">
        <v>0</v>
      </c>
      <c r="O66" s="430">
        <v>0</v>
      </c>
      <c r="P66" s="430">
        <v>0</v>
      </c>
      <c r="Q66" s="430">
        <v>0</v>
      </c>
      <c r="R66" s="655">
        <v>0</v>
      </c>
      <c r="S66" s="430"/>
      <c r="T66" s="568">
        <f t="shared" si="37"/>
        <v>0</v>
      </c>
      <c r="U66" s="587"/>
      <c r="V66" s="466"/>
      <c r="W66" s="466"/>
      <c r="X66" s="466"/>
      <c r="Y66" s="465"/>
      <c r="Z66" s="466"/>
      <c r="AA66" s="466"/>
      <c r="AB66" s="466"/>
      <c r="AC66" s="465"/>
      <c r="AD66" s="466"/>
      <c r="AG66" s="26"/>
      <c r="AH66" s="24"/>
      <c r="AK66" s="49"/>
      <c r="AL66" s="24"/>
      <c r="AO66" s="26"/>
      <c r="AP66" s="24"/>
      <c r="AQ66" s="26"/>
      <c r="AR66" s="26"/>
      <c r="AT66" s="24"/>
      <c r="AU66" s="26"/>
      <c r="AV66" s="26"/>
      <c r="AX66" s="24"/>
      <c r="AY66" s="26"/>
      <c r="AZ66" s="26"/>
      <c r="BA66" s="24"/>
      <c r="BB66" s="24"/>
      <c r="BE66" s="25"/>
      <c r="BF66" s="24"/>
      <c r="BG66" s="23"/>
    </row>
    <row r="67" spans="10:59" ht="23.25" customHeight="1">
      <c r="J67" s="24"/>
      <c r="L67" s="586" t="s">
        <v>190</v>
      </c>
      <c r="M67" s="430">
        <v>0</v>
      </c>
      <c r="N67" s="430">
        <v>0</v>
      </c>
      <c r="O67" s="430">
        <v>0</v>
      </c>
      <c r="P67" s="430">
        <v>0</v>
      </c>
      <c r="Q67" s="430">
        <v>0</v>
      </c>
      <c r="R67" s="655">
        <v>0</v>
      </c>
      <c r="S67" s="430"/>
      <c r="T67" s="568">
        <f t="shared" si="37"/>
        <v>0</v>
      </c>
      <c r="U67" s="587"/>
      <c r="V67" s="466"/>
      <c r="W67" s="466"/>
      <c r="X67" s="466"/>
      <c r="Y67" s="465"/>
      <c r="Z67" s="466"/>
      <c r="AA67" s="466"/>
      <c r="AB67" s="466"/>
      <c r="AC67" s="465"/>
      <c r="AD67" s="466"/>
      <c r="AG67" s="26"/>
      <c r="AH67" s="24"/>
      <c r="AK67" s="49"/>
      <c r="AL67" s="24"/>
      <c r="AO67" s="26"/>
      <c r="AP67" s="24"/>
      <c r="AQ67" s="26"/>
      <c r="AR67" s="26"/>
      <c r="AT67" s="24"/>
      <c r="AU67" s="26"/>
      <c r="AV67" s="26"/>
      <c r="AX67" s="24"/>
      <c r="AY67" s="26"/>
      <c r="AZ67" s="26"/>
      <c r="BA67" s="24"/>
      <c r="BB67" s="24"/>
      <c r="BE67" s="25"/>
      <c r="BF67" s="24"/>
      <c r="BG67" s="23"/>
    </row>
    <row r="68" spans="10:59" ht="24.75" customHeight="1">
      <c r="J68" s="24"/>
      <c r="L68" s="586" t="s">
        <v>185</v>
      </c>
      <c r="M68" s="430">
        <v>77.2</v>
      </c>
      <c r="N68" s="430">
        <v>0</v>
      </c>
      <c r="O68" s="430">
        <v>0</v>
      </c>
      <c r="P68" s="430">
        <v>0</v>
      </c>
      <c r="Q68" s="430">
        <v>0</v>
      </c>
      <c r="R68" s="655">
        <v>0</v>
      </c>
      <c r="S68" s="430"/>
      <c r="T68" s="568">
        <f t="shared" si="37"/>
        <v>77.2</v>
      </c>
      <c r="U68" s="587"/>
      <c r="V68" s="466"/>
      <c r="W68" s="466"/>
      <c r="X68" s="466"/>
      <c r="Y68" s="465"/>
      <c r="Z68" s="466"/>
      <c r="AA68" s="466"/>
      <c r="AB68" s="466"/>
      <c r="AC68" s="465"/>
      <c r="AD68" s="466"/>
      <c r="AG68" s="26"/>
      <c r="AH68" s="24"/>
      <c r="AK68" s="49"/>
      <c r="AL68" s="24"/>
      <c r="AO68" s="26"/>
      <c r="AP68" s="24"/>
      <c r="AQ68" s="26"/>
      <c r="AR68" s="26"/>
      <c r="AT68" s="24"/>
      <c r="AU68" s="26"/>
      <c r="AV68" s="26"/>
      <c r="AX68" s="24"/>
      <c r="AY68" s="26"/>
      <c r="AZ68" s="26"/>
      <c r="BA68" s="24"/>
      <c r="BB68" s="24"/>
      <c r="BE68" s="25"/>
      <c r="BF68" s="24"/>
      <c r="BG68" s="23"/>
    </row>
    <row r="69" spans="10:59" ht="24.75" customHeight="1">
      <c r="L69" s="586" t="s">
        <v>202</v>
      </c>
      <c r="M69" s="430">
        <v>5.9</v>
      </c>
      <c r="N69" s="430">
        <v>0</v>
      </c>
      <c r="O69" s="430">
        <v>0</v>
      </c>
      <c r="P69" s="430">
        <v>0</v>
      </c>
      <c r="Q69" s="430">
        <v>0</v>
      </c>
      <c r="R69" s="655">
        <v>0</v>
      </c>
      <c r="S69" s="430"/>
      <c r="T69" s="568">
        <f t="shared" si="37"/>
        <v>5.9</v>
      </c>
      <c r="U69" s="587"/>
      <c r="V69" s="466"/>
      <c r="W69" s="466"/>
      <c r="X69" s="466"/>
      <c r="Y69" s="465"/>
      <c r="Z69" s="466"/>
      <c r="AA69" s="466"/>
      <c r="AB69" s="466"/>
      <c r="AC69" s="465"/>
      <c r="AD69" s="466"/>
      <c r="AG69" s="26"/>
      <c r="AH69" s="24"/>
      <c r="AK69" s="49"/>
      <c r="AL69" s="24"/>
      <c r="AO69" s="26"/>
      <c r="AP69" s="24"/>
      <c r="AQ69" s="26"/>
      <c r="AR69" s="26"/>
      <c r="AT69" s="24"/>
      <c r="AU69" s="26"/>
      <c r="AV69" s="26"/>
      <c r="AX69" s="24"/>
      <c r="AY69" s="26"/>
      <c r="AZ69" s="26"/>
      <c r="BA69" s="24"/>
      <c r="BB69" s="24"/>
      <c r="BE69" s="25"/>
      <c r="BF69" s="24"/>
      <c r="BG69" s="23"/>
    </row>
    <row r="70" spans="10:59" ht="24.75" customHeight="1">
      <c r="L70" s="586" t="s">
        <v>186</v>
      </c>
      <c r="M70" s="430">
        <v>44.4</v>
      </c>
      <c r="N70" s="430">
        <v>0</v>
      </c>
      <c r="O70" s="430">
        <v>0</v>
      </c>
      <c r="P70" s="430">
        <v>0</v>
      </c>
      <c r="Q70" s="430">
        <v>0</v>
      </c>
      <c r="R70" s="655">
        <v>0</v>
      </c>
      <c r="S70" s="430"/>
      <c r="T70" s="568">
        <f t="shared" si="37"/>
        <v>44.4</v>
      </c>
      <c r="U70" s="1312"/>
      <c r="V70" s="466"/>
      <c r="W70" s="466"/>
      <c r="X70" s="466"/>
      <c r="Y70" s="465"/>
      <c r="Z70" s="466"/>
      <c r="AA70" s="466"/>
      <c r="AB70" s="466"/>
      <c r="AC70" s="465"/>
      <c r="AD70" s="466"/>
      <c r="AF70" s="24">
        <v>18</v>
      </c>
      <c r="AG70" s="26">
        <v>14.8</v>
      </c>
      <c r="AH70" s="24">
        <v>24</v>
      </c>
      <c r="AK70" s="49"/>
      <c r="AL70" s="24"/>
      <c r="AM70" s="26"/>
      <c r="AN70" s="26"/>
      <c r="AY70" s="24"/>
      <c r="AZ70" s="24"/>
      <c r="BA70" s="24"/>
      <c r="BB70" s="24"/>
      <c r="BC70" s="25"/>
      <c r="BD70" s="25"/>
      <c r="BF70" s="23"/>
      <c r="BG70" s="23"/>
    </row>
    <row r="71" spans="10:59" ht="31.5" customHeight="1">
      <c r="L71" s="586" t="s">
        <v>203</v>
      </c>
      <c r="M71" s="430">
        <v>0</v>
      </c>
      <c r="N71" s="430">
        <v>0</v>
      </c>
      <c r="O71" s="430">
        <v>0</v>
      </c>
      <c r="P71" s="430">
        <v>0</v>
      </c>
      <c r="Q71" s="430">
        <v>0</v>
      </c>
      <c r="R71" s="655">
        <v>0</v>
      </c>
      <c r="S71" s="430"/>
      <c r="T71" s="568">
        <f t="shared" si="37"/>
        <v>0</v>
      </c>
      <c r="U71" s="587"/>
      <c r="V71" s="466"/>
      <c r="W71" s="466"/>
      <c r="X71" s="466"/>
      <c r="Y71" s="465"/>
      <c r="Z71" s="466"/>
      <c r="AA71" s="466"/>
      <c r="AB71" s="466"/>
      <c r="AC71" s="465"/>
      <c r="AD71" s="466"/>
      <c r="AG71" s="26">
        <v>23</v>
      </c>
      <c r="AH71" s="24">
        <v>46</v>
      </c>
      <c r="AK71" s="49"/>
      <c r="AL71" s="24"/>
      <c r="AM71" s="26"/>
      <c r="AN71" s="26"/>
      <c r="AY71" s="24"/>
      <c r="AZ71" s="24"/>
      <c r="BA71" s="24"/>
      <c r="BB71" s="24"/>
      <c r="BC71" s="25"/>
      <c r="BD71" s="25"/>
      <c r="BF71" s="23"/>
      <c r="BG71" s="23"/>
    </row>
    <row r="72" spans="10:59" ht="24" customHeight="1" thickBot="1">
      <c r="L72" s="588" t="s">
        <v>191</v>
      </c>
      <c r="M72" s="589">
        <f t="shared" ref="M72" si="38">SUM(M62:M71)</f>
        <v>162</v>
      </c>
      <c r="N72" s="444">
        <f>SUM(N62:N71)</f>
        <v>1</v>
      </c>
      <c r="O72" s="444">
        <f t="shared" ref="O72" si="39">SUM(O62:O71)</f>
        <v>0</v>
      </c>
      <c r="P72" s="444">
        <f>SUM(P62:P71)</f>
        <v>7.45</v>
      </c>
      <c r="Q72" s="444">
        <f>SUM(Q62:Q71)</f>
        <v>0</v>
      </c>
      <c r="R72" s="444"/>
      <c r="S72" s="444">
        <f t="shared" ref="S72" si="40">SUM(S62:S71)</f>
        <v>0</v>
      </c>
      <c r="T72" s="630">
        <f>SUM(T62:T71)</f>
        <v>170.45000000000002</v>
      </c>
      <c r="U72" s="631">
        <f>SUM(U62:U71)</f>
        <v>25</v>
      </c>
      <c r="V72" s="466"/>
      <c r="W72" s="466"/>
      <c r="X72" s="466"/>
      <c r="Y72" s="465"/>
      <c r="Z72" s="466">
        <v>310</v>
      </c>
      <c r="AA72" s="466"/>
      <c r="AB72" s="466"/>
      <c r="AC72" s="465"/>
      <c r="AD72" s="466"/>
      <c r="AG72" s="26">
        <v>20</v>
      </c>
      <c r="AH72" s="24">
        <v>18</v>
      </c>
      <c r="AK72" s="49"/>
      <c r="AL72" s="24"/>
      <c r="AM72" s="26"/>
      <c r="AN72" s="26"/>
      <c r="AY72" s="24"/>
      <c r="AZ72" s="24"/>
      <c r="BA72" s="24"/>
      <c r="BB72" s="24"/>
      <c r="BC72" s="25"/>
      <c r="BD72" s="25"/>
      <c r="BF72" s="23"/>
      <c r="BG72" s="23"/>
    </row>
    <row r="73" spans="10:59" ht="24" customHeight="1" thickBot="1">
      <c r="L73" s="1932" t="s">
        <v>221</v>
      </c>
      <c r="M73" s="1932"/>
      <c r="N73" s="1932"/>
      <c r="O73" s="1932"/>
      <c r="P73" s="1932"/>
      <c r="Q73" s="1932"/>
      <c r="R73" s="1932"/>
      <c r="S73" s="1932"/>
      <c r="T73" s="1933">
        <f>T72+U72</f>
        <v>195.45000000000002</v>
      </c>
      <c r="U73" s="1934"/>
      <c r="V73" s="466"/>
      <c r="W73" s="466"/>
      <c r="X73" s="466"/>
      <c r="Y73" s="465"/>
      <c r="Z73" s="466">
        <v>515</v>
      </c>
      <c r="AA73" s="466"/>
      <c r="AB73" s="466"/>
      <c r="AC73" s="465"/>
      <c r="AD73" s="466"/>
      <c r="AG73" s="26">
        <v>18</v>
      </c>
      <c r="AH73" s="24"/>
      <c r="AK73" s="49"/>
      <c r="AL73" s="24"/>
      <c r="AM73" s="26"/>
      <c r="AN73" s="26"/>
      <c r="AY73" s="24"/>
      <c r="AZ73" s="24"/>
      <c r="BA73" s="24"/>
      <c r="BB73" s="24"/>
      <c r="BC73" s="25"/>
      <c r="BD73" s="25"/>
      <c r="BF73" s="23"/>
      <c r="BG73" s="23"/>
    </row>
    <row r="74" spans="10:59" ht="31.5" customHeight="1">
      <c r="L74" s="966"/>
      <c r="M74" s="966"/>
      <c r="N74" s="966"/>
      <c r="O74" s="1922" t="s">
        <v>235</v>
      </c>
      <c r="P74" s="1922"/>
      <c r="Q74" s="1922"/>
      <c r="R74" s="1922"/>
      <c r="S74" s="1922"/>
      <c r="T74" s="1939">
        <v>187</v>
      </c>
      <c r="U74" s="1939"/>
      <c r="V74" s="466"/>
      <c r="W74" s="466"/>
      <c r="X74" s="466"/>
      <c r="Y74" s="465"/>
      <c r="Z74" s="466"/>
      <c r="AA74" s="466"/>
      <c r="AB74" s="466"/>
      <c r="AC74" s="465"/>
      <c r="AD74" s="466"/>
      <c r="AG74" s="26">
        <v>10</v>
      </c>
      <c r="AH74" s="24"/>
      <c r="AK74" s="49"/>
      <c r="AL74" s="24"/>
      <c r="AM74" s="26"/>
      <c r="AN74" s="26"/>
      <c r="AP74" s="24"/>
      <c r="AQ74" s="26"/>
      <c r="AR74" s="26"/>
      <c r="AT74" s="24"/>
      <c r="AU74" s="26"/>
      <c r="AV74" s="26"/>
      <c r="AW74" s="50"/>
      <c r="AX74" s="50"/>
      <c r="AY74" s="26"/>
      <c r="AZ74" s="26"/>
      <c r="BA74" s="24"/>
      <c r="BB74" s="24"/>
      <c r="BC74" s="25"/>
      <c r="BD74" s="25"/>
      <c r="BF74" s="23"/>
      <c r="BG74" s="23"/>
    </row>
    <row r="75" spans="10:59" ht="27" customHeight="1">
      <c r="L75" s="26"/>
      <c r="M75" s="26"/>
      <c r="N75" s="24"/>
      <c r="P75" s="26"/>
      <c r="Q75" s="26"/>
      <c r="R75" s="24"/>
      <c r="T75" s="26"/>
      <c r="U75" s="26"/>
      <c r="V75" s="24"/>
      <c r="W75" s="466"/>
      <c r="X75" s="466"/>
      <c r="Y75" s="466"/>
      <c r="Z75" s="465"/>
      <c r="AA75" s="466"/>
      <c r="AB75" s="466"/>
      <c r="AC75" s="466"/>
      <c r="AD75" s="465"/>
      <c r="AE75" s="466"/>
      <c r="AN75" s="26"/>
      <c r="AO75" s="26"/>
      <c r="AP75" s="24"/>
      <c r="AR75" s="26"/>
      <c r="AS75" s="26"/>
      <c r="AT75" s="24"/>
      <c r="AV75" s="26"/>
      <c r="AW75" s="26"/>
      <c r="AX75" s="50"/>
      <c r="AZ75" s="26"/>
      <c r="BA75" s="26"/>
      <c r="BB75" s="24"/>
      <c r="BD75" s="25"/>
      <c r="BE75" s="25"/>
      <c r="BF75" s="24"/>
      <c r="BG75" s="23"/>
    </row>
    <row r="76" spans="10:59" ht="27" customHeight="1">
      <c r="L76" s="26"/>
      <c r="M76" s="26"/>
      <c r="N76" s="24"/>
      <c r="P76" s="26"/>
      <c r="Q76" s="26"/>
      <c r="R76" s="24"/>
      <c r="T76" s="26"/>
      <c r="U76" s="26"/>
      <c r="V76" s="24"/>
      <c r="W76" s="466"/>
      <c r="X76" s="466"/>
      <c r="Y76" s="466"/>
      <c r="Z76" s="465"/>
      <c r="AA76" s="466"/>
      <c r="AB76" s="466"/>
      <c r="AC76" s="466"/>
      <c r="AD76" s="465"/>
      <c r="AE76" s="466"/>
      <c r="AN76" s="26"/>
      <c r="AO76" s="26"/>
      <c r="AP76" s="24"/>
      <c r="AR76" s="26"/>
      <c r="AS76" s="26"/>
      <c r="AT76" s="24"/>
      <c r="AV76" s="26"/>
      <c r="AW76" s="26"/>
      <c r="AX76" s="50"/>
      <c r="AZ76" s="26"/>
      <c r="BA76" s="26"/>
      <c r="BB76" s="24"/>
      <c r="BD76" s="25"/>
      <c r="BE76" s="25"/>
      <c r="BF76" s="24"/>
      <c r="BG76" s="23"/>
    </row>
    <row r="77" spans="10:59" ht="15" customHeight="1">
      <c r="L77" s="26"/>
      <c r="M77" s="26"/>
      <c r="N77" s="24"/>
      <c r="P77" s="26"/>
      <c r="Q77" s="26"/>
      <c r="R77" s="24"/>
      <c r="T77" s="26"/>
      <c r="U77" s="26"/>
      <c r="V77" s="24"/>
      <c r="W77" s="466"/>
      <c r="X77" s="466"/>
      <c r="Y77" s="466"/>
      <c r="Z77" s="465"/>
      <c r="AA77" s="466"/>
      <c r="AB77" s="466"/>
      <c r="AC77" s="466"/>
      <c r="AD77" s="465"/>
      <c r="AE77" s="466"/>
      <c r="AN77" s="26"/>
      <c r="AO77" s="26"/>
      <c r="AP77" s="24"/>
      <c r="AR77" s="26"/>
      <c r="AS77" s="26"/>
      <c r="AT77" s="24"/>
      <c r="AV77" s="26"/>
      <c r="AW77" s="26"/>
      <c r="AX77" s="50"/>
      <c r="AZ77" s="26"/>
      <c r="BA77" s="26"/>
      <c r="BB77" s="24"/>
      <c r="BD77" s="25"/>
      <c r="BE77" s="25"/>
      <c r="BF77" s="24"/>
      <c r="BG77" s="23"/>
    </row>
    <row r="78" spans="10:59" ht="15" customHeight="1">
      <c r="L78" s="26"/>
      <c r="M78" s="26"/>
      <c r="N78" s="24"/>
      <c r="P78" s="26"/>
      <c r="Q78" s="26"/>
      <c r="R78" s="24"/>
      <c r="T78" s="26"/>
      <c r="U78" s="26"/>
      <c r="V78" s="24"/>
      <c r="W78" s="466"/>
      <c r="X78" s="466"/>
      <c r="Y78" s="466"/>
      <c r="Z78" s="465"/>
      <c r="AA78" s="466"/>
      <c r="AB78" s="466"/>
      <c r="AC78" s="466"/>
      <c r="AD78" s="465"/>
      <c r="AE78" s="466"/>
      <c r="AN78" s="26"/>
      <c r="AO78" s="26"/>
      <c r="AP78" s="24"/>
      <c r="AR78" s="26"/>
      <c r="AS78" s="26"/>
      <c r="AT78" s="24"/>
      <c r="AV78" s="26"/>
      <c r="AW78" s="26"/>
      <c r="AX78" s="50"/>
      <c r="AZ78" s="26"/>
      <c r="BA78" s="26"/>
      <c r="BB78" s="24"/>
      <c r="BD78" s="25"/>
      <c r="BE78" s="25"/>
      <c r="BF78" s="24"/>
      <c r="BG78" s="23"/>
    </row>
    <row r="79" spans="10:59" ht="15" customHeight="1">
      <c r="L79" s="26"/>
      <c r="M79" s="26"/>
      <c r="N79" s="24"/>
      <c r="P79" s="26"/>
      <c r="Q79" s="26"/>
      <c r="R79" s="24"/>
      <c r="T79" s="26"/>
      <c r="U79" s="26"/>
      <c r="V79" s="24"/>
      <c r="X79" s="26"/>
      <c r="Y79" s="26"/>
      <c r="Z79" s="24"/>
      <c r="AB79" s="26"/>
      <c r="AC79" s="26"/>
      <c r="AD79" s="24"/>
      <c r="AF79" s="26"/>
      <c r="AG79" s="26"/>
      <c r="AH79" s="24"/>
      <c r="AJ79" s="49"/>
      <c r="AK79" s="49"/>
      <c r="AL79" s="24"/>
      <c r="AN79" s="26"/>
      <c r="AO79" s="26"/>
      <c r="AP79" s="24"/>
      <c r="AR79" s="26"/>
      <c r="AS79" s="26"/>
      <c r="AT79" s="24"/>
      <c r="AV79" s="26"/>
      <c r="AW79" s="26"/>
      <c r="AX79" s="50"/>
      <c r="AZ79" s="26"/>
      <c r="BA79" s="26"/>
      <c r="BB79" s="24"/>
      <c r="BD79" s="25"/>
      <c r="BE79" s="25"/>
      <c r="BF79" s="24"/>
      <c r="BG79" s="23"/>
    </row>
    <row r="80" spans="10:59" ht="15" customHeight="1">
      <c r="L80" s="26"/>
      <c r="M80" s="26"/>
      <c r="N80" s="24"/>
      <c r="P80" s="26"/>
      <c r="Q80" s="26"/>
      <c r="R80" s="24"/>
      <c r="T80" s="26"/>
      <c r="U80" s="26"/>
      <c r="V80" s="24"/>
      <c r="X80" s="26"/>
      <c r="Y80" s="26"/>
      <c r="Z80" s="24"/>
      <c r="AB80" s="26"/>
      <c r="AC80" s="26"/>
      <c r="AD80" s="24"/>
      <c r="AF80" s="26"/>
      <c r="AG80" s="26"/>
      <c r="AH80" s="24"/>
      <c r="AJ80" s="49"/>
      <c r="AK80" s="49"/>
      <c r="AL80" s="24"/>
      <c r="AN80" s="26"/>
      <c r="AO80" s="26"/>
      <c r="AP80" s="24"/>
      <c r="AR80" s="26"/>
      <c r="AS80" s="26"/>
      <c r="AT80" s="24"/>
      <c r="AV80" s="26"/>
      <c r="AW80" s="26"/>
      <c r="AX80" s="50"/>
      <c r="AZ80" s="26"/>
      <c r="BA80" s="26"/>
      <c r="BB80" s="24"/>
      <c r="BD80" s="25"/>
      <c r="BE80" s="25"/>
      <c r="BF80" s="24"/>
      <c r="BG80" s="23"/>
    </row>
    <row r="81" spans="12:21" ht="15" customHeight="1">
      <c r="L81" s="26"/>
      <c r="M81" s="26"/>
      <c r="N81" s="24"/>
      <c r="P81" s="26"/>
      <c r="Q81" s="26"/>
      <c r="R81" s="24"/>
      <c r="T81" s="26"/>
      <c r="U81" s="26"/>
    </row>
    <row r="82" spans="12:21" ht="15" customHeight="1"/>
    <row r="83" spans="12:21" ht="15" customHeight="1"/>
    <row r="84" spans="12:21" ht="15" customHeight="1"/>
    <row r="85" spans="12:21" ht="15" customHeight="1"/>
    <row r="86" spans="12:21" ht="15" customHeight="1"/>
    <row r="87" spans="12:21" ht="15" customHeight="1"/>
    <row r="88" spans="12:21" ht="15" customHeight="1"/>
    <row r="89" spans="12:21" ht="15" customHeight="1"/>
    <row r="90" spans="12:21" ht="15" customHeight="1"/>
    <row r="91" spans="12:21" ht="15" customHeight="1"/>
    <row r="92" spans="12:21" ht="15" customHeight="1"/>
    <row r="93" spans="12:21" ht="15" customHeight="1"/>
    <row r="94" spans="12:21" ht="15" customHeight="1"/>
    <row r="95" spans="12:21" ht="15" customHeight="1"/>
    <row r="96" spans="12:21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</sheetData>
  <mergeCells count="62">
    <mergeCell ref="L60:U60"/>
    <mergeCell ref="L73:S73"/>
    <mergeCell ref="T73:U73"/>
    <mergeCell ref="O74:S74"/>
    <mergeCell ref="T74:U74"/>
    <mergeCell ref="H15:H23"/>
    <mergeCell ref="H24:I24"/>
    <mergeCell ref="H26:I26"/>
    <mergeCell ref="C14:D14"/>
    <mergeCell ref="V58:AC58"/>
    <mergeCell ref="L31:S31"/>
    <mergeCell ref="V31:AD31"/>
    <mergeCell ref="L45:T45"/>
    <mergeCell ref="V45:AE45"/>
    <mergeCell ref="AD58:AE58"/>
    <mergeCell ref="O58:R58"/>
    <mergeCell ref="S58:T58"/>
    <mergeCell ref="Y59:AC59"/>
    <mergeCell ref="AD59:AE59"/>
    <mergeCell ref="C2:F2"/>
    <mergeCell ref="H2:K2"/>
    <mergeCell ref="N2:AZ2"/>
    <mergeCell ref="C6:C9"/>
    <mergeCell ref="H6:H9"/>
    <mergeCell ref="D4:F4"/>
    <mergeCell ref="H4:I5"/>
    <mergeCell ref="C5:D5"/>
    <mergeCell ref="H10:I10"/>
    <mergeCell ref="H13:I14"/>
    <mergeCell ref="D13:F13"/>
    <mergeCell ref="C15:C24"/>
    <mergeCell ref="H12:BI12"/>
    <mergeCell ref="BB2:BI2"/>
    <mergeCell ref="H3:BI3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J13:M13"/>
    <mergeCell ref="N13:Q13"/>
    <mergeCell ref="R13:U13"/>
    <mergeCell ref="V13:Y13"/>
    <mergeCell ref="Z13:AC13"/>
    <mergeCell ref="AD13:AG13"/>
    <mergeCell ref="AH13:AK13"/>
    <mergeCell ref="AL13:AO13"/>
    <mergeCell ref="AP13:AS13"/>
    <mergeCell ref="AT13:AW13"/>
    <mergeCell ref="AX13:BA13"/>
    <mergeCell ref="BB13:BE13"/>
    <mergeCell ref="BF13:BI13"/>
    <mergeCell ref="BC27:BC28"/>
    <mergeCell ref="BH27:BI27"/>
  </mergeCells>
  <conditionalFormatting sqref="M47:R56">
    <cfRule type="cellIs" dxfId="65" priority="2" operator="equal">
      <formula>0</formula>
    </cfRule>
  </conditionalFormatting>
  <conditionalFormatting sqref="M62:R71">
    <cfRule type="cellIs" dxfId="64" priority="1" operator="equal">
      <formula>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2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BJ81"/>
  <sheetViews>
    <sheetView showGridLines="0" topLeftCell="I1" zoomScale="57" zoomScaleNormal="57" workbookViewId="0">
      <pane xSplit="1" topLeftCell="AH1" activePane="topRight" state="frozen"/>
      <selection activeCell="I1" sqref="I1"/>
      <selection pane="topRight" activeCell="BI34" sqref="BI34"/>
    </sheetView>
  </sheetViews>
  <sheetFormatPr defaultColWidth="9.140625" defaultRowHeight="18.75"/>
  <cols>
    <col min="1" max="2" width="9.140625" style="23" hidden="1" customWidth="1"/>
    <col min="3" max="3" width="14.5703125" style="23" hidden="1" customWidth="1"/>
    <col min="4" max="4" width="11.42578125" style="27" hidden="1" customWidth="1"/>
    <col min="5" max="5" width="6.85546875" style="27" hidden="1" customWidth="1"/>
    <col min="6" max="6" width="9.140625" style="27" hidden="1" customWidth="1"/>
    <col min="7" max="7" width="3.42578125" style="23" hidden="1" customWidth="1"/>
    <col min="8" max="8" width="6.140625" style="23" customWidth="1"/>
    <col min="9" max="9" width="15.28515625" style="27" bestFit="1" customWidth="1"/>
    <col min="10" max="10" width="11.5703125" style="26" customWidth="1"/>
    <col min="11" max="11" width="9.140625" style="24" customWidth="1"/>
    <col min="12" max="12" width="12.85546875" style="24" customWidth="1"/>
    <col min="13" max="13" width="11.85546875" style="24" customWidth="1"/>
    <col min="14" max="14" width="11.85546875" style="26" customWidth="1"/>
    <col min="15" max="17" width="11.85546875" style="24" customWidth="1"/>
    <col min="18" max="18" width="11.85546875" style="26" customWidth="1"/>
    <col min="19" max="19" width="11.5703125" style="24" customWidth="1"/>
    <col min="20" max="20" width="11.42578125" style="24" customWidth="1"/>
    <col min="21" max="21" width="11.85546875" style="24" bestFit="1" customWidth="1"/>
    <col min="22" max="22" width="13.7109375" style="26" bestFit="1" customWidth="1"/>
    <col min="23" max="23" width="12.140625" style="24" bestFit="1" customWidth="1"/>
    <col min="24" max="25" width="10.85546875" style="24" customWidth="1"/>
    <col min="26" max="26" width="10.85546875" style="26" customWidth="1"/>
    <col min="27" max="29" width="10.85546875" style="24" customWidth="1"/>
    <col min="30" max="30" width="11.42578125" style="26" bestFit="1" customWidth="1"/>
    <col min="31" max="31" width="11.7109375" style="24" bestFit="1" customWidth="1"/>
    <col min="32" max="32" width="10.5703125" style="24" bestFit="1" customWidth="1"/>
    <col min="33" max="33" width="10.5703125" style="24" customWidth="1"/>
    <col min="34" max="34" width="11.5703125" style="26" bestFit="1" customWidth="1"/>
    <col min="35" max="35" width="14.7109375" style="24" bestFit="1" customWidth="1"/>
    <col min="36" max="37" width="11.5703125" style="24" customWidth="1"/>
    <col min="38" max="38" width="10.5703125" style="49" customWidth="1"/>
    <col min="39" max="39" width="10.85546875" style="24" bestFit="1" customWidth="1"/>
    <col min="40" max="40" width="14.42578125" style="24" bestFit="1" customWidth="1"/>
    <col min="41" max="41" width="12" style="24" customWidth="1"/>
    <col min="42" max="42" width="8.42578125" style="26" customWidth="1"/>
    <col min="43" max="43" width="10" style="24" bestFit="1" customWidth="1"/>
    <col min="44" max="44" width="13.85546875" style="24" bestFit="1" customWidth="1"/>
    <col min="45" max="45" width="13.85546875" style="24" customWidth="1"/>
    <col min="46" max="46" width="11.7109375" style="26" customWidth="1"/>
    <col min="47" max="47" width="11.7109375" style="24" customWidth="1"/>
    <col min="48" max="48" width="10.5703125" style="24" bestFit="1" customWidth="1"/>
    <col min="49" max="49" width="10.5703125" style="24" customWidth="1"/>
    <col min="50" max="50" width="9.140625" style="26" bestFit="1" customWidth="1"/>
    <col min="51" max="51" width="9.140625" style="50" bestFit="1" customWidth="1"/>
    <col min="52" max="52" width="10.5703125" style="50" bestFit="1" customWidth="1"/>
    <col min="53" max="53" width="10.5703125" style="50" customWidth="1"/>
    <col min="54" max="54" width="10.7109375" style="26" bestFit="1" customWidth="1"/>
    <col min="55" max="55" width="12.85546875" style="24" bestFit="1" customWidth="1"/>
    <col min="56" max="56" width="10.5703125" style="24" bestFit="1" customWidth="1"/>
    <col min="57" max="57" width="10.5703125" style="24" customWidth="1"/>
    <col min="58" max="58" width="16" style="25" bestFit="1" customWidth="1"/>
    <col min="59" max="59" width="10.7109375" style="24" bestFit="1" customWidth="1"/>
    <col min="60" max="60" width="13" style="23" bestFit="1" customWidth="1"/>
    <col min="61" max="61" width="9.140625" style="23"/>
    <col min="62" max="62" width="9.140625" style="1058"/>
    <col min="63" max="16384" width="9.140625" style="23"/>
  </cols>
  <sheetData>
    <row r="1" spans="3:62" ht="15" customHeight="1" thickBot="1"/>
    <row r="2" spans="3:62" ht="21.75" thickBot="1">
      <c r="C2" s="1899" t="s">
        <v>45</v>
      </c>
      <c r="D2" s="1900"/>
      <c r="E2" s="1900"/>
      <c r="F2" s="1901"/>
      <c r="H2" s="1915"/>
      <c r="I2" s="1567"/>
      <c r="J2" s="1567"/>
      <c r="K2" s="1567"/>
      <c r="L2" s="1020"/>
      <c r="M2" s="1020"/>
      <c r="N2" s="1916" t="s">
        <v>249</v>
      </c>
      <c r="O2" s="1916"/>
      <c r="P2" s="1916"/>
      <c r="Q2" s="1916"/>
      <c r="R2" s="1916"/>
      <c r="S2" s="1916"/>
      <c r="T2" s="1916"/>
      <c r="U2" s="1916"/>
      <c r="V2" s="1916"/>
      <c r="W2" s="1916"/>
      <c r="X2" s="1916"/>
      <c r="Y2" s="1916"/>
      <c r="Z2" s="1916"/>
      <c r="AA2" s="1916"/>
      <c r="AB2" s="1916"/>
      <c r="AC2" s="1916"/>
      <c r="AD2" s="1916"/>
      <c r="AE2" s="1916"/>
      <c r="AF2" s="1916"/>
      <c r="AG2" s="1916"/>
      <c r="AH2" s="1916"/>
      <c r="AI2" s="1916"/>
      <c r="AJ2" s="1916"/>
      <c r="AK2" s="1916"/>
      <c r="AL2" s="1916"/>
      <c r="AM2" s="1916"/>
      <c r="AN2" s="1916"/>
      <c r="AO2" s="1916"/>
      <c r="AP2" s="1916"/>
      <c r="AQ2" s="1916"/>
      <c r="AR2" s="1916"/>
      <c r="AS2" s="1916"/>
      <c r="AT2" s="1916"/>
      <c r="AU2" s="1916"/>
      <c r="AV2" s="1916"/>
      <c r="AW2" s="1916"/>
      <c r="AX2" s="1916"/>
      <c r="AY2" s="1916"/>
      <c r="AZ2" s="1916"/>
      <c r="BA2" s="1020"/>
      <c r="BB2" s="1902" t="s">
        <v>118</v>
      </c>
      <c r="BC2" s="1903"/>
      <c r="BD2" s="1903"/>
      <c r="BE2" s="1903"/>
      <c r="BF2" s="1903"/>
      <c r="BG2" s="1903"/>
      <c r="BH2" s="1903"/>
      <c r="BI2" s="1904"/>
    </row>
    <row r="3" spans="3:62" ht="19.5" thickBot="1">
      <c r="C3" s="1019"/>
      <c r="D3" s="1017"/>
      <c r="E3" s="1017"/>
      <c r="F3" s="1023"/>
      <c r="H3" s="1905" t="s">
        <v>115</v>
      </c>
      <c r="I3" s="1906"/>
      <c r="J3" s="1906"/>
      <c r="K3" s="1906"/>
      <c r="L3" s="1906"/>
      <c r="M3" s="1906"/>
      <c r="N3" s="1906"/>
      <c r="O3" s="1906"/>
      <c r="P3" s="1906"/>
      <c r="Q3" s="1906"/>
      <c r="R3" s="1906"/>
      <c r="S3" s="1906"/>
      <c r="T3" s="1906"/>
      <c r="U3" s="1906"/>
      <c r="V3" s="1906"/>
      <c r="W3" s="1906"/>
      <c r="X3" s="1906"/>
      <c r="Y3" s="1906"/>
      <c r="Z3" s="1906"/>
      <c r="AA3" s="1906"/>
      <c r="AB3" s="1906"/>
      <c r="AC3" s="1906"/>
      <c r="AD3" s="1906"/>
      <c r="AE3" s="1906"/>
      <c r="AF3" s="1906"/>
      <c r="AG3" s="1906"/>
      <c r="AH3" s="1906"/>
      <c r="AI3" s="1906"/>
      <c r="AJ3" s="1906"/>
      <c r="AK3" s="1906"/>
      <c r="AL3" s="1906"/>
      <c r="AM3" s="1906"/>
      <c r="AN3" s="1906"/>
      <c r="AO3" s="1906"/>
      <c r="AP3" s="1906"/>
      <c r="AQ3" s="1906"/>
      <c r="AR3" s="1906"/>
      <c r="AS3" s="1906"/>
      <c r="AT3" s="1906"/>
      <c r="AU3" s="1906"/>
      <c r="AV3" s="1906"/>
      <c r="AW3" s="1906"/>
      <c r="AX3" s="1906"/>
      <c r="AY3" s="1906"/>
      <c r="AZ3" s="1906"/>
      <c r="BA3" s="1906"/>
      <c r="BB3" s="1906"/>
      <c r="BC3" s="1906"/>
      <c r="BD3" s="1906"/>
      <c r="BE3" s="1906"/>
      <c r="BF3" s="1906"/>
      <c r="BG3" s="1906"/>
      <c r="BH3" s="1906"/>
      <c r="BI3" s="1907"/>
    </row>
    <row r="4" spans="3:62">
      <c r="C4" s="37" t="s">
        <v>44</v>
      </c>
      <c r="D4" s="1869"/>
      <c r="E4" s="1869"/>
      <c r="F4" s="1870"/>
      <c r="H4" s="1908" t="s">
        <v>33</v>
      </c>
      <c r="I4" s="1909"/>
      <c r="J4" s="1871" t="s">
        <v>43</v>
      </c>
      <c r="K4" s="1872"/>
      <c r="L4" s="1872"/>
      <c r="M4" s="1873"/>
      <c r="N4" s="1871" t="s">
        <v>42</v>
      </c>
      <c r="O4" s="1872"/>
      <c r="P4" s="1872"/>
      <c r="Q4" s="1873"/>
      <c r="R4" s="1871" t="s">
        <v>41</v>
      </c>
      <c r="S4" s="1872"/>
      <c r="T4" s="1872"/>
      <c r="U4" s="1873"/>
      <c r="V4" s="1871" t="s">
        <v>40</v>
      </c>
      <c r="W4" s="1872"/>
      <c r="X4" s="1872"/>
      <c r="Y4" s="1873"/>
      <c r="Z4" s="1871" t="s">
        <v>39</v>
      </c>
      <c r="AA4" s="1872"/>
      <c r="AB4" s="1872"/>
      <c r="AC4" s="1873"/>
      <c r="AD4" s="1871" t="s">
        <v>38</v>
      </c>
      <c r="AE4" s="1872"/>
      <c r="AF4" s="1872"/>
      <c r="AG4" s="1873"/>
      <c r="AH4" s="1874" t="s">
        <v>122</v>
      </c>
      <c r="AI4" s="1875"/>
      <c r="AJ4" s="1875"/>
      <c r="AK4" s="1876"/>
      <c r="AL4" s="1871" t="s">
        <v>37</v>
      </c>
      <c r="AM4" s="1872"/>
      <c r="AN4" s="1872"/>
      <c r="AO4" s="1873"/>
      <c r="AP4" s="1871" t="s">
        <v>36</v>
      </c>
      <c r="AQ4" s="1872"/>
      <c r="AR4" s="1872"/>
      <c r="AS4" s="1873"/>
      <c r="AT4" s="1871" t="s">
        <v>35</v>
      </c>
      <c r="AU4" s="1872"/>
      <c r="AV4" s="1872"/>
      <c r="AW4" s="1873"/>
      <c r="AX4" s="1871" t="s">
        <v>34</v>
      </c>
      <c r="AY4" s="1872"/>
      <c r="AZ4" s="1872"/>
      <c r="BA4" s="1873"/>
      <c r="BB4" s="1874" t="s">
        <v>123</v>
      </c>
      <c r="BC4" s="1875"/>
      <c r="BD4" s="1875"/>
      <c r="BE4" s="1876"/>
      <c r="BF4" s="1877" t="s">
        <v>17</v>
      </c>
      <c r="BG4" s="1878"/>
      <c r="BH4" s="1878"/>
      <c r="BI4" s="1878"/>
      <c r="BJ4" s="1058" t="s">
        <v>290</v>
      </c>
    </row>
    <row r="5" spans="3:62" ht="15.75" customHeight="1">
      <c r="C5" s="1879" t="s">
        <v>33</v>
      </c>
      <c r="D5" s="1869"/>
      <c r="E5" s="1017" t="s">
        <v>1</v>
      </c>
      <c r="F5" s="1023" t="s">
        <v>2</v>
      </c>
      <c r="H5" s="1910"/>
      <c r="I5" s="1911"/>
      <c r="J5" s="36" t="s">
        <v>1</v>
      </c>
      <c r="K5" s="271" t="s">
        <v>2</v>
      </c>
      <c r="L5" s="693" t="s">
        <v>182</v>
      </c>
      <c r="M5" s="35" t="s">
        <v>247</v>
      </c>
      <c r="N5" s="36" t="s">
        <v>1</v>
      </c>
      <c r="O5" s="271" t="s">
        <v>2</v>
      </c>
      <c r="P5" s="693" t="s">
        <v>182</v>
      </c>
      <c r="Q5" s="35" t="s">
        <v>247</v>
      </c>
      <c r="R5" s="36" t="s">
        <v>1</v>
      </c>
      <c r="S5" s="271" t="s">
        <v>2</v>
      </c>
      <c r="T5" s="693" t="s">
        <v>182</v>
      </c>
      <c r="U5" s="35" t="s">
        <v>247</v>
      </c>
      <c r="V5" s="36" t="s">
        <v>1</v>
      </c>
      <c r="W5" s="271" t="s">
        <v>2</v>
      </c>
      <c r="X5" s="693" t="s">
        <v>182</v>
      </c>
      <c r="Y5" s="35" t="s">
        <v>247</v>
      </c>
      <c r="Z5" s="36" t="s">
        <v>1</v>
      </c>
      <c r="AA5" s="271" t="s">
        <v>2</v>
      </c>
      <c r="AB5" s="693" t="s">
        <v>182</v>
      </c>
      <c r="AC5" s="35" t="s">
        <v>247</v>
      </c>
      <c r="AD5" s="36" t="s">
        <v>1</v>
      </c>
      <c r="AE5" s="271" t="s">
        <v>2</v>
      </c>
      <c r="AF5" s="693" t="s">
        <v>182</v>
      </c>
      <c r="AG5" s="35" t="s">
        <v>247</v>
      </c>
      <c r="AH5" s="36" t="s">
        <v>1</v>
      </c>
      <c r="AI5" s="271" t="s">
        <v>2</v>
      </c>
      <c r="AJ5" s="271" t="s">
        <v>182</v>
      </c>
      <c r="AK5" s="690" t="s">
        <v>196</v>
      </c>
      <c r="AL5" s="36" t="s">
        <v>1</v>
      </c>
      <c r="AM5" s="271" t="s">
        <v>2</v>
      </c>
      <c r="AN5" s="693" t="s">
        <v>182</v>
      </c>
      <c r="AO5" s="35" t="s">
        <v>247</v>
      </c>
      <c r="AP5" s="36" t="s">
        <v>1</v>
      </c>
      <c r="AQ5" s="271" t="s">
        <v>2</v>
      </c>
      <c r="AR5" s="693" t="s">
        <v>182</v>
      </c>
      <c r="AS5" s="35" t="s">
        <v>247</v>
      </c>
      <c r="AT5" s="36" t="s">
        <v>1</v>
      </c>
      <c r="AU5" s="271" t="s">
        <v>2</v>
      </c>
      <c r="AV5" s="693" t="s">
        <v>182</v>
      </c>
      <c r="AW5" s="35" t="s">
        <v>247</v>
      </c>
      <c r="AX5" s="36" t="s">
        <v>1</v>
      </c>
      <c r="AY5" s="271" t="s">
        <v>2</v>
      </c>
      <c r="AZ5" s="693" t="s">
        <v>182</v>
      </c>
      <c r="BA5" s="35" t="s">
        <v>247</v>
      </c>
      <c r="BB5" s="36" t="s">
        <v>1</v>
      </c>
      <c r="BC5" s="271" t="s">
        <v>2</v>
      </c>
      <c r="BD5" s="271" t="s">
        <v>182</v>
      </c>
      <c r="BE5" s="690" t="s">
        <v>196</v>
      </c>
      <c r="BF5" s="274" t="s">
        <v>1</v>
      </c>
      <c r="BG5" s="275" t="s">
        <v>2</v>
      </c>
      <c r="BH5" s="275" t="s">
        <v>182</v>
      </c>
      <c r="BI5" s="698" t="s">
        <v>196</v>
      </c>
    </row>
    <row r="6" spans="3:62" s="28" customFormat="1" ht="20.100000000000001" customHeight="1">
      <c r="C6" s="1879" t="s">
        <v>19</v>
      </c>
      <c r="D6" s="1017" t="s">
        <v>32</v>
      </c>
      <c r="E6" s="1017"/>
      <c r="F6" s="1018"/>
      <c r="H6" s="1886" t="s">
        <v>32</v>
      </c>
      <c r="I6" s="33" t="s">
        <v>32</v>
      </c>
      <c r="J6" s="462">
        <v>16</v>
      </c>
      <c r="K6" s="463">
        <v>15.5</v>
      </c>
      <c r="L6" s="463">
        <v>15.5</v>
      </c>
      <c r="M6" s="691"/>
      <c r="N6" s="462">
        <v>23</v>
      </c>
      <c r="O6" s="463">
        <v>23</v>
      </c>
      <c r="P6" s="463">
        <v>23</v>
      </c>
      <c r="Q6" s="691"/>
      <c r="R6" s="462"/>
      <c r="S6" s="463"/>
      <c r="T6" s="463"/>
      <c r="U6" s="691"/>
      <c r="V6" s="462">
        <v>3</v>
      </c>
      <c r="W6" s="463">
        <v>2</v>
      </c>
      <c r="X6" s="463">
        <v>2</v>
      </c>
      <c r="Y6" s="691"/>
      <c r="Z6" s="462"/>
      <c r="AA6" s="463"/>
      <c r="AB6" s="463"/>
      <c r="AC6" s="691"/>
      <c r="AD6" s="462">
        <v>10</v>
      </c>
      <c r="AE6" s="463">
        <v>10.4</v>
      </c>
      <c r="AF6" s="463">
        <v>10.4</v>
      </c>
      <c r="AG6" s="691"/>
      <c r="AH6" s="128">
        <f>J6+N6+R6+V6+Z6+AD6</f>
        <v>52</v>
      </c>
      <c r="AI6" s="273">
        <f>K6+O6+S6+W6+AA6+AE6</f>
        <v>50.9</v>
      </c>
      <c r="AJ6" s="273">
        <f>L6+P6+T6+X6+AB6+AF6</f>
        <v>50.9</v>
      </c>
      <c r="AK6" s="694">
        <f>M6+Q6+U6+Y6+AC6+AG6</f>
        <v>0</v>
      </c>
      <c r="AL6" s="462">
        <v>5</v>
      </c>
      <c r="AM6" s="463">
        <v>1</v>
      </c>
      <c r="AN6" s="1175">
        <v>1</v>
      </c>
      <c r="AO6" s="691"/>
      <c r="AP6" s="462"/>
      <c r="AQ6" s="463"/>
      <c r="AR6" s="463"/>
      <c r="AS6" s="691"/>
      <c r="AT6" s="462"/>
      <c r="AU6" s="463">
        <v>1</v>
      </c>
      <c r="AV6" s="463">
        <v>1</v>
      </c>
      <c r="AW6" s="691"/>
      <c r="AX6" s="462">
        <v>7</v>
      </c>
      <c r="AY6" s="463">
        <v>7</v>
      </c>
      <c r="AZ6" s="463">
        <v>7</v>
      </c>
      <c r="BA6" s="691"/>
      <c r="BB6" s="128">
        <f>AL6+AP6+AT6+AX6</f>
        <v>12</v>
      </c>
      <c r="BC6" s="273">
        <f>AM6+AQ6+AU6+AY6</f>
        <v>9</v>
      </c>
      <c r="BD6" s="273">
        <f>AN6+AR6+AV6+AZ6</f>
        <v>9</v>
      </c>
      <c r="BE6" s="273">
        <f>AO6+AS6+AW6+BA6</f>
        <v>0</v>
      </c>
      <c r="BF6" s="276">
        <f>AH6+BB6</f>
        <v>64</v>
      </c>
      <c r="BG6" s="277">
        <f>AI6+BC6</f>
        <v>59.9</v>
      </c>
      <c r="BH6" s="701">
        <f>AJ6+BD6</f>
        <v>59.9</v>
      </c>
      <c r="BI6" s="699">
        <f>AK6+BE6</f>
        <v>0</v>
      </c>
      <c r="BJ6" s="1059"/>
    </row>
    <row r="7" spans="3:62" s="28" customFormat="1" ht="20.100000000000001" customHeight="1">
      <c r="C7" s="1879"/>
      <c r="D7" s="1017" t="s">
        <v>31</v>
      </c>
      <c r="E7" s="1017"/>
      <c r="F7" s="1018"/>
      <c r="H7" s="1887"/>
      <c r="I7" s="33" t="s">
        <v>31</v>
      </c>
      <c r="J7" s="462"/>
      <c r="K7" s="463"/>
      <c r="L7" s="463"/>
      <c r="M7" s="691"/>
      <c r="N7" s="462"/>
      <c r="O7" s="463"/>
      <c r="P7" s="463"/>
      <c r="Q7" s="691"/>
      <c r="R7" s="462"/>
      <c r="S7" s="463"/>
      <c r="T7" s="463"/>
      <c r="U7" s="691"/>
      <c r="V7" s="462"/>
      <c r="W7" s="463"/>
      <c r="X7" s="463"/>
      <c r="Y7" s="691"/>
      <c r="Z7" s="462"/>
      <c r="AA7" s="463"/>
      <c r="AB7" s="463"/>
      <c r="AC7" s="691"/>
      <c r="AD7" s="462"/>
      <c r="AE7" s="463"/>
      <c r="AF7" s="463"/>
      <c r="AG7" s="691"/>
      <c r="AH7" s="128">
        <f t="shared" ref="AH7:AK9" si="0">J7+N7+R7+V7+Z7+AD7</f>
        <v>0</v>
      </c>
      <c r="AI7" s="273">
        <f t="shared" si="0"/>
        <v>0</v>
      </c>
      <c r="AJ7" s="273">
        <f t="shared" si="0"/>
        <v>0</v>
      </c>
      <c r="AK7" s="694">
        <f t="shared" si="0"/>
        <v>0</v>
      </c>
      <c r="AL7" s="462"/>
      <c r="AM7" s="463"/>
      <c r="AN7" s="463"/>
      <c r="AO7" s="691"/>
      <c r="AP7" s="462"/>
      <c r="AQ7" s="463"/>
      <c r="AR7" s="463"/>
      <c r="AS7" s="691"/>
      <c r="AT7" s="462"/>
      <c r="AU7" s="463"/>
      <c r="AV7" s="463"/>
      <c r="AW7" s="691"/>
      <c r="AX7" s="462"/>
      <c r="AY7" s="463"/>
      <c r="AZ7" s="463"/>
      <c r="BA7" s="691"/>
      <c r="BB7" s="128">
        <f t="shared" ref="BB7:BE9" si="1">AL7+AP7+AT7+AX7</f>
        <v>0</v>
      </c>
      <c r="BC7" s="273">
        <f t="shared" si="1"/>
        <v>0</v>
      </c>
      <c r="BD7" s="273">
        <f t="shared" si="1"/>
        <v>0</v>
      </c>
      <c r="BE7" s="273">
        <f t="shared" si="1"/>
        <v>0</v>
      </c>
      <c r="BF7" s="276">
        <f t="shared" ref="BF7:BI9" si="2">AH7+BB7</f>
        <v>0</v>
      </c>
      <c r="BG7" s="277">
        <f t="shared" si="2"/>
        <v>0</v>
      </c>
      <c r="BH7" s="277">
        <f t="shared" si="2"/>
        <v>0</v>
      </c>
      <c r="BI7" s="699">
        <f t="shared" si="2"/>
        <v>0</v>
      </c>
      <c r="BJ7" s="1059"/>
    </row>
    <row r="8" spans="3:62" s="28" customFormat="1" ht="20.100000000000001" customHeight="1">
      <c r="C8" s="1879"/>
      <c r="D8" s="1017" t="s">
        <v>30</v>
      </c>
      <c r="E8" s="1017"/>
      <c r="F8" s="1018"/>
      <c r="H8" s="1887"/>
      <c r="I8" s="33" t="s">
        <v>30</v>
      </c>
      <c r="J8" s="462"/>
      <c r="K8" s="463"/>
      <c r="L8" s="463"/>
      <c r="M8" s="691"/>
      <c r="N8" s="462"/>
      <c r="O8" s="463"/>
      <c r="P8" s="463"/>
      <c r="Q8" s="691"/>
      <c r="R8" s="462"/>
      <c r="S8" s="463"/>
      <c r="T8" s="463"/>
      <c r="U8" s="691"/>
      <c r="V8" s="462"/>
      <c r="W8" s="463"/>
      <c r="X8" s="463"/>
      <c r="Y8" s="691"/>
      <c r="Z8" s="462"/>
      <c r="AA8" s="463"/>
      <c r="AB8" s="463"/>
      <c r="AC8" s="691"/>
      <c r="AD8" s="462">
        <v>10</v>
      </c>
      <c r="AE8" s="463"/>
      <c r="AF8" s="463"/>
      <c r="AG8" s="691"/>
      <c r="AH8" s="128">
        <f t="shared" si="0"/>
        <v>10</v>
      </c>
      <c r="AI8" s="273">
        <f t="shared" si="0"/>
        <v>0</v>
      </c>
      <c r="AJ8" s="273">
        <f t="shared" si="0"/>
        <v>0</v>
      </c>
      <c r="AK8" s="694">
        <f t="shared" si="0"/>
        <v>0</v>
      </c>
      <c r="AL8" s="462"/>
      <c r="AM8" s="463"/>
      <c r="AN8" s="463"/>
      <c r="AO8" s="691"/>
      <c r="AP8" s="462"/>
      <c r="AQ8" s="463"/>
      <c r="AR8" s="463"/>
      <c r="AS8" s="691"/>
      <c r="AT8" s="462"/>
      <c r="AU8" s="463">
        <v>1</v>
      </c>
      <c r="AV8" s="463">
        <v>1</v>
      </c>
      <c r="AW8" s="691"/>
      <c r="AX8" s="462"/>
      <c r="AY8" s="463"/>
      <c r="AZ8" s="463"/>
      <c r="BA8" s="691"/>
      <c r="BB8" s="128">
        <f t="shared" si="1"/>
        <v>0</v>
      </c>
      <c r="BC8" s="273">
        <f t="shared" si="1"/>
        <v>1</v>
      </c>
      <c r="BD8" s="273">
        <f t="shared" si="1"/>
        <v>1</v>
      </c>
      <c r="BE8" s="273">
        <f t="shared" si="1"/>
        <v>0</v>
      </c>
      <c r="BF8" s="276">
        <f t="shared" si="2"/>
        <v>10</v>
      </c>
      <c r="BG8" s="277">
        <f t="shared" si="2"/>
        <v>1</v>
      </c>
      <c r="BH8" s="277">
        <f t="shared" si="2"/>
        <v>1</v>
      </c>
      <c r="BI8" s="699">
        <f t="shared" si="2"/>
        <v>0</v>
      </c>
      <c r="BJ8" s="1059"/>
    </row>
    <row r="9" spans="3:62" s="28" customFormat="1" ht="20.100000000000001" customHeight="1">
      <c r="C9" s="1885"/>
      <c r="D9" s="1017" t="s">
        <v>29</v>
      </c>
      <c r="E9" s="1017"/>
      <c r="F9" s="1018"/>
      <c r="H9" s="1887"/>
      <c r="I9" s="33" t="s">
        <v>109</v>
      </c>
      <c r="J9" s="462">
        <v>10</v>
      </c>
      <c r="K9" s="463">
        <v>0.1</v>
      </c>
      <c r="L9" s="463">
        <v>0.1</v>
      </c>
      <c r="M9" s="691"/>
      <c r="N9" s="462"/>
      <c r="O9" s="463"/>
      <c r="P9" s="463"/>
      <c r="Q9" s="691"/>
      <c r="R9" s="462">
        <v>3</v>
      </c>
      <c r="S9" s="463"/>
      <c r="T9" s="463"/>
      <c r="U9" s="691"/>
      <c r="V9" s="462">
        <v>2</v>
      </c>
      <c r="W9" s="463">
        <v>1</v>
      </c>
      <c r="X9" s="463"/>
      <c r="Y9" s="691"/>
      <c r="Z9" s="462">
        <v>2</v>
      </c>
      <c r="AA9" s="463"/>
      <c r="AB9" s="463"/>
      <c r="AC9" s="691"/>
      <c r="AD9" s="462"/>
      <c r="AE9" s="463"/>
      <c r="AF9" s="463"/>
      <c r="AG9" s="691"/>
      <c r="AH9" s="128">
        <f t="shared" si="0"/>
        <v>17</v>
      </c>
      <c r="AI9" s="273">
        <f t="shared" si="0"/>
        <v>1.1000000000000001</v>
      </c>
      <c r="AJ9" s="273">
        <f t="shared" si="0"/>
        <v>0.1</v>
      </c>
      <c r="AK9" s="694">
        <f t="shared" si="0"/>
        <v>0</v>
      </c>
      <c r="AL9" s="462"/>
      <c r="AM9" s="463"/>
      <c r="AN9" s="463"/>
      <c r="AO9" s="691"/>
      <c r="AP9" s="462"/>
      <c r="AQ9" s="463"/>
      <c r="AR9" s="463"/>
      <c r="AS9" s="691"/>
      <c r="AT9" s="462"/>
      <c r="AU9" s="463">
        <v>0.5</v>
      </c>
      <c r="AV9" s="463">
        <v>0.5</v>
      </c>
      <c r="AW9" s="691"/>
      <c r="AX9" s="462"/>
      <c r="AY9" s="463"/>
      <c r="AZ9" s="463"/>
      <c r="BA9" s="691"/>
      <c r="BB9" s="128">
        <f t="shared" si="1"/>
        <v>0</v>
      </c>
      <c r="BC9" s="273">
        <f t="shared" si="1"/>
        <v>0.5</v>
      </c>
      <c r="BD9" s="273">
        <f t="shared" si="1"/>
        <v>0.5</v>
      </c>
      <c r="BE9" s="273">
        <f t="shared" si="1"/>
        <v>0</v>
      </c>
      <c r="BF9" s="276">
        <f t="shared" si="2"/>
        <v>17</v>
      </c>
      <c r="BG9" s="277">
        <f t="shared" si="2"/>
        <v>1.6</v>
      </c>
      <c r="BH9" s="277">
        <f t="shared" si="2"/>
        <v>0.6</v>
      </c>
      <c r="BI9" s="699">
        <f t="shared" si="2"/>
        <v>0</v>
      </c>
      <c r="BJ9" s="1059"/>
    </row>
    <row r="10" spans="3:62" s="28" customFormat="1" ht="19.5" customHeight="1" thickBot="1">
      <c r="C10" s="32"/>
      <c r="D10" s="31" t="s">
        <v>18</v>
      </c>
      <c r="E10" s="31"/>
      <c r="F10" s="30"/>
      <c r="H10" s="1865" t="s">
        <v>47</v>
      </c>
      <c r="I10" s="1866"/>
      <c r="J10" s="118">
        <f t="shared" ref="J10:BG10" si="3">SUM(J6:J9)</f>
        <v>26</v>
      </c>
      <c r="K10" s="272">
        <f t="shared" si="3"/>
        <v>15.6</v>
      </c>
      <c r="L10" s="272">
        <f t="shared" si="3"/>
        <v>15.6</v>
      </c>
      <c r="M10" s="272">
        <f t="shared" si="3"/>
        <v>0</v>
      </c>
      <c r="N10" s="118">
        <f t="shared" si="3"/>
        <v>23</v>
      </c>
      <c r="O10" s="272">
        <f t="shared" si="3"/>
        <v>23</v>
      </c>
      <c r="P10" s="272">
        <f t="shared" si="3"/>
        <v>23</v>
      </c>
      <c r="Q10" s="272">
        <f t="shared" si="3"/>
        <v>0</v>
      </c>
      <c r="R10" s="118">
        <f t="shared" si="3"/>
        <v>3</v>
      </c>
      <c r="S10" s="272">
        <f t="shared" si="3"/>
        <v>0</v>
      </c>
      <c r="T10" s="272">
        <f t="shared" si="3"/>
        <v>0</v>
      </c>
      <c r="U10" s="272">
        <f t="shared" si="3"/>
        <v>0</v>
      </c>
      <c r="V10" s="118">
        <f t="shared" si="3"/>
        <v>5</v>
      </c>
      <c r="W10" s="272">
        <f t="shared" si="3"/>
        <v>3</v>
      </c>
      <c r="X10" s="272">
        <f t="shared" si="3"/>
        <v>2</v>
      </c>
      <c r="Y10" s="272">
        <f t="shared" si="3"/>
        <v>0</v>
      </c>
      <c r="Z10" s="118">
        <f t="shared" si="3"/>
        <v>2</v>
      </c>
      <c r="AA10" s="272">
        <f t="shared" si="3"/>
        <v>0</v>
      </c>
      <c r="AB10" s="272">
        <f t="shared" si="3"/>
        <v>0</v>
      </c>
      <c r="AC10" s="272">
        <f t="shared" si="3"/>
        <v>0</v>
      </c>
      <c r="AD10" s="118">
        <f t="shared" si="3"/>
        <v>20</v>
      </c>
      <c r="AE10" s="272">
        <f t="shared" si="3"/>
        <v>10.4</v>
      </c>
      <c r="AF10" s="272">
        <f t="shared" si="3"/>
        <v>10.4</v>
      </c>
      <c r="AG10" s="272">
        <f t="shared" si="3"/>
        <v>0</v>
      </c>
      <c r="AH10" s="118">
        <f t="shared" si="3"/>
        <v>79</v>
      </c>
      <c r="AI10" s="272">
        <f t="shared" si="3"/>
        <v>52</v>
      </c>
      <c r="AJ10" s="272">
        <f>SUM(AJ6:AJ9)</f>
        <v>51</v>
      </c>
      <c r="AK10" s="695">
        <f>SUM(AK6:AK9)</f>
        <v>0</v>
      </c>
      <c r="AL10" s="118">
        <f t="shared" si="3"/>
        <v>5</v>
      </c>
      <c r="AM10" s="272">
        <f t="shared" si="3"/>
        <v>1</v>
      </c>
      <c r="AN10" s="272">
        <f t="shared" si="3"/>
        <v>1</v>
      </c>
      <c r="AO10" s="272">
        <f t="shared" si="3"/>
        <v>0</v>
      </c>
      <c r="AP10" s="118">
        <f t="shared" si="3"/>
        <v>0</v>
      </c>
      <c r="AQ10" s="272">
        <f t="shared" si="3"/>
        <v>0</v>
      </c>
      <c r="AR10" s="272">
        <f t="shared" si="3"/>
        <v>0</v>
      </c>
      <c r="AS10" s="272">
        <f t="shared" si="3"/>
        <v>0</v>
      </c>
      <c r="AT10" s="118">
        <f t="shared" si="3"/>
        <v>0</v>
      </c>
      <c r="AU10" s="272">
        <f t="shared" si="3"/>
        <v>2.5</v>
      </c>
      <c r="AV10" s="272">
        <f t="shared" si="3"/>
        <v>2.5</v>
      </c>
      <c r="AW10" s="272">
        <f t="shared" si="3"/>
        <v>0</v>
      </c>
      <c r="AX10" s="118">
        <f t="shared" si="3"/>
        <v>7</v>
      </c>
      <c r="AY10" s="272">
        <f t="shared" si="3"/>
        <v>7</v>
      </c>
      <c r="AZ10" s="272">
        <f t="shared" si="3"/>
        <v>7</v>
      </c>
      <c r="BA10" s="272">
        <f t="shared" si="3"/>
        <v>0</v>
      </c>
      <c r="BB10" s="118">
        <f t="shared" si="3"/>
        <v>12</v>
      </c>
      <c r="BC10" s="272">
        <f t="shared" si="3"/>
        <v>10.5</v>
      </c>
      <c r="BD10" s="272">
        <f t="shared" si="3"/>
        <v>10.5</v>
      </c>
      <c r="BE10" s="272">
        <f t="shared" si="3"/>
        <v>0</v>
      </c>
      <c r="BF10" s="278">
        <f t="shared" si="3"/>
        <v>91</v>
      </c>
      <c r="BG10" s="279">
        <f t="shared" si="3"/>
        <v>62.5</v>
      </c>
      <c r="BH10" s="702">
        <f>AJ10+BD10</f>
        <v>61.5</v>
      </c>
      <c r="BI10" s="700">
        <f>AK10+BE10</f>
        <v>0</v>
      </c>
      <c r="BJ10" s="1059"/>
    </row>
    <row r="11" spans="3:62" s="119" customFormat="1" ht="5.25" customHeight="1">
      <c r="D11" s="120"/>
      <c r="E11" s="120"/>
      <c r="F11" s="120"/>
      <c r="H11" s="122"/>
      <c r="I11" s="122"/>
      <c r="J11" s="125"/>
      <c r="K11" s="126"/>
      <c r="L11" s="126"/>
      <c r="M11" s="126"/>
      <c r="N11" s="125"/>
      <c r="O11" s="126"/>
      <c r="P11" s="126"/>
      <c r="Q11" s="126"/>
      <c r="R11" s="125"/>
      <c r="S11" s="126"/>
      <c r="T11" s="126"/>
      <c r="U11" s="126"/>
      <c r="V11" s="125"/>
      <c r="W11" s="126"/>
      <c r="X11" s="126"/>
      <c r="Y11" s="126"/>
      <c r="Z11" s="125"/>
      <c r="AA11" s="126"/>
      <c r="AB11" s="126"/>
      <c r="AC11" s="126"/>
      <c r="AD11" s="125"/>
      <c r="AE11" s="126"/>
      <c r="AF11" s="126"/>
      <c r="AG11" s="126"/>
      <c r="AH11" s="125"/>
      <c r="AI11" s="126"/>
      <c r="AJ11" s="126"/>
      <c r="AK11" s="126"/>
      <c r="AL11" s="125"/>
      <c r="AM11" s="126"/>
      <c r="AN11" s="126"/>
      <c r="AO11" s="126"/>
      <c r="AP11" s="125"/>
      <c r="AQ11" s="126"/>
      <c r="AR11" s="126"/>
      <c r="AS11" s="126"/>
      <c r="AT11" s="125"/>
      <c r="AU11" s="126"/>
      <c r="AV11" s="126"/>
      <c r="AW11" s="126"/>
      <c r="AX11" s="125"/>
      <c r="AY11" s="126"/>
      <c r="AZ11" s="126"/>
      <c r="BA11" s="126"/>
      <c r="BB11" s="125"/>
      <c r="BC11" s="126"/>
      <c r="BD11" s="126"/>
      <c r="BE11" s="126"/>
      <c r="BF11" s="125"/>
      <c r="BG11" s="126"/>
      <c r="BJ11" s="1060"/>
    </row>
    <row r="12" spans="3:62" ht="19.5" thickBot="1">
      <c r="C12" s="1019"/>
      <c r="D12" s="1017"/>
      <c r="E12" s="1017"/>
      <c r="F12" s="1023"/>
      <c r="H12" s="1867" t="s">
        <v>114</v>
      </c>
      <c r="I12" s="1868"/>
      <c r="J12" s="1868"/>
      <c r="K12" s="1868"/>
      <c r="L12" s="1868"/>
      <c r="M12" s="1868"/>
      <c r="N12" s="1868"/>
      <c r="O12" s="1868"/>
      <c r="P12" s="1868"/>
      <c r="Q12" s="1868"/>
      <c r="R12" s="1868"/>
      <c r="S12" s="1868"/>
      <c r="T12" s="1868"/>
      <c r="U12" s="1868"/>
      <c r="V12" s="1868"/>
      <c r="W12" s="1868"/>
      <c r="X12" s="1868"/>
      <c r="Y12" s="1868"/>
      <c r="Z12" s="1868"/>
      <c r="AA12" s="1868"/>
      <c r="AB12" s="1868"/>
      <c r="AC12" s="1868"/>
      <c r="AD12" s="1868"/>
      <c r="AE12" s="1868"/>
      <c r="AF12" s="1868"/>
      <c r="AG12" s="1868"/>
      <c r="AH12" s="1868"/>
      <c r="AI12" s="1868"/>
      <c r="AJ12" s="1868"/>
      <c r="AK12" s="1868"/>
      <c r="AL12" s="1868"/>
      <c r="AM12" s="1868"/>
      <c r="AN12" s="1868"/>
      <c r="AO12" s="1868"/>
      <c r="AP12" s="1868"/>
      <c r="AQ12" s="1868"/>
      <c r="AR12" s="1868"/>
      <c r="AS12" s="1868"/>
      <c r="AT12" s="1868"/>
      <c r="AU12" s="1868"/>
      <c r="AV12" s="1868"/>
      <c r="AW12" s="1868"/>
      <c r="AX12" s="1868"/>
      <c r="AY12" s="1868"/>
      <c r="AZ12" s="1868"/>
      <c r="BA12" s="1868"/>
      <c r="BB12" s="1868"/>
      <c r="BC12" s="1868"/>
      <c r="BD12" s="1868"/>
      <c r="BE12" s="1868"/>
      <c r="BF12" s="1868"/>
      <c r="BG12" s="1868"/>
      <c r="BH12" s="1868"/>
      <c r="BI12" s="1868"/>
    </row>
    <row r="13" spans="3:62" ht="18.75" customHeight="1">
      <c r="C13" s="37" t="s">
        <v>44</v>
      </c>
      <c r="D13" s="1869"/>
      <c r="E13" s="1869"/>
      <c r="F13" s="1870"/>
      <c r="H13" s="1895" t="s">
        <v>117</v>
      </c>
      <c r="I13" s="1896"/>
      <c r="J13" s="1890" t="s">
        <v>43</v>
      </c>
      <c r="K13" s="1891"/>
      <c r="L13" s="1891"/>
      <c r="M13" s="1892"/>
      <c r="N13" s="1890" t="s">
        <v>42</v>
      </c>
      <c r="O13" s="1891"/>
      <c r="P13" s="1891"/>
      <c r="Q13" s="1892"/>
      <c r="R13" s="1890" t="s">
        <v>41</v>
      </c>
      <c r="S13" s="1891"/>
      <c r="T13" s="1891"/>
      <c r="U13" s="1892"/>
      <c r="V13" s="1890" t="s">
        <v>40</v>
      </c>
      <c r="W13" s="1891"/>
      <c r="X13" s="1891"/>
      <c r="Y13" s="1892"/>
      <c r="Z13" s="1890" t="s">
        <v>39</v>
      </c>
      <c r="AA13" s="1891"/>
      <c r="AB13" s="1891"/>
      <c r="AC13" s="1892"/>
      <c r="AD13" s="1890" t="s">
        <v>38</v>
      </c>
      <c r="AE13" s="1891"/>
      <c r="AF13" s="1891"/>
      <c r="AG13" s="1892"/>
      <c r="AH13" s="1882" t="s">
        <v>122</v>
      </c>
      <c r="AI13" s="1883"/>
      <c r="AJ13" s="1883"/>
      <c r="AK13" s="1884"/>
      <c r="AL13" s="1890" t="s">
        <v>37</v>
      </c>
      <c r="AM13" s="1891"/>
      <c r="AN13" s="1891"/>
      <c r="AO13" s="1892"/>
      <c r="AP13" s="1890" t="s">
        <v>36</v>
      </c>
      <c r="AQ13" s="1891"/>
      <c r="AR13" s="1891"/>
      <c r="AS13" s="1892"/>
      <c r="AT13" s="1890" t="s">
        <v>35</v>
      </c>
      <c r="AU13" s="1891"/>
      <c r="AV13" s="1891"/>
      <c r="AW13" s="1892"/>
      <c r="AX13" s="1890" t="s">
        <v>34</v>
      </c>
      <c r="AY13" s="1891"/>
      <c r="AZ13" s="1891"/>
      <c r="BA13" s="1892"/>
      <c r="BB13" s="1882" t="s">
        <v>123</v>
      </c>
      <c r="BC13" s="1883"/>
      <c r="BD13" s="1883"/>
      <c r="BE13" s="1884"/>
      <c r="BF13" s="1880" t="s">
        <v>17</v>
      </c>
      <c r="BG13" s="1881"/>
      <c r="BH13" s="1881"/>
      <c r="BI13" s="1881"/>
    </row>
    <row r="14" spans="3:62" ht="27" customHeight="1">
      <c r="C14" s="1879" t="s">
        <v>33</v>
      </c>
      <c r="D14" s="1869"/>
      <c r="E14" s="1017" t="s">
        <v>1</v>
      </c>
      <c r="F14" s="1023" t="s">
        <v>2</v>
      </c>
      <c r="H14" s="1897"/>
      <c r="I14" s="1898"/>
      <c r="J14" s="36" t="s">
        <v>1</v>
      </c>
      <c r="K14" s="271" t="s">
        <v>2</v>
      </c>
      <c r="L14" s="271" t="s">
        <v>182</v>
      </c>
      <c r="M14" s="35" t="s">
        <v>247</v>
      </c>
      <c r="N14" s="36" t="s">
        <v>1</v>
      </c>
      <c r="O14" s="271" t="s">
        <v>2</v>
      </c>
      <c r="P14" s="271" t="s">
        <v>182</v>
      </c>
      <c r="Q14" s="35" t="s">
        <v>247</v>
      </c>
      <c r="R14" s="36" t="s">
        <v>1</v>
      </c>
      <c r="S14" s="271" t="s">
        <v>2</v>
      </c>
      <c r="T14" s="271" t="s">
        <v>182</v>
      </c>
      <c r="U14" s="35" t="s">
        <v>247</v>
      </c>
      <c r="V14" s="36" t="s">
        <v>1</v>
      </c>
      <c r="W14" s="271" t="s">
        <v>2</v>
      </c>
      <c r="X14" s="271" t="s">
        <v>182</v>
      </c>
      <c r="Y14" s="35" t="s">
        <v>247</v>
      </c>
      <c r="Z14" s="36" t="s">
        <v>1</v>
      </c>
      <c r="AA14" s="271" t="s">
        <v>2</v>
      </c>
      <c r="AB14" s="271" t="s">
        <v>182</v>
      </c>
      <c r="AC14" s="35" t="s">
        <v>247</v>
      </c>
      <c r="AD14" s="36" t="s">
        <v>1</v>
      </c>
      <c r="AE14" s="271" t="s">
        <v>2</v>
      </c>
      <c r="AF14" s="271" t="s">
        <v>182</v>
      </c>
      <c r="AG14" s="35" t="s">
        <v>247</v>
      </c>
      <c r="AH14" s="36" t="s">
        <v>1</v>
      </c>
      <c r="AI14" s="271" t="s">
        <v>2</v>
      </c>
      <c r="AJ14" s="271" t="s">
        <v>182</v>
      </c>
      <c r="AK14" s="690" t="s">
        <v>196</v>
      </c>
      <c r="AL14" s="36" t="s">
        <v>1</v>
      </c>
      <c r="AM14" s="271" t="s">
        <v>2</v>
      </c>
      <c r="AN14" s="271" t="s">
        <v>182</v>
      </c>
      <c r="AO14" s="35" t="s">
        <v>247</v>
      </c>
      <c r="AP14" s="36" t="s">
        <v>1</v>
      </c>
      <c r="AQ14" s="271" t="s">
        <v>2</v>
      </c>
      <c r="AR14" s="271" t="s">
        <v>182</v>
      </c>
      <c r="AS14" s="35" t="s">
        <v>247</v>
      </c>
      <c r="AT14" s="36" t="s">
        <v>1</v>
      </c>
      <c r="AU14" s="271" t="s">
        <v>2</v>
      </c>
      <c r="AV14" s="271" t="s">
        <v>182</v>
      </c>
      <c r="AW14" s="35" t="s">
        <v>247</v>
      </c>
      <c r="AX14" s="36" t="s">
        <v>1</v>
      </c>
      <c r="AY14" s="271" t="s">
        <v>2</v>
      </c>
      <c r="AZ14" s="271" t="s">
        <v>182</v>
      </c>
      <c r="BA14" s="35" t="s">
        <v>247</v>
      </c>
      <c r="BB14" s="36" t="s">
        <v>1</v>
      </c>
      <c r="BC14" s="271" t="s">
        <v>2</v>
      </c>
      <c r="BD14" s="271" t="s">
        <v>182</v>
      </c>
      <c r="BE14" s="690" t="s">
        <v>196</v>
      </c>
      <c r="BF14" s="274" t="s">
        <v>1</v>
      </c>
      <c r="BG14" s="275" t="s">
        <v>2</v>
      </c>
      <c r="BH14" s="275" t="s">
        <v>182</v>
      </c>
      <c r="BI14" s="703" t="s">
        <v>196</v>
      </c>
    </row>
    <row r="15" spans="3:62" s="28" customFormat="1" ht="20.100000000000001" customHeight="1">
      <c r="C15" s="1879" t="s">
        <v>28</v>
      </c>
      <c r="D15" s="1017" t="s">
        <v>27</v>
      </c>
      <c r="E15" s="1021"/>
      <c r="F15" s="34"/>
      <c r="H15" s="1888" t="s">
        <v>112</v>
      </c>
      <c r="I15" s="33" t="s">
        <v>27</v>
      </c>
      <c r="J15" s="462"/>
      <c r="K15" s="463"/>
      <c r="L15" s="463"/>
      <c r="M15" s="692"/>
      <c r="N15" s="462"/>
      <c r="O15" s="463"/>
      <c r="P15" s="463"/>
      <c r="Q15" s="692"/>
      <c r="R15" s="462"/>
      <c r="S15" s="463"/>
      <c r="T15" s="463"/>
      <c r="U15" s="692"/>
      <c r="V15" s="462"/>
      <c r="W15" s="463"/>
      <c r="X15" s="463"/>
      <c r="Y15" s="692"/>
      <c r="Z15" s="462"/>
      <c r="AA15" s="463"/>
      <c r="AB15" s="463"/>
      <c r="AC15" s="692"/>
      <c r="AD15" s="462"/>
      <c r="AE15" s="463"/>
      <c r="AF15" s="463"/>
      <c r="AG15" s="692"/>
      <c r="AH15" s="128">
        <f>J15+N15+R15+V15+Z15+AD15</f>
        <v>0</v>
      </c>
      <c r="AI15" s="273">
        <f>K15+O15+S15+W15+AA15+AE15</f>
        <v>0</v>
      </c>
      <c r="AJ15" s="273">
        <f>L15+P15+T15+X15+AB15+AF15</f>
        <v>0</v>
      </c>
      <c r="AK15" s="694">
        <f>M15+Q15+U15+Y15+AC15+AG15</f>
        <v>0</v>
      </c>
      <c r="AL15" s="462"/>
      <c r="AM15" s="463"/>
      <c r="AN15" s="463"/>
      <c r="AO15" s="692"/>
      <c r="AP15" s="462"/>
      <c r="AQ15" s="463"/>
      <c r="AR15" s="463"/>
      <c r="AS15" s="692"/>
      <c r="AT15" s="462"/>
      <c r="AU15" s="463"/>
      <c r="AV15" s="463"/>
      <c r="AW15" s="692"/>
      <c r="AX15" s="462"/>
      <c r="AY15" s="463"/>
      <c r="AZ15" s="463"/>
      <c r="BA15" s="692"/>
      <c r="BB15" s="128">
        <f>AL15+AP15+AT15+AX15</f>
        <v>0</v>
      </c>
      <c r="BC15" s="273">
        <f>AM15+AQ15+AU15+AY15</f>
        <v>0</v>
      </c>
      <c r="BD15" s="273">
        <f>AN15+AR15+AV15+AZ15</f>
        <v>0</v>
      </c>
      <c r="BE15" s="273">
        <f>AO15+AS15+AW15+BA15</f>
        <v>0</v>
      </c>
      <c r="BF15" s="276">
        <f t="shared" ref="BF15:BI23" si="4">AH15+BB15</f>
        <v>0</v>
      </c>
      <c r="BG15" s="277">
        <f t="shared" si="4"/>
        <v>0</v>
      </c>
      <c r="BH15" s="277">
        <f t="shared" si="4"/>
        <v>0</v>
      </c>
      <c r="BI15" s="704">
        <f t="shared" si="4"/>
        <v>0</v>
      </c>
      <c r="BJ15" s="1059"/>
    </row>
    <row r="16" spans="3:62" s="28" customFormat="1" ht="20.100000000000001" customHeight="1">
      <c r="C16" s="1879"/>
      <c r="D16" s="1017" t="s">
        <v>26</v>
      </c>
      <c r="E16" s="1017"/>
      <c r="F16" s="1018"/>
      <c r="H16" s="1889"/>
      <c r="I16" s="33" t="s">
        <v>26</v>
      </c>
      <c r="J16" s="462"/>
      <c r="K16" s="463"/>
      <c r="L16" s="463"/>
      <c r="M16" s="692"/>
      <c r="N16" s="462"/>
      <c r="O16" s="463"/>
      <c r="P16" s="463"/>
      <c r="Q16" s="692"/>
      <c r="R16" s="462"/>
      <c r="S16" s="463"/>
      <c r="T16" s="463"/>
      <c r="U16" s="692"/>
      <c r="V16" s="462"/>
      <c r="W16" s="463"/>
      <c r="X16" s="463"/>
      <c r="Y16" s="692"/>
      <c r="Z16" s="462"/>
      <c r="AA16" s="463"/>
      <c r="AB16" s="463"/>
      <c r="AC16" s="692"/>
      <c r="AD16" s="462"/>
      <c r="AE16" s="463"/>
      <c r="AF16" s="463"/>
      <c r="AG16" s="692"/>
      <c r="AH16" s="128">
        <f t="shared" ref="AH16:AK23" si="5">J16+N16+R16+V16+Z16+AD16</f>
        <v>0</v>
      </c>
      <c r="AI16" s="273">
        <f t="shared" si="5"/>
        <v>0</v>
      </c>
      <c r="AJ16" s="273">
        <f t="shared" si="5"/>
        <v>0</v>
      </c>
      <c r="AK16" s="694">
        <f t="shared" si="5"/>
        <v>0</v>
      </c>
      <c r="AL16" s="462">
        <v>22</v>
      </c>
      <c r="AM16" s="463"/>
      <c r="AN16" s="463"/>
      <c r="AO16" s="692"/>
      <c r="AP16" s="462"/>
      <c r="AQ16" s="463"/>
      <c r="AR16" s="463"/>
      <c r="AS16" s="692"/>
      <c r="AT16" s="462"/>
      <c r="AU16" s="463"/>
      <c r="AV16" s="463"/>
      <c r="AW16" s="692"/>
      <c r="AX16" s="462"/>
      <c r="AY16" s="463"/>
      <c r="AZ16" s="463"/>
      <c r="BA16" s="692"/>
      <c r="BB16" s="128">
        <f t="shared" ref="BB16:BE23" si="6">AL16+AP16+AT16+AX16</f>
        <v>22</v>
      </c>
      <c r="BC16" s="273">
        <f t="shared" si="6"/>
        <v>0</v>
      </c>
      <c r="BD16" s="273">
        <f t="shared" si="6"/>
        <v>0</v>
      </c>
      <c r="BE16" s="273">
        <f t="shared" si="6"/>
        <v>0</v>
      </c>
      <c r="BF16" s="276">
        <f t="shared" si="4"/>
        <v>22</v>
      </c>
      <c r="BG16" s="277">
        <f t="shared" si="4"/>
        <v>0</v>
      </c>
      <c r="BH16" s="277">
        <f t="shared" si="4"/>
        <v>0</v>
      </c>
      <c r="BI16" s="704">
        <f t="shared" si="4"/>
        <v>0</v>
      </c>
      <c r="BJ16" s="1059"/>
    </row>
    <row r="17" spans="3:62" s="28" customFormat="1" ht="23.25" customHeight="1">
      <c r="C17" s="1879"/>
      <c r="D17" s="1017" t="s">
        <v>25</v>
      </c>
      <c r="E17" s="1017"/>
      <c r="F17" s="1018"/>
      <c r="H17" s="1889"/>
      <c r="I17" s="33" t="s">
        <v>25</v>
      </c>
      <c r="J17" s="462"/>
      <c r="K17" s="463"/>
      <c r="L17" s="463"/>
      <c r="M17" s="692"/>
      <c r="N17" s="462"/>
      <c r="O17" s="463"/>
      <c r="P17" s="463"/>
      <c r="Q17" s="692"/>
      <c r="R17" s="462"/>
      <c r="S17" s="463"/>
      <c r="T17" s="463"/>
      <c r="U17" s="692"/>
      <c r="V17" s="462"/>
      <c r="W17" s="463"/>
      <c r="X17" s="463"/>
      <c r="Y17" s="692"/>
      <c r="Z17" s="462"/>
      <c r="AA17" s="463"/>
      <c r="AB17" s="463"/>
      <c r="AC17" s="692"/>
      <c r="AD17" s="462"/>
      <c r="AE17" s="463"/>
      <c r="AF17" s="463"/>
      <c r="AG17" s="692"/>
      <c r="AH17" s="128">
        <f t="shared" si="5"/>
        <v>0</v>
      </c>
      <c r="AI17" s="273">
        <f t="shared" si="5"/>
        <v>0</v>
      </c>
      <c r="AJ17" s="273">
        <f t="shared" si="5"/>
        <v>0</v>
      </c>
      <c r="AK17" s="694">
        <f t="shared" si="5"/>
        <v>0</v>
      </c>
      <c r="AL17" s="462"/>
      <c r="AM17" s="463"/>
      <c r="AN17" s="463"/>
      <c r="AO17" s="692"/>
      <c r="AP17" s="462"/>
      <c r="AQ17" s="463"/>
      <c r="AR17" s="463"/>
      <c r="AS17" s="692"/>
      <c r="AT17" s="462"/>
      <c r="AU17" s="463"/>
      <c r="AV17" s="463"/>
      <c r="AW17" s="692"/>
      <c r="AX17" s="462"/>
      <c r="AY17" s="463"/>
      <c r="AZ17" s="463"/>
      <c r="BA17" s="692"/>
      <c r="BB17" s="128">
        <f t="shared" si="6"/>
        <v>0</v>
      </c>
      <c r="BC17" s="273">
        <f t="shared" si="6"/>
        <v>0</v>
      </c>
      <c r="BD17" s="273">
        <f t="shared" si="6"/>
        <v>0</v>
      </c>
      <c r="BE17" s="273">
        <f t="shared" si="6"/>
        <v>0</v>
      </c>
      <c r="BF17" s="276">
        <f t="shared" si="4"/>
        <v>0</v>
      </c>
      <c r="BG17" s="277">
        <f t="shared" si="4"/>
        <v>0</v>
      </c>
      <c r="BH17" s="277">
        <f t="shared" si="4"/>
        <v>0</v>
      </c>
      <c r="BI17" s="704">
        <f t="shared" si="4"/>
        <v>0</v>
      </c>
      <c r="BJ17" s="1059"/>
    </row>
    <row r="18" spans="3:62" s="28" customFormat="1" ht="21">
      <c r="C18" s="1879"/>
      <c r="D18" s="1017" t="s">
        <v>24</v>
      </c>
      <c r="E18" s="1017"/>
      <c r="F18" s="1018"/>
      <c r="H18" s="1889"/>
      <c r="I18" s="33" t="s">
        <v>24</v>
      </c>
      <c r="J18" s="462"/>
      <c r="K18" s="463"/>
      <c r="L18" s="463"/>
      <c r="M18" s="692"/>
      <c r="N18" s="462"/>
      <c r="O18" s="463"/>
      <c r="P18" s="463"/>
      <c r="Q18" s="692"/>
      <c r="R18" s="462"/>
      <c r="S18" s="463"/>
      <c r="T18" s="463"/>
      <c r="U18" s="692"/>
      <c r="V18" s="462"/>
      <c r="W18" s="463"/>
      <c r="X18" s="463"/>
      <c r="Y18" s="692"/>
      <c r="Z18" s="462"/>
      <c r="AA18" s="463"/>
      <c r="AB18" s="463"/>
      <c r="AC18" s="692"/>
      <c r="AD18" s="462"/>
      <c r="AE18" s="463"/>
      <c r="AF18" s="463"/>
      <c r="AG18" s="692"/>
      <c r="AH18" s="128">
        <f t="shared" si="5"/>
        <v>0</v>
      </c>
      <c r="AI18" s="273">
        <f t="shared" si="5"/>
        <v>0</v>
      </c>
      <c r="AJ18" s="273">
        <f t="shared" si="5"/>
        <v>0</v>
      </c>
      <c r="AK18" s="694">
        <f t="shared" si="5"/>
        <v>0</v>
      </c>
      <c r="AL18" s="462"/>
      <c r="AM18" s="463"/>
      <c r="AN18" s="463"/>
      <c r="AO18" s="692"/>
      <c r="AP18" s="462"/>
      <c r="AQ18" s="463"/>
      <c r="AR18" s="463"/>
      <c r="AS18" s="692"/>
      <c r="AT18" s="462"/>
      <c r="AU18" s="463"/>
      <c r="AV18" s="463"/>
      <c r="AW18" s="692"/>
      <c r="AX18" s="462"/>
      <c r="AY18" s="463"/>
      <c r="AZ18" s="463"/>
      <c r="BA18" s="692"/>
      <c r="BB18" s="128">
        <f t="shared" si="6"/>
        <v>0</v>
      </c>
      <c r="BC18" s="273">
        <f t="shared" si="6"/>
        <v>0</v>
      </c>
      <c r="BD18" s="273">
        <f t="shared" si="6"/>
        <v>0</v>
      </c>
      <c r="BE18" s="273">
        <f t="shared" si="6"/>
        <v>0</v>
      </c>
      <c r="BF18" s="276">
        <f t="shared" si="4"/>
        <v>0</v>
      </c>
      <c r="BG18" s="277">
        <f t="shared" si="4"/>
        <v>0</v>
      </c>
      <c r="BH18" s="277">
        <f t="shared" si="4"/>
        <v>0</v>
      </c>
      <c r="BI18" s="704">
        <f t="shared" si="4"/>
        <v>0</v>
      </c>
      <c r="BJ18" s="1059"/>
    </row>
    <row r="19" spans="3:62" s="28" customFormat="1" ht="19.5" customHeight="1">
      <c r="C19" s="1879"/>
      <c r="D19" s="1017" t="s">
        <v>23</v>
      </c>
      <c r="E19" s="1017"/>
      <c r="F19" s="1018"/>
      <c r="H19" s="1889"/>
      <c r="I19" s="33" t="s">
        <v>23</v>
      </c>
      <c r="J19" s="462"/>
      <c r="K19" s="463"/>
      <c r="L19" s="463"/>
      <c r="M19" s="692"/>
      <c r="N19" s="462"/>
      <c r="O19" s="463"/>
      <c r="P19" s="463"/>
      <c r="Q19" s="692"/>
      <c r="R19" s="462"/>
      <c r="S19" s="463"/>
      <c r="T19" s="463"/>
      <c r="U19" s="692"/>
      <c r="V19" s="462"/>
      <c r="W19" s="463"/>
      <c r="X19" s="463"/>
      <c r="Y19" s="692"/>
      <c r="Z19" s="462"/>
      <c r="AA19" s="463"/>
      <c r="AB19" s="463"/>
      <c r="AC19" s="692"/>
      <c r="AD19" s="462"/>
      <c r="AE19" s="463"/>
      <c r="AF19" s="463"/>
      <c r="AG19" s="692"/>
      <c r="AH19" s="128">
        <f t="shared" si="5"/>
        <v>0</v>
      </c>
      <c r="AI19" s="273">
        <f t="shared" si="5"/>
        <v>0</v>
      </c>
      <c r="AJ19" s="273">
        <f t="shared" si="5"/>
        <v>0</v>
      </c>
      <c r="AK19" s="694">
        <f t="shared" si="5"/>
        <v>0</v>
      </c>
      <c r="AL19" s="1012"/>
      <c r="AM19" s="463"/>
      <c r="AN19" s="463"/>
      <c r="AO19" s="692"/>
      <c r="AP19" s="462"/>
      <c r="AQ19" s="463"/>
      <c r="AR19" s="463"/>
      <c r="AS19" s="692"/>
      <c r="AT19" s="462"/>
      <c r="AU19" s="463"/>
      <c r="AV19" s="463"/>
      <c r="AW19" s="692"/>
      <c r="AX19" s="462"/>
      <c r="AY19" s="463"/>
      <c r="AZ19" s="463"/>
      <c r="BA19" s="692"/>
      <c r="BB19" s="128">
        <f t="shared" si="6"/>
        <v>0</v>
      </c>
      <c r="BC19" s="273">
        <f t="shared" si="6"/>
        <v>0</v>
      </c>
      <c r="BD19" s="273">
        <f t="shared" si="6"/>
        <v>0</v>
      </c>
      <c r="BE19" s="273">
        <f t="shared" si="6"/>
        <v>0</v>
      </c>
      <c r="BF19" s="276">
        <f t="shared" si="4"/>
        <v>0</v>
      </c>
      <c r="BG19" s="277">
        <f t="shared" si="4"/>
        <v>0</v>
      </c>
      <c r="BH19" s="277">
        <f t="shared" si="4"/>
        <v>0</v>
      </c>
      <c r="BI19" s="704">
        <f t="shared" si="4"/>
        <v>0</v>
      </c>
      <c r="BJ19" s="1059"/>
    </row>
    <row r="20" spans="3:62" s="28" customFormat="1" ht="19.5" customHeight="1">
      <c r="C20" s="1879"/>
      <c r="D20" s="1017" t="s">
        <v>22</v>
      </c>
      <c r="E20" s="1017"/>
      <c r="F20" s="1018"/>
      <c r="H20" s="1889"/>
      <c r="I20" s="33" t="s">
        <v>22</v>
      </c>
      <c r="J20" s="462"/>
      <c r="K20" s="463"/>
      <c r="L20" s="463"/>
      <c r="M20" s="692">
        <v>10</v>
      </c>
      <c r="N20" s="462"/>
      <c r="O20" s="463"/>
      <c r="P20" s="463"/>
      <c r="Q20" s="692">
        <v>9.3800000000000008</v>
      </c>
      <c r="R20" s="462"/>
      <c r="S20" s="463"/>
      <c r="T20" s="463"/>
      <c r="U20" s="692"/>
      <c r="V20" s="462"/>
      <c r="W20" s="463"/>
      <c r="X20" s="463"/>
      <c r="Y20" s="692"/>
      <c r="Z20" s="462"/>
      <c r="AA20" s="463"/>
      <c r="AB20" s="463"/>
      <c r="AC20" s="692"/>
      <c r="AD20" s="462"/>
      <c r="AE20" s="463"/>
      <c r="AF20" s="463"/>
      <c r="AG20" s="692"/>
      <c r="AH20" s="128">
        <f t="shared" si="5"/>
        <v>0</v>
      </c>
      <c r="AI20" s="273">
        <f t="shared" si="5"/>
        <v>0</v>
      </c>
      <c r="AJ20" s="273">
        <f t="shared" si="5"/>
        <v>0</v>
      </c>
      <c r="AK20" s="694">
        <f t="shared" si="5"/>
        <v>19.380000000000003</v>
      </c>
      <c r="AL20" s="462"/>
      <c r="AM20" s="463"/>
      <c r="AN20" s="463"/>
      <c r="AO20" s="692">
        <v>23</v>
      </c>
      <c r="AP20" s="462"/>
      <c r="AQ20" s="463"/>
      <c r="AR20" s="463"/>
      <c r="AS20" s="692">
        <v>3.97</v>
      </c>
      <c r="AT20" s="462">
        <v>20</v>
      </c>
      <c r="AU20" s="463">
        <v>20</v>
      </c>
      <c r="AV20" s="463"/>
      <c r="AW20" s="692">
        <v>8</v>
      </c>
      <c r="AX20" s="462"/>
      <c r="AY20" s="463"/>
      <c r="AZ20" s="463"/>
      <c r="BA20" s="692"/>
      <c r="BB20" s="128">
        <f t="shared" si="6"/>
        <v>20</v>
      </c>
      <c r="BC20" s="273">
        <f t="shared" si="6"/>
        <v>20</v>
      </c>
      <c r="BD20" s="273">
        <f t="shared" si="6"/>
        <v>0</v>
      </c>
      <c r="BE20" s="273">
        <f t="shared" si="6"/>
        <v>34.97</v>
      </c>
      <c r="BF20" s="276">
        <f t="shared" si="4"/>
        <v>20</v>
      </c>
      <c r="BG20" s="277">
        <f t="shared" si="4"/>
        <v>20</v>
      </c>
      <c r="BH20" s="277">
        <f t="shared" si="4"/>
        <v>0</v>
      </c>
      <c r="BI20" s="704">
        <f t="shared" si="4"/>
        <v>54.35</v>
      </c>
      <c r="BJ20" s="1059"/>
    </row>
    <row r="21" spans="3:62" s="28" customFormat="1" ht="20.100000000000001" customHeight="1">
      <c r="C21" s="1885"/>
      <c r="D21" s="1017"/>
      <c r="E21" s="1017"/>
      <c r="F21" s="1018"/>
      <c r="H21" s="1889"/>
      <c r="I21" s="33" t="s">
        <v>21</v>
      </c>
      <c r="J21" s="462"/>
      <c r="K21" s="463"/>
      <c r="L21" s="463"/>
      <c r="M21" s="692"/>
      <c r="N21" s="462"/>
      <c r="O21" s="463"/>
      <c r="P21" s="463"/>
      <c r="Q21" s="692"/>
      <c r="R21" s="462"/>
      <c r="S21" s="463"/>
      <c r="T21" s="463"/>
      <c r="U21" s="692"/>
      <c r="V21" s="462"/>
      <c r="W21" s="463"/>
      <c r="X21" s="463"/>
      <c r="Y21" s="692"/>
      <c r="Z21" s="462"/>
      <c r="AA21" s="463"/>
      <c r="AB21" s="463"/>
      <c r="AC21" s="692"/>
      <c r="AD21" s="462"/>
      <c r="AE21" s="463"/>
      <c r="AF21" s="463"/>
      <c r="AG21" s="692"/>
      <c r="AH21" s="128">
        <f t="shared" si="5"/>
        <v>0</v>
      </c>
      <c r="AI21" s="273">
        <f t="shared" si="5"/>
        <v>0</v>
      </c>
      <c r="AJ21" s="273">
        <f t="shared" si="5"/>
        <v>0</v>
      </c>
      <c r="AK21" s="694">
        <f t="shared" si="5"/>
        <v>0</v>
      </c>
      <c r="AL21" s="462"/>
      <c r="AM21" s="463"/>
      <c r="AN21" s="463"/>
      <c r="AO21" s="692"/>
      <c r="AP21" s="462"/>
      <c r="AQ21" s="463"/>
      <c r="AR21" s="463"/>
      <c r="AS21" s="692"/>
      <c r="AT21" s="462"/>
      <c r="AU21" s="463"/>
      <c r="AV21" s="463"/>
      <c r="AW21" s="692"/>
      <c r="AX21" s="462"/>
      <c r="AY21" s="463"/>
      <c r="AZ21" s="463"/>
      <c r="BA21" s="692"/>
      <c r="BB21" s="128">
        <f t="shared" si="6"/>
        <v>0</v>
      </c>
      <c r="BC21" s="273">
        <f t="shared" si="6"/>
        <v>0</v>
      </c>
      <c r="BD21" s="273">
        <f t="shared" si="6"/>
        <v>0</v>
      </c>
      <c r="BE21" s="273">
        <f t="shared" si="6"/>
        <v>0</v>
      </c>
      <c r="BF21" s="276">
        <f t="shared" si="4"/>
        <v>0</v>
      </c>
      <c r="BG21" s="277">
        <f t="shared" si="4"/>
        <v>0</v>
      </c>
      <c r="BH21" s="277">
        <f t="shared" si="4"/>
        <v>0</v>
      </c>
      <c r="BI21" s="704">
        <f t="shared" si="4"/>
        <v>0</v>
      </c>
      <c r="BJ21" s="1059"/>
    </row>
    <row r="22" spans="3:62" s="28" customFormat="1" ht="20.100000000000001" customHeight="1">
      <c r="C22" s="1885"/>
      <c r="D22" s="1017"/>
      <c r="E22" s="1017"/>
      <c r="F22" s="1018"/>
      <c r="H22" s="1889"/>
      <c r="I22" s="33" t="s">
        <v>20</v>
      </c>
      <c r="J22" s="462"/>
      <c r="K22" s="463"/>
      <c r="L22" s="463"/>
      <c r="M22" s="692"/>
      <c r="N22" s="462"/>
      <c r="O22" s="463"/>
      <c r="P22" s="463"/>
      <c r="Q22" s="692"/>
      <c r="R22" s="462"/>
      <c r="S22" s="463"/>
      <c r="T22" s="463"/>
      <c r="U22" s="692"/>
      <c r="V22" s="462"/>
      <c r="W22" s="463"/>
      <c r="X22" s="463"/>
      <c r="Y22" s="692"/>
      <c r="Z22" s="462"/>
      <c r="AA22" s="463"/>
      <c r="AB22" s="463"/>
      <c r="AC22" s="692"/>
      <c r="AD22" s="462"/>
      <c r="AE22" s="463"/>
      <c r="AF22" s="463"/>
      <c r="AG22" s="692"/>
      <c r="AH22" s="128">
        <f t="shared" si="5"/>
        <v>0</v>
      </c>
      <c r="AI22" s="273">
        <f t="shared" si="5"/>
        <v>0</v>
      </c>
      <c r="AJ22" s="273">
        <f t="shared" si="5"/>
        <v>0</v>
      </c>
      <c r="AK22" s="694">
        <f t="shared" si="5"/>
        <v>0</v>
      </c>
      <c r="AL22" s="462"/>
      <c r="AM22" s="463"/>
      <c r="AN22" s="463"/>
      <c r="AO22" s="692"/>
      <c r="AP22" s="462"/>
      <c r="AQ22" s="463"/>
      <c r="AR22" s="463"/>
      <c r="AS22" s="692"/>
      <c r="AT22" s="462"/>
      <c r="AU22" s="463"/>
      <c r="AV22" s="463"/>
      <c r="AW22" s="692"/>
      <c r="AX22" s="462"/>
      <c r="AY22" s="463"/>
      <c r="AZ22" s="463"/>
      <c r="BA22" s="692"/>
      <c r="BB22" s="128">
        <f t="shared" si="6"/>
        <v>0</v>
      </c>
      <c r="BC22" s="273">
        <f t="shared" si="6"/>
        <v>0</v>
      </c>
      <c r="BD22" s="273">
        <f t="shared" si="6"/>
        <v>0</v>
      </c>
      <c r="BE22" s="273">
        <f t="shared" si="6"/>
        <v>0</v>
      </c>
      <c r="BF22" s="276">
        <f t="shared" si="4"/>
        <v>0</v>
      </c>
      <c r="BG22" s="277">
        <f t="shared" si="4"/>
        <v>0</v>
      </c>
      <c r="BH22" s="277">
        <f t="shared" si="4"/>
        <v>0</v>
      </c>
      <c r="BI22" s="704">
        <f t="shared" si="4"/>
        <v>0</v>
      </c>
      <c r="BJ22" s="1059"/>
    </row>
    <row r="23" spans="3:62" s="28" customFormat="1" ht="20.100000000000001" customHeight="1">
      <c r="C23" s="1885"/>
      <c r="D23" s="1017"/>
      <c r="E23" s="1017"/>
      <c r="F23" s="1018"/>
      <c r="H23" s="1889"/>
      <c r="I23" s="33" t="s">
        <v>19</v>
      </c>
      <c r="J23" s="462"/>
      <c r="K23" s="463"/>
      <c r="L23" s="463"/>
      <c r="M23" s="692"/>
      <c r="N23" s="462"/>
      <c r="O23" s="463"/>
      <c r="P23" s="463"/>
      <c r="Q23" s="692"/>
      <c r="R23" s="462"/>
      <c r="S23" s="463"/>
      <c r="T23" s="463"/>
      <c r="U23" s="692"/>
      <c r="V23" s="462"/>
      <c r="W23" s="463"/>
      <c r="X23" s="463"/>
      <c r="Y23" s="692"/>
      <c r="Z23" s="462"/>
      <c r="AA23" s="463"/>
      <c r="AB23" s="463"/>
      <c r="AC23" s="692"/>
      <c r="AD23" s="462"/>
      <c r="AE23" s="463"/>
      <c r="AF23" s="463"/>
      <c r="AG23" s="692"/>
      <c r="AH23" s="128">
        <f t="shared" si="5"/>
        <v>0</v>
      </c>
      <c r="AI23" s="273">
        <f t="shared" si="5"/>
        <v>0</v>
      </c>
      <c r="AJ23" s="273">
        <f t="shared" si="5"/>
        <v>0</v>
      </c>
      <c r="AK23" s="694">
        <f t="shared" si="5"/>
        <v>0</v>
      </c>
      <c r="AL23" s="462"/>
      <c r="AM23" s="463"/>
      <c r="AN23" s="463"/>
      <c r="AO23" s="692"/>
      <c r="AP23" s="462"/>
      <c r="AQ23" s="463"/>
      <c r="AR23" s="463"/>
      <c r="AS23" s="692"/>
      <c r="AT23" s="462"/>
      <c r="AU23" s="463"/>
      <c r="AV23" s="463"/>
      <c r="AW23" s="692"/>
      <c r="AX23" s="462"/>
      <c r="AY23" s="463"/>
      <c r="AZ23" s="463"/>
      <c r="BA23" s="692"/>
      <c r="BB23" s="128">
        <f t="shared" si="6"/>
        <v>0</v>
      </c>
      <c r="BC23" s="273">
        <f t="shared" si="6"/>
        <v>0</v>
      </c>
      <c r="BD23" s="273">
        <f t="shared" si="6"/>
        <v>0</v>
      </c>
      <c r="BE23" s="273">
        <f t="shared" si="6"/>
        <v>0</v>
      </c>
      <c r="BF23" s="276">
        <f t="shared" si="4"/>
        <v>0</v>
      </c>
      <c r="BG23" s="277">
        <f t="shared" si="4"/>
        <v>0</v>
      </c>
      <c r="BH23" s="277">
        <f t="shared" si="4"/>
        <v>0</v>
      </c>
      <c r="BI23" s="704">
        <f t="shared" si="4"/>
        <v>0</v>
      </c>
      <c r="BJ23" s="1059"/>
    </row>
    <row r="24" spans="3:62" s="28" customFormat="1" ht="20.100000000000001" customHeight="1" thickBot="1">
      <c r="C24" s="1885"/>
      <c r="D24" s="1017"/>
      <c r="E24" s="1017"/>
      <c r="F24" s="1018"/>
      <c r="H24" s="1865" t="s">
        <v>116</v>
      </c>
      <c r="I24" s="1866"/>
      <c r="J24" s="118">
        <f t="shared" ref="J24:BI24" si="7">SUM(J15:J23)</f>
        <v>0</v>
      </c>
      <c r="K24" s="272">
        <f t="shared" si="7"/>
        <v>0</v>
      </c>
      <c r="L24" s="272">
        <f>SUM(L15:L23)</f>
        <v>0</v>
      </c>
      <c r="M24" s="272">
        <f>SUM(M15:M23)</f>
        <v>10</v>
      </c>
      <c r="N24" s="118">
        <f t="shared" ref="N24:AI24" si="8">SUM(N15:N23)</f>
        <v>0</v>
      </c>
      <c r="O24" s="272">
        <f t="shared" si="8"/>
        <v>0</v>
      </c>
      <c r="P24" s="272">
        <f t="shared" si="8"/>
        <v>0</v>
      </c>
      <c r="Q24" s="272">
        <f t="shared" si="8"/>
        <v>9.3800000000000008</v>
      </c>
      <c r="R24" s="118">
        <f t="shared" si="8"/>
        <v>0</v>
      </c>
      <c r="S24" s="272">
        <f t="shared" si="8"/>
        <v>0</v>
      </c>
      <c r="T24" s="272">
        <f t="shared" si="8"/>
        <v>0</v>
      </c>
      <c r="U24" s="272">
        <f t="shared" si="8"/>
        <v>0</v>
      </c>
      <c r="V24" s="118">
        <f t="shared" si="8"/>
        <v>0</v>
      </c>
      <c r="W24" s="272">
        <f t="shared" si="8"/>
        <v>0</v>
      </c>
      <c r="X24" s="272">
        <f t="shared" si="8"/>
        <v>0</v>
      </c>
      <c r="Y24" s="272">
        <f t="shared" si="8"/>
        <v>0</v>
      </c>
      <c r="Z24" s="118">
        <f t="shared" si="8"/>
        <v>0</v>
      </c>
      <c r="AA24" s="272">
        <f t="shared" si="8"/>
        <v>0</v>
      </c>
      <c r="AB24" s="272">
        <f t="shared" si="8"/>
        <v>0</v>
      </c>
      <c r="AC24" s="272">
        <f t="shared" si="8"/>
        <v>0</v>
      </c>
      <c r="AD24" s="118">
        <f t="shared" si="8"/>
        <v>0</v>
      </c>
      <c r="AE24" s="272">
        <f t="shared" si="8"/>
        <v>0</v>
      </c>
      <c r="AF24" s="272">
        <f t="shared" si="8"/>
        <v>0</v>
      </c>
      <c r="AG24" s="272">
        <f t="shared" si="8"/>
        <v>0</v>
      </c>
      <c r="AH24" s="118">
        <f t="shared" si="8"/>
        <v>0</v>
      </c>
      <c r="AI24" s="272">
        <f t="shared" si="8"/>
        <v>0</v>
      </c>
      <c r="AJ24" s="272">
        <f>SUM(AJ15:AJ23)</f>
        <v>0</v>
      </c>
      <c r="AK24" s="695">
        <f>SUM(AK15:AK23)</f>
        <v>19.380000000000003</v>
      </c>
      <c r="AL24" s="118">
        <f t="shared" ref="AL24:BC24" si="9">SUM(AL15:AL23)</f>
        <v>22</v>
      </c>
      <c r="AM24" s="272">
        <f t="shared" si="9"/>
        <v>0</v>
      </c>
      <c r="AN24" s="272">
        <f t="shared" si="9"/>
        <v>0</v>
      </c>
      <c r="AO24" s="272">
        <f t="shared" si="9"/>
        <v>23</v>
      </c>
      <c r="AP24" s="118">
        <f t="shared" si="9"/>
        <v>0</v>
      </c>
      <c r="AQ24" s="272">
        <f t="shared" si="9"/>
        <v>0</v>
      </c>
      <c r="AR24" s="272">
        <f t="shared" si="9"/>
        <v>0</v>
      </c>
      <c r="AS24" s="272">
        <f t="shared" si="9"/>
        <v>3.97</v>
      </c>
      <c r="AT24" s="118">
        <f t="shared" si="9"/>
        <v>20</v>
      </c>
      <c r="AU24" s="272">
        <f t="shared" si="9"/>
        <v>20</v>
      </c>
      <c r="AV24" s="272">
        <f t="shared" si="9"/>
        <v>0</v>
      </c>
      <c r="AW24" s="272">
        <f t="shared" si="9"/>
        <v>8</v>
      </c>
      <c r="AX24" s="118">
        <f t="shared" si="9"/>
        <v>0</v>
      </c>
      <c r="AY24" s="272">
        <f t="shared" si="9"/>
        <v>0</v>
      </c>
      <c r="AZ24" s="272">
        <f t="shared" si="9"/>
        <v>0</v>
      </c>
      <c r="BA24" s="272">
        <f t="shared" si="9"/>
        <v>0</v>
      </c>
      <c r="BB24" s="118">
        <f t="shared" si="9"/>
        <v>42</v>
      </c>
      <c r="BC24" s="272">
        <f t="shared" si="9"/>
        <v>20</v>
      </c>
      <c r="BD24" s="272">
        <f>SUM(BD15:BD23)</f>
        <v>0</v>
      </c>
      <c r="BE24" s="272">
        <f>SUM(BE15:BE23)</f>
        <v>34.97</v>
      </c>
      <c r="BF24" s="278">
        <f t="shared" si="7"/>
        <v>42</v>
      </c>
      <c r="BG24" s="279">
        <f t="shared" si="7"/>
        <v>20</v>
      </c>
      <c r="BH24" s="279">
        <f t="shared" si="7"/>
        <v>0</v>
      </c>
      <c r="BI24" s="705">
        <f t="shared" si="7"/>
        <v>54.35</v>
      </c>
      <c r="BJ24" s="1059"/>
    </row>
    <row r="25" spans="3:62" s="119" customFormat="1" ht="9" customHeight="1" thickBot="1">
      <c r="C25" s="121"/>
      <c r="D25" s="121"/>
      <c r="E25" s="121"/>
      <c r="F25" s="121"/>
      <c r="H25" s="122"/>
      <c r="I25" s="122"/>
      <c r="J25" s="125"/>
      <c r="K25" s="126"/>
      <c r="L25" s="126"/>
      <c r="M25" s="126"/>
      <c r="N25" s="125"/>
      <c r="O25" s="126"/>
      <c r="P25" s="126"/>
      <c r="Q25" s="126"/>
      <c r="R25" s="125"/>
      <c r="S25" s="126"/>
      <c r="T25" s="126"/>
      <c r="U25" s="126"/>
      <c r="V25" s="125"/>
      <c r="W25" s="126"/>
      <c r="X25" s="126"/>
      <c r="Y25" s="126"/>
      <c r="Z25" s="125"/>
      <c r="AA25" s="126"/>
      <c r="AB25" s="126"/>
      <c r="AC25" s="126"/>
      <c r="AD25" s="125"/>
      <c r="AE25" s="126"/>
      <c r="AF25" s="126"/>
      <c r="AG25" s="126"/>
      <c r="AH25" s="125"/>
      <c r="AI25" s="126"/>
      <c r="AJ25" s="126"/>
      <c r="AK25" s="126"/>
      <c r="AL25" s="125"/>
      <c r="AM25" s="126"/>
      <c r="AN25" s="126"/>
      <c r="AO25" s="126"/>
      <c r="AP25" s="125"/>
      <c r="AQ25" s="126"/>
      <c r="AR25" s="126"/>
      <c r="AS25" s="126"/>
      <c r="AT25" s="125"/>
      <c r="AU25" s="126"/>
      <c r="AV25" s="126"/>
      <c r="AW25" s="126"/>
      <c r="AX25" s="125"/>
      <c r="AY25" s="126"/>
      <c r="AZ25" s="126"/>
      <c r="BA25" s="126"/>
      <c r="BB25" s="125"/>
      <c r="BC25" s="126"/>
      <c r="BD25" s="126"/>
      <c r="BE25" s="126"/>
      <c r="BF25" s="125"/>
      <c r="BG25" s="126"/>
      <c r="BJ25" s="1060"/>
    </row>
    <row r="26" spans="3:62" s="28" customFormat="1" ht="26.25" customHeight="1" thickBot="1">
      <c r="D26" s="29"/>
      <c r="E26" s="29"/>
      <c r="F26" s="29"/>
      <c r="H26" s="1893" t="s">
        <v>49</v>
      </c>
      <c r="I26" s="1894"/>
      <c r="J26" s="123">
        <f t="shared" ref="J26:BI26" si="10">J10+J24</f>
        <v>26</v>
      </c>
      <c r="K26" s="280">
        <f t="shared" si="10"/>
        <v>15.6</v>
      </c>
      <c r="L26" s="280">
        <f>L10+L24</f>
        <v>15.6</v>
      </c>
      <c r="M26" s="280">
        <f>M10+M24</f>
        <v>10</v>
      </c>
      <c r="N26" s="123">
        <f t="shared" ref="N26:O26" si="11">N10+N24</f>
        <v>23</v>
      </c>
      <c r="O26" s="280">
        <f t="shared" si="11"/>
        <v>23</v>
      </c>
      <c r="P26" s="280">
        <f>P10+P24</f>
        <v>23</v>
      </c>
      <c r="Q26" s="280">
        <f>Q10+Q24</f>
        <v>9.3800000000000008</v>
      </c>
      <c r="R26" s="123">
        <f t="shared" ref="R26:S26" si="12">R10+R24</f>
        <v>3</v>
      </c>
      <c r="S26" s="280">
        <f t="shared" si="12"/>
        <v>0</v>
      </c>
      <c r="T26" s="280">
        <f>T10+T24</f>
        <v>0</v>
      </c>
      <c r="U26" s="280">
        <f>U10+U24</f>
        <v>0</v>
      </c>
      <c r="V26" s="123">
        <f t="shared" ref="V26:W26" si="13">V10+V24</f>
        <v>5</v>
      </c>
      <c r="W26" s="280">
        <f t="shared" si="13"/>
        <v>3</v>
      </c>
      <c r="X26" s="280">
        <f>X10+X24</f>
        <v>2</v>
      </c>
      <c r="Y26" s="280">
        <f>Y10+Y24</f>
        <v>0</v>
      </c>
      <c r="Z26" s="123">
        <f t="shared" ref="Z26:AA26" si="14">Z10+Z24</f>
        <v>2</v>
      </c>
      <c r="AA26" s="280">
        <f t="shared" si="14"/>
        <v>0</v>
      </c>
      <c r="AB26" s="280">
        <f>AB10+AB24</f>
        <v>0</v>
      </c>
      <c r="AC26" s="280">
        <f>AC10+AC24</f>
        <v>0</v>
      </c>
      <c r="AD26" s="123">
        <f t="shared" ref="AD26:AE26" si="15">AD10+AD24</f>
        <v>20</v>
      </c>
      <c r="AE26" s="280">
        <f t="shared" si="15"/>
        <v>10.4</v>
      </c>
      <c r="AF26" s="280">
        <f>AF10+AF24</f>
        <v>10.4</v>
      </c>
      <c r="AG26" s="280">
        <f>AG10+AG24</f>
        <v>0</v>
      </c>
      <c r="AH26" s="127">
        <f t="shared" ref="AH26:AI26" si="16">AH10+AH24</f>
        <v>79</v>
      </c>
      <c r="AI26" s="280">
        <f t="shared" si="16"/>
        <v>52</v>
      </c>
      <c r="AJ26" s="697">
        <f>AJ10+AJ24</f>
        <v>51</v>
      </c>
      <c r="AK26" s="696">
        <f>AK10+AK24</f>
        <v>19.380000000000003</v>
      </c>
      <c r="AL26" s="123">
        <f t="shared" ref="AL26:AM26" si="17">AL10+AL24</f>
        <v>27</v>
      </c>
      <c r="AM26" s="280">
        <f t="shared" si="17"/>
        <v>1</v>
      </c>
      <c r="AN26" s="280">
        <f>AN10+AN24</f>
        <v>1</v>
      </c>
      <c r="AO26" s="280">
        <f>AO10+AO24</f>
        <v>23</v>
      </c>
      <c r="AP26" s="123">
        <f t="shared" ref="AP26:AQ26" si="18">AP10+AP24</f>
        <v>0</v>
      </c>
      <c r="AQ26" s="280">
        <f t="shared" si="18"/>
        <v>0</v>
      </c>
      <c r="AR26" s="280">
        <f>AR10+AR24</f>
        <v>0</v>
      </c>
      <c r="AS26" s="280">
        <f>AS10+AS24</f>
        <v>3.97</v>
      </c>
      <c r="AT26" s="123">
        <f t="shared" ref="AT26:AU26" si="19">AT10+AT24</f>
        <v>20</v>
      </c>
      <c r="AU26" s="280">
        <f t="shared" si="19"/>
        <v>22.5</v>
      </c>
      <c r="AV26" s="280">
        <f>AV10+AV24</f>
        <v>2.5</v>
      </c>
      <c r="AW26" s="280">
        <f>AW10+AW24</f>
        <v>8</v>
      </c>
      <c r="AX26" s="123">
        <f t="shared" ref="AX26:AY26" si="20">AX10+AX24</f>
        <v>7</v>
      </c>
      <c r="AY26" s="280">
        <f t="shared" si="20"/>
        <v>7</v>
      </c>
      <c r="AZ26" s="280">
        <f>AZ10+AZ24</f>
        <v>7</v>
      </c>
      <c r="BA26" s="280">
        <f>BA10+BA24</f>
        <v>0</v>
      </c>
      <c r="BB26" s="127">
        <f t="shared" ref="BB26:BC26" si="21">BB10+BB24</f>
        <v>54</v>
      </c>
      <c r="BC26" s="280">
        <f t="shared" si="21"/>
        <v>30.5</v>
      </c>
      <c r="BD26" s="697">
        <f>BD10+BD24</f>
        <v>10.5</v>
      </c>
      <c r="BE26" s="697">
        <f>BE10+BE24</f>
        <v>34.97</v>
      </c>
      <c r="BF26" s="124">
        <f>BF10+BF24</f>
        <v>133</v>
      </c>
      <c r="BG26" s="707">
        <f t="shared" si="10"/>
        <v>82.5</v>
      </c>
      <c r="BH26" s="706">
        <f t="shared" si="10"/>
        <v>61.5</v>
      </c>
      <c r="BI26" s="284">
        <f t="shared" si="10"/>
        <v>54.35</v>
      </c>
      <c r="BJ26" s="1059"/>
    </row>
    <row r="27" spans="3:62" ht="21" customHeight="1">
      <c r="H27" s="320"/>
      <c r="I27" s="320"/>
      <c r="J27" s="321"/>
      <c r="K27" s="321"/>
      <c r="L27" s="321">
        <v>10</v>
      </c>
      <c r="M27" s="321" t="s">
        <v>22</v>
      </c>
      <c r="N27" s="321"/>
      <c r="O27" s="321"/>
      <c r="P27" s="321">
        <v>9.3800000000000008</v>
      </c>
      <c r="Q27" s="321" t="s">
        <v>22</v>
      </c>
      <c r="R27" s="321"/>
      <c r="S27" s="321"/>
      <c r="T27" s="321"/>
      <c r="U27" s="321"/>
      <c r="V27" s="321"/>
      <c r="W27" s="321"/>
      <c r="X27" s="323"/>
      <c r="Y27" s="323"/>
      <c r="Z27" s="321"/>
      <c r="AA27" s="321"/>
      <c r="AB27" s="323"/>
      <c r="AC27" s="323"/>
      <c r="AD27" s="321"/>
      <c r="AE27" s="321"/>
      <c r="AF27" s="321"/>
      <c r="AG27" s="321"/>
      <c r="AH27" s="321"/>
      <c r="AI27" s="321"/>
      <c r="AJ27" s="321"/>
      <c r="AK27" s="321"/>
      <c r="AL27" s="321"/>
      <c r="AM27" s="321"/>
      <c r="AN27" s="323">
        <v>23</v>
      </c>
      <c r="AO27" s="622" t="s">
        <v>22</v>
      </c>
      <c r="AP27" s="321"/>
      <c r="AQ27" s="321"/>
      <c r="AR27" s="321">
        <v>3.97</v>
      </c>
      <c r="AS27" s="321" t="s">
        <v>22</v>
      </c>
      <c r="AT27" s="321"/>
      <c r="AU27" s="321"/>
      <c r="AV27" s="321">
        <v>8</v>
      </c>
      <c r="AW27" s="321" t="s">
        <v>22</v>
      </c>
      <c r="AX27" s="321"/>
      <c r="AY27" s="321"/>
      <c r="AZ27" s="321"/>
      <c r="BA27" s="321"/>
      <c r="BB27" s="335"/>
      <c r="BC27" s="1918">
        <f>SUM(I27:AZ29)</f>
        <v>54.35</v>
      </c>
      <c r="BD27" s="335"/>
      <c r="BE27" s="335"/>
      <c r="BF27" s="335"/>
      <c r="BG27" s="335"/>
      <c r="BH27" s="1917">
        <f>BH26+BI26</f>
        <v>115.85</v>
      </c>
      <c r="BI27" s="1917"/>
    </row>
    <row r="28" spans="3:62" ht="21" customHeight="1">
      <c r="H28" s="320"/>
      <c r="I28" s="320"/>
      <c r="J28" s="322"/>
      <c r="K28" s="323"/>
      <c r="L28" s="323"/>
      <c r="M28" s="323"/>
      <c r="N28" s="322"/>
      <c r="O28" s="323"/>
      <c r="P28" s="323"/>
      <c r="Q28" s="323"/>
      <c r="R28" s="322"/>
      <c r="S28" s="323"/>
      <c r="T28" s="323"/>
      <c r="U28" s="323"/>
      <c r="V28" s="321"/>
      <c r="W28" s="323"/>
      <c r="X28" s="323"/>
      <c r="Y28" s="323"/>
      <c r="Z28" s="322"/>
      <c r="AA28" s="323"/>
      <c r="AB28" s="323"/>
      <c r="AC28" s="323"/>
      <c r="AD28" s="322"/>
      <c r="AE28" s="323"/>
      <c r="AF28" s="323"/>
      <c r="AG28" s="322"/>
      <c r="AH28" s="322"/>
      <c r="AI28" s="323"/>
      <c r="AJ28" s="323"/>
      <c r="AK28" s="323"/>
      <c r="AL28" s="321"/>
      <c r="AM28" s="323"/>
      <c r="AN28" s="622"/>
      <c r="AO28" s="622"/>
      <c r="AP28" s="321"/>
      <c r="AQ28" s="323"/>
      <c r="AR28" s="323"/>
      <c r="AS28" s="323"/>
      <c r="AT28" s="322"/>
      <c r="AU28" s="323"/>
      <c r="AV28" s="323"/>
      <c r="AW28" s="323"/>
      <c r="AX28" s="322"/>
      <c r="AY28" s="468"/>
      <c r="AZ28" s="468"/>
      <c r="BA28" s="468"/>
      <c r="BB28" s="392"/>
      <c r="BC28" s="1919"/>
      <c r="BD28" s="434"/>
      <c r="BE28" s="434"/>
      <c r="BF28" s="435"/>
      <c r="BG28" s="434"/>
      <c r="BH28" s="726"/>
      <c r="BI28" s="434"/>
    </row>
    <row r="29" spans="3:62" ht="23.25">
      <c r="H29" s="320"/>
      <c r="I29" s="320"/>
      <c r="J29" s="322"/>
      <c r="K29" s="323"/>
      <c r="L29" s="323"/>
      <c r="M29" s="323"/>
      <c r="N29" s="322"/>
      <c r="O29" s="323"/>
      <c r="P29" s="323"/>
      <c r="Q29" s="323"/>
      <c r="R29" s="322"/>
      <c r="S29" s="323"/>
      <c r="T29" s="323"/>
      <c r="U29" s="323"/>
      <c r="V29" s="322"/>
      <c r="W29" s="323"/>
      <c r="X29" s="323"/>
      <c r="Y29" s="323"/>
      <c r="Z29" s="322"/>
      <c r="AA29" s="323"/>
      <c r="AB29" s="323"/>
      <c r="AC29" s="323"/>
      <c r="AD29" s="322"/>
      <c r="AE29" s="323"/>
      <c r="AF29" s="688"/>
      <c r="AG29" s="688"/>
      <c r="AH29" s="322"/>
      <c r="AI29" s="322"/>
      <c r="AJ29" s="323"/>
      <c r="AK29" s="323"/>
      <c r="AL29" s="321"/>
      <c r="AM29" s="323"/>
      <c r="AN29" s="321"/>
      <c r="AO29" s="321"/>
      <c r="AP29" s="322"/>
      <c r="AQ29" s="323"/>
      <c r="AR29" s="323"/>
      <c r="AS29" s="323"/>
      <c r="AT29" s="322"/>
      <c r="AU29" s="323"/>
      <c r="AV29" s="323"/>
      <c r="AW29" s="323"/>
      <c r="AX29" s="322"/>
      <c r="AY29" s="468"/>
      <c r="AZ29" s="468"/>
      <c r="BA29" s="468"/>
      <c r="BB29" s="392"/>
      <c r="BC29" s="434"/>
      <c r="BD29" s="434"/>
      <c r="BE29" s="434"/>
      <c r="BF29" s="435"/>
      <c r="BG29" s="434"/>
      <c r="BH29" s="682"/>
      <c r="BI29" s="434"/>
    </row>
    <row r="30" spans="3:62" s="464" customFormat="1" ht="21.75" thickBot="1">
      <c r="D30" s="576"/>
      <c r="E30" s="576"/>
      <c r="F30" s="576"/>
      <c r="I30" s="577"/>
      <c r="J30" s="578"/>
      <c r="K30" s="579"/>
      <c r="L30" s="579"/>
      <c r="M30" s="579"/>
      <c r="N30" s="578"/>
      <c r="O30" s="579"/>
      <c r="P30" s="579"/>
      <c r="Q30" s="579"/>
      <c r="R30" s="578"/>
      <c r="S30" s="579"/>
      <c r="T30" s="579"/>
      <c r="U30" s="579"/>
      <c r="V30" s="578"/>
      <c r="W30" s="578"/>
      <c r="X30" s="579"/>
      <c r="Y30" s="579"/>
      <c r="Z30" s="579"/>
      <c r="AA30" s="578"/>
      <c r="AB30" s="579"/>
      <c r="AC30" s="579"/>
      <c r="AD30" s="579"/>
      <c r="AE30" s="578"/>
      <c r="AF30" s="579"/>
      <c r="AG30" s="579"/>
      <c r="AH30" s="621"/>
      <c r="AI30" s="578"/>
      <c r="AJ30" s="579"/>
      <c r="AK30" s="579"/>
      <c r="AM30" s="580"/>
      <c r="AN30" s="579"/>
      <c r="AO30" s="579"/>
      <c r="AP30" s="579"/>
      <c r="AQ30" s="578"/>
      <c r="AR30" s="579"/>
      <c r="AS30" s="579"/>
      <c r="AT30" s="579"/>
      <c r="AU30" s="578"/>
      <c r="AV30" s="579"/>
      <c r="AW30" s="579"/>
      <c r="AZ30" s="581"/>
      <c r="BA30" s="581"/>
      <c r="BB30" s="581"/>
      <c r="BC30" s="582"/>
      <c r="BD30" s="583"/>
      <c r="BE30" s="583"/>
      <c r="BF30" s="583"/>
      <c r="BG30" s="584"/>
      <c r="BH30" s="583"/>
      <c r="BI30" s="585"/>
      <c r="BJ30" s="1061"/>
    </row>
    <row r="31" spans="3:62" ht="35.25" customHeight="1" thickBot="1">
      <c r="I31" s="577"/>
      <c r="L31" s="1929" t="s">
        <v>367</v>
      </c>
      <c r="M31" s="1930"/>
      <c r="N31" s="1930"/>
      <c r="O31" s="1930"/>
      <c r="P31" s="1930"/>
      <c r="Q31" s="1930"/>
      <c r="R31" s="1930"/>
      <c r="S31" s="1931"/>
      <c r="T31" s="579"/>
      <c r="U31" s="579"/>
      <c r="V31" s="1929" t="s">
        <v>204</v>
      </c>
      <c r="W31" s="1930"/>
      <c r="X31" s="1930"/>
      <c r="Y31" s="1930"/>
      <c r="Z31" s="1930"/>
      <c r="AA31" s="1930"/>
      <c r="AB31" s="1930"/>
      <c r="AC31" s="1935"/>
      <c r="AD31" s="1936"/>
      <c r="AE31" s="579"/>
      <c r="AF31" s="579"/>
      <c r="AG31" s="26"/>
      <c r="AH31" s="24"/>
      <c r="AJ31" s="685"/>
      <c r="AL31" s="24"/>
      <c r="AM31" s="580"/>
      <c r="AN31" s="579"/>
      <c r="AP31" s="24"/>
      <c r="AS31" s="26"/>
      <c r="AT31" s="24"/>
      <c r="AX31" s="24"/>
      <c r="AY31" s="25"/>
      <c r="AZ31" s="25"/>
      <c r="BA31" s="24"/>
      <c r="BB31" s="24"/>
      <c r="BF31" s="23"/>
      <c r="BG31" s="23"/>
    </row>
    <row r="32" spans="3:62" s="24" customFormat="1" ht="28.5" customHeight="1" thickBot="1">
      <c r="C32" s="23"/>
      <c r="D32" s="27"/>
      <c r="E32" s="27"/>
      <c r="F32" s="27"/>
      <c r="G32" s="23"/>
      <c r="H32" s="23"/>
      <c r="I32" s="577"/>
      <c r="L32" s="450" t="s">
        <v>0</v>
      </c>
      <c r="M32" s="439" t="s">
        <v>200</v>
      </c>
      <c r="N32" s="454" t="s">
        <v>205</v>
      </c>
      <c r="O32" s="439" t="s">
        <v>31</v>
      </c>
      <c r="P32" s="448" t="s">
        <v>201</v>
      </c>
      <c r="Q32" s="455" t="s">
        <v>206</v>
      </c>
      <c r="R32" s="436" t="s">
        <v>22</v>
      </c>
      <c r="S32" s="438" t="s">
        <v>191</v>
      </c>
      <c r="T32" s="579"/>
      <c r="U32" s="579"/>
      <c r="V32" s="571" t="s">
        <v>0</v>
      </c>
      <c r="W32" s="572" t="s">
        <v>200</v>
      </c>
      <c r="X32" s="623" t="s">
        <v>205</v>
      </c>
      <c r="Y32" s="572" t="s">
        <v>31</v>
      </c>
      <c r="Z32" s="573" t="s">
        <v>201</v>
      </c>
      <c r="AA32" s="574" t="s">
        <v>206</v>
      </c>
      <c r="AB32" s="717" t="s">
        <v>22</v>
      </c>
      <c r="AC32" s="721" t="s">
        <v>191</v>
      </c>
      <c r="AD32" s="722" t="s">
        <v>226</v>
      </c>
      <c r="AE32" s="579"/>
      <c r="AF32" s="579"/>
      <c r="AG32" s="599"/>
      <c r="AH32" s="599"/>
      <c r="AI32" s="1026"/>
      <c r="AM32" s="580"/>
      <c r="AN32" s="579"/>
      <c r="AT32" s="25"/>
      <c r="AU32" s="25"/>
      <c r="AW32" s="23"/>
      <c r="AX32" s="23"/>
      <c r="BJ32" s="1062"/>
    </row>
    <row r="33" spans="1:62" ht="23.25">
      <c r="L33" s="441" t="s">
        <v>189</v>
      </c>
      <c r="M33" s="470">
        <f>$J$6</f>
        <v>16</v>
      </c>
      <c r="N33" s="430">
        <f>$J9</f>
        <v>10</v>
      </c>
      <c r="O33" s="430">
        <f>$J7</f>
        <v>0</v>
      </c>
      <c r="P33" s="430">
        <f>$J8</f>
        <v>0</v>
      </c>
      <c r="Q33" s="430">
        <f>J15+J16+J17+J18+J19+J21+J22+J23</f>
        <v>0</v>
      </c>
      <c r="R33" s="430">
        <f>$J20</f>
        <v>0</v>
      </c>
      <c r="S33" s="446">
        <f t="shared" ref="S33:S42" si="22">SUM(M33:R33)</f>
        <v>26</v>
      </c>
      <c r="T33" s="579"/>
      <c r="U33" s="579"/>
      <c r="V33" s="447" t="s">
        <v>189</v>
      </c>
      <c r="W33" s="569">
        <f>L$6</f>
        <v>15.5</v>
      </c>
      <c r="X33" s="570">
        <f>$L9</f>
        <v>0.1</v>
      </c>
      <c r="Y33" s="570">
        <f>$L7</f>
        <v>0</v>
      </c>
      <c r="Z33" s="570">
        <f>$L8</f>
        <v>0</v>
      </c>
      <c r="AA33" s="570">
        <f>L$15+L$16+L$17+L$18+L$19+L$21+L$22+L$23</f>
        <v>0</v>
      </c>
      <c r="AB33" s="718">
        <f>$L20</f>
        <v>0</v>
      </c>
      <c r="AC33" s="723">
        <f t="shared" ref="AC33:AC42" si="23">SUM(W33:AB33)</f>
        <v>15.6</v>
      </c>
      <c r="AD33" s="587">
        <f>M6+M7+M8++M9+M15+M16+M17+M18+M19+M21+M20+M22+M23</f>
        <v>10</v>
      </c>
      <c r="AE33" s="579">
        <f>AC33+AD33</f>
        <v>25.6</v>
      </c>
      <c r="AF33" s="579"/>
      <c r="AG33" s="599"/>
      <c r="AH33" s="599"/>
      <c r="AI33" s="599"/>
      <c r="AL33" s="24"/>
      <c r="AN33" s="26"/>
      <c r="AP33" s="24"/>
      <c r="AT33" s="25"/>
      <c r="AU33" s="25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</row>
    <row r="34" spans="1:62" s="24" customFormat="1" ht="23.25">
      <c r="A34" s="23"/>
      <c r="B34" s="23"/>
      <c r="C34" s="23"/>
      <c r="D34" s="27"/>
      <c r="E34" s="27"/>
      <c r="F34" s="27"/>
      <c r="G34" s="23"/>
      <c r="H34" s="23"/>
      <c r="I34" s="27"/>
      <c r="L34" s="441" t="s">
        <v>183</v>
      </c>
      <c r="M34" s="470">
        <f>$N$6</f>
        <v>23</v>
      </c>
      <c r="N34" s="430">
        <f>$N9</f>
        <v>0</v>
      </c>
      <c r="O34" s="430">
        <f>$N7</f>
        <v>0</v>
      </c>
      <c r="P34" s="430">
        <f>$N8</f>
        <v>0</v>
      </c>
      <c r="Q34" s="430">
        <f>N15+N16+N17+N18+N19+N21+N22+N23</f>
        <v>0</v>
      </c>
      <c r="R34" s="430">
        <f>$N20</f>
        <v>0</v>
      </c>
      <c r="S34" s="446">
        <f t="shared" si="22"/>
        <v>23</v>
      </c>
      <c r="T34" s="686"/>
      <c r="U34" s="26"/>
      <c r="V34" s="441" t="s">
        <v>183</v>
      </c>
      <c r="W34" s="440">
        <f>P$6</f>
        <v>23</v>
      </c>
      <c r="X34" s="430">
        <f>$P9</f>
        <v>0</v>
      </c>
      <c r="Y34" s="430">
        <f>$P7</f>
        <v>0</v>
      </c>
      <c r="Z34" s="430">
        <f>$P8</f>
        <v>0</v>
      </c>
      <c r="AA34" s="430">
        <f>P$15+P$16+P$17+P$18+P$19+P$21+P$22+P$23</f>
        <v>0</v>
      </c>
      <c r="AB34" s="719">
        <f>$P20</f>
        <v>0</v>
      </c>
      <c r="AC34" s="723">
        <f t="shared" si="23"/>
        <v>23</v>
      </c>
      <c r="AD34" s="587">
        <f>Q6+Q7+Q8+Q9+Q15+Q16+Q17+Q18+Q19+Q20+Q21+Q22+Q23</f>
        <v>9.3800000000000008</v>
      </c>
      <c r="AE34" s="579">
        <f t="shared" ref="AE34:AE43" si="24">AC34+AD34</f>
        <v>32.380000000000003</v>
      </c>
      <c r="AG34" s="599"/>
      <c r="AH34" s="599"/>
      <c r="AI34" s="599"/>
      <c r="AN34" s="26"/>
      <c r="AT34" s="25"/>
      <c r="AU34" s="25"/>
      <c r="BJ34" s="1062"/>
    </row>
    <row r="35" spans="1:62" ht="23.25">
      <c r="L35" s="441" t="s">
        <v>184</v>
      </c>
      <c r="M35" s="470">
        <f>$R$6</f>
        <v>0</v>
      </c>
      <c r="N35" s="430">
        <f>$R9</f>
        <v>3</v>
      </c>
      <c r="O35" s="430">
        <f>$R7</f>
        <v>0</v>
      </c>
      <c r="P35" s="430">
        <f>$R8</f>
        <v>0</v>
      </c>
      <c r="Q35" s="430">
        <f>R15+R16+R17+R18+R19+R21+R22+R23</f>
        <v>0</v>
      </c>
      <c r="R35" s="430">
        <f>$R20</f>
        <v>0</v>
      </c>
      <c r="S35" s="446">
        <f t="shared" si="22"/>
        <v>3</v>
      </c>
      <c r="T35" s="686"/>
      <c r="U35" s="26"/>
      <c r="V35" s="441" t="s">
        <v>184</v>
      </c>
      <c r="W35" s="440">
        <f>T$6</f>
        <v>0</v>
      </c>
      <c r="X35" s="430">
        <f>$T9</f>
        <v>0</v>
      </c>
      <c r="Y35" s="430">
        <f>$T7</f>
        <v>0</v>
      </c>
      <c r="Z35" s="430">
        <f>$T8</f>
        <v>0</v>
      </c>
      <c r="AA35" s="430">
        <f>T$15+T$16+T$17+T$18+T$19+T$21+T$22+T$23</f>
        <v>0</v>
      </c>
      <c r="AB35" s="719">
        <f>$T20</f>
        <v>0</v>
      </c>
      <c r="AC35" s="723">
        <f t="shared" si="23"/>
        <v>0</v>
      </c>
      <c r="AD35" s="587">
        <f>U6+U7+U8+U9+U15+U16+U17+U18+U19+U20+U21+U22+U23</f>
        <v>0</v>
      </c>
      <c r="AE35" s="579">
        <f t="shared" si="24"/>
        <v>0</v>
      </c>
      <c r="AF35" s="26"/>
      <c r="AG35" s="599"/>
      <c r="AH35" s="599"/>
      <c r="AI35" s="599"/>
      <c r="AL35" s="24"/>
      <c r="AN35" s="26"/>
      <c r="AP35" s="24"/>
      <c r="AT35" s="25"/>
      <c r="AU35" s="25"/>
      <c r="AX35" s="23"/>
      <c r="AY35" s="23"/>
      <c r="AZ35" s="23"/>
      <c r="BA35" s="23"/>
      <c r="BB35" s="23"/>
      <c r="BC35" s="23"/>
      <c r="BD35" s="23"/>
      <c r="BE35" s="23"/>
      <c r="BF35" s="23"/>
      <c r="BG35" s="23"/>
    </row>
    <row r="36" spans="1:62" ht="23.25">
      <c r="L36" s="441" t="s">
        <v>170</v>
      </c>
      <c r="M36" s="470">
        <f>$V$6</f>
        <v>3</v>
      </c>
      <c r="N36" s="430">
        <f>$V9</f>
        <v>2</v>
      </c>
      <c r="O36" s="430">
        <f>$V7</f>
        <v>0</v>
      </c>
      <c r="P36" s="430">
        <f>$V8</f>
        <v>0</v>
      </c>
      <c r="Q36" s="430">
        <f>V15+V16+V17+V18+V19+V21++V22+V23</f>
        <v>0</v>
      </c>
      <c r="R36" s="430">
        <f>$V20</f>
        <v>0</v>
      </c>
      <c r="S36" s="446">
        <f t="shared" si="22"/>
        <v>5</v>
      </c>
      <c r="T36" s="686"/>
      <c r="U36" s="26"/>
      <c r="V36" s="441" t="s">
        <v>170</v>
      </c>
      <c r="W36" s="440">
        <f>X$6</f>
        <v>2</v>
      </c>
      <c r="X36" s="430">
        <f>$X9</f>
        <v>0</v>
      </c>
      <c r="Y36" s="430">
        <f>$X7</f>
        <v>0</v>
      </c>
      <c r="Z36" s="430">
        <f>$X8</f>
        <v>0</v>
      </c>
      <c r="AA36" s="430">
        <f>X$15+X$16+X$17+X$18+X$19+X$21+X$22+X$23</f>
        <v>0</v>
      </c>
      <c r="AB36" s="719">
        <f>$X20</f>
        <v>0</v>
      </c>
      <c r="AC36" s="723">
        <f t="shared" si="23"/>
        <v>2</v>
      </c>
      <c r="AD36" s="587">
        <f>Y6+Y7+Y8+Y9+Y15+Y16+Y17+Y18+Y19+Y20+Y21+Y22+Y23</f>
        <v>0</v>
      </c>
      <c r="AE36" s="579">
        <f t="shared" si="24"/>
        <v>2</v>
      </c>
      <c r="AF36" s="26"/>
      <c r="AG36" s="599"/>
      <c r="AH36" s="599"/>
      <c r="AI36" s="599"/>
      <c r="AL36" s="24"/>
      <c r="AN36" s="26"/>
      <c r="AP36" s="24"/>
      <c r="AT36" s="25"/>
      <c r="AU36" s="25"/>
      <c r="AX36" s="23"/>
      <c r="AY36" s="23"/>
      <c r="AZ36" s="23"/>
      <c r="BA36" s="23"/>
      <c r="BB36" s="23"/>
      <c r="BC36" s="23"/>
      <c r="BD36" s="23"/>
      <c r="BE36" s="23"/>
      <c r="BF36" s="23"/>
      <c r="BG36" s="23"/>
    </row>
    <row r="37" spans="1:62" ht="23.25">
      <c r="L37" s="441" t="s">
        <v>171</v>
      </c>
      <c r="M37" s="470">
        <f>$Z$6</f>
        <v>0</v>
      </c>
      <c r="N37" s="430">
        <f>$Z9</f>
        <v>2</v>
      </c>
      <c r="O37" s="430">
        <f>$Z7</f>
        <v>0</v>
      </c>
      <c r="P37" s="430">
        <f>$Z8</f>
        <v>0</v>
      </c>
      <c r="Q37" s="430">
        <f>Z15+Z16+Z17+Z18+Z19+Z21+Z22+Z23</f>
        <v>0</v>
      </c>
      <c r="R37" s="430">
        <f>$Z20</f>
        <v>0</v>
      </c>
      <c r="S37" s="446">
        <f t="shared" si="22"/>
        <v>2</v>
      </c>
      <c r="T37" s="686"/>
      <c r="U37" s="26"/>
      <c r="V37" s="441" t="s">
        <v>171</v>
      </c>
      <c r="W37" s="440">
        <f>AB$6</f>
        <v>0</v>
      </c>
      <c r="X37" s="430">
        <f>$AB9</f>
        <v>0</v>
      </c>
      <c r="Y37" s="430">
        <f>$AB7</f>
        <v>0</v>
      </c>
      <c r="Z37" s="430">
        <f>$AB8</f>
        <v>0</v>
      </c>
      <c r="AA37" s="430">
        <f>AB$15+AB$16+AB$17+AB$18+AB$19+AB$21+AB$22+AB$23</f>
        <v>0</v>
      </c>
      <c r="AB37" s="719">
        <f>$AB20</f>
        <v>0</v>
      </c>
      <c r="AC37" s="723">
        <f t="shared" si="23"/>
        <v>0</v>
      </c>
      <c r="AD37" s="587">
        <f>AC6+AC7+AC8+AC9+AC15+AC17+AC16+AC18+AC19+AC20+AC21+AC22+AC23</f>
        <v>0</v>
      </c>
      <c r="AE37" s="579">
        <f t="shared" si="24"/>
        <v>0</v>
      </c>
      <c r="AF37" s="26"/>
      <c r="AG37" s="26"/>
      <c r="AI37" s="26"/>
      <c r="AJ37" s="26"/>
      <c r="AK37" s="26"/>
      <c r="AL37" s="24"/>
      <c r="AN37" s="26"/>
      <c r="AP37" s="24"/>
      <c r="AT37" s="24"/>
      <c r="AX37" s="23"/>
      <c r="AY37" s="23"/>
      <c r="AZ37" s="23"/>
      <c r="BA37" s="23"/>
      <c r="BB37" s="23"/>
      <c r="BC37" s="23"/>
      <c r="BD37" s="23"/>
      <c r="BE37" s="23"/>
      <c r="BF37" s="23"/>
      <c r="BG37" s="23"/>
    </row>
    <row r="38" spans="1:62" ht="23.25">
      <c r="L38" s="441" t="s">
        <v>190</v>
      </c>
      <c r="M38" s="492">
        <f>$AD$6</f>
        <v>10</v>
      </c>
      <c r="N38" s="471">
        <f>$AD9</f>
        <v>0</v>
      </c>
      <c r="O38" s="471">
        <f>$AD7</f>
        <v>0</v>
      </c>
      <c r="P38" s="471">
        <f>$AD8</f>
        <v>10</v>
      </c>
      <c r="Q38" s="430">
        <f>AD15+AD16+AD17+AD18+AD19+AD21+AD22+AD23</f>
        <v>0</v>
      </c>
      <c r="R38" s="471">
        <f>$AD20</f>
        <v>0</v>
      </c>
      <c r="S38" s="446">
        <f t="shared" si="22"/>
        <v>20</v>
      </c>
      <c r="T38" s="686"/>
      <c r="U38" s="26"/>
      <c r="V38" s="441" t="s">
        <v>190</v>
      </c>
      <c r="W38" s="440">
        <f>AF$6</f>
        <v>10.4</v>
      </c>
      <c r="X38" s="430">
        <f>$AF9</f>
        <v>0</v>
      </c>
      <c r="Y38" s="430">
        <f>$AF7</f>
        <v>0</v>
      </c>
      <c r="Z38" s="430">
        <f>$AF8</f>
        <v>0</v>
      </c>
      <c r="AA38" s="430">
        <f>AF$15+AF$16+AF$17+AF$18+AF$19+AF$21+AF$22+AF$23</f>
        <v>0</v>
      </c>
      <c r="AB38" s="719">
        <f>$AF20</f>
        <v>0</v>
      </c>
      <c r="AC38" s="723">
        <f t="shared" si="23"/>
        <v>10.4</v>
      </c>
      <c r="AD38" s="587">
        <f>AG6+AG7+AG8+AG9+AG15+AG16+AG17+AG18+AG19+AG20+AG21+AG22+AG23</f>
        <v>0</v>
      </c>
      <c r="AE38" s="579">
        <f t="shared" si="24"/>
        <v>10.4</v>
      </c>
      <c r="AF38" s="26"/>
      <c r="AG38" s="26"/>
      <c r="AI38" s="26"/>
      <c r="AJ38" s="26"/>
      <c r="AK38" s="26"/>
      <c r="AL38" s="24"/>
      <c r="AN38" s="26"/>
      <c r="AP38" s="24"/>
      <c r="AT38" s="24"/>
      <c r="AX38" s="23"/>
      <c r="AY38" s="23"/>
      <c r="AZ38" s="23"/>
      <c r="BA38" s="23"/>
      <c r="BB38" s="23"/>
      <c r="BC38" s="23"/>
      <c r="BD38" s="23"/>
      <c r="BE38" s="23"/>
      <c r="BF38" s="23"/>
      <c r="BG38" s="23"/>
    </row>
    <row r="39" spans="1:62" ht="23.25">
      <c r="L39" s="441" t="s">
        <v>185</v>
      </c>
      <c r="M39" s="470">
        <f>$AL$6</f>
        <v>5</v>
      </c>
      <c r="N39" s="430">
        <f>$AL9</f>
        <v>0</v>
      </c>
      <c r="O39" s="430">
        <f>$AL7</f>
        <v>0</v>
      </c>
      <c r="P39" s="430">
        <f>$AL8</f>
        <v>0</v>
      </c>
      <c r="Q39" s="430">
        <f>AL15+AL16+AL17+AL18+AL19+AL21+AL22+AL23</f>
        <v>22</v>
      </c>
      <c r="R39" s="430">
        <f>$AL20</f>
        <v>0</v>
      </c>
      <c r="S39" s="446">
        <f t="shared" si="22"/>
        <v>27</v>
      </c>
      <c r="T39" s="686"/>
      <c r="U39" s="26"/>
      <c r="V39" s="441" t="s">
        <v>185</v>
      </c>
      <c r="W39" s="469">
        <f>AN$6</f>
        <v>1</v>
      </c>
      <c r="X39" s="430">
        <f>$AN9</f>
        <v>0</v>
      </c>
      <c r="Y39" s="430">
        <f>$AN7</f>
        <v>0</v>
      </c>
      <c r="Z39" s="430">
        <f>$AN8</f>
        <v>0</v>
      </c>
      <c r="AA39" s="430">
        <f>AN$15+AN$16+AN$17+AN$18+AN$19+AN$21+AN$22+AN$23</f>
        <v>0</v>
      </c>
      <c r="AB39" s="719">
        <f>$AN20</f>
        <v>0</v>
      </c>
      <c r="AC39" s="723">
        <f t="shared" si="23"/>
        <v>1</v>
      </c>
      <c r="AD39" s="587">
        <f>AO6+AO7+AO8+AO9+AO15+AO16+AO17+AO18+AO19+AO20+AO21+AO22+AO23</f>
        <v>23</v>
      </c>
      <c r="AE39" s="579">
        <f t="shared" si="24"/>
        <v>24</v>
      </c>
      <c r="AF39" s="23"/>
      <c r="AG39" s="26"/>
      <c r="AI39" s="26"/>
      <c r="AJ39" s="26"/>
      <c r="AK39" s="26"/>
      <c r="AL39" s="24"/>
      <c r="AN39" s="26"/>
      <c r="AP39" s="24"/>
      <c r="AT39" s="24"/>
      <c r="AX39" s="23"/>
      <c r="AY39" s="23"/>
      <c r="AZ39" s="23"/>
      <c r="BA39" s="23"/>
      <c r="BB39" s="23"/>
      <c r="BC39" s="23"/>
      <c r="BD39" s="23"/>
      <c r="BE39" s="23"/>
      <c r="BF39" s="23"/>
      <c r="BG39" s="23"/>
    </row>
    <row r="40" spans="1:62" ht="23.25">
      <c r="L40" s="441" t="s">
        <v>202</v>
      </c>
      <c r="M40" s="470">
        <f>$AP$6</f>
        <v>0</v>
      </c>
      <c r="N40" s="430">
        <f>$AP9</f>
        <v>0</v>
      </c>
      <c r="O40" s="430">
        <f>$AP7</f>
        <v>0</v>
      </c>
      <c r="P40" s="430">
        <f>$AP8</f>
        <v>0</v>
      </c>
      <c r="Q40" s="430">
        <f>AP15+AP16+AP17+AP18+AP19+AP21+AP22+AP23</f>
        <v>0</v>
      </c>
      <c r="R40" s="430">
        <f>$AP20</f>
        <v>0</v>
      </c>
      <c r="S40" s="446">
        <f t="shared" si="22"/>
        <v>0</v>
      </c>
      <c r="T40" s="686"/>
      <c r="U40" s="26"/>
      <c r="V40" s="441" t="s">
        <v>202</v>
      </c>
      <c r="W40" s="440">
        <f>AR$6</f>
        <v>0</v>
      </c>
      <c r="X40" s="430">
        <f>$AR9</f>
        <v>0</v>
      </c>
      <c r="Y40" s="430">
        <f>$AR7</f>
        <v>0</v>
      </c>
      <c r="Z40" s="430">
        <f>$AR8</f>
        <v>0</v>
      </c>
      <c r="AA40" s="430">
        <f>AR$15+AR$16+AR$17+AR$18+AR$19+AR$21+AR$22+AR$23</f>
        <v>0</v>
      </c>
      <c r="AB40" s="719">
        <f>$AR20</f>
        <v>0</v>
      </c>
      <c r="AC40" s="723">
        <f t="shared" si="23"/>
        <v>0</v>
      </c>
      <c r="AD40" s="587">
        <f>AS6+AS7+AS8+AS9+AS15+AS16+AS17+AS18+AS19+AS20+AS21+AS22+AS23</f>
        <v>3.97</v>
      </c>
      <c r="AE40" s="579">
        <f t="shared" si="24"/>
        <v>3.97</v>
      </c>
      <c r="AF40" s="28"/>
      <c r="AG40" s="26"/>
      <c r="AI40" s="26"/>
      <c r="AJ40" s="26"/>
      <c r="AK40" s="26"/>
      <c r="AL40" s="24"/>
      <c r="AN40" s="26"/>
      <c r="AP40" s="24"/>
      <c r="AS40" s="23"/>
      <c r="AT40" s="24"/>
      <c r="AX40" s="23"/>
      <c r="AY40" s="23"/>
      <c r="AZ40" s="23"/>
      <c r="BA40" s="23"/>
      <c r="BB40" s="23"/>
      <c r="BC40" s="23"/>
      <c r="BD40" s="23"/>
      <c r="BE40" s="23"/>
      <c r="BF40" s="23"/>
      <c r="BG40" s="23"/>
    </row>
    <row r="41" spans="1:62" ht="23.25">
      <c r="L41" s="441" t="s">
        <v>186</v>
      </c>
      <c r="M41" s="470">
        <f>$AT$6</f>
        <v>0</v>
      </c>
      <c r="N41" s="430">
        <f>$AT9</f>
        <v>0</v>
      </c>
      <c r="O41" s="430">
        <f>$AT7</f>
        <v>0</v>
      </c>
      <c r="P41" s="430">
        <f>$AT8</f>
        <v>0</v>
      </c>
      <c r="Q41" s="430">
        <f>AT15+AT16+AT17+AT18+AT19+AT21+AT22+AT23</f>
        <v>0</v>
      </c>
      <c r="R41" s="430">
        <f>$AT20</f>
        <v>20</v>
      </c>
      <c r="S41" s="446">
        <f t="shared" si="22"/>
        <v>20</v>
      </c>
      <c r="T41" s="686"/>
      <c r="U41" s="26"/>
      <c r="V41" s="441" t="s">
        <v>186</v>
      </c>
      <c r="W41" s="440">
        <f>AV$6</f>
        <v>1</v>
      </c>
      <c r="X41" s="430">
        <f>$AV9</f>
        <v>0.5</v>
      </c>
      <c r="Y41" s="430">
        <f>$AV7</f>
        <v>0</v>
      </c>
      <c r="Z41" s="430">
        <f>$AV8</f>
        <v>1</v>
      </c>
      <c r="AA41" s="430">
        <f>AV$15+AV$16+AV$17+AV$18+AV$19+AV$21+AV$22+AV$23</f>
        <v>0</v>
      </c>
      <c r="AB41" s="719">
        <f>$AV20</f>
        <v>0</v>
      </c>
      <c r="AC41" s="723">
        <f t="shared" si="23"/>
        <v>2.5</v>
      </c>
      <c r="AD41" s="587">
        <f>AW6+AW7+AW8+AW9+AW15+AW16+AW17+AW18+AW20+AW19+AW21+AW22+AW23</f>
        <v>8</v>
      </c>
      <c r="AE41" s="579">
        <f t="shared" si="24"/>
        <v>10.5</v>
      </c>
      <c r="AH41" s="24"/>
      <c r="AJ41" s="25"/>
      <c r="AL41" s="24"/>
      <c r="AN41" s="25"/>
      <c r="AP41" s="24"/>
      <c r="AR41" s="25"/>
      <c r="AT41" s="24"/>
      <c r="AX41" s="23"/>
      <c r="AY41" s="23"/>
      <c r="AZ41" s="23"/>
      <c r="BA41" s="23"/>
      <c r="BB41" s="23"/>
      <c r="BC41" s="23"/>
      <c r="BD41" s="23"/>
      <c r="BE41" s="23"/>
      <c r="BF41" s="23"/>
      <c r="BG41" s="23"/>
    </row>
    <row r="42" spans="1:62" ht="23.25">
      <c r="L42" s="441" t="s">
        <v>203</v>
      </c>
      <c r="M42" s="470">
        <f>$AX$6</f>
        <v>7</v>
      </c>
      <c r="N42" s="430">
        <f>$AX9</f>
        <v>0</v>
      </c>
      <c r="O42" s="430">
        <f>$AX7</f>
        <v>0</v>
      </c>
      <c r="P42" s="430">
        <f>$AX8</f>
        <v>0</v>
      </c>
      <c r="Q42" s="430">
        <f>AX15+AX16+AX17+AX18+AX19+AX21+AX22+AX23</f>
        <v>0</v>
      </c>
      <c r="R42" s="430">
        <f>$AX20</f>
        <v>0</v>
      </c>
      <c r="S42" s="446">
        <f t="shared" si="22"/>
        <v>7</v>
      </c>
      <c r="T42" s="686"/>
      <c r="U42" s="26"/>
      <c r="V42" s="441" t="s">
        <v>203</v>
      </c>
      <c r="W42" s="440">
        <f>AZ$6</f>
        <v>7</v>
      </c>
      <c r="X42" s="430">
        <f>$AZ9</f>
        <v>0</v>
      </c>
      <c r="Y42" s="430">
        <f>$AZ7</f>
        <v>0</v>
      </c>
      <c r="Z42" s="430">
        <f>$AZ8</f>
        <v>0</v>
      </c>
      <c r="AA42" s="430">
        <f>AZ$15+AZ$16+AZ$17+AZ$18+AZ$19+AZ$21+AZ$22+AZ$23</f>
        <v>0</v>
      </c>
      <c r="AB42" s="719">
        <f>$AZ20</f>
        <v>0</v>
      </c>
      <c r="AC42" s="723">
        <f t="shared" si="23"/>
        <v>7</v>
      </c>
      <c r="AD42" s="587">
        <f>BA6+BA7+BA8+BA9+BA15+BA16+BA17+BA18+BA19+BA20+BA21+BA22+BA23</f>
        <v>0</v>
      </c>
      <c r="AE42" s="579">
        <f t="shared" si="24"/>
        <v>7</v>
      </c>
      <c r="AH42" s="24"/>
      <c r="AJ42" s="25"/>
      <c r="AL42" s="24"/>
      <c r="AN42" s="25"/>
      <c r="AP42" s="24"/>
      <c r="AR42" s="25"/>
      <c r="AT42" s="24"/>
      <c r="AV42" s="25"/>
      <c r="AX42" s="23"/>
      <c r="AY42" s="23"/>
      <c r="AZ42" s="23"/>
      <c r="BA42" s="23"/>
      <c r="BB42" s="23"/>
      <c r="BC42" s="23"/>
      <c r="BD42" s="23"/>
      <c r="BE42" s="23"/>
      <c r="BF42" s="23"/>
      <c r="BG42" s="23"/>
    </row>
    <row r="43" spans="1:62" ht="24" thickBot="1">
      <c r="L43" s="442" t="s">
        <v>191</v>
      </c>
      <c r="M43" s="443">
        <f t="shared" ref="M43" si="25">SUM(M33:M42)</f>
        <v>64</v>
      </c>
      <c r="N43" s="444">
        <f>SUM(N33:N42)</f>
        <v>17</v>
      </c>
      <c r="O43" s="443">
        <f t="shared" ref="O43" si="26">SUM(O33:O42)</f>
        <v>0</v>
      </c>
      <c r="P43" s="444">
        <f>SUM(P33:P42)</f>
        <v>10</v>
      </c>
      <c r="Q43" s="444">
        <f>SUM(Q33:Q42)</f>
        <v>22</v>
      </c>
      <c r="R43" s="445">
        <f>SUM(R33:R42)</f>
        <v>20</v>
      </c>
      <c r="S43" s="451">
        <f>SUM(S33:S42)</f>
        <v>133</v>
      </c>
      <c r="T43" s="687"/>
      <c r="U43" s="26"/>
      <c r="V43" s="442" t="s">
        <v>191</v>
      </c>
      <c r="W43" s="443">
        <f t="shared" ref="W43:Y43" si="27">SUM(W33:W42)</f>
        <v>59.9</v>
      </c>
      <c r="X43" s="444">
        <f>SUM(X33:X42)</f>
        <v>0.6</v>
      </c>
      <c r="Y43" s="443">
        <f t="shared" si="27"/>
        <v>0</v>
      </c>
      <c r="Z43" s="444">
        <f>SUM(Z33:Z42)</f>
        <v>1</v>
      </c>
      <c r="AA43" s="444">
        <f>SUM(AA33:AA42)</f>
        <v>0</v>
      </c>
      <c r="AB43" s="720">
        <f>SUM(AB33:AB42)</f>
        <v>0</v>
      </c>
      <c r="AC43" s="724">
        <f>SUM(AC33:AC42)</f>
        <v>61.5</v>
      </c>
      <c r="AD43" s="725">
        <f>SUM(AD33:AD42)</f>
        <v>54.35</v>
      </c>
      <c r="AE43" s="579">
        <f t="shared" si="24"/>
        <v>115.85</v>
      </c>
      <c r="AH43" s="24"/>
      <c r="AJ43" s="25"/>
      <c r="AL43" s="24"/>
      <c r="AN43" s="25"/>
      <c r="AP43" s="24"/>
      <c r="AR43" s="25"/>
      <c r="AT43" s="24"/>
      <c r="AV43" s="25"/>
      <c r="AX43" s="23"/>
      <c r="AY43" s="23"/>
      <c r="AZ43" s="23"/>
      <c r="BA43" s="23"/>
      <c r="BB43" s="23"/>
      <c r="BC43" s="23"/>
      <c r="BD43" s="23"/>
      <c r="BE43" s="23"/>
      <c r="BF43" s="23"/>
      <c r="BG43" s="23"/>
    </row>
    <row r="44" spans="1:62" ht="15" customHeight="1" thickBot="1">
      <c r="L44" s="26"/>
      <c r="M44" s="26"/>
      <c r="N44" s="24"/>
      <c r="P44" s="26"/>
      <c r="Q44" s="26"/>
      <c r="R44" s="24"/>
      <c r="T44" s="26"/>
      <c r="U44" s="26"/>
      <c r="V44" s="24"/>
      <c r="Z44" s="24"/>
      <c r="AD44" s="24"/>
      <c r="AE44" s="26"/>
      <c r="AF44" s="466"/>
      <c r="AG44" s="466"/>
      <c r="AH44" s="466"/>
      <c r="AI44" s="467"/>
      <c r="AL44" s="24"/>
      <c r="AM44" s="25"/>
      <c r="AP44" s="24"/>
      <c r="AQ44" s="25"/>
      <c r="AT44" s="24"/>
      <c r="AU44" s="25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</row>
    <row r="45" spans="1:62" ht="31.5" customHeight="1" thickBot="1">
      <c r="L45" s="1929" t="str">
        <f>L31</f>
        <v>Mode wise Collection Plan-3-01-2022</v>
      </c>
      <c r="M45" s="1930"/>
      <c r="N45" s="1930"/>
      <c r="O45" s="1930"/>
      <c r="P45" s="1930"/>
      <c r="Q45" s="1930"/>
      <c r="R45" s="1930"/>
      <c r="S45" s="1930"/>
      <c r="T45" s="1931"/>
      <c r="U45" s="26"/>
      <c r="V45" s="1923" t="s">
        <v>305</v>
      </c>
      <c r="W45" s="1937"/>
      <c r="X45" s="1937"/>
      <c r="Y45" s="1937"/>
      <c r="Z45" s="1937"/>
      <c r="AA45" s="1937"/>
      <c r="AB45" s="1937"/>
      <c r="AC45" s="1937"/>
      <c r="AD45" s="1937"/>
      <c r="AE45" s="1938"/>
      <c r="AF45" s="466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</row>
    <row r="46" spans="1:62" s="28" customFormat="1" ht="33.75" customHeight="1">
      <c r="D46" s="29"/>
      <c r="E46" s="29"/>
      <c r="F46" s="29"/>
      <c r="I46" s="29"/>
      <c r="J46" s="1011" t="s">
        <v>270</v>
      </c>
      <c r="K46" s="1011" t="s">
        <v>196</v>
      </c>
      <c r="L46" s="450" t="s">
        <v>0</v>
      </c>
      <c r="M46" s="439" t="s">
        <v>200</v>
      </c>
      <c r="N46" s="454" t="s">
        <v>205</v>
      </c>
      <c r="O46" s="439" t="s">
        <v>31</v>
      </c>
      <c r="P46" s="448" t="s">
        <v>201</v>
      </c>
      <c r="Q46" s="455" t="s">
        <v>206</v>
      </c>
      <c r="R46" s="436" t="s">
        <v>22</v>
      </c>
      <c r="S46" s="438" t="s">
        <v>191</v>
      </c>
      <c r="T46" s="438" t="s">
        <v>244</v>
      </c>
      <c r="U46" s="26"/>
      <c r="V46" s="596" t="s">
        <v>0</v>
      </c>
      <c r="W46" s="436" t="s">
        <v>200</v>
      </c>
      <c r="X46" s="454" t="s">
        <v>205</v>
      </c>
      <c r="Y46" s="436" t="s">
        <v>31</v>
      </c>
      <c r="Z46" s="448" t="s">
        <v>201</v>
      </c>
      <c r="AA46" s="453" t="s">
        <v>206</v>
      </c>
      <c r="AB46" s="436" t="s">
        <v>22</v>
      </c>
      <c r="AC46" s="437" t="s">
        <v>191</v>
      </c>
      <c r="AD46" s="438" t="s">
        <v>244</v>
      </c>
      <c r="AE46" s="952"/>
      <c r="AF46" s="1022" t="s">
        <v>25</v>
      </c>
      <c r="AG46" s="1022" t="s">
        <v>23</v>
      </c>
      <c r="AH46" s="1022" t="s">
        <v>271</v>
      </c>
      <c r="AI46" s="23"/>
      <c r="AJ46" s="23"/>
      <c r="AK46" s="23"/>
      <c r="AL46" s="23"/>
      <c r="AM46" s="23"/>
      <c r="AN46" s="23"/>
      <c r="AO46" s="23"/>
      <c r="AP46" s="23"/>
      <c r="AQ46" s="23"/>
      <c r="BI46" s="1059"/>
    </row>
    <row r="47" spans="1:62" ht="23.25">
      <c r="J47" s="441"/>
      <c r="K47" s="441"/>
      <c r="L47" s="441" t="s">
        <v>189</v>
      </c>
      <c r="M47" s="470">
        <v>16</v>
      </c>
      <c r="N47" s="430">
        <v>10</v>
      </c>
      <c r="O47" s="430">
        <v>0</v>
      </c>
      <c r="P47" s="430">
        <v>0</v>
      </c>
      <c r="Q47" s="430">
        <v>0</v>
      </c>
      <c r="R47" s="430">
        <v>0</v>
      </c>
      <c r="S47" s="446">
        <f t="shared" ref="S47:S56" si="28">SUM(M47:R47)</f>
        <v>26</v>
      </c>
      <c r="T47" s="446"/>
      <c r="U47" s="26"/>
      <c r="V47" s="586" t="s">
        <v>189</v>
      </c>
      <c r="W47" s="430">
        <v>4</v>
      </c>
      <c r="X47" s="430">
        <v>0</v>
      </c>
      <c r="Y47" s="430">
        <v>0</v>
      </c>
      <c r="Z47" s="430">
        <v>0</v>
      </c>
      <c r="AA47" s="430">
        <v>0</v>
      </c>
      <c r="AB47" s="430">
        <v>0</v>
      </c>
      <c r="AC47" s="568">
        <f t="shared" ref="AC47:AC56" si="29">SUM(W47:AB47)</f>
        <v>4</v>
      </c>
      <c r="AD47" s="587">
        <f>L27+L28+L29</f>
        <v>10</v>
      </c>
      <c r="AE47" s="953"/>
      <c r="AF47" s="1017"/>
      <c r="AG47" s="1017"/>
      <c r="AH47" s="1017"/>
      <c r="AI47" s="28"/>
      <c r="AJ47" s="28"/>
      <c r="AK47" s="28"/>
      <c r="AL47" s="28"/>
      <c r="AM47" s="28"/>
      <c r="AN47" s="28"/>
      <c r="AO47" s="28"/>
      <c r="AP47" s="28"/>
      <c r="AQ47" s="28"/>
      <c r="AT47" s="25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I47" s="1058"/>
      <c r="BJ47" s="23"/>
    </row>
    <row r="48" spans="1:62" ht="26.25" customHeight="1">
      <c r="J48" s="441"/>
      <c r="K48" s="441"/>
      <c r="L48" s="441" t="s">
        <v>183</v>
      </c>
      <c r="M48" s="470">
        <v>23</v>
      </c>
      <c r="N48" s="430">
        <v>0</v>
      </c>
      <c r="O48" s="430">
        <v>0</v>
      </c>
      <c r="P48" s="430">
        <v>0</v>
      </c>
      <c r="Q48" s="430">
        <v>0</v>
      </c>
      <c r="R48" s="430">
        <v>0</v>
      </c>
      <c r="S48" s="446">
        <f t="shared" si="28"/>
        <v>23</v>
      </c>
      <c r="T48" s="446">
        <v>10</v>
      </c>
      <c r="U48" s="466"/>
      <c r="V48" s="586" t="s">
        <v>183</v>
      </c>
      <c r="W48" s="430">
        <v>0</v>
      </c>
      <c r="X48" s="430">
        <v>0</v>
      </c>
      <c r="Y48" s="430">
        <v>0</v>
      </c>
      <c r="Z48" s="430">
        <v>0</v>
      </c>
      <c r="AA48" s="430">
        <v>0</v>
      </c>
      <c r="AB48" s="430">
        <v>0</v>
      </c>
      <c r="AC48" s="568">
        <f t="shared" si="29"/>
        <v>0</v>
      </c>
      <c r="AD48" s="587">
        <f>P27+P28+P29</f>
        <v>9.3800000000000008</v>
      </c>
      <c r="AE48" s="953"/>
      <c r="AF48" s="951"/>
      <c r="AG48" s="951"/>
      <c r="AH48" s="655"/>
      <c r="AL48" s="25"/>
      <c r="AP48" s="25"/>
      <c r="AT48" s="25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I48" s="1058"/>
      <c r="BJ48" s="23"/>
    </row>
    <row r="49" spans="4:62" ht="23.25">
      <c r="J49" s="441"/>
      <c r="K49" s="441"/>
      <c r="L49" s="441" t="s">
        <v>184</v>
      </c>
      <c r="M49" s="470">
        <v>0</v>
      </c>
      <c r="N49" s="430">
        <v>3</v>
      </c>
      <c r="O49" s="430">
        <v>0</v>
      </c>
      <c r="P49" s="430">
        <v>0</v>
      </c>
      <c r="Q49" s="430">
        <v>0</v>
      </c>
      <c r="R49" s="430">
        <v>0</v>
      </c>
      <c r="S49" s="446">
        <f t="shared" si="28"/>
        <v>3</v>
      </c>
      <c r="T49" s="446"/>
      <c r="U49" s="466"/>
      <c r="V49" s="586" t="s">
        <v>184</v>
      </c>
      <c r="W49" s="430">
        <v>0</v>
      </c>
      <c r="X49" s="430">
        <v>0</v>
      </c>
      <c r="Y49" s="430">
        <v>0</v>
      </c>
      <c r="Z49" s="430">
        <v>0</v>
      </c>
      <c r="AA49" s="430">
        <v>0</v>
      </c>
      <c r="AB49" s="430">
        <v>0</v>
      </c>
      <c r="AC49" s="568">
        <f t="shared" si="29"/>
        <v>0</v>
      </c>
      <c r="AD49" s="587">
        <f>T27+T28+T29</f>
        <v>0</v>
      </c>
      <c r="AE49" s="953"/>
      <c r="AF49" s="951"/>
      <c r="AG49" s="951"/>
      <c r="AH49" s="655"/>
      <c r="AL49" s="25"/>
      <c r="AP49" s="25"/>
      <c r="AT49" s="25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I49" s="1058"/>
      <c r="BJ49" s="23"/>
    </row>
    <row r="50" spans="4:62" ht="23.25">
      <c r="J50" s="441"/>
      <c r="K50" s="441"/>
      <c r="L50" s="441" t="s">
        <v>170</v>
      </c>
      <c r="M50" s="470">
        <v>3</v>
      </c>
      <c r="N50" s="430">
        <v>2</v>
      </c>
      <c r="O50" s="430">
        <v>0</v>
      </c>
      <c r="P50" s="430">
        <v>0</v>
      </c>
      <c r="Q50" s="430">
        <v>0</v>
      </c>
      <c r="R50" s="430">
        <v>0</v>
      </c>
      <c r="S50" s="446">
        <f t="shared" si="28"/>
        <v>5</v>
      </c>
      <c r="T50" s="446"/>
      <c r="U50" s="466"/>
      <c r="V50" s="586" t="s">
        <v>170</v>
      </c>
      <c r="W50" s="430">
        <v>0</v>
      </c>
      <c r="X50" s="430">
        <v>0</v>
      </c>
      <c r="Y50" s="430">
        <v>0</v>
      </c>
      <c r="Z50" s="430">
        <v>0</v>
      </c>
      <c r="AA50" s="430">
        <v>0</v>
      </c>
      <c r="AB50" s="430">
        <v>0</v>
      </c>
      <c r="AC50" s="568">
        <f t="shared" si="29"/>
        <v>0</v>
      </c>
      <c r="AD50" s="587">
        <f>X27+X28+X29</f>
        <v>0</v>
      </c>
      <c r="AE50" s="953"/>
      <c r="AF50" s="951"/>
      <c r="AG50" s="951"/>
      <c r="AH50" s="655"/>
      <c r="AL50" s="25"/>
      <c r="AP50" s="25"/>
      <c r="AT50" s="25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I50" s="1058"/>
      <c r="BJ50" s="23"/>
    </row>
    <row r="51" spans="4:62" ht="23.25">
      <c r="J51" s="441"/>
      <c r="K51" s="441"/>
      <c r="L51" s="441" t="s">
        <v>171</v>
      </c>
      <c r="M51" s="470">
        <v>0</v>
      </c>
      <c r="N51" s="430">
        <v>2</v>
      </c>
      <c r="O51" s="430">
        <v>0</v>
      </c>
      <c r="P51" s="430">
        <v>0</v>
      </c>
      <c r="Q51" s="430">
        <v>0</v>
      </c>
      <c r="R51" s="430">
        <v>0</v>
      </c>
      <c r="S51" s="446">
        <f t="shared" si="28"/>
        <v>2</v>
      </c>
      <c r="T51" s="446"/>
      <c r="U51" s="466"/>
      <c r="V51" s="586" t="s">
        <v>171</v>
      </c>
      <c r="W51" s="430">
        <v>0</v>
      </c>
      <c r="X51" s="430">
        <v>0</v>
      </c>
      <c r="Y51" s="430">
        <v>0</v>
      </c>
      <c r="Z51" s="430">
        <v>0</v>
      </c>
      <c r="AA51" s="430">
        <v>0</v>
      </c>
      <c r="AB51" s="430">
        <v>0</v>
      </c>
      <c r="AC51" s="568">
        <f t="shared" si="29"/>
        <v>0</v>
      </c>
      <c r="AD51" s="587">
        <f>AB27+AB28+AB29</f>
        <v>0</v>
      </c>
      <c r="AE51" s="953"/>
      <c r="AF51" s="951"/>
      <c r="AG51" s="951"/>
      <c r="AH51" s="655"/>
      <c r="AL51" s="25"/>
      <c r="AP51" s="25"/>
      <c r="AT51" s="25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I51" s="1058"/>
      <c r="BJ51" s="23"/>
    </row>
    <row r="52" spans="4:62" ht="23.25">
      <c r="J52" s="441"/>
      <c r="K52" s="441"/>
      <c r="L52" s="441" t="s">
        <v>190</v>
      </c>
      <c r="M52" s="492">
        <v>10</v>
      </c>
      <c r="N52" s="471">
        <v>0</v>
      </c>
      <c r="O52" s="471">
        <v>0</v>
      </c>
      <c r="P52" s="471">
        <v>10</v>
      </c>
      <c r="Q52" s="430">
        <v>0</v>
      </c>
      <c r="R52" s="471">
        <v>0</v>
      </c>
      <c r="S52" s="446">
        <f t="shared" si="28"/>
        <v>20</v>
      </c>
      <c r="T52" s="446"/>
      <c r="U52" s="466"/>
      <c r="V52" s="586" t="s">
        <v>190</v>
      </c>
      <c r="W52" s="430">
        <v>7.9</v>
      </c>
      <c r="X52" s="430">
        <v>0</v>
      </c>
      <c r="Y52" s="430">
        <v>0</v>
      </c>
      <c r="Z52" s="430">
        <v>0</v>
      </c>
      <c r="AA52" s="430">
        <v>0</v>
      </c>
      <c r="AB52" s="430">
        <v>0</v>
      </c>
      <c r="AC52" s="568">
        <f t="shared" si="29"/>
        <v>7.9</v>
      </c>
      <c r="AD52" s="587">
        <f>AF27+AF28+AF29</f>
        <v>0</v>
      </c>
      <c r="AE52" s="954"/>
      <c r="AF52" s="951"/>
      <c r="AG52" s="951"/>
      <c r="AH52" s="655"/>
      <c r="AL52" s="25"/>
      <c r="AP52" s="25"/>
      <c r="AT52" s="25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I52" s="1058"/>
      <c r="BJ52" s="23"/>
    </row>
    <row r="53" spans="4:62" ht="23.25">
      <c r="J53" s="441"/>
      <c r="K53" s="441"/>
      <c r="L53" s="441" t="s">
        <v>185</v>
      </c>
      <c r="M53" s="470">
        <v>5</v>
      </c>
      <c r="N53" s="430">
        <v>0</v>
      </c>
      <c r="O53" s="430">
        <v>0</v>
      </c>
      <c r="P53" s="430">
        <v>0</v>
      </c>
      <c r="Q53" s="430">
        <v>22</v>
      </c>
      <c r="R53" s="430">
        <v>0</v>
      </c>
      <c r="S53" s="446">
        <f t="shared" si="28"/>
        <v>27</v>
      </c>
      <c r="T53" s="446">
        <v>23</v>
      </c>
      <c r="U53" s="466"/>
      <c r="V53" s="586" t="s">
        <v>185</v>
      </c>
      <c r="W53" s="430">
        <v>0</v>
      </c>
      <c r="X53" s="430">
        <v>0</v>
      </c>
      <c r="Y53" s="430">
        <v>0</v>
      </c>
      <c r="Z53" s="430">
        <v>0</v>
      </c>
      <c r="AA53" s="430">
        <v>0</v>
      </c>
      <c r="AB53" s="430">
        <v>0</v>
      </c>
      <c r="AC53" s="568">
        <f t="shared" si="29"/>
        <v>0</v>
      </c>
      <c r="AD53" s="587">
        <f>AN27+AN28+AN29</f>
        <v>23</v>
      </c>
      <c r="AE53" s="954"/>
      <c r="AF53" s="951"/>
      <c r="AG53" s="951"/>
      <c r="AH53" s="655"/>
      <c r="AL53" s="25"/>
      <c r="AP53" s="25"/>
      <c r="AT53" s="25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I53" s="1058"/>
      <c r="BJ53" s="23"/>
    </row>
    <row r="54" spans="4:62" ht="23.25">
      <c r="J54" s="441"/>
      <c r="K54" s="441"/>
      <c r="L54" s="441" t="s">
        <v>202</v>
      </c>
      <c r="M54" s="470">
        <v>0</v>
      </c>
      <c r="N54" s="430">
        <v>0</v>
      </c>
      <c r="O54" s="430">
        <v>0</v>
      </c>
      <c r="P54" s="430">
        <v>0</v>
      </c>
      <c r="Q54" s="430">
        <v>0</v>
      </c>
      <c r="R54" s="430">
        <v>0</v>
      </c>
      <c r="S54" s="446">
        <f t="shared" si="28"/>
        <v>0</v>
      </c>
      <c r="T54" s="446"/>
      <c r="U54" s="466"/>
      <c r="V54" s="586" t="s">
        <v>202</v>
      </c>
      <c r="W54" s="430">
        <v>0</v>
      </c>
      <c r="X54" s="430">
        <v>0</v>
      </c>
      <c r="Y54" s="430">
        <v>0</v>
      </c>
      <c r="Z54" s="430">
        <v>0</v>
      </c>
      <c r="AA54" s="430">
        <v>0</v>
      </c>
      <c r="AB54" s="430">
        <v>0</v>
      </c>
      <c r="AC54" s="568">
        <f t="shared" si="29"/>
        <v>0</v>
      </c>
      <c r="AD54" s="587">
        <f>AR27+AR28+AR29</f>
        <v>3.97</v>
      </c>
      <c r="AE54" s="952"/>
      <c r="AF54" s="951"/>
      <c r="AG54" s="951"/>
      <c r="AH54" s="655"/>
      <c r="AL54" s="25"/>
      <c r="AP54" s="25"/>
      <c r="AT54" s="25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I54" s="1058"/>
      <c r="BJ54" s="23"/>
    </row>
    <row r="55" spans="4:62" ht="23.25">
      <c r="J55" s="441"/>
      <c r="K55" s="441"/>
      <c r="L55" s="441" t="s">
        <v>186</v>
      </c>
      <c r="M55" s="470">
        <v>0</v>
      </c>
      <c r="N55" s="430">
        <v>0</v>
      </c>
      <c r="O55" s="430">
        <v>0</v>
      </c>
      <c r="P55" s="430">
        <v>0</v>
      </c>
      <c r="Q55" s="430">
        <v>0</v>
      </c>
      <c r="R55" s="430">
        <v>20</v>
      </c>
      <c r="S55" s="446">
        <f t="shared" si="28"/>
        <v>20</v>
      </c>
      <c r="T55" s="446">
        <v>8</v>
      </c>
      <c r="U55" s="466"/>
      <c r="V55" s="586" t="s">
        <v>186</v>
      </c>
      <c r="W55" s="430">
        <v>0.71</v>
      </c>
      <c r="X55" s="430">
        <v>0</v>
      </c>
      <c r="Y55" s="430">
        <v>27.5</v>
      </c>
      <c r="Z55" s="430">
        <v>0</v>
      </c>
      <c r="AA55" s="430">
        <v>0</v>
      </c>
      <c r="AB55" s="430">
        <v>0</v>
      </c>
      <c r="AC55" s="568">
        <f t="shared" si="29"/>
        <v>28.21</v>
      </c>
      <c r="AD55" s="587">
        <f>AV27+AV28+AV29</f>
        <v>8</v>
      </c>
      <c r="AE55" s="952"/>
      <c r="AF55" s="951"/>
      <c r="AG55" s="951"/>
      <c r="AH55" s="655"/>
      <c r="AL55" s="25"/>
      <c r="AP55" s="25"/>
      <c r="AT55" s="25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I55" s="1058"/>
      <c r="BJ55" s="23"/>
    </row>
    <row r="56" spans="4:62" ht="23.25">
      <c r="J56" s="441"/>
      <c r="K56" s="441"/>
      <c r="L56" s="441" t="s">
        <v>203</v>
      </c>
      <c r="M56" s="470">
        <v>0</v>
      </c>
      <c r="N56" s="430">
        <v>0</v>
      </c>
      <c r="O56" s="430">
        <v>0</v>
      </c>
      <c r="P56" s="430">
        <v>0</v>
      </c>
      <c r="Q56" s="430">
        <v>0</v>
      </c>
      <c r="R56" s="430">
        <v>0</v>
      </c>
      <c r="S56" s="446">
        <f t="shared" si="28"/>
        <v>0</v>
      </c>
      <c r="T56" s="446"/>
      <c r="U56" s="466"/>
      <c r="V56" s="586" t="s">
        <v>203</v>
      </c>
      <c r="W56" s="430">
        <v>0</v>
      </c>
      <c r="X56" s="430">
        <v>0</v>
      </c>
      <c r="Y56" s="430">
        <v>0</v>
      </c>
      <c r="Z56" s="430">
        <v>0</v>
      </c>
      <c r="AA56" s="430">
        <v>0</v>
      </c>
      <c r="AB56" s="430">
        <v>0</v>
      </c>
      <c r="AC56" s="568">
        <f t="shared" si="29"/>
        <v>0</v>
      </c>
      <c r="AD56" s="587">
        <f>AZ27+AZ28+AZ29</f>
        <v>0</v>
      </c>
      <c r="AE56" s="952"/>
      <c r="AF56" s="951"/>
      <c r="AG56" s="951"/>
      <c r="AH56" s="655"/>
      <c r="AL56" s="25"/>
      <c r="AP56" s="25"/>
      <c r="AT56" s="25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I56" s="1058"/>
      <c r="BJ56" s="23"/>
    </row>
    <row r="57" spans="4:62" ht="24" thickBot="1">
      <c r="J57" s="442">
        <f t="shared" ref="J57:K57" si="30">SUM(J47:J56)</f>
        <v>0</v>
      </c>
      <c r="K57" s="442">
        <f t="shared" si="30"/>
        <v>0</v>
      </c>
      <c r="L57" s="442" t="s">
        <v>191</v>
      </c>
      <c r="M57" s="443">
        <f t="shared" ref="M57" si="31">SUM(M47:M56)</f>
        <v>57</v>
      </c>
      <c r="N57" s="444">
        <f>SUM(N47:N56)</f>
        <v>17</v>
      </c>
      <c r="O57" s="443">
        <f t="shared" ref="O57" si="32">SUM(O47:O56)</f>
        <v>0</v>
      </c>
      <c r="P57" s="444">
        <f>SUM(P47:P56)</f>
        <v>10</v>
      </c>
      <c r="Q57" s="444">
        <f>SUM(Q47:Q56)</f>
        <v>22</v>
      </c>
      <c r="R57" s="445">
        <f>SUM(R47:R56)</f>
        <v>20</v>
      </c>
      <c r="S57" s="451">
        <f>SUM(S47:S56)</f>
        <v>126</v>
      </c>
      <c r="T57" s="451">
        <f>SUM(T47:T56)</f>
        <v>41</v>
      </c>
      <c r="U57" s="466"/>
      <c r="V57" s="588" t="s">
        <v>191</v>
      </c>
      <c r="W57" s="589">
        <f t="shared" ref="W57:AB57" si="33">SUM(W47:W56)</f>
        <v>12.61</v>
      </c>
      <c r="X57" s="589">
        <f t="shared" si="33"/>
        <v>0</v>
      </c>
      <c r="Y57" s="589">
        <f t="shared" si="33"/>
        <v>27.5</v>
      </c>
      <c r="Z57" s="589">
        <f t="shared" si="33"/>
        <v>0</v>
      </c>
      <c r="AA57" s="589">
        <f t="shared" si="33"/>
        <v>0</v>
      </c>
      <c r="AB57" s="589">
        <f t="shared" si="33"/>
        <v>0</v>
      </c>
      <c r="AC57" s="444">
        <f>SUM(AC47:AC56)</f>
        <v>40.11</v>
      </c>
      <c r="AD57" s="630">
        <f>SUM(AD47:AD56)</f>
        <v>54.35</v>
      </c>
      <c r="AE57" s="631"/>
      <c r="AF57" s="1016">
        <f t="shared" ref="AF57:AI57" si="34">SUM(AE47:AE56)</f>
        <v>0</v>
      </c>
      <c r="AG57" s="1015">
        <f t="shared" si="34"/>
        <v>0</v>
      </c>
      <c r="AH57" s="1015">
        <f t="shared" si="34"/>
        <v>0</v>
      </c>
      <c r="AI57" s="1015">
        <f t="shared" si="34"/>
        <v>0</v>
      </c>
      <c r="AL57" s="24"/>
      <c r="AM57" s="25"/>
      <c r="AP57" s="24"/>
      <c r="AQ57" s="25"/>
      <c r="AT57" s="24"/>
      <c r="AU57" s="25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</row>
    <row r="58" spans="4:62" ht="27" thickBot="1">
      <c r="N58" s="24"/>
      <c r="O58" s="1942" t="s">
        <v>254</v>
      </c>
      <c r="P58" s="1943"/>
      <c r="Q58" s="1943"/>
      <c r="R58" s="1944"/>
      <c r="S58" s="1945">
        <f>S57+T57</f>
        <v>167</v>
      </c>
      <c r="T58" s="1946"/>
      <c r="U58" s="466"/>
      <c r="V58" s="1932" t="s">
        <v>221</v>
      </c>
      <c r="W58" s="1932"/>
      <c r="X58" s="1932"/>
      <c r="Y58" s="1932"/>
      <c r="Z58" s="1932"/>
      <c r="AA58" s="1932"/>
      <c r="AB58" s="1932"/>
      <c r="AC58" s="1932"/>
      <c r="AD58" s="1933">
        <f>AD57+AC57</f>
        <v>94.460000000000008</v>
      </c>
      <c r="AE58" s="1934"/>
      <c r="AF58" s="466"/>
      <c r="AH58" s="24"/>
      <c r="AI58" s="25"/>
      <c r="AL58" s="24"/>
      <c r="AM58" s="25"/>
      <c r="AP58" s="24"/>
      <c r="AQ58" s="25"/>
      <c r="AT58" s="24"/>
      <c r="AU58" s="25"/>
      <c r="AX58" s="24"/>
      <c r="AY58" s="24"/>
      <c r="AZ58" s="25"/>
      <c r="BA58" s="24"/>
      <c r="BB58" s="24"/>
      <c r="BC58" s="23"/>
      <c r="BD58" s="23"/>
      <c r="BE58" s="23"/>
      <c r="BF58" s="23"/>
      <c r="BG58" s="23"/>
    </row>
    <row r="59" spans="4:62" ht="9.75" customHeight="1" thickBot="1">
      <c r="J59" s="24"/>
      <c r="L59" s="1248"/>
      <c r="M59" s="1248"/>
      <c r="N59" s="1248"/>
      <c r="O59" s="1249"/>
      <c r="P59" s="1249"/>
      <c r="Q59" s="1249"/>
      <c r="R59" s="1249"/>
      <c r="S59" s="1250"/>
      <c r="T59" s="1251"/>
      <c r="U59" s="1248"/>
      <c r="V59" s="966"/>
      <c r="W59" s="966"/>
      <c r="X59" s="966"/>
      <c r="Y59" s="1922" t="s">
        <v>235</v>
      </c>
      <c r="Z59" s="1922"/>
      <c r="AA59" s="1922"/>
      <c r="AB59" s="1922"/>
      <c r="AC59" s="1922"/>
      <c r="AD59" s="1920">
        <f>BH6+BI6+BD20+BE20</f>
        <v>94.87</v>
      </c>
      <c r="AE59" s="1921"/>
      <c r="AF59" s="466"/>
      <c r="AH59" s="24"/>
      <c r="AI59" s="25"/>
      <c r="AL59" s="24"/>
      <c r="AP59" s="25"/>
      <c r="AT59" s="25"/>
      <c r="AX59" s="25"/>
      <c r="AY59" s="24"/>
      <c r="AZ59" s="24"/>
      <c r="BA59" s="24"/>
      <c r="BB59" s="25"/>
      <c r="BE59" s="23"/>
      <c r="BF59" s="23"/>
      <c r="BG59" s="23"/>
    </row>
    <row r="60" spans="4:62" s="28" customFormat="1" ht="35.25" customHeight="1" thickBot="1">
      <c r="D60" s="29"/>
      <c r="E60" s="29"/>
      <c r="F60" s="29"/>
      <c r="I60" s="29"/>
      <c r="J60" s="24"/>
      <c r="K60" s="24"/>
      <c r="L60" s="1940" t="s">
        <v>332</v>
      </c>
      <c r="M60" s="1941"/>
      <c r="N60" s="1941"/>
      <c r="O60" s="1941"/>
      <c r="P60" s="1941"/>
      <c r="Q60" s="1941"/>
      <c r="R60" s="1941"/>
      <c r="S60" s="1941"/>
      <c r="T60" s="1941"/>
      <c r="U60" s="1391"/>
      <c r="V60" s="966"/>
      <c r="W60" s="966"/>
      <c r="X60" s="966"/>
      <c r="Y60" s="1013"/>
      <c r="Z60" s="966"/>
      <c r="AA60" s="966"/>
      <c r="AB60" s="966"/>
      <c r="AC60" s="1013"/>
      <c r="AD60" s="966"/>
      <c r="AE60" s="964"/>
      <c r="AF60" s="966"/>
      <c r="AG60" s="964"/>
      <c r="AH60" s="964"/>
      <c r="AI60" s="967"/>
      <c r="AJ60" s="964"/>
      <c r="AK60" s="964"/>
      <c r="AL60" s="964"/>
      <c r="AM60" s="964"/>
      <c r="AN60" s="964"/>
      <c r="AO60" s="964"/>
      <c r="AP60" s="967"/>
      <c r="AQ60" s="964"/>
      <c r="AR60" s="964"/>
      <c r="AS60" s="964"/>
      <c r="AT60" s="967"/>
      <c r="AU60" s="964"/>
      <c r="AV60" s="964"/>
      <c r="AW60" s="964"/>
      <c r="AX60" s="967"/>
      <c r="AY60" s="965"/>
      <c r="AZ60" s="965"/>
      <c r="BA60" s="964"/>
      <c r="BB60" s="964"/>
      <c r="BC60" s="967"/>
      <c r="BD60" s="967"/>
      <c r="BE60" s="964"/>
      <c r="BJ60" s="1059"/>
    </row>
    <row r="61" spans="4:62" ht="44.25" customHeight="1">
      <c r="J61" s="24"/>
      <c r="L61" s="596" t="s">
        <v>0</v>
      </c>
      <c r="M61" s="436" t="s">
        <v>200</v>
      </c>
      <c r="N61" s="454" t="s">
        <v>205</v>
      </c>
      <c r="O61" s="436" t="s">
        <v>31</v>
      </c>
      <c r="P61" s="448" t="s">
        <v>201</v>
      </c>
      <c r="Q61" s="453" t="s">
        <v>206</v>
      </c>
      <c r="R61" s="436" t="s">
        <v>22</v>
      </c>
      <c r="S61" s="437" t="s">
        <v>191</v>
      </c>
      <c r="T61" s="1033" t="s">
        <v>244</v>
      </c>
      <c r="U61" s="438"/>
      <c r="V61" s="466"/>
      <c r="W61" s="466"/>
      <c r="X61" s="466"/>
      <c r="Y61" s="465"/>
      <c r="Z61" s="466"/>
      <c r="AA61" s="466"/>
      <c r="AB61" s="466"/>
      <c r="AC61" s="465"/>
      <c r="AD61" s="466"/>
      <c r="AF61" s="466"/>
      <c r="AH61" s="24"/>
      <c r="AI61" s="25"/>
      <c r="AL61" s="24"/>
      <c r="AM61" s="26"/>
      <c r="AN61" s="26"/>
      <c r="AP61" s="24"/>
      <c r="AQ61" s="26"/>
      <c r="AR61" s="26"/>
      <c r="AT61" s="24"/>
      <c r="AU61" s="26"/>
      <c r="AV61" s="26"/>
      <c r="AX61" s="24"/>
      <c r="AY61" s="26"/>
      <c r="AZ61" s="26"/>
      <c r="BA61" s="24"/>
      <c r="BB61" s="24"/>
      <c r="BC61" s="25"/>
      <c r="BD61" s="25"/>
      <c r="BF61" s="23"/>
      <c r="BG61" s="23"/>
    </row>
    <row r="62" spans="4:62" ht="21.75" customHeight="1">
      <c r="J62" s="24"/>
      <c r="L62" s="586" t="s">
        <v>189</v>
      </c>
      <c r="M62" s="430">
        <v>15.5</v>
      </c>
      <c r="N62" s="430">
        <v>0.1</v>
      </c>
      <c r="O62" s="430">
        <v>0</v>
      </c>
      <c r="P62" s="430"/>
      <c r="Q62" s="430">
        <v>0</v>
      </c>
      <c r="R62" s="430">
        <v>0</v>
      </c>
      <c r="S62" s="568">
        <f t="shared" ref="S62:S71" si="35">SUM(M62:R62)</f>
        <v>15.6</v>
      </c>
      <c r="T62" s="1034">
        <v>10</v>
      </c>
      <c r="U62" s="1342"/>
      <c r="V62" s="466"/>
      <c r="W62" s="466"/>
      <c r="X62" s="466"/>
      <c r="Y62" s="465"/>
      <c r="Z62" s="466"/>
      <c r="AA62" s="466"/>
      <c r="AB62" s="466"/>
      <c r="AC62" s="465"/>
      <c r="AD62" s="466"/>
      <c r="AF62" s="466"/>
      <c r="AH62" s="24"/>
      <c r="AI62" s="25"/>
      <c r="AL62" s="24"/>
      <c r="AM62" s="26"/>
      <c r="AN62" s="26"/>
      <c r="AP62" s="24"/>
      <c r="AQ62" s="26"/>
      <c r="AR62" s="26"/>
      <c r="AT62" s="24"/>
      <c r="AU62" s="26"/>
      <c r="AV62" s="26"/>
      <c r="AX62" s="24"/>
      <c r="AY62" s="26"/>
      <c r="AZ62" s="26"/>
      <c r="BA62" s="24"/>
      <c r="BB62" s="24"/>
      <c r="BC62" s="25"/>
      <c r="BD62" s="25"/>
      <c r="BF62" s="23"/>
      <c r="BG62" s="23"/>
    </row>
    <row r="63" spans="4:62" ht="23.25">
      <c r="J63" s="24"/>
      <c r="L63" s="586" t="s">
        <v>183</v>
      </c>
      <c r="M63" s="430">
        <v>23</v>
      </c>
      <c r="N63" s="430">
        <v>0</v>
      </c>
      <c r="O63" s="430">
        <v>0</v>
      </c>
      <c r="P63" s="430">
        <v>0</v>
      </c>
      <c r="Q63" s="430">
        <v>0</v>
      </c>
      <c r="R63" s="430">
        <v>0</v>
      </c>
      <c r="S63" s="568">
        <f t="shared" si="35"/>
        <v>23</v>
      </c>
      <c r="T63" s="1034">
        <v>9.3800000000000008</v>
      </c>
      <c r="U63" s="1342"/>
      <c r="V63" s="466"/>
      <c r="W63" s="466"/>
      <c r="X63" s="466"/>
      <c r="Y63" s="465"/>
      <c r="Z63" s="466"/>
      <c r="AA63" s="466"/>
      <c r="AB63" s="466"/>
      <c r="AC63" s="465"/>
      <c r="AD63" s="466"/>
      <c r="AG63" s="26"/>
      <c r="AH63" s="24"/>
      <c r="AK63" s="49"/>
      <c r="AL63" s="24"/>
      <c r="AM63" s="26"/>
      <c r="AN63" s="26"/>
      <c r="AP63" s="24"/>
      <c r="AQ63" s="26"/>
      <c r="AR63" s="26"/>
      <c r="AT63" s="24"/>
      <c r="AU63" s="26"/>
      <c r="AV63" s="26"/>
      <c r="AX63" s="24"/>
      <c r="AY63" s="26"/>
      <c r="AZ63" s="26"/>
      <c r="BA63" s="24"/>
      <c r="BB63" s="24"/>
      <c r="BC63" s="25"/>
      <c r="BD63" s="25"/>
      <c r="BF63" s="23"/>
      <c r="BG63" s="23"/>
    </row>
    <row r="64" spans="4:62" ht="23.25">
      <c r="J64" s="24"/>
      <c r="L64" s="586" t="s">
        <v>184</v>
      </c>
      <c r="M64" s="430">
        <v>0</v>
      </c>
      <c r="N64" s="430">
        <v>0</v>
      </c>
      <c r="O64" s="430">
        <v>0</v>
      </c>
      <c r="P64" s="430">
        <v>0</v>
      </c>
      <c r="Q64" s="430">
        <v>0</v>
      </c>
      <c r="R64" s="430">
        <v>0</v>
      </c>
      <c r="S64" s="568">
        <f t="shared" si="35"/>
        <v>0</v>
      </c>
      <c r="T64" s="1034">
        <v>0</v>
      </c>
      <c r="U64" s="1342"/>
      <c r="V64" s="466"/>
      <c r="W64" s="466"/>
      <c r="X64" s="466"/>
      <c r="Y64" s="465"/>
      <c r="Z64" s="466"/>
      <c r="AA64" s="466"/>
      <c r="AB64" s="466"/>
      <c r="AC64" s="465"/>
      <c r="AD64" s="466"/>
      <c r="AG64" s="26"/>
      <c r="AH64" s="24"/>
      <c r="AK64" s="49"/>
      <c r="AL64" s="24"/>
      <c r="AO64" s="26"/>
      <c r="AP64" s="24"/>
      <c r="AQ64" s="26"/>
      <c r="AR64" s="26"/>
      <c r="AT64" s="24"/>
      <c r="AU64" s="26"/>
      <c r="AV64" s="26"/>
      <c r="AX64" s="24"/>
      <c r="AY64" s="26"/>
      <c r="AZ64" s="26"/>
      <c r="BA64" s="24"/>
      <c r="BB64" s="24"/>
      <c r="BE64" s="25"/>
      <c r="BF64" s="24"/>
      <c r="BG64" s="23"/>
    </row>
    <row r="65" spans="10:59" ht="23.25">
      <c r="J65" s="24"/>
      <c r="L65" s="586" t="s">
        <v>170</v>
      </c>
      <c r="M65" s="430">
        <v>2</v>
      </c>
      <c r="N65" s="430">
        <v>0</v>
      </c>
      <c r="O65" s="430">
        <v>0</v>
      </c>
      <c r="P65" s="430">
        <v>0</v>
      </c>
      <c r="Q65" s="430">
        <v>0</v>
      </c>
      <c r="R65" s="430">
        <v>0</v>
      </c>
      <c r="S65" s="568">
        <f t="shared" si="35"/>
        <v>2</v>
      </c>
      <c r="T65" s="1034">
        <v>0</v>
      </c>
      <c r="U65" s="1342"/>
      <c r="V65" s="466"/>
      <c r="W65" s="466"/>
      <c r="X65" s="466"/>
      <c r="Y65" s="465"/>
      <c r="Z65" s="466"/>
      <c r="AA65" s="466"/>
      <c r="AB65" s="466"/>
      <c r="AC65" s="465"/>
      <c r="AD65" s="466"/>
      <c r="AG65" s="26"/>
      <c r="AH65" s="24"/>
      <c r="AK65" s="49"/>
      <c r="AL65" s="24"/>
      <c r="AO65" s="26"/>
      <c r="AP65" s="24"/>
      <c r="AQ65" s="26"/>
      <c r="AR65" s="26"/>
      <c r="AT65" s="24"/>
      <c r="AU65" s="26"/>
      <c r="AV65" s="26"/>
      <c r="AX65" s="24"/>
      <c r="AY65" s="26"/>
      <c r="AZ65" s="26"/>
      <c r="BA65" s="24"/>
      <c r="BB65" s="24"/>
      <c r="BE65" s="25"/>
      <c r="BF65" s="24"/>
      <c r="BG65" s="23"/>
    </row>
    <row r="66" spans="10:59" ht="23.25">
      <c r="J66" s="24"/>
      <c r="L66" s="586" t="s">
        <v>171</v>
      </c>
      <c r="M66" s="430">
        <v>0</v>
      </c>
      <c r="N66" s="430">
        <v>0</v>
      </c>
      <c r="O66" s="430">
        <v>0</v>
      </c>
      <c r="P66" s="430">
        <v>0</v>
      </c>
      <c r="Q66" s="430">
        <v>0</v>
      </c>
      <c r="R66" s="430">
        <v>0</v>
      </c>
      <c r="S66" s="568">
        <f t="shared" si="35"/>
        <v>0</v>
      </c>
      <c r="T66" s="1034">
        <v>0</v>
      </c>
      <c r="U66" s="1342"/>
      <c r="V66" s="466"/>
      <c r="W66" s="466"/>
      <c r="X66" s="466"/>
      <c r="Y66" s="465"/>
      <c r="Z66" s="466"/>
      <c r="AA66" s="466"/>
      <c r="AB66" s="466"/>
      <c r="AC66" s="465"/>
      <c r="AD66" s="466"/>
      <c r="AG66" s="26"/>
      <c r="AH66" s="24"/>
      <c r="AK66" s="49"/>
      <c r="AL66" s="24"/>
      <c r="AO66" s="26"/>
      <c r="AP66" s="24"/>
      <c r="AQ66" s="26"/>
      <c r="AR66" s="26"/>
      <c r="AT66" s="24"/>
      <c r="AU66" s="26"/>
      <c r="AV66" s="26"/>
      <c r="AX66" s="24"/>
      <c r="AY66" s="26"/>
      <c r="AZ66" s="26"/>
      <c r="BA66" s="24"/>
      <c r="BB66" s="24"/>
      <c r="BE66" s="25"/>
      <c r="BF66" s="24"/>
      <c r="BG66" s="23"/>
    </row>
    <row r="67" spans="10:59" ht="23.25">
      <c r="J67" s="24"/>
      <c r="L67" s="586" t="s">
        <v>190</v>
      </c>
      <c r="M67" s="430">
        <v>10.4</v>
      </c>
      <c r="N67" s="430">
        <v>0</v>
      </c>
      <c r="O67" s="430">
        <v>0</v>
      </c>
      <c r="P67" s="430">
        <v>0</v>
      </c>
      <c r="Q67" s="430">
        <v>0</v>
      </c>
      <c r="R67" s="430">
        <v>0</v>
      </c>
      <c r="S67" s="568">
        <f t="shared" si="35"/>
        <v>10.4</v>
      </c>
      <c r="T67" s="1034">
        <v>0</v>
      </c>
      <c r="U67" s="1342"/>
      <c r="V67" s="466"/>
      <c r="W67" s="466"/>
      <c r="X67" s="466"/>
      <c r="Y67" s="465"/>
      <c r="Z67" s="466"/>
      <c r="AA67" s="466"/>
      <c r="AB67" s="466"/>
      <c r="AC67" s="465"/>
      <c r="AD67" s="466"/>
      <c r="AG67" s="26"/>
      <c r="AH67" s="24"/>
      <c r="AK67" s="49"/>
      <c r="AL67" s="24"/>
      <c r="AO67" s="26"/>
      <c r="AP67" s="24"/>
      <c r="AQ67" s="26"/>
      <c r="AR67" s="26"/>
      <c r="AT67" s="24"/>
      <c r="AU67" s="26"/>
      <c r="AV67" s="26"/>
      <c r="AX67" s="24"/>
      <c r="AY67" s="26"/>
      <c r="AZ67" s="26"/>
      <c r="BA67" s="24"/>
      <c r="BB67" s="24"/>
      <c r="BE67" s="25"/>
      <c r="BF67" s="24"/>
      <c r="BG67" s="23"/>
    </row>
    <row r="68" spans="10:59" ht="23.25">
      <c r="J68" s="24"/>
      <c r="L68" s="586" t="s">
        <v>185</v>
      </c>
      <c r="M68" s="430">
        <v>1</v>
      </c>
      <c r="N68" s="430">
        <v>0</v>
      </c>
      <c r="O68" s="430">
        <v>0</v>
      </c>
      <c r="P68" s="430">
        <v>0</v>
      </c>
      <c r="Q68" s="430">
        <v>0</v>
      </c>
      <c r="R68" s="430">
        <v>0</v>
      </c>
      <c r="S68" s="568">
        <f t="shared" si="35"/>
        <v>1</v>
      </c>
      <c r="T68" s="1034">
        <v>23</v>
      </c>
      <c r="U68" s="1343"/>
      <c r="V68" s="466"/>
      <c r="W68" s="466"/>
      <c r="X68" s="466"/>
      <c r="Y68" s="465"/>
      <c r="Z68" s="466"/>
      <c r="AA68" s="466"/>
      <c r="AB68" s="466"/>
      <c r="AC68" s="465"/>
      <c r="AD68" s="466"/>
      <c r="AG68" s="26"/>
      <c r="AH68" s="24"/>
      <c r="AK68" s="49"/>
      <c r="AL68" s="24"/>
      <c r="AO68" s="26"/>
      <c r="AP68" s="24"/>
      <c r="AQ68" s="26"/>
      <c r="AR68" s="26"/>
      <c r="AT68" s="24"/>
      <c r="AU68" s="26"/>
      <c r="AV68" s="26"/>
      <c r="AX68" s="24"/>
      <c r="AY68" s="26"/>
      <c r="AZ68" s="26"/>
      <c r="BA68" s="24"/>
      <c r="BB68" s="24"/>
      <c r="BE68" s="25"/>
      <c r="BF68" s="24"/>
      <c r="BG68" s="23"/>
    </row>
    <row r="69" spans="10:59" ht="23.25">
      <c r="L69" s="586" t="s">
        <v>202</v>
      </c>
      <c r="M69" s="430">
        <v>0</v>
      </c>
      <c r="N69" s="430">
        <v>0</v>
      </c>
      <c r="O69" s="430">
        <v>0</v>
      </c>
      <c r="P69" s="430">
        <v>0</v>
      </c>
      <c r="Q69" s="430">
        <v>0</v>
      </c>
      <c r="R69" s="430">
        <v>0</v>
      </c>
      <c r="S69" s="568">
        <f t="shared" si="35"/>
        <v>0</v>
      </c>
      <c r="T69" s="1034">
        <v>3.97</v>
      </c>
      <c r="U69" s="1344"/>
      <c r="V69" s="466"/>
      <c r="W69" s="466"/>
      <c r="X69" s="466"/>
      <c r="Y69" s="465"/>
      <c r="Z69" s="466"/>
      <c r="AA69" s="466"/>
      <c r="AB69" s="466"/>
      <c r="AC69" s="465"/>
      <c r="AD69" s="466"/>
      <c r="AG69" s="26"/>
      <c r="AH69" s="24"/>
      <c r="AK69" s="49"/>
      <c r="AL69" s="24"/>
      <c r="AO69" s="26"/>
      <c r="AP69" s="24"/>
      <c r="AQ69" s="26"/>
      <c r="AR69" s="26"/>
      <c r="AT69" s="24"/>
      <c r="AU69" s="26"/>
      <c r="AV69" s="26"/>
      <c r="AX69" s="24"/>
      <c r="AY69" s="26"/>
      <c r="AZ69" s="26"/>
      <c r="BA69" s="24"/>
      <c r="BB69" s="24"/>
      <c r="BE69" s="25"/>
      <c r="BF69" s="24"/>
      <c r="BG69" s="23"/>
    </row>
    <row r="70" spans="10:59" ht="23.25">
      <c r="L70" s="586" t="s">
        <v>186</v>
      </c>
      <c r="M70" s="430">
        <v>1</v>
      </c>
      <c r="N70" s="430">
        <v>0.5</v>
      </c>
      <c r="O70" s="430">
        <v>0</v>
      </c>
      <c r="P70" s="430">
        <v>1</v>
      </c>
      <c r="Q70" s="430">
        <v>0</v>
      </c>
      <c r="R70" s="430">
        <v>0</v>
      </c>
      <c r="S70" s="568">
        <f t="shared" si="35"/>
        <v>2.5</v>
      </c>
      <c r="T70" s="1034">
        <v>8</v>
      </c>
      <c r="U70" s="1344"/>
      <c r="V70" s="466"/>
      <c r="W70" s="466"/>
      <c r="X70" s="466"/>
      <c r="Y70" s="465"/>
      <c r="Z70" s="466"/>
      <c r="AA70" s="466"/>
      <c r="AB70" s="466"/>
      <c r="AC70" s="465"/>
      <c r="AD70" s="466"/>
      <c r="AG70" s="26"/>
      <c r="AH70" s="24"/>
      <c r="AK70" s="49"/>
      <c r="AL70" s="24"/>
      <c r="AM70" s="26"/>
      <c r="AN70" s="26"/>
      <c r="AY70" s="24"/>
      <c r="AZ70" s="24"/>
      <c r="BA70" s="24"/>
      <c r="BB70" s="24"/>
      <c r="BC70" s="25"/>
      <c r="BD70" s="25"/>
      <c r="BF70" s="23"/>
      <c r="BG70" s="23"/>
    </row>
    <row r="71" spans="10:59" ht="23.25">
      <c r="L71" s="586" t="s">
        <v>203</v>
      </c>
      <c r="M71" s="430">
        <v>7</v>
      </c>
      <c r="N71" s="430">
        <v>0</v>
      </c>
      <c r="O71" s="430"/>
      <c r="P71" s="430">
        <v>0</v>
      </c>
      <c r="Q71" s="430">
        <v>0</v>
      </c>
      <c r="R71" s="430">
        <v>0</v>
      </c>
      <c r="S71" s="568">
        <f t="shared" si="35"/>
        <v>7</v>
      </c>
      <c r="T71" s="1034">
        <v>0</v>
      </c>
      <c r="U71" s="1344"/>
      <c r="V71" s="466"/>
      <c r="W71" s="466"/>
      <c r="X71" s="466"/>
      <c r="Y71" s="465"/>
      <c r="Z71" s="466"/>
      <c r="AA71" s="466"/>
      <c r="AB71" s="466"/>
      <c r="AC71" s="465"/>
      <c r="AD71" s="466"/>
      <c r="AG71" s="26"/>
      <c r="AH71" s="24"/>
      <c r="AK71" s="49"/>
      <c r="AL71" s="24"/>
      <c r="AM71" s="26"/>
      <c r="AN71" s="26"/>
      <c r="AY71" s="24"/>
      <c r="AZ71" s="24"/>
      <c r="BA71" s="24"/>
      <c r="BB71" s="24"/>
      <c r="BC71" s="25"/>
      <c r="BD71" s="25"/>
      <c r="BF71" s="23"/>
      <c r="BG71" s="23"/>
    </row>
    <row r="72" spans="10:59" ht="24" thickBot="1">
      <c r="L72" s="588" t="s">
        <v>191</v>
      </c>
      <c r="M72" s="589">
        <f t="shared" ref="M72" si="36">SUM(M62:M71)</f>
        <v>59.9</v>
      </c>
      <c r="N72" s="444">
        <f>SUM(N62:N71)</f>
        <v>0.6</v>
      </c>
      <c r="O72" s="444">
        <f t="shared" ref="O72" si="37">SUM(O62:O71)</f>
        <v>0</v>
      </c>
      <c r="P72" s="444">
        <f>SUM(P62:P71)</f>
        <v>1</v>
      </c>
      <c r="Q72" s="444">
        <f>SUM(Q62:Q71)</f>
        <v>0</v>
      </c>
      <c r="R72" s="444"/>
      <c r="S72" s="444">
        <f>SUM(S62:S71)</f>
        <v>61.5</v>
      </c>
      <c r="T72" s="1341">
        <f>SUM(T62:T71)</f>
        <v>54.35</v>
      </c>
      <c r="U72" s="1345"/>
      <c r="V72" s="466"/>
      <c r="W72" s="466"/>
      <c r="X72" s="466"/>
      <c r="Y72" s="465"/>
      <c r="Z72" s="466"/>
      <c r="AA72" s="466"/>
      <c r="AB72" s="466"/>
      <c r="AC72" s="465"/>
      <c r="AD72" s="466"/>
      <c r="AG72" s="26"/>
      <c r="AH72" s="24"/>
      <c r="AK72" s="49"/>
      <c r="AL72" s="24"/>
      <c r="AM72" s="26"/>
      <c r="AN72" s="26"/>
      <c r="AY72" s="24"/>
      <c r="AZ72" s="24"/>
      <c r="BA72" s="24"/>
      <c r="BB72" s="24"/>
      <c r="BC72" s="25"/>
      <c r="BD72" s="25"/>
      <c r="BF72" s="23"/>
      <c r="BG72" s="23"/>
    </row>
    <row r="73" spans="10:59" ht="27" thickBot="1">
      <c r="L73" s="1932" t="s">
        <v>221</v>
      </c>
      <c r="M73" s="1932"/>
      <c r="N73" s="1932"/>
      <c r="O73" s="1932"/>
      <c r="P73" s="1932"/>
      <c r="Q73" s="1932"/>
      <c r="R73" s="1932"/>
      <c r="S73" s="1932"/>
      <c r="T73" s="1933">
        <f>S72+T72</f>
        <v>115.85</v>
      </c>
      <c r="U73" s="1934"/>
      <c r="V73" s="466"/>
      <c r="W73" s="466"/>
      <c r="X73" s="466"/>
      <c r="Y73" s="465"/>
      <c r="Z73" s="466"/>
      <c r="AA73" s="466"/>
      <c r="AB73" s="466"/>
      <c r="AC73" s="465"/>
      <c r="AD73" s="466"/>
      <c r="AG73" s="26"/>
      <c r="AH73" s="24"/>
      <c r="AK73" s="49"/>
      <c r="AL73" s="24"/>
      <c r="AM73" s="26"/>
      <c r="AN73" s="26"/>
      <c r="AY73" s="24"/>
      <c r="AZ73" s="24"/>
      <c r="BA73" s="24"/>
      <c r="BB73" s="24"/>
      <c r="BC73" s="25"/>
      <c r="BD73" s="25"/>
      <c r="BF73" s="23"/>
      <c r="BG73" s="23"/>
    </row>
    <row r="74" spans="10:59" ht="26.25">
      <c r="L74" s="966"/>
      <c r="M74" s="966"/>
      <c r="N74" s="966"/>
      <c r="O74" s="1922" t="s">
        <v>235</v>
      </c>
      <c r="P74" s="1922"/>
      <c r="Q74" s="1922"/>
      <c r="R74" s="1922"/>
      <c r="S74" s="1922"/>
      <c r="T74" s="1939">
        <f>M72</f>
        <v>59.9</v>
      </c>
      <c r="U74" s="1939"/>
      <c r="V74" s="466"/>
      <c r="W74" s="466"/>
      <c r="X74" s="466"/>
      <c r="Y74" s="465"/>
      <c r="Z74" s="466"/>
      <c r="AA74" s="466"/>
      <c r="AB74" s="466"/>
      <c r="AC74" s="465"/>
      <c r="AD74" s="466"/>
      <c r="AG74" s="26"/>
      <c r="AH74" s="24"/>
      <c r="AK74" s="49"/>
      <c r="AL74" s="24"/>
      <c r="AM74" s="26"/>
      <c r="AN74" s="26"/>
      <c r="AP74" s="24"/>
      <c r="AQ74" s="26"/>
      <c r="AR74" s="26"/>
      <c r="AT74" s="24"/>
      <c r="AU74" s="26"/>
      <c r="AV74" s="26"/>
      <c r="AW74" s="50"/>
      <c r="AX74" s="50"/>
      <c r="AY74" s="26"/>
      <c r="AZ74" s="26"/>
      <c r="BA74" s="24"/>
      <c r="BB74" s="24"/>
      <c r="BC74" s="25"/>
      <c r="BD74" s="25"/>
      <c r="BF74" s="23"/>
      <c r="BG74" s="23"/>
    </row>
    <row r="75" spans="10:59" ht="15" customHeight="1">
      <c r="L75" s="26"/>
      <c r="M75" s="26"/>
      <c r="N75" s="24"/>
      <c r="P75" s="26"/>
      <c r="Q75" s="26"/>
      <c r="R75" s="24"/>
      <c r="T75" s="26"/>
      <c r="U75" s="26"/>
      <c r="V75" s="24"/>
      <c r="W75" s="466"/>
      <c r="X75" s="466"/>
      <c r="Y75" s="466"/>
      <c r="Z75" s="465"/>
      <c r="AA75" s="466"/>
      <c r="AB75" s="466"/>
      <c r="AC75" s="466"/>
      <c r="AD75" s="465"/>
      <c r="AE75" s="466"/>
      <c r="AN75" s="26"/>
      <c r="AO75" s="26"/>
      <c r="AP75" s="24"/>
      <c r="AR75" s="26"/>
      <c r="AS75" s="26"/>
      <c r="AT75" s="24"/>
      <c r="AV75" s="26"/>
      <c r="AW75" s="26"/>
      <c r="AX75" s="50"/>
      <c r="AZ75" s="26"/>
      <c r="BA75" s="26"/>
      <c r="BB75" s="24"/>
      <c r="BD75" s="25"/>
      <c r="BE75" s="25"/>
      <c r="BF75" s="24"/>
      <c r="BG75" s="23"/>
    </row>
    <row r="76" spans="10:59" ht="27" customHeight="1">
      <c r="L76" s="26"/>
      <c r="M76" s="26"/>
      <c r="N76" s="24"/>
      <c r="P76" s="26"/>
      <c r="Q76" s="26"/>
      <c r="R76" s="24"/>
      <c r="T76" s="26"/>
      <c r="U76" s="26"/>
      <c r="V76" s="24"/>
      <c r="W76" s="466"/>
      <c r="X76" s="466"/>
      <c r="Y76" s="466"/>
      <c r="Z76" s="465"/>
      <c r="AA76" s="466"/>
      <c r="AB76" s="466"/>
      <c r="AC76" s="466"/>
      <c r="AD76" s="465"/>
      <c r="AE76" s="466"/>
      <c r="AN76" s="26"/>
      <c r="AO76" s="26"/>
      <c r="AP76" s="24"/>
      <c r="AR76" s="26"/>
      <c r="AS76" s="26"/>
      <c r="AT76" s="24"/>
      <c r="AV76" s="26"/>
      <c r="AW76" s="26"/>
      <c r="AX76" s="50"/>
      <c r="AZ76" s="26"/>
      <c r="BA76" s="26"/>
      <c r="BB76" s="24"/>
      <c r="BD76" s="25"/>
      <c r="BE76" s="25"/>
      <c r="BF76" s="24"/>
      <c r="BG76" s="23"/>
    </row>
    <row r="77" spans="10:59">
      <c r="L77" s="26"/>
      <c r="M77" s="26"/>
      <c r="N77" s="24"/>
      <c r="P77" s="26"/>
      <c r="Q77" s="26"/>
      <c r="R77" s="24"/>
      <c r="T77" s="26"/>
      <c r="U77" s="26"/>
      <c r="V77" s="24"/>
      <c r="W77" s="466"/>
      <c r="X77" s="466"/>
      <c r="Y77" s="466"/>
      <c r="Z77" s="465"/>
      <c r="AA77" s="466"/>
      <c r="AB77" s="466"/>
      <c r="AC77" s="466"/>
      <c r="AD77" s="465"/>
      <c r="AE77" s="466"/>
      <c r="AN77" s="26"/>
      <c r="AO77" s="26"/>
      <c r="AP77" s="24"/>
      <c r="AR77" s="26"/>
      <c r="AS77" s="26"/>
      <c r="AT77" s="24"/>
      <c r="AV77" s="26"/>
      <c r="AW77" s="26"/>
      <c r="AX77" s="50"/>
      <c r="AZ77" s="26"/>
      <c r="BA77" s="26"/>
      <c r="BB77" s="24"/>
      <c r="BD77" s="25"/>
      <c r="BE77" s="25"/>
      <c r="BF77" s="24"/>
      <c r="BG77" s="23"/>
    </row>
    <row r="78" spans="10:59">
      <c r="L78" s="26"/>
      <c r="M78" s="26"/>
      <c r="N78" s="24"/>
      <c r="P78" s="26"/>
      <c r="Q78" s="26"/>
      <c r="R78" s="24"/>
      <c r="T78" s="26"/>
      <c r="U78" s="26"/>
      <c r="V78" s="24"/>
      <c r="W78" s="466"/>
      <c r="X78" s="466"/>
      <c r="Y78" s="466"/>
      <c r="Z78" s="465"/>
      <c r="AA78" s="466"/>
      <c r="AB78" s="466"/>
      <c r="AC78" s="466"/>
      <c r="AD78" s="465"/>
      <c r="AE78" s="466"/>
      <c r="AN78" s="26"/>
      <c r="AO78" s="26"/>
      <c r="AP78" s="24"/>
      <c r="AR78" s="26"/>
      <c r="AS78" s="26"/>
      <c r="AT78" s="24"/>
      <c r="AV78" s="26"/>
      <c r="AW78" s="26"/>
      <c r="AX78" s="50"/>
      <c r="AZ78" s="26"/>
      <c r="BA78" s="26"/>
      <c r="BB78" s="24"/>
      <c r="BD78" s="25"/>
      <c r="BE78" s="25"/>
      <c r="BF78" s="24"/>
      <c r="BG78" s="23"/>
    </row>
    <row r="79" spans="10:59">
      <c r="L79" s="26"/>
      <c r="M79" s="26"/>
      <c r="N79" s="24"/>
      <c r="P79" s="26"/>
      <c r="Q79" s="26"/>
      <c r="R79" s="24"/>
      <c r="T79" s="26"/>
      <c r="U79" s="26"/>
      <c r="V79" s="24"/>
      <c r="X79" s="26"/>
      <c r="Y79" s="26"/>
      <c r="Z79" s="24"/>
      <c r="AB79" s="26"/>
      <c r="AC79" s="26"/>
      <c r="AD79" s="24"/>
      <c r="AF79" s="26"/>
      <c r="AG79" s="26"/>
      <c r="AH79" s="24"/>
      <c r="AJ79" s="49"/>
      <c r="AK79" s="49"/>
      <c r="AL79" s="24"/>
      <c r="AN79" s="26"/>
      <c r="AO79" s="26"/>
      <c r="AP79" s="24"/>
      <c r="AR79" s="26"/>
      <c r="AS79" s="26"/>
      <c r="AT79" s="24"/>
      <c r="AV79" s="26"/>
      <c r="AW79" s="26"/>
      <c r="AX79" s="50"/>
      <c r="AZ79" s="26"/>
      <c r="BA79" s="26"/>
      <c r="BB79" s="24"/>
      <c r="BD79" s="25"/>
      <c r="BE79" s="25"/>
      <c r="BF79" s="24"/>
      <c r="BG79" s="23"/>
    </row>
    <row r="80" spans="10:59">
      <c r="L80" s="26"/>
      <c r="M80" s="26"/>
      <c r="N80" s="24"/>
      <c r="P80" s="26"/>
      <c r="Q80" s="26"/>
      <c r="R80" s="24"/>
      <c r="T80" s="26"/>
      <c r="U80" s="26"/>
      <c r="V80" s="24"/>
      <c r="X80" s="26"/>
      <c r="Y80" s="26"/>
      <c r="Z80" s="24"/>
      <c r="AB80" s="26"/>
      <c r="AC80" s="26"/>
      <c r="AD80" s="24"/>
      <c r="AF80" s="26"/>
      <c r="AG80" s="26"/>
      <c r="AH80" s="24"/>
      <c r="AJ80" s="49"/>
      <c r="AK80" s="49"/>
      <c r="AL80" s="24"/>
      <c r="AN80" s="26"/>
      <c r="AO80" s="26"/>
      <c r="AP80" s="24"/>
      <c r="AR80" s="26"/>
      <c r="AS80" s="26"/>
      <c r="AT80" s="24"/>
      <c r="AV80" s="26"/>
      <c r="AW80" s="26"/>
      <c r="AX80" s="50"/>
      <c r="AZ80" s="26"/>
      <c r="BA80" s="26"/>
      <c r="BB80" s="24"/>
      <c r="BD80" s="25"/>
      <c r="BE80" s="25"/>
      <c r="BF80" s="24"/>
      <c r="BG80" s="23"/>
    </row>
    <row r="81" spans="12:21">
      <c r="L81" s="26"/>
      <c r="M81" s="26"/>
      <c r="N81" s="24"/>
      <c r="P81" s="26"/>
      <c r="Q81" s="26"/>
      <c r="R81" s="24"/>
      <c r="T81" s="26"/>
      <c r="U81" s="26"/>
    </row>
  </sheetData>
  <mergeCells count="62">
    <mergeCell ref="H26:I26"/>
    <mergeCell ref="C14:D14"/>
    <mergeCell ref="H10:I10"/>
    <mergeCell ref="H13:I14"/>
    <mergeCell ref="D13:F13"/>
    <mergeCell ref="C15:C24"/>
    <mergeCell ref="H15:H23"/>
    <mergeCell ref="H24:I24"/>
    <mergeCell ref="H12:BI12"/>
    <mergeCell ref="J13:M13"/>
    <mergeCell ref="N13:Q13"/>
    <mergeCell ref="R13:U13"/>
    <mergeCell ref="V13:Y13"/>
    <mergeCell ref="Z13:AC13"/>
    <mergeCell ref="AD13:AG13"/>
    <mergeCell ref="AH13:AK13"/>
    <mergeCell ref="C2:F2"/>
    <mergeCell ref="H2:K2"/>
    <mergeCell ref="C6:C9"/>
    <mergeCell ref="H6:H9"/>
    <mergeCell ref="D4:F4"/>
    <mergeCell ref="H4:I5"/>
    <mergeCell ref="C5:D5"/>
    <mergeCell ref="BB2:BI2"/>
    <mergeCell ref="H3:BI3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N2:AZ2"/>
    <mergeCell ref="BF13:BI13"/>
    <mergeCell ref="BC27:BC28"/>
    <mergeCell ref="BH27:BI27"/>
    <mergeCell ref="AD59:AE59"/>
    <mergeCell ref="V31:AD31"/>
    <mergeCell ref="Y59:AC59"/>
    <mergeCell ref="AL13:AO13"/>
    <mergeCell ref="AP13:AS13"/>
    <mergeCell ref="AT13:AW13"/>
    <mergeCell ref="AX13:BA13"/>
    <mergeCell ref="BB13:BE13"/>
    <mergeCell ref="L31:S31"/>
    <mergeCell ref="L45:T45"/>
    <mergeCell ref="V45:AE45"/>
    <mergeCell ref="O58:R58"/>
    <mergeCell ref="S58:T58"/>
    <mergeCell ref="V58:AC58"/>
    <mergeCell ref="AD58:AE58"/>
    <mergeCell ref="L73:S73"/>
    <mergeCell ref="T73:U73"/>
    <mergeCell ref="O74:S74"/>
    <mergeCell ref="T74:U74"/>
    <mergeCell ref="L60:T60"/>
  </mergeCells>
  <conditionalFormatting sqref="M47:R56">
    <cfRule type="cellIs" dxfId="63" priority="2" operator="equal">
      <formula>0</formula>
    </cfRule>
  </conditionalFormatting>
  <conditionalFormatting sqref="M62:R71">
    <cfRule type="cellIs" dxfId="62" priority="1" operator="equal">
      <formula>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81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BJ81"/>
  <sheetViews>
    <sheetView showGridLines="0" topLeftCell="I1" zoomScale="59" zoomScaleNormal="59" workbookViewId="0">
      <pane xSplit="1" topLeftCell="AI1" activePane="topRight" state="frozen"/>
      <selection activeCell="I1" sqref="I1"/>
      <selection pane="topRight" activeCell="BH34" sqref="BH34"/>
    </sheetView>
  </sheetViews>
  <sheetFormatPr defaultColWidth="9.140625" defaultRowHeight="18.75"/>
  <cols>
    <col min="1" max="2" width="9.140625" style="23" hidden="1" customWidth="1"/>
    <col min="3" max="3" width="14.5703125" style="23" hidden="1" customWidth="1"/>
    <col min="4" max="4" width="11.42578125" style="27" hidden="1" customWidth="1"/>
    <col min="5" max="5" width="6.85546875" style="27" hidden="1" customWidth="1"/>
    <col min="6" max="6" width="9.140625" style="27" hidden="1" customWidth="1"/>
    <col min="7" max="7" width="3.42578125" style="23" hidden="1" customWidth="1"/>
    <col min="8" max="8" width="6.140625" style="23" customWidth="1"/>
    <col min="9" max="9" width="15.28515625" style="27" bestFit="1" customWidth="1"/>
    <col min="10" max="10" width="11.5703125" style="26" customWidth="1"/>
    <col min="11" max="11" width="9.140625" style="24" customWidth="1"/>
    <col min="12" max="13" width="12.85546875" style="24" customWidth="1"/>
    <col min="14" max="14" width="10.5703125" style="26" customWidth="1"/>
    <col min="15" max="15" width="10.28515625" style="24" customWidth="1"/>
    <col min="16" max="17" width="10.5703125" style="24" customWidth="1"/>
    <col min="18" max="18" width="8.5703125" style="26" customWidth="1"/>
    <col min="19" max="19" width="11.5703125" style="24" customWidth="1"/>
    <col min="20" max="20" width="14" style="24" bestFit="1" customWidth="1"/>
    <col min="21" max="21" width="12.28515625" style="24" customWidth="1"/>
    <col min="22" max="22" width="13.7109375" style="26" bestFit="1" customWidth="1"/>
    <col min="23" max="23" width="11" style="24" bestFit="1" customWidth="1"/>
    <col min="24" max="25" width="9.7109375" style="24" customWidth="1"/>
    <col min="26" max="26" width="11" style="26" customWidth="1"/>
    <col min="27" max="27" width="12.42578125" style="24" customWidth="1"/>
    <col min="28" max="29" width="11.85546875" style="24" customWidth="1"/>
    <col min="30" max="30" width="11" style="26" bestFit="1" customWidth="1"/>
    <col min="31" max="31" width="11.7109375" style="24" bestFit="1" customWidth="1"/>
    <col min="32" max="32" width="10.5703125" style="24" bestFit="1" customWidth="1"/>
    <col min="33" max="33" width="10.5703125" style="24" customWidth="1"/>
    <col min="34" max="34" width="11.5703125" style="26" bestFit="1" customWidth="1"/>
    <col min="35" max="35" width="13.5703125" style="24" customWidth="1"/>
    <col min="36" max="37" width="11.5703125" style="24" customWidth="1"/>
    <col min="38" max="38" width="10.5703125" style="49" customWidth="1"/>
    <col min="39" max="39" width="11.7109375" style="24" bestFit="1" customWidth="1"/>
    <col min="40" max="40" width="12" style="24" bestFit="1" customWidth="1"/>
    <col min="41" max="41" width="12" style="24" customWidth="1"/>
    <col min="42" max="42" width="8.42578125" style="26" customWidth="1"/>
    <col min="43" max="43" width="10" style="24" bestFit="1" customWidth="1"/>
    <col min="44" max="44" width="13.85546875" style="24" bestFit="1" customWidth="1"/>
    <col min="45" max="45" width="13.85546875" style="24" customWidth="1"/>
    <col min="46" max="46" width="11.7109375" style="26" customWidth="1"/>
    <col min="47" max="47" width="11.7109375" style="24" customWidth="1"/>
    <col min="48" max="48" width="10.5703125" style="24" bestFit="1" customWidth="1"/>
    <col min="49" max="49" width="10.5703125" style="24" customWidth="1"/>
    <col min="50" max="50" width="9.140625" style="26" bestFit="1" customWidth="1"/>
    <col min="51" max="51" width="9.140625" style="50" bestFit="1" customWidth="1"/>
    <col min="52" max="52" width="10.5703125" style="50" bestFit="1" customWidth="1"/>
    <col min="53" max="53" width="10.5703125" style="50" customWidth="1"/>
    <col min="54" max="54" width="10.7109375" style="26" bestFit="1" customWidth="1"/>
    <col min="55" max="55" width="12.85546875" style="24" bestFit="1" customWidth="1"/>
    <col min="56" max="56" width="10.5703125" style="24" bestFit="1" customWidth="1"/>
    <col min="57" max="57" width="10.5703125" style="24" customWidth="1"/>
    <col min="58" max="58" width="16" style="25" bestFit="1" customWidth="1"/>
    <col min="59" max="59" width="10.7109375" style="24" bestFit="1" customWidth="1"/>
    <col min="60" max="60" width="13" style="23" bestFit="1" customWidth="1"/>
    <col min="61" max="61" width="9.140625" style="23"/>
    <col min="62" max="62" width="9.140625" style="1058"/>
    <col min="63" max="16384" width="9.140625" style="23"/>
  </cols>
  <sheetData>
    <row r="1" spans="3:62" ht="15" customHeight="1" thickBot="1"/>
    <row r="2" spans="3:62" ht="21.75" thickBot="1">
      <c r="C2" s="1899" t="s">
        <v>45</v>
      </c>
      <c r="D2" s="1900"/>
      <c r="E2" s="1900"/>
      <c r="F2" s="1901"/>
      <c r="H2" s="1915"/>
      <c r="I2" s="1567"/>
      <c r="J2" s="1567"/>
      <c r="K2" s="1567"/>
      <c r="L2" s="1020"/>
      <c r="M2" s="1020"/>
      <c r="N2" s="1916" t="s">
        <v>249</v>
      </c>
      <c r="O2" s="1916"/>
      <c r="P2" s="1916"/>
      <c r="Q2" s="1916"/>
      <c r="R2" s="1916"/>
      <c r="S2" s="1916"/>
      <c r="T2" s="1916"/>
      <c r="U2" s="1916"/>
      <c r="V2" s="1916"/>
      <c r="W2" s="1916"/>
      <c r="X2" s="1916"/>
      <c r="Y2" s="1916"/>
      <c r="Z2" s="1916"/>
      <c r="AA2" s="1916"/>
      <c r="AB2" s="1916"/>
      <c r="AC2" s="1916"/>
      <c r="AD2" s="1916"/>
      <c r="AE2" s="1916"/>
      <c r="AF2" s="1916"/>
      <c r="AG2" s="1916"/>
      <c r="AH2" s="1916"/>
      <c r="AI2" s="1916"/>
      <c r="AJ2" s="1916"/>
      <c r="AK2" s="1916"/>
      <c r="AL2" s="1916"/>
      <c r="AM2" s="1916"/>
      <c r="AN2" s="1916"/>
      <c r="AO2" s="1916"/>
      <c r="AP2" s="1916"/>
      <c r="AQ2" s="1916"/>
      <c r="AR2" s="1916"/>
      <c r="AS2" s="1916"/>
      <c r="AT2" s="1916"/>
      <c r="AU2" s="1916"/>
      <c r="AV2" s="1916"/>
      <c r="AW2" s="1916"/>
      <c r="AX2" s="1916"/>
      <c r="AY2" s="1916"/>
      <c r="AZ2" s="1916"/>
      <c r="BA2" s="1020"/>
      <c r="BB2" s="1902" t="s">
        <v>118</v>
      </c>
      <c r="BC2" s="1903"/>
      <c r="BD2" s="1903"/>
      <c r="BE2" s="1903"/>
      <c r="BF2" s="1903"/>
      <c r="BG2" s="1903"/>
      <c r="BH2" s="1903"/>
      <c r="BI2" s="1904"/>
    </row>
    <row r="3" spans="3:62" ht="19.5" thickBot="1">
      <c r="C3" s="1019"/>
      <c r="D3" s="1017"/>
      <c r="E3" s="1017"/>
      <c r="F3" s="1023"/>
      <c r="H3" s="1905" t="s">
        <v>115</v>
      </c>
      <c r="I3" s="1906"/>
      <c r="J3" s="1906"/>
      <c r="K3" s="1906"/>
      <c r="L3" s="1906"/>
      <c r="M3" s="1906"/>
      <c r="N3" s="1906"/>
      <c r="O3" s="1906"/>
      <c r="P3" s="1906"/>
      <c r="Q3" s="1906"/>
      <c r="R3" s="1906"/>
      <c r="S3" s="1906"/>
      <c r="T3" s="1906"/>
      <c r="U3" s="1906"/>
      <c r="V3" s="1906"/>
      <c r="W3" s="1906"/>
      <c r="X3" s="1906"/>
      <c r="Y3" s="1906"/>
      <c r="Z3" s="1906"/>
      <c r="AA3" s="1906"/>
      <c r="AB3" s="1906"/>
      <c r="AC3" s="1906"/>
      <c r="AD3" s="1906"/>
      <c r="AE3" s="1906"/>
      <c r="AF3" s="1906"/>
      <c r="AG3" s="1906"/>
      <c r="AH3" s="1906"/>
      <c r="AI3" s="1906"/>
      <c r="AJ3" s="1906"/>
      <c r="AK3" s="1906"/>
      <c r="AL3" s="1906"/>
      <c r="AM3" s="1906"/>
      <c r="AN3" s="1906"/>
      <c r="AO3" s="1906"/>
      <c r="AP3" s="1906"/>
      <c r="AQ3" s="1906"/>
      <c r="AR3" s="1906"/>
      <c r="AS3" s="1906"/>
      <c r="AT3" s="1906"/>
      <c r="AU3" s="1906"/>
      <c r="AV3" s="1906"/>
      <c r="AW3" s="1906"/>
      <c r="AX3" s="1906"/>
      <c r="AY3" s="1906"/>
      <c r="AZ3" s="1906"/>
      <c r="BA3" s="1906"/>
      <c r="BB3" s="1906"/>
      <c r="BC3" s="1906"/>
      <c r="BD3" s="1906"/>
      <c r="BE3" s="1906"/>
      <c r="BF3" s="1906"/>
      <c r="BG3" s="1906"/>
      <c r="BH3" s="1906"/>
      <c r="BI3" s="1907"/>
    </row>
    <row r="4" spans="3:62">
      <c r="C4" s="37" t="s">
        <v>44</v>
      </c>
      <c r="D4" s="1869"/>
      <c r="E4" s="1869"/>
      <c r="F4" s="1870"/>
      <c r="H4" s="1908" t="s">
        <v>33</v>
      </c>
      <c r="I4" s="1909"/>
      <c r="J4" s="1871" t="s">
        <v>43</v>
      </c>
      <c r="K4" s="1872"/>
      <c r="L4" s="1872"/>
      <c r="M4" s="1873"/>
      <c r="N4" s="1871" t="s">
        <v>42</v>
      </c>
      <c r="O4" s="1872"/>
      <c r="P4" s="1872"/>
      <c r="Q4" s="1873"/>
      <c r="R4" s="1871" t="s">
        <v>41</v>
      </c>
      <c r="S4" s="1872"/>
      <c r="T4" s="1872"/>
      <c r="U4" s="1873"/>
      <c r="V4" s="1871" t="s">
        <v>40</v>
      </c>
      <c r="W4" s="1872"/>
      <c r="X4" s="1872"/>
      <c r="Y4" s="1873"/>
      <c r="Z4" s="1871" t="s">
        <v>39</v>
      </c>
      <c r="AA4" s="1872"/>
      <c r="AB4" s="1872"/>
      <c r="AC4" s="1873"/>
      <c r="AD4" s="1871" t="s">
        <v>38</v>
      </c>
      <c r="AE4" s="1872"/>
      <c r="AF4" s="1872"/>
      <c r="AG4" s="1873"/>
      <c r="AH4" s="1874" t="s">
        <v>122</v>
      </c>
      <c r="AI4" s="1875"/>
      <c r="AJ4" s="1875"/>
      <c r="AK4" s="1876"/>
      <c r="AL4" s="1871" t="s">
        <v>37</v>
      </c>
      <c r="AM4" s="1872"/>
      <c r="AN4" s="1872"/>
      <c r="AO4" s="1873"/>
      <c r="AP4" s="1871" t="s">
        <v>36</v>
      </c>
      <c r="AQ4" s="1872"/>
      <c r="AR4" s="1872"/>
      <c r="AS4" s="1873"/>
      <c r="AT4" s="1871" t="s">
        <v>35</v>
      </c>
      <c r="AU4" s="1872"/>
      <c r="AV4" s="1872"/>
      <c r="AW4" s="1873"/>
      <c r="AX4" s="1871" t="s">
        <v>34</v>
      </c>
      <c r="AY4" s="1872"/>
      <c r="AZ4" s="1872"/>
      <c r="BA4" s="1873"/>
      <c r="BB4" s="1874" t="s">
        <v>123</v>
      </c>
      <c r="BC4" s="1875"/>
      <c r="BD4" s="1875"/>
      <c r="BE4" s="1876"/>
      <c r="BF4" s="1877" t="s">
        <v>17</v>
      </c>
      <c r="BG4" s="1878"/>
      <c r="BH4" s="1878"/>
      <c r="BI4" s="1878"/>
      <c r="BJ4" s="1058" t="s">
        <v>291</v>
      </c>
    </row>
    <row r="5" spans="3:62" ht="15.75" customHeight="1">
      <c r="C5" s="1879" t="s">
        <v>33</v>
      </c>
      <c r="D5" s="1869"/>
      <c r="E5" s="1017" t="s">
        <v>1</v>
      </c>
      <c r="F5" s="1023" t="s">
        <v>2</v>
      </c>
      <c r="H5" s="1910"/>
      <c r="I5" s="1911"/>
      <c r="J5" s="36" t="s">
        <v>1</v>
      </c>
      <c r="K5" s="271" t="s">
        <v>2</v>
      </c>
      <c r="L5" s="693" t="s">
        <v>182</v>
      </c>
      <c r="M5" s="35" t="s">
        <v>247</v>
      </c>
      <c r="N5" s="36" t="s">
        <v>1</v>
      </c>
      <c r="O5" s="271" t="s">
        <v>2</v>
      </c>
      <c r="P5" s="693" t="s">
        <v>182</v>
      </c>
      <c r="Q5" s="35" t="s">
        <v>247</v>
      </c>
      <c r="R5" s="36" t="s">
        <v>1</v>
      </c>
      <c r="S5" s="271" t="s">
        <v>2</v>
      </c>
      <c r="T5" s="693" t="s">
        <v>182</v>
      </c>
      <c r="U5" s="35" t="s">
        <v>247</v>
      </c>
      <c r="V5" s="36" t="s">
        <v>1</v>
      </c>
      <c r="W5" s="271" t="s">
        <v>2</v>
      </c>
      <c r="X5" s="693" t="s">
        <v>182</v>
      </c>
      <c r="Y5" s="35" t="s">
        <v>247</v>
      </c>
      <c r="Z5" s="36" t="s">
        <v>1</v>
      </c>
      <c r="AA5" s="271" t="s">
        <v>2</v>
      </c>
      <c r="AB5" s="693" t="s">
        <v>182</v>
      </c>
      <c r="AC5" s="35" t="s">
        <v>247</v>
      </c>
      <c r="AD5" s="36" t="s">
        <v>1</v>
      </c>
      <c r="AE5" s="271" t="s">
        <v>2</v>
      </c>
      <c r="AF5" s="693" t="s">
        <v>182</v>
      </c>
      <c r="AG5" s="35" t="s">
        <v>247</v>
      </c>
      <c r="AH5" s="36" t="s">
        <v>1</v>
      </c>
      <c r="AI5" s="271" t="s">
        <v>2</v>
      </c>
      <c r="AJ5" s="271" t="s">
        <v>182</v>
      </c>
      <c r="AK5" s="690" t="s">
        <v>196</v>
      </c>
      <c r="AL5" s="36" t="s">
        <v>1</v>
      </c>
      <c r="AM5" s="271" t="s">
        <v>2</v>
      </c>
      <c r="AN5" s="693" t="s">
        <v>182</v>
      </c>
      <c r="AO5" s="35" t="s">
        <v>247</v>
      </c>
      <c r="AP5" s="36" t="s">
        <v>1</v>
      </c>
      <c r="AQ5" s="271" t="s">
        <v>2</v>
      </c>
      <c r="AR5" s="693" t="s">
        <v>182</v>
      </c>
      <c r="AS5" s="35" t="s">
        <v>247</v>
      </c>
      <c r="AT5" s="36" t="s">
        <v>1</v>
      </c>
      <c r="AU5" s="271" t="s">
        <v>2</v>
      </c>
      <c r="AV5" s="693" t="s">
        <v>182</v>
      </c>
      <c r="AW5" s="35" t="s">
        <v>247</v>
      </c>
      <c r="AX5" s="36" t="s">
        <v>1</v>
      </c>
      <c r="AY5" s="271" t="s">
        <v>2</v>
      </c>
      <c r="AZ5" s="693" t="s">
        <v>182</v>
      </c>
      <c r="BA5" s="35" t="s">
        <v>247</v>
      </c>
      <c r="BB5" s="36" t="s">
        <v>1</v>
      </c>
      <c r="BC5" s="271" t="s">
        <v>2</v>
      </c>
      <c r="BD5" s="271" t="s">
        <v>182</v>
      </c>
      <c r="BE5" s="690" t="s">
        <v>196</v>
      </c>
      <c r="BF5" s="274" t="s">
        <v>1</v>
      </c>
      <c r="BG5" s="275" t="s">
        <v>2</v>
      </c>
      <c r="BH5" s="275" t="s">
        <v>182</v>
      </c>
      <c r="BI5" s="698" t="s">
        <v>196</v>
      </c>
    </row>
    <row r="6" spans="3:62" s="28" customFormat="1" ht="20.100000000000001" customHeight="1">
      <c r="C6" s="1879" t="s">
        <v>19</v>
      </c>
      <c r="D6" s="1017" t="s">
        <v>32</v>
      </c>
      <c r="E6" s="1017"/>
      <c r="F6" s="1018"/>
      <c r="H6" s="1886" t="s">
        <v>32</v>
      </c>
      <c r="I6" s="33" t="s">
        <v>32</v>
      </c>
      <c r="J6" s="462">
        <v>30</v>
      </c>
      <c r="K6" s="463">
        <v>25</v>
      </c>
      <c r="L6" s="463"/>
      <c r="M6" s="691"/>
      <c r="N6" s="462">
        <v>12</v>
      </c>
      <c r="O6" s="463"/>
      <c r="P6" s="463"/>
      <c r="Q6" s="691"/>
      <c r="R6" s="462"/>
      <c r="S6" s="463"/>
      <c r="T6" s="463"/>
      <c r="U6" s="691"/>
      <c r="V6" s="462">
        <v>2</v>
      </c>
      <c r="W6" s="463">
        <v>6</v>
      </c>
      <c r="X6" s="463">
        <v>6</v>
      </c>
      <c r="Y6" s="691"/>
      <c r="Z6" s="462"/>
      <c r="AA6" s="463"/>
      <c r="AB6" s="463"/>
      <c r="AC6" s="691"/>
      <c r="AD6" s="462">
        <v>5</v>
      </c>
      <c r="AE6" s="463">
        <v>8</v>
      </c>
      <c r="AF6" s="463">
        <v>8</v>
      </c>
      <c r="AG6" s="691"/>
      <c r="AH6" s="128">
        <f>J6+N6+R6+V6+Z6+AD6</f>
        <v>49</v>
      </c>
      <c r="AI6" s="273">
        <f>K6+O6+S6+W6+AA6+AE6</f>
        <v>39</v>
      </c>
      <c r="AJ6" s="273">
        <f>L6+P6+T6+X6+AH32+AF6</f>
        <v>14</v>
      </c>
      <c r="AK6" s="694">
        <f>M6+Q6+U6+Y6+AC6+AG6</f>
        <v>0</v>
      </c>
      <c r="AL6" s="462">
        <v>1</v>
      </c>
      <c r="AM6" s="463">
        <v>10</v>
      </c>
      <c r="AN6" s="463">
        <v>10</v>
      </c>
      <c r="AO6" s="691"/>
      <c r="AP6" s="462">
        <v>3</v>
      </c>
      <c r="AQ6" s="463"/>
      <c r="AR6" s="463"/>
      <c r="AS6" s="691"/>
      <c r="AT6" s="462">
        <v>5</v>
      </c>
      <c r="AU6" s="463">
        <v>2.6</v>
      </c>
      <c r="AV6" s="463">
        <v>2.6</v>
      </c>
      <c r="AW6" s="691"/>
      <c r="AX6" s="462">
        <v>4</v>
      </c>
      <c r="AY6" s="463"/>
      <c r="AZ6" s="463"/>
      <c r="BA6" s="691"/>
      <c r="BB6" s="128">
        <f>AL6+AP6+AT6+AX6</f>
        <v>13</v>
      </c>
      <c r="BC6" s="273">
        <f>AM6+AQ6+AU6+AY6</f>
        <v>12.6</v>
      </c>
      <c r="BD6" s="273">
        <f>AN6+AR6+AV6+AZ6</f>
        <v>12.6</v>
      </c>
      <c r="BE6" s="273">
        <f>AO6+AS6+AW6+BA6</f>
        <v>0</v>
      </c>
      <c r="BF6" s="276">
        <f>AH6+BB6</f>
        <v>62</v>
      </c>
      <c r="BG6" s="277">
        <f>AI6+BC6</f>
        <v>51.6</v>
      </c>
      <c r="BH6" s="701">
        <f>AJ6+BD6</f>
        <v>26.6</v>
      </c>
      <c r="BI6" s="699">
        <f>AK6+BE6</f>
        <v>0</v>
      </c>
      <c r="BJ6" s="1059">
        <v>9.16</v>
      </c>
    </row>
    <row r="7" spans="3:62" s="28" customFormat="1" ht="20.100000000000001" customHeight="1">
      <c r="C7" s="1879"/>
      <c r="D7" s="1017" t="s">
        <v>31</v>
      </c>
      <c r="E7" s="1017"/>
      <c r="F7" s="1018"/>
      <c r="H7" s="1887"/>
      <c r="I7" s="33" t="s">
        <v>31</v>
      </c>
      <c r="J7" s="462"/>
      <c r="K7" s="463"/>
      <c r="L7" s="463"/>
      <c r="M7" s="691"/>
      <c r="N7" s="462"/>
      <c r="O7" s="463"/>
      <c r="P7" s="463"/>
      <c r="Q7" s="691"/>
      <c r="R7" s="462"/>
      <c r="S7" s="463"/>
      <c r="T7" s="463"/>
      <c r="U7" s="691"/>
      <c r="V7" s="462"/>
      <c r="W7" s="463"/>
      <c r="X7" s="463"/>
      <c r="Y7" s="691"/>
      <c r="Z7" s="462"/>
      <c r="AA7" s="463"/>
      <c r="AB7" s="463"/>
      <c r="AC7" s="691"/>
      <c r="AD7" s="462"/>
      <c r="AE7" s="463"/>
      <c r="AF7" s="463"/>
      <c r="AG7" s="691"/>
      <c r="AH7" s="128">
        <f t="shared" ref="AH7:AK9" si="0">J7+N7+R7+V7+Z7+AD7</f>
        <v>0</v>
      </c>
      <c r="AI7" s="273">
        <f t="shared" si="0"/>
        <v>0</v>
      </c>
      <c r="AJ7" s="273">
        <f t="shared" si="0"/>
        <v>0</v>
      </c>
      <c r="AK7" s="694">
        <f t="shared" si="0"/>
        <v>0</v>
      </c>
      <c r="AL7" s="462"/>
      <c r="AM7" s="463"/>
      <c r="AN7" s="463"/>
      <c r="AO7" s="691"/>
      <c r="AP7" s="462"/>
      <c r="AQ7" s="463"/>
      <c r="AR7" s="463"/>
      <c r="AS7" s="691"/>
      <c r="AT7" s="462"/>
      <c r="AU7" s="463"/>
      <c r="AV7" s="463"/>
      <c r="AW7" s="691"/>
      <c r="AX7" s="462"/>
      <c r="AY7" s="463"/>
      <c r="AZ7" s="463"/>
      <c r="BA7" s="691"/>
      <c r="BB7" s="128">
        <f t="shared" ref="BB7:BE9" si="1">AL7+AP7+AT7+AX7</f>
        <v>0</v>
      </c>
      <c r="BC7" s="273">
        <f t="shared" si="1"/>
        <v>0</v>
      </c>
      <c r="BD7" s="273">
        <f t="shared" si="1"/>
        <v>0</v>
      </c>
      <c r="BE7" s="273">
        <f t="shared" si="1"/>
        <v>0</v>
      </c>
      <c r="BF7" s="276">
        <f t="shared" ref="BF7:BI9" si="2">AH7+BB7</f>
        <v>0</v>
      </c>
      <c r="BG7" s="277">
        <f t="shared" si="2"/>
        <v>0</v>
      </c>
      <c r="BH7" s="277">
        <f t="shared" si="2"/>
        <v>0</v>
      </c>
      <c r="BI7" s="699">
        <f t="shared" si="2"/>
        <v>0</v>
      </c>
      <c r="BJ7" s="1059"/>
    </row>
    <row r="8" spans="3:62" s="28" customFormat="1" ht="20.100000000000001" customHeight="1">
      <c r="C8" s="1879"/>
      <c r="D8" s="1017" t="s">
        <v>30</v>
      </c>
      <c r="E8" s="1017"/>
      <c r="F8" s="1018"/>
      <c r="H8" s="1887"/>
      <c r="I8" s="33" t="s">
        <v>30</v>
      </c>
      <c r="J8" s="462">
        <v>5</v>
      </c>
      <c r="K8" s="463"/>
      <c r="L8" s="463"/>
      <c r="M8" s="691"/>
      <c r="N8" s="462"/>
      <c r="O8" s="463"/>
      <c r="P8" s="463"/>
      <c r="Q8" s="691"/>
      <c r="R8" s="462"/>
      <c r="S8" s="463"/>
      <c r="T8" s="463"/>
      <c r="U8" s="691"/>
      <c r="V8" s="462"/>
      <c r="W8" s="463"/>
      <c r="X8" s="463"/>
      <c r="Y8" s="691"/>
      <c r="Z8" s="462"/>
      <c r="AA8" s="463"/>
      <c r="AB8" s="463"/>
      <c r="AC8" s="691"/>
      <c r="AD8" s="462">
        <v>10</v>
      </c>
      <c r="AE8" s="463"/>
      <c r="AF8" s="463"/>
      <c r="AG8" s="691"/>
      <c r="AH8" s="128">
        <f t="shared" si="0"/>
        <v>15</v>
      </c>
      <c r="AI8" s="273">
        <f t="shared" si="0"/>
        <v>0</v>
      </c>
      <c r="AJ8" s="273">
        <f t="shared" si="0"/>
        <v>0</v>
      </c>
      <c r="AK8" s="694">
        <f t="shared" si="0"/>
        <v>0</v>
      </c>
      <c r="AL8" s="462">
        <v>10</v>
      </c>
      <c r="AM8" s="463">
        <v>1</v>
      </c>
      <c r="AN8" s="463">
        <v>1</v>
      </c>
      <c r="AO8" s="691"/>
      <c r="AP8" s="462">
        <v>2</v>
      </c>
      <c r="AQ8" s="463"/>
      <c r="AR8" s="463"/>
      <c r="AS8" s="691"/>
      <c r="AT8" s="462">
        <v>5</v>
      </c>
      <c r="AU8" s="463">
        <v>0.5</v>
      </c>
      <c r="AV8" s="463">
        <v>0.5</v>
      </c>
      <c r="AW8" s="691"/>
      <c r="AX8" s="462"/>
      <c r="AY8" s="463"/>
      <c r="AZ8" s="463"/>
      <c r="BA8" s="691"/>
      <c r="BB8" s="128">
        <f t="shared" si="1"/>
        <v>17</v>
      </c>
      <c r="BC8" s="273">
        <f t="shared" si="1"/>
        <v>1.5</v>
      </c>
      <c r="BD8" s="273">
        <f t="shared" si="1"/>
        <v>1.5</v>
      </c>
      <c r="BE8" s="273">
        <f t="shared" si="1"/>
        <v>0</v>
      </c>
      <c r="BF8" s="276">
        <f t="shared" si="2"/>
        <v>32</v>
      </c>
      <c r="BG8" s="277">
        <f t="shared" si="2"/>
        <v>1.5</v>
      </c>
      <c r="BH8" s="277">
        <f t="shared" si="2"/>
        <v>1.5</v>
      </c>
      <c r="BI8" s="699">
        <f t="shared" si="2"/>
        <v>0</v>
      </c>
      <c r="BJ8" s="1059"/>
    </row>
    <row r="9" spans="3:62" s="28" customFormat="1" ht="20.100000000000001" customHeight="1">
      <c r="C9" s="1885"/>
      <c r="D9" s="1017" t="s">
        <v>29</v>
      </c>
      <c r="E9" s="1017"/>
      <c r="F9" s="1018"/>
      <c r="H9" s="1887"/>
      <c r="I9" s="33" t="s">
        <v>109</v>
      </c>
      <c r="J9" s="462"/>
      <c r="K9" s="463"/>
      <c r="L9" s="463"/>
      <c r="M9" s="691"/>
      <c r="N9" s="462">
        <v>3</v>
      </c>
      <c r="O9" s="463"/>
      <c r="P9" s="463"/>
      <c r="Q9" s="691"/>
      <c r="R9" s="462"/>
      <c r="S9" s="463"/>
      <c r="T9" s="463"/>
      <c r="U9" s="691"/>
      <c r="V9" s="462">
        <v>3</v>
      </c>
      <c r="W9" s="463">
        <v>1.5</v>
      </c>
      <c r="X9" s="463">
        <v>1.5</v>
      </c>
      <c r="Y9" s="691"/>
      <c r="Z9" s="462">
        <v>2</v>
      </c>
      <c r="AA9" s="463"/>
      <c r="AB9" s="463"/>
      <c r="AC9" s="691"/>
      <c r="AD9" s="462"/>
      <c r="AE9" s="463"/>
      <c r="AF9" s="463"/>
      <c r="AG9" s="691"/>
      <c r="AH9" s="128">
        <f t="shared" si="0"/>
        <v>8</v>
      </c>
      <c r="AI9" s="273">
        <f t="shared" si="0"/>
        <v>1.5</v>
      </c>
      <c r="AJ9" s="273">
        <f t="shared" si="0"/>
        <v>1.5</v>
      </c>
      <c r="AK9" s="694">
        <f t="shared" si="0"/>
        <v>0</v>
      </c>
      <c r="AL9" s="462"/>
      <c r="AM9" s="463"/>
      <c r="AN9" s="463"/>
      <c r="AO9" s="691"/>
      <c r="AP9" s="462"/>
      <c r="AQ9" s="463"/>
      <c r="AR9" s="463"/>
      <c r="AS9" s="691"/>
      <c r="AT9" s="462"/>
      <c r="AU9" s="463"/>
      <c r="AV9" s="463"/>
      <c r="AW9" s="691"/>
      <c r="AX9" s="462"/>
      <c r="AY9" s="463"/>
      <c r="AZ9" s="463"/>
      <c r="BA9" s="691"/>
      <c r="BB9" s="128">
        <f t="shared" si="1"/>
        <v>0</v>
      </c>
      <c r="BC9" s="273">
        <f t="shared" si="1"/>
        <v>0</v>
      </c>
      <c r="BD9" s="273">
        <f t="shared" si="1"/>
        <v>0</v>
      </c>
      <c r="BE9" s="273">
        <f t="shared" si="1"/>
        <v>0</v>
      </c>
      <c r="BF9" s="276">
        <f t="shared" si="2"/>
        <v>8</v>
      </c>
      <c r="BG9" s="277">
        <f t="shared" si="2"/>
        <v>1.5</v>
      </c>
      <c r="BH9" s="277">
        <f t="shared" si="2"/>
        <v>1.5</v>
      </c>
      <c r="BI9" s="699">
        <f t="shared" si="2"/>
        <v>0</v>
      </c>
      <c r="BJ9" s="1059"/>
    </row>
    <row r="10" spans="3:62" s="28" customFormat="1" ht="19.5" customHeight="1" thickBot="1">
      <c r="C10" s="32"/>
      <c r="D10" s="31" t="s">
        <v>18</v>
      </c>
      <c r="E10" s="31"/>
      <c r="F10" s="30"/>
      <c r="H10" s="1865" t="s">
        <v>47</v>
      </c>
      <c r="I10" s="1866"/>
      <c r="J10" s="118">
        <f t="shared" ref="J10:BG10" si="3">SUM(J6:J9)</f>
        <v>35</v>
      </c>
      <c r="K10" s="272">
        <f t="shared" si="3"/>
        <v>25</v>
      </c>
      <c r="L10" s="272">
        <f t="shared" si="3"/>
        <v>0</v>
      </c>
      <c r="M10" s="272">
        <f t="shared" si="3"/>
        <v>0</v>
      </c>
      <c r="N10" s="118">
        <f t="shared" si="3"/>
        <v>15</v>
      </c>
      <c r="O10" s="272">
        <f t="shared" si="3"/>
        <v>0</v>
      </c>
      <c r="P10" s="272">
        <f t="shared" si="3"/>
        <v>0</v>
      </c>
      <c r="Q10" s="272">
        <f t="shared" si="3"/>
        <v>0</v>
      </c>
      <c r="R10" s="118">
        <f t="shared" si="3"/>
        <v>0</v>
      </c>
      <c r="S10" s="272">
        <f t="shared" si="3"/>
        <v>0</v>
      </c>
      <c r="T10" s="272">
        <f t="shared" si="3"/>
        <v>0</v>
      </c>
      <c r="U10" s="272">
        <f t="shared" si="3"/>
        <v>0</v>
      </c>
      <c r="V10" s="118">
        <f t="shared" si="3"/>
        <v>5</v>
      </c>
      <c r="W10" s="272">
        <f t="shared" si="3"/>
        <v>7.5</v>
      </c>
      <c r="X10" s="272">
        <f t="shared" si="3"/>
        <v>7.5</v>
      </c>
      <c r="Y10" s="272">
        <f t="shared" si="3"/>
        <v>0</v>
      </c>
      <c r="Z10" s="118">
        <f t="shared" si="3"/>
        <v>2</v>
      </c>
      <c r="AA10" s="272">
        <f t="shared" si="3"/>
        <v>0</v>
      </c>
      <c r="AB10" s="272">
        <f t="shared" si="3"/>
        <v>0</v>
      </c>
      <c r="AC10" s="272">
        <f t="shared" si="3"/>
        <v>0</v>
      </c>
      <c r="AD10" s="118">
        <f t="shared" si="3"/>
        <v>15</v>
      </c>
      <c r="AE10" s="272">
        <f t="shared" si="3"/>
        <v>8</v>
      </c>
      <c r="AF10" s="272">
        <f t="shared" si="3"/>
        <v>8</v>
      </c>
      <c r="AG10" s="272">
        <f t="shared" si="3"/>
        <v>0</v>
      </c>
      <c r="AH10" s="118">
        <f t="shared" si="3"/>
        <v>72</v>
      </c>
      <c r="AI10" s="272">
        <f t="shared" si="3"/>
        <v>40.5</v>
      </c>
      <c r="AJ10" s="272">
        <f>SUM(AJ6:AJ9)</f>
        <v>15.5</v>
      </c>
      <c r="AK10" s="695">
        <f>SUM(AK6:AK9)</f>
        <v>0</v>
      </c>
      <c r="AL10" s="118">
        <f t="shared" si="3"/>
        <v>11</v>
      </c>
      <c r="AM10" s="272">
        <f t="shared" si="3"/>
        <v>11</v>
      </c>
      <c r="AN10" s="272">
        <f t="shared" si="3"/>
        <v>11</v>
      </c>
      <c r="AO10" s="272">
        <f t="shared" si="3"/>
        <v>0</v>
      </c>
      <c r="AP10" s="118">
        <f t="shared" si="3"/>
        <v>5</v>
      </c>
      <c r="AQ10" s="272">
        <f t="shared" si="3"/>
        <v>0</v>
      </c>
      <c r="AR10" s="272">
        <f t="shared" si="3"/>
        <v>0</v>
      </c>
      <c r="AS10" s="272">
        <f t="shared" si="3"/>
        <v>0</v>
      </c>
      <c r="AT10" s="118">
        <f t="shared" si="3"/>
        <v>10</v>
      </c>
      <c r="AU10" s="272">
        <f t="shared" si="3"/>
        <v>3.1</v>
      </c>
      <c r="AV10" s="272">
        <f t="shared" si="3"/>
        <v>3.1</v>
      </c>
      <c r="AW10" s="272">
        <f t="shared" si="3"/>
        <v>0</v>
      </c>
      <c r="AX10" s="118">
        <f t="shared" si="3"/>
        <v>4</v>
      </c>
      <c r="AY10" s="272">
        <f t="shared" si="3"/>
        <v>0</v>
      </c>
      <c r="AZ10" s="272">
        <f t="shared" si="3"/>
        <v>0</v>
      </c>
      <c r="BA10" s="272">
        <f t="shared" si="3"/>
        <v>0</v>
      </c>
      <c r="BB10" s="118">
        <f t="shared" si="3"/>
        <v>30</v>
      </c>
      <c r="BC10" s="272">
        <f t="shared" si="3"/>
        <v>14.1</v>
      </c>
      <c r="BD10" s="272">
        <f t="shared" si="3"/>
        <v>14.1</v>
      </c>
      <c r="BE10" s="272">
        <f t="shared" si="3"/>
        <v>0</v>
      </c>
      <c r="BF10" s="278">
        <f t="shared" si="3"/>
        <v>102</v>
      </c>
      <c r="BG10" s="279">
        <f t="shared" si="3"/>
        <v>54.6</v>
      </c>
      <c r="BH10" s="702">
        <f>AJ10+BD10</f>
        <v>29.6</v>
      </c>
      <c r="BI10" s="700">
        <f>AK10+BE10</f>
        <v>0</v>
      </c>
      <c r="BJ10" s="1059"/>
    </row>
    <row r="11" spans="3:62" s="119" customFormat="1" ht="5.25" customHeight="1">
      <c r="D11" s="120"/>
      <c r="E11" s="120"/>
      <c r="F11" s="120"/>
      <c r="H11" s="122"/>
      <c r="I11" s="122"/>
      <c r="J11" s="125"/>
      <c r="K11" s="126"/>
      <c r="L11" s="126"/>
      <c r="M11" s="126"/>
      <c r="N11" s="125"/>
      <c r="O11" s="126"/>
      <c r="P11" s="126"/>
      <c r="Q11" s="126"/>
      <c r="R11" s="125"/>
      <c r="S11" s="126"/>
      <c r="T11" s="126"/>
      <c r="U11" s="126"/>
      <c r="V11" s="125"/>
      <c r="W11" s="126"/>
      <c r="X11" s="126"/>
      <c r="Y11" s="126"/>
      <c r="Z11" s="125"/>
      <c r="AA11" s="126"/>
      <c r="AB11" s="126"/>
      <c r="AC11" s="126"/>
      <c r="AD11" s="125"/>
      <c r="AE11" s="126"/>
      <c r="AF11" s="126"/>
      <c r="AG11" s="126"/>
      <c r="AH11" s="125"/>
      <c r="AI11" s="126"/>
      <c r="AJ11" s="126"/>
      <c r="AK11" s="126"/>
      <c r="AL11" s="125"/>
      <c r="AM11" s="126"/>
      <c r="AN11" s="126"/>
      <c r="AO11" s="126"/>
      <c r="AP11" s="125"/>
      <c r="AQ11" s="126"/>
      <c r="AR11" s="126"/>
      <c r="AS11" s="126"/>
      <c r="AT11" s="125"/>
      <c r="AU11" s="126"/>
      <c r="AV11" s="126"/>
      <c r="AW11" s="126"/>
      <c r="AX11" s="125"/>
      <c r="AY11" s="126"/>
      <c r="AZ11" s="126"/>
      <c r="BA11" s="126"/>
      <c r="BB11" s="125"/>
      <c r="BC11" s="126"/>
      <c r="BD11" s="126"/>
      <c r="BE11" s="126"/>
      <c r="BF11" s="125"/>
      <c r="BG11" s="126"/>
      <c r="BJ11" s="1060"/>
    </row>
    <row r="12" spans="3:62" ht="19.5" thickBot="1">
      <c r="C12" s="1019"/>
      <c r="D12" s="1017"/>
      <c r="E12" s="1017"/>
      <c r="F12" s="1023"/>
      <c r="H12" s="1867" t="s">
        <v>114</v>
      </c>
      <c r="I12" s="1868"/>
      <c r="J12" s="1868"/>
      <c r="K12" s="1868"/>
      <c r="L12" s="1868"/>
      <c r="M12" s="1868"/>
      <c r="N12" s="1868"/>
      <c r="O12" s="1868"/>
      <c r="P12" s="1868"/>
      <c r="Q12" s="1868"/>
      <c r="R12" s="1868"/>
      <c r="S12" s="1868"/>
      <c r="T12" s="1868"/>
      <c r="U12" s="1868"/>
      <c r="V12" s="1868"/>
      <c r="W12" s="1868"/>
      <c r="X12" s="1868"/>
      <c r="Y12" s="1868"/>
      <c r="Z12" s="1868"/>
      <c r="AA12" s="1868"/>
      <c r="AB12" s="1868"/>
      <c r="AC12" s="1868"/>
      <c r="AD12" s="1868"/>
      <c r="AE12" s="1868"/>
      <c r="AF12" s="1868"/>
      <c r="AG12" s="1868"/>
      <c r="AH12" s="1868"/>
      <c r="AI12" s="1868"/>
      <c r="AJ12" s="1868"/>
      <c r="AK12" s="1868"/>
      <c r="AL12" s="1868"/>
      <c r="AM12" s="1868"/>
      <c r="AN12" s="1868"/>
      <c r="AO12" s="1868"/>
      <c r="AP12" s="1868"/>
      <c r="AQ12" s="1868"/>
      <c r="AR12" s="1868"/>
      <c r="AS12" s="1868"/>
      <c r="AT12" s="1868"/>
      <c r="AU12" s="1868"/>
      <c r="AV12" s="1868"/>
      <c r="AW12" s="1868"/>
      <c r="AX12" s="1868"/>
      <c r="AY12" s="1868"/>
      <c r="AZ12" s="1868"/>
      <c r="BA12" s="1868"/>
      <c r="BB12" s="1868"/>
      <c r="BC12" s="1868"/>
      <c r="BD12" s="1868"/>
      <c r="BE12" s="1868"/>
      <c r="BF12" s="1868"/>
      <c r="BG12" s="1868"/>
      <c r="BH12" s="1868"/>
      <c r="BI12" s="1868"/>
    </row>
    <row r="13" spans="3:62" ht="18.75" customHeight="1">
      <c r="C13" s="37" t="s">
        <v>44</v>
      </c>
      <c r="D13" s="1869"/>
      <c r="E13" s="1869"/>
      <c r="F13" s="1870"/>
      <c r="H13" s="1895" t="s">
        <v>117</v>
      </c>
      <c r="I13" s="1896"/>
      <c r="J13" s="1890" t="s">
        <v>43</v>
      </c>
      <c r="K13" s="1891"/>
      <c r="L13" s="1891"/>
      <c r="M13" s="1892"/>
      <c r="N13" s="1890" t="s">
        <v>42</v>
      </c>
      <c r="O13" s="1891"/>
      <c r="P13" s="1891"/>
      <c r="Q13" s="1892"/>
      <c r="R13" s="1890" t="s">
        <v>41</v>
      </c>
      <c r="S13" s="1891"/>
      <c r="T13" s="1891"/>
      <c r="U13" s="1892"/>
      <c r="V13" s="1890" t="s">
        <v>40</v>
      </c>
      <c r="W13" s="1891"/>
      <c r="X13" s="1891"/>
      <c r="Y13" s="1892"/>
      <c r="Z13" s="1890" t="s">
        <v>39</v>
      </c>
      <c r="AA13" s="1891"/>
      <c r="AB13" s="1891"/>
      <c r="AC13" s="1892"/>
      <c r="AD13" s="1890" t="s">
        <v>38</v>
      </c>
      <c r="AE13" s="1891"/>
      <c r="AF13" s="1891"/>
      <c r="AG13" s="1892"/>
      <c r="AH13" s="1882" t="s">
        <v>122</v>
      </c>
      <c r="AI13" s="1883"/>
      <c r="AJ13" s="1883"/>
      <c r="AK13" s="1884"/>
      <c r="AL13" s="1890" t="s">
        <v>37</v>
      </c>
      <c r="AM13" s="1891"/>
      <c r="AN13" s="1891"/>
      <c r="AO13" s="1892"/>
      <c r="AP13" s="1890" t="s">
        <v>36</v>
      </c>
      <c r="AQ13" s="1891"/>
      <c r="AR13" s="1891"/>
      <c r="AS13" s="1892"/>
      <c r="AT13" s="1890" t="s">
        <v>35</v>
      </c>
      <c r="AU13" s="1891"/>
      <c r="AV13" s="1891"/>
      <c r="AW13" s="1892"/>
      <c r="AX13" s="1890" t="s">
        <v>34</v>
      </c>
      <c r="AY13" s="1891"/>
      <c r="AZ13" s="1891"/>
      <c r="BA13" s="1892"/>
      <c r="BB13" s="1882" t="s">
        <v>123</v>
      </c>
      <c r="BC13" s="1883"/>
      <c r="BD13" s="1883"/>
      <c r="BE13" s="1884"/>
      <c r="BF13" s="1880" t="s">
        <v>17</v>
      </c>
      <c r="BG13" s="1881"/>
      <c r="BH13" s="1881"/>
      <c r="BI13" s="1881"/>
    </row>
    <row r="14" spans="3:62" ht="27" customHeight="1">
      <c r="C14" s="1879" t="s">
        <v>33</v>
      </c>
      <c r="D14" s="1869"/>
      <c r="E14" s="1017" t="s">
        <v>1</v>
      </c>
      <c r="F14" s="1023" t="s">
        <v>2</v>
      </c>
      <c r="H14" s="1897"/>
      <c r="I14" s="1898"/>
      <c r="J14" s="36" t="s">
        <v>1</v>
      </c>
      <c r="K14" s="271" t="s">
        <v>2</v>
      </c>
      <c r="L14" s="271" t="s">
        <v>182</v>
      </c>
      <c r="M14" s="35" t="s">
        <v>247</v>
      </c>
      <c r="N14" s="36" t="s">
        <v>1</v>
      </c>
      <c r="O14" s="271" t="s">
        <v>2</v>
      </c>
      <c r="P14" s="271" t="s">
        <v>182</v>
      </c>
      <c r="Q14" s="35" t="s">
        <v>247</v>
      </c>
      <c r="R14" s="36" t="s">
        <v>1</v>
      </c>
      <c r="S14" s="271" t="s">
        <v>2</v>
      </c>
      <c r="T14" s="271" t="s">
        <v>182</v>
      </c>
      <c r="U14" s="35" t="s">
        <v>247</v>
      </c>
      <c r="V14" s="36" t="s">
        <v>1</v>
      </c>
      <c r="W14" s="271" t="s">
        <v>2</v>
      </c>
      <c r="X14" s="271" t="s">
        <v>182</v>
      </c>
      <c r="Y14" s="35" t="s">
        <v>247</v>
      </c>
      <c r="Z14" s="36" t="s">
        <v>1</v>
      </c>
      <c r="AA14" s="271" t="s">
        <v>2</v>
      </c>
      <c r="AB14" s="271" t="s">
        <v>182</v>
      </c>
      <c r="AC14" s="35" t="s">
        <v>247</v>
      </c>
      <c r="AD14" s="36" t="s">
        <v>1</v>
      </c>
      <c r="AE14" s="271" t="s">
        <v>2</v>
      </c>
      <c r="AF14" s="271" t="s">
        <v>182</v>
      </c>
      <c r="AG14" s="35" t="s">
        <v>247</v>
      </c>
      <c r="AH14" s="36" t="s">
        <v>1</v>
      </c>
      <c r="AI14" s="271" t="s">
        <v>2</v>
      </c>
      <c r="AJ14" s="271" t="s">
        <v>182</v>
      </c>
      <c r="AK14" s="690" t="s">
        <v>196</v>
      </c>
      <c r="AL14" s="36" t="s">
        <v>1</v>
      </c>
      <c r="AM14" s="271" t="s">
        <v>2</v>
      </c>
      <c r="AN14" s="271" t="s">
        <v>182</v>
      </c>
      <c r="AO14" s="35" t="s">
        <v>247</v>
      </c>
      <c r="AP14" s="36" t="s">
        <v>1</v>
      </c>
      <c r="AQ14" s="271" t="s">
        <v>2</v>
      </c>
      <c r="AR14" s="271" t="s">
        <v>182</v>
      </c>
      <c r="AS14" s="35" t="s">
        <v>247</v>
      </c>
      <c r="AT14" s="36" t="s">
        <v>1</v>
      </c>
      <c r="AU14" s="271" t="s">
        <v>2</v>
      </c>
      <c r="AV14" s="271" t="s">
        <v>182</v>
      </c>
      <c r="AW14" s="35" t="s">
        <v>247</v>
      </c>
      <c r="AX14" s="36" t="s">
        <v>1</v>
      </c>
      <c r="AY14" s="271" t="s">
        <v>2</v>
      </c>
      <c r="AZ14" s="271" t="s">
        <v>182</v>
      </c>
      <c r="BA14" s="35" t="s">
        <v>247</v>
      </c>
      <c r="BB14" s="36" t="s">
        <v>1</v>
      </c>
      <c r="BC14" s="271" t="s">
        <v>2</v>
      </c>
      <c r="BD14" s="271" t="s">
        <v>182</v>
      </c>
      <c r="BE14" s="690" t="s">
        <v>196</v>
      </c>
      <c r="BF14" s="274" t="s">
        <v>1</v>
      </c>
      <c r="BG14" s="275" t="s">
        <v>2</v>
      </c>
      <c r="BH14" s="275" t="s">
        <v>182</v>
      </c>
      <c r="BI14" s="703" t="s">
        <v>196</v>
      </c>
    </row>
    <row r="15" spans="3:62" s="28" customFormat="1" ht="20.100000000000001" customHeight="1">
      <c r="C15" s="1879" t="s">
        <v>28</v>
      </c>
      <c r="D15" s="1017" t="s">
        <v>27</v>
      </c>
      <c r="E15" s="1021"/>
      <c r="F15" s="34"/>
      <c r="H15" s="1888" t="s">
        <v>112</v>
      </c>
      <c r="I15" s="33" t="s">
        <v>27</v>
      </c>
      <c r="J15" s="462"/>
      <c r="K15" s="463"/>
      <c r="L15" s="463"/>
      <c r="M15" s="692"/>
      <c r="N15" s="462"/>
      <c r="O15" s="463"/>
      <c r="P15" s="463"/>
      <c r="Q15" s="692"/>
      <c r="R15" s="462"/>
      <c r="S15" s="463"/>
      <c r="T15" s="463"/>
      <c r="U15" s="692"/>
      <c r="V15" s="462"/>
      <c r="W15" s="463"/>
      <c r="X15" s="463"/>
      <c r="Y15" s="692"/>
      <c r="Z15" s="462"/>
      <c r="AA15" s="463"/>
      <c r="AB15" s="463"/>
      <c r="AC15" s="692"/>
      <c r="AD15" s="462"/>
      <c r="AE15" s="463"/>
      <c r="AF15" s="463"/>
      <c r="AG15" s="692"/>
      <c r="AH15" s="128">
        <f>J15+N15+R15+V15+Z15+AD15</f>
        <v>0</v>
      </c>
      <c r="AI15" s="273">
        <f>K15+O15+S15+W15+AA15+AE15</f>
        <v>0</v>
      </c>
      <c r="AJ15" s="273">
        <f>L15+P15+T15+X15+AB15+AF15</f>
        <v>0</v>
      </c>
      <c r="AK15" s="694">
        <f>M15+Q15+U15+Y15+AC15+AG15</f>
        <v>0</v>
      </c>
      <c r="AL15" s="462"/>
      <c r="AM15" s="463"/>
      <c r="AN15" s="463"/>
      <c r="AO15" s="692"/>
      <c r="AP15" s="462"/>
      <c r="AQ15" s="463"/>
      <c r="AR15" s="463"/>
      <c r="AS15" s="692"/>
      <c r="AT15" s="462"/>
      <c r="AU15" s="463"/>
      <c r="AV15" s="463"/>
      <c r="AW15" s="692"/>
      <c r="AX15" s="462"/>
      <c r="AY15" s="463"/>
      <c r="AZ15" s="463"/>
      <c r="BA15" s="692"/>
      <c r="BB15" s="128">
        <f>AL15+AP15+AT15+AX15</f>
        <v>0</v>
      </c>
      <c r="BC15" s="273">
        <f>AM15+AQ15+AU15+AY15</f>
        <v>0</v>
      </c>
      <c r="BD15" s="273">
        <f>AN15+AR15+AV15+AZ15</f>
        <v>0</v>
      </c>
      <c r="BE15" s="273">
        <f>AO15+AS15+AW15+BA15</f>
        <v>0</v>
      </c>
      <c r="BF15" s="276">
        <f t="shared" ref="BF15:BI23" si="4">AH15+BB15</f>
        <v>0</v>
      </c>
      <c r="BG15" s="277">
        <f t="shared" si="4"/>
        <v>0</v>
      </c>
      <c r="BH15" s="277">
        <f t="shared" si="4"/>
        <v>0</v>
      </c>
      <c r="BI15" s="704">
        <f t="shared" si="4"/>
        <v>0</v>
      </c>
      <c r="BJ15" s="1059"/>
    </row>
    <row r="16" spans="3:62" s="28" customFormat="1" ht="20.100000000000001" customHeight="1">
      <c r="C16" s="1879"/>
      <c r="D16" s="1017" t="s">
        <v>26</v>
      </c>
      <c r="E16" s="1017"/>
      <c r="F16" s="1018"/>
      <c r="H16" s="1889"/>
      <c r="I16" s="33" t="s">
        <v>26</v>
      </c>
      <c r="J16" s="462"/>
      <c r="K16" s="463"/>
      <c r="L16" s="463"/>
      <c r="M16" s="692"/>
      <c r="N16" s="462"/>
      <c r="O16" s="463"/>
      <c r="P16" s="463"/>
      <c r="Q16" s="692"/>
      <c r="R16" s="462"/>
      <c r="S16" s="463"/>
      <c r="T16" s="463"/>
      <c r="U16" s="692"/>
      <c r="V16" s="462"/>
      <c r="W16" s="463"/>
      <c r="X16" s="463"/>
      <c r="Y16" s="692"/>
      <c r="Z16" s="462"/>
      <c r="AA16" s="463"/>
      <c r="AB16" s="463"/>
      <c r="AC16" s="692"/>
      <c r="AD16" s="462"/>
      <c r="AE16" s="463"/>
      <c r="AF16" s="463"/>
      <c r="AG16" s="692"/>
      <c r="AH16" s="128">
        <f t="shared" ref="AH16:AK23" si="5">J16+N16+R16+V16+Z16+AD16</f>
        <v>0</v>
      </c>
      <c r="AI16" s="273">
        <f t="shared" si="5"/>
        <v>0</v>
      </c>
      <c r="AJ16" s="273">
        <f t="shared" si="5"/>
        <v>0</v>
      </c>
      <c r="AK16" s="694">
        <f t="shared" si="5"/>
        <v>0</v>
      </c>
      <c r="AL16" s="462"/>
      <c r="AM16" s="463"/>
      <c r="AN16" s="463"/>
      <c r="AO16" s="692"/>
      <c r="AP16" s="462"/>
      <c r="AQ16" s="463"/>
      <c r="AR16" s="463"/>
      <c r="AS16" s="692"/>
      <c r="AT16" s="462"/>
      <c r="AU16" s="463"/>
      <c r="AV16" s="463"/>
      <c r="AW16" s="692"/>
      <c r="AX16" s="462"/>
      <c r="AY16" s="463"/>
      <c r="AZ16" s="463"/>
      <c r="BA16" s="692"/>
      <c r="BB16" s="128">
        <f t="shared" ref="BB16:BE23" si="6">AL16+AP16+AT16+AX16</f>
        <v>0</v>
      </c>
      <c r="BC16" s="273">
        <f t="shared" si="6"/>
        <v>0</v>
      </c>
      <c r="BD16" s="273">
        <f t="shared" si="6"/>
        <v>0</v>
      </c>
      <c r="BE16" s="273">
        <f t="shared" si="6"/>
        <v>0</v>
      </c>
      <c r="BF16" s="276">
        <f t="shared" si="4"/>
        <v>0</v>
      </c>
      <c r="BG16" s="277">
        <f t="shared" si="4"/>
        <v>0</v>
      </c>
      <c r="BH16" s="277">
        <f t="shared" si="4"/>
        <v>0</v>
      </c>
      <c r="BI16" s="704">
        <f t="shared" si="4"/>
        <v>0</v>
      </c>
      <c r="BJ16" s="1059"/>
    </row>
    <row r="17" spans="3:62" s="28" customFormat="1" ht="23.25" customHeight="1">
      <c r="C17" s="1879"/>
      <c r="D17" s="1017" t="s">
        <v>25</v>
      </c>
      <c r="E17" s="1017"/>
      <c r="F17" s="1018"/>
      <c r="H17" s="1889"/>
      <c r="I17" s="33" t="s">
        <v>25</v>
      </c>
      <c r="J17" s="462"/>
      <c r="K17" s="463"/>
      <c r="L17" s="463"/>
      <c r="M17" s="692"/>
      <c r="N17" s="462"/>
      <c r="O17" s="463"/>
      <c r="P17" s="463"/>
      <c r="Q17" s="692"/>
      <c r="R17" s="462"/>
      <c r="S17" s="463"/>
      <c r="T17" s="463"/>
      <c r="U17" s="692"/>
      <c r="V17" s="462"/>
      <c r="W17" s="463"/>
      <c r="X17" s="463"/>
      <c r="Y17" s="692"/>
      <c r="Z17" s="462"/>
      <c r="AA17" s="463"/>
      <c r="AB17" s="463"/>
      <c r="AC17" s="692"/>
      <c r="AD17" s="462"/>
      <c r="AE17" s="463"/>
      <c r="AF17" s="463"/>
      <c r="AG17" s="692"/>
      <c r="AH17" s="128">
        <f t="shared" si="5"/>
        <v>0</v>
      </c>
      <c r="AI17" s="273">
        <f>K17+O17+S17+W17+AA17+AE17</f>
        <v>0</v>
      </c>
      <c r="AJ17" s="273">
        <f t="shared" si="5"/>
        <v>0</v>
      </c>
      <c r="AK17" s="694">
        <f t="shared" si="5"/>
        <v>0</v>
      </c>
      <c r="AL17" s="462"/>
      <c r="AM17" s="463"/>
      <c r="AN17" s="463"/>
      <c r="AO17" s="692"/>
      <c r="AP17" s="462"/>
      <c r="AQ17" s="463"/>
      <c r="AR17" s="463"/>
      <c r="AS17" s="692"/>
      <c r="AT17" s="462"/>
      <c r="AU17" s="463"/>
      <c r="AV17" s="463"/>
      <c r="AW17" s="692"/>
      <c r="AX17" s="462"/>
      <c r="AY17" s="463"/>
      <c r="AZ17" s="463"/>
      <c r="BA17" s="692"/>
      <c r="BB17" s="128">
        <f t="shared" si="6"/>
        <v>0</v>
      </c>
      <c r="BC17" s="273">
        <f t="shared" si="6"/>
        <v>0</v>
      </c>
      <c r="BD17" s="273">
        <f t="shared" si="6"/>
        <v>0</v>
      </c>
      <c r="BE17" s="273">
        <f t="shared" si="6"/>
        <v>0</v>
      </c>
      <c r="BF17" s="276">
        <f t="shared" si="4"/>
        <v>0</v>
      </c>
      <c r="BG17" s="277">
        <f t="shared" si="4"/>
        <v>0</v>
      </c>
      <c r="BH17" s="277">
        <f t="shared" si="4"/>
        <v>0</v>
      </c>
      <c r="BI17" s="704">
        <f t="shared" si="4"/>
        <v>0</v>
      </c>
      <c r="BJ17" s="1059"/>
    </row>
    <row r="18" spans="3:62" s="28" customFormat="1" ht="21">
      <c r="C18" s="1879"/>
      <c r="D18" s="1017" t="s">
        <v>24</v>
      </c>
      <c r="E18" s="1017"/>
      <c r="F18" s="1018"/>
      <c r="H18" s="1889"/>
      <c r="I18" s="33" t="s">
        <v>24</v>
      </c>
      <c r="J18" s="462"/>
      <c r="K18" s="463"/>
      <c r="L18" s="463"/>
      <c r="M18" s="692"/>
      <c r="N18" s="462"/>
      <c r="O18" s="463"/>
      <c r="P18" s="463"/>
      <c r="Q18" s="692"/>
      <c r="R18" s="462"/>
      <c r="S18" s="463"/>
      <c r="T18" s="463"/>
      <c r="U18" s="692"/>
      <c r="V18" s="462"/>
      <c r="W18" s="463"/>
      <c r="X18" s="463"/>
      <c r="Y18" s="692"/>
      <c r="Z18" s="462"/>
      <c r="AA18" s="463"/>
      <c r="AB18" s="463"/>
      <c r="AC18" s="692"/>
      <c r="AD18" s="462"/>
      <c r="AE18" s="463"/>
      <c r="AF18" s="463"/>
      <c r="AG18" s="692"/>
      <c r="AH18" s="128">
        <f t="shared" si="5"/>
        <v>0</v>
      </c>
      <c r="AI18" s="273">
        <f t="shared" si="5"/>
        <v>0</v>
      </c>
      <c r="AJ18" s="273">
        <f t="shared" si="5"/>
        <v>0</v>
      </c>
      <c r="AK18" s="694">
        <f t="shared" si="5"/>
        <v>0</v>
      </c>
      <c r="AL18" s="462"/>
      <c r="AM18" s="463"/>
      <c r="AN18" s="463"/>
      <c r="AO18" s="692"/>
      <c r="AP18" s="462"/>
      <c r="AQ18" s="463"/>
      <c r="AR18" s="463"/>
      <c r="AS18" s="692"/>
      <c r="AT18" s="462"/>
      <c r="AU18" s="463"/>
      <c r="AV18" s="463"/>
      <c r="AW18" s="692"/>
      <c r="AX18" s="462"/>
      <c r="AY18" s="463"/>
      <c r="AZ18" s="463"/>
      <c r="BA18" s="692"/>
      <c r="BB18" s="128">
        <f t="shared" si="6"/>
        <v>0</v>
      </c>
      <c r="BC18" s="273">
        <f t="shared" si="6"/>
        <v>0</v>
      </c>
      <c r="BD18" s="273">
        <f t="shared" si="6"/>
        <v>0</v>
      </c>
      <c r="BE18" s="273">
        <f t="shared" si="6"/>
        <v>0</v>
      </c>
      <c r="BF18" s="276">
        <f t="shared" si="4"/>
        <v>0</v>
      </c>
      <c r="BG18" s="277">
        <f t="shared" si="4"/>
        <v>0</v>
      </c>
      <c r="BH18" s="277">
        <f t="shared" si="4"/>
        <v>0</v>
      </c>
      <c r="BI18" s="704">
        <f t="shared" si="4"/>
        <v>0</v>
      </c>
      <c r="BJ18" s="1059"/>
    </row>
    <row r="19" spans="3:62" s="28" customFormat="1" ht="19.5" customHeight="1">
      <c r="C19" s="1879"/>
      <c r="D19" s="1017" t="s">
        <v>23</v>
      </c>
      <c r="E19" s="1017"/>
      <c r="F19" s="1018"/>
      <c r="H19" s="1889"/>
      <c r="I19" s="33" t="s">
        <v>23</v>
      </c>
      <c r="J19" s="462"/>
      <c r="K19" s="463"/>
      <c r="L19" s="463"/>
      <c r="M19" s="692"/>
      <c r="N19" s="462"/>
      <c r="O19" s="463"/>
      <c r="P19" s="463"/>
      <c r="Q19" s="692"/>
      <c r="R19" s="462"/>
      <c r="S19" s="463"/>
      <c r="T19" s="463"/>
      <c r="U19" s="692"/>
      <c r="V19" s="462">
        <v>6</v>
      </c>
      <c r="W19" s="463"/>
      <c r="X19" s="463"/>
      <c r="Y19" s="692"/>
      <c r="Z19" s="462"/>
      <c r="AA19" s="463"/>
      <c r="AB19" s="463"/>
      <c r="AC19" s="692"/>
      <c r="AD19" s="462"/>
      <c r="AE19" s="463"/>
      <c r="AF19" s="463"/>
      <c r="AG19" s="692"/>
      <c r="AH19" s="128">
        <f t="shared" si="5"/>
        <v>6</v>
      </c>
      <c r="AI19" s="273">
        <f t="shared" si="5"/>
        <v>0</v>
      </c>
      <c r="AJ19" s="273">
        <f t="shared" si="5"/>
        <v>0</v>
      </c>
      <c r="AK19" s="694">
        <f t="shared" si="5"/>
        <v>0</v>
      </c>
      <c r="AL19" s="1012"/>
      <c r="AM19" s="463"/>
      <c r="AN19" s="463"/>
      <c r="AO19" s="692"/>
      <c r="AP19" s="462"/>
      <c r="AQ19" s="463"/>
      <c r="AR19" s="463"/>
      <c r="AS19" s="692"/>
      <c r="AT19" s="462"/>
      <c r="AU19" s="463"/>
      <c r="AV19" s="463"/>
      <c r="AW19" s="692"/>
      <c r="AX19" s="462"/>
      <c r="AY19" s="463"/>
      <c r="AZ19" s="463"/>
      <c r="BA19" s="692"/>
      <c r="BB19" s="128">
        <f t="shared" si="6"/>
        <v>0</v>
      </c>
      <c r="BC19" s="273">
        <f t="shared" si="6"/>
        <v>0</v>
      </c>
      <c r="BD19" s="273">
        <f t="shared" si="6"/>
        <v>0</v>
      </c>
      <c r="BE19" s="273">
        <f t="shared" si="6"/>
        <v>0</v>
      </c>
      <c r="BF19" s="276">
        <f t="shared" si="4"/>
        <v>6</v>
      </c>
      <c r="BG19" s="277">
        <f t="shared" si="4"/>
        <v>0</v>
      </c>
      <c r="BH19" s="277">
        <f>AJ19+BD19</f>
        <v>0</v>
      </c>
      <c r="BI19" s="704">
        <f t="shared" si="4"/>
        <v>0</v>
      </c>
      <c r="BJ19" s="1059"/>
    </row>
    <row r="20" spans="3:62" s="28" customFormat="1" ht="19.5" customHeight="1">
      <c r="C20" s="1879"/>
      <c r="D20" s="1017" t="s">
        <v>22</v>
      </c>
      <c r="E20" s="1017"/>
      <c r="F20" s="1018"/>
      <c r="H20" s="1889"/>
      <c r="I20" s="33" t="s">
        <v>22</v>
      </c>
      <c r="J20" s="462"/>
      <c r="K20" s="463"/>
      <c r="L20" s="463"/>
      <c r="M20" s="692"/>
      <c r="N20" s="462"/>
      <c r="O20" s="463"/>
      <c r="P20" s="463"/>
      <c r="Q20" s="692"/>
      <c r="R20" s="462"/>
      <c r="S20" s="463"/>
      <c r="T20" s="463"/>
      <c r="U20" s="692"/>
      <c r="V20" s="462"/>
      <c r="W20" s="463"/>
      <c r="X20" s="463"/>
      <c r="Y20" s="692"/>
      <c r="Z20" s="462"/>
      <c r="AA20" s="463"/>
      <c r="AB20" s="463"/>
      <c r="AC20" s="692"/>
      <c r="AD20" s="462"/>
      <c r="AE20" s="463"/>
      <c r="AF20" s="463"/>
      <c r="AG20" s="692"/>
      <c r="AH20" s="128">
        <f t="shared" si="5"/>
        <v>0</v>
      </c>
      <c r="AI20" s="273">
        <f>K20+O20+S20+W20+AA20+AE20</f>
        <v>0</v>
      </c>
      <c r="AJ20" s="273">
        <f t="shared" si="5"/>
        <v>0</v>
      </c>
      <c r="AK20" s="694">
        <f t="shared" si="5"/>
        <v>0</v>
      </c>
      <c r="AL20" s="462"/>
      <c r="AM20" s="463"/>
      <c r="AN20" s="463"/>
      <c r="AO20" s="692"/>
      <c r="AP20" s="462"/>
      <c r="AQ20" s="463"/>
      <c r="AR20" s="463"/>
      <c r="AS20" s="692"/>
      <c r="AT20" s="462"/>
      <c r="AU20" s="463"/>
      <c r="AV20" s="463"/>
      <c r="AW20" s="692"/>
      <c r="AX20" s="462"/>
      <c r="AY20" s="463"/>
      <c r="AZ20" s="463"/>
      <c r="BA20" s="692"/>
      <c r="BB20" s="128">
        <f t="shared" si="6"/>
        <v>0</v>
      </c>
      <c r="BC20" s="273">
        <f t="shared" si="6"/>
        <v>0</v>
      </c>
      <c r="BD20" s="273">
        <f t="shared" si="6"/>
        <v>0</v>
      </c>
      <c r="BE20" s="273">
        <f t="shared" si="6"/>
        <v>0</v>
      </c>
      <c r="BF20" s="276">
        <f t="shared" si="4"/>
        <v>0</v>
      </c>
      <c r="BG20" s="277">
        <f t="shared" si="4"/>
        <v>0</v>
      </c>
      <c r="BH20" s="277">
        <f t="shared" si="4"/>
        <v>0</v>
      </c>
      <c r="BI20" s="704">
        <f t="shared" si="4"/>
        <v>0</v>
      </c>
      <c r="BJ20" s="1059"/>
    </row>
    <row r="21" spans="3:62" s="28" customFormat="1" ht="20.100000000000001" customHeight="1">
      <c r="C21" s="1885"/>
      <c r="D21" s="1017"/>
      <c r="E21" s="1017"/>
      <c r="F21" s="1018"/>
      <c r="H21" s="1889"/>
      <c r="I21" s="33" t="s">
        <v>21</v>
      </c>
      <c r="J21" s="462"/>
      <c r="K21" s="463"/>
      <c r="L21" s="463"/>
      <c r="M21" s="692"/>
      <c r="N21" s="462"/>
      <c r="O21" s="463"/>
      <c r="P21" s="463"/>
      <c r="Q21" s="692"/>
      <c r="R21" s="462"/>
      <c r="S21" s="463"/>
      <c r="T21" s="463"/>
      <c r="U21" s="692"/>
      <c r="V21" s="462"/>
      <c r="W21" s="463"/>
      <c r="X21" s="463"/>
      <c r="Y21" s="692"/>
      <c r="Z21" s="462"/>
      <c r="AA21" s="463"/>
      <c r="AB21" s="463"/>
      <c r="AC21" s="692"/>
      <c r="AD21" s="462"/>
      <c r="AE21" s="463"/>
      <c r="AF21" s="463"/>
      <c r="AG21" s="692"/>
      <c r="AH21" s="128">
        <f t="shared" si="5"/>
        <v>0</v>
      </c>
      <c r="AI21" s="273">
        <f t="shared" si="5"/>
        <v>0</v>
      </c>
      <c r="AJ21" s="273">
        <f t="shared" si="5"/>
        <v>0</v>
      </c>
      <c r="AK21" s="694">
        <f t="shared" si="5"/>
        <v>0</v>
      </c>
      <c r="AL21" s="462"/>
      <c r="AM21" s="463"/>
      <c r="AN21" s="463"/>
      <c r="AO21" s="692"/>
      <c r="AP21" s="462"/>
      <c r="AQ21" s="463"/>
      <c r="AR21" s="463"/>
      <c r="AS21" s="692"/>
      <c r="AT21" s="462"/>
      <c r="AU21" s="463"/>
      <c r="AV21" s="463"/>
      <c r="AW21" s="692"/>
      <c r="AX21" s="462"/>
      <c r="AY21" s="463"/>
      <c r="AZ21" s="463"/>
      <c r="BA21" s="692"/>
      <c r="BB21" s="128">
        <f t="shared" si="6"/>
        <v>0</v>
      </c>
      <c r="BC21" s="273">
        <f t="shared" si="6"/>
        <v>0</v>
      </c>
      <c r="BD21" s="273">
        <f t="shared" si="6"/>
        <v>0</v>
      </c>
      <c r="BE21" s="273">
        <f t="shared" si="6"/>
        <v>0</v>
      </c>
      <c r="BF21" s="276">
        <f t="shared" si="4"/>
        <v>0</v>
      </c>
      <c r="BG21" s="277">
        <f t="shared" si="4"/>
        <v>0</v>
      </c>
      <c r="BH21" s="277">
        <f t="shared" si="4"/>
        <v>0</v>
      </c>
      <c r="BI21" s="704">
        <f t="shared" si="4"/>
        <v>0</v>
      </c>
      <c r="BJ21" s="1059"/>
    </row>
    <row r="22" spans="3:62" s="28" customFormat="1" ht="20.100000000000001" customHeight="1">
      <c r="C22" s="1885"/>
      <c r="D22" s="1017"/>
      <c r="E22" s="1017"/>
      <c r="F22" s="1018"/>
      <c r="H22" s="1889"/>
      <c r="I22" s="33" t="s">
        <v>20</v>
      </c>
      <c r="J22" s="462"/>
      <c r="K22" s="463"/>
      <c r="L22" s="463"/>
      <c r="M22" s="692"/>
      <c r="N22" s="462"/>
      <c r="O22" s="463"/>
      <c r="P22" s="463"/>
      <c r="Q22" s="692"/>
      <c r="R22" s="462"/>
      <c r="S22" s="463"/>
      <c r="T22" s="463"/>
      <c r="U22" s="692"/>
      <c r="V22" s="462"/>
      <c r="W22" s="463"/>
      <c r="X22" s="463"/>
      <c r="Y22" s="692"/>
      <c r="Z22" s="462"/>
      <c r="AA22" s="463"/>
      <c r="AB22" s="463"/>
      <c r="AC22" s="692"/>
      <c r="AD22" s="462"/>
      <c r="AE22" s="463"/>
      <c r="AF22" s="463"/>
      <c r="AG22" s="692"/>
      <c r="AH22" s="128">
        <f t="shared" si="5"/>
        <v>0</v>
      </c>
      <c r="AI22" s="273">
        <f t="shared" si="5"/>
        <v>0</v>
      </c>
      <c r="AJ22" s="273">
        <f t="shared" si="5"/>
        <v>0</v>
      </c>
      <c r="AK22" s="694">
        <f t="shared" si="5"/>
        <v>0</v>
      </c>
      <c r="AL22" s="462"/>
      <c r="AM22" s="463"/>
      <c r="AN22" s="463"/>
      <c r="AO22" s="692"/>
      <c r="AP22" s="462"/>
      <c r="AQ22" s="463"/>
      <c r="AR22" s="463"/>
      <c r="AS22" s="692"/>
      <c r="AT22" s="462"/>
      <c r="AU22" s="463"/>
      <c r="AV22" s="463"/>
      <c r="AW22" s="692"/>
      <c r="AX22" s="462"/>
      <c r="AY22" s="463"/>
      <c r="AZ22" s="463"/>
      <c r="BA22" s="692"/>
      <c r="BB22" s="128">
        <f t="shared" si="6"/>
        <v>0</v>
      </c>
      <c r="BC22" s="273">
        <f t="shared" si="6"/>
        <v>0</v>
      </c>
      <c r="BD22" s="273">
        <f t="shared" si="6"/>
        <v>0</v>
      </c>
      <c r="BE22" s="273">
        <f t="shared" si="6"/>
        <v>0</v>
      </c>
      <c r="BF22" s="276">
        <f t="shared" si="4"/>
        <v>0</v>
      </c>
      <c r="BG22" s="277">
        <f t="shared" si="4"/>
        <v>0</v>
      </c>
      <c r="BH22" s="277">
        <f t="shared" si="4"/>
        <v>0</v>
      </c>
      <c r="BI22" s="704">
        <f t="shared" si="4"/>
        <v>0</v>
      </c>
      <c r="BJ22" s="1059"/>
    </row>
    <row r="23" spans="3:62" s="28" customFormat="1" ht="20.100000000000001" customHeight="1">
      <c r="C23" s="1885"/>
      <c r="D23" s="1017"/>
      <c r="E23" s="1017"/>
      <c r="F23" s="1018"/>
      <c r="H23" s="1889"/>
      <c r="I23" s="33" t="s">
        <v>19</v>
      </c>
      <c r="J23" s="462"/>
      <c r="K23" s="463"/>
      <c r="L23" s="463"/>
      <c r="M23" s="692"/>
      <c r="N23" s="462"/>
      <c r="O23" s="463"/>
      <c r="P23" s="463"/>
      <c r="Q23" s="692"/>
      <c r="R23" s="462">
        <v>8</v>
      </c>
      <c r="S23" s="463"/>
      <c r="T23" s="463"/>
      <c r="U23" s="692"/>
      <c r="V23" s="462"/>
      <c r="W23" s="463"/>
      <c r="X23" s="463"/>
      <c r="Y23" s="692"/>
      <c r="Z23" s="462"/>
      <c r="AA23" s="463"/>
      <c r="AB23" s="463"/>
      <c r="AC23" s="692"/>
      <c r="AD23" s="462"/>
      <c r="AE23" s="463"/>
      <c r="AF23" s="463"/>
      <c r="AG23" s="692"/>
      <c r="AH23" s="128">
        <f t="shared" si="5"/>
        <v>8</v>
      </c>
      <c r="AI23" s="273">
        <f t="shared" si="5"/>
        <v>0</v>
      </c>
      <c r="AJ23" s="273">
        <f t="shared" si="5"/>
        <v>0</v>
      </c>
      <c r="AK23" s="694">
        <f t="shared" si="5"/>
        <v>0</v>
      </c>
      <c r="AL23" s="462"/>
      <c r="AM23" s="463"/>
      <c r="AN23" s="463"/>
      <c r="AO23" s="692"/>
      <c r="AP23" s="462"/>
      <c r="AQ23" s="463"/>
      <c r="AR23" s="463"/>
      <c r="AS23" s="692"/>
      <c r="AT23" s="462"/>
      <c r="AU23" s="463"/>
      <c r="AV23" s="463"/>
      <c r="AW23" s="692"/>
      <c r="AX23" s="462"/>
      <c r="AY23" s="463"/>
      <c r="AZ23" s="463"/>
      <c r="BA23" s="692"/>
      <c r="BB23" s="128">
        <f t="shared" si="6"/>
        <v>0</v>
      </c>
      <c r="BC23" s="273">
        <f t="shared" si="6"/>
        <v>0</v>
      </c>
      <c r="BD23" s="273">
        <f t="shared" si="6"/>
        <v>0</v>
      </c>
      <c r="BE23" s="273">
        <f t="shared" si="6"/>
        <v>0</v>
      </c>
      <c r="BF23" s="276">
        <f t="shared" si="4"/>
        <v>8</v>
      </c>
      <c r="BG23" s="277">
        <f t="shared" si="4"/>
        <v>0</v>
      </c>
      <c r="BH23" s="277">
        <f t="shared" si="4"/>
        <v>0</v>
      </c>
      <c r="BI23" s="704">
        <f t="shared" si="4"/>
        <v>0</v>
      </c>
      <c r="BJ23" s="1059"/>
    </row>
    <row r="24" spans="3:62" s="28" customFormat="1" ht="20.100000000000001" customHeight="1" thickBot="1">
      <c r="C24" s="1885"/>
      <c r="D24" s="1017"/>
      <c r="E24" s="1017"/>
      <c r="F24" s="1018"/>
      <c r="H24" s="1865" t="s">
        <v>116</v>
      </c>
      <c r="I24" s="1866"/>
      <c r="J24" s="118">
        <f t="shared" ref="J24:BI24" si="7">SUM(J15:J23)</f>
        <v>0</v>
      </c>
      <c r="K24" s="272">
        <f t="shared" si="7"/>
        <v>0</v>
      </c>
      <c r="L24" s="272">
        <f>SUM(L15:L23)</f>
        <v>0</v>
      </c>
      <c r="M24" s="272">
        <f>SUM(M15:M23)</f>
        <v>0</v>
      </c>
      <c r="N24" s="118">
        <f t="shared" ref="N24:AI24" si="8">SUM(N15:N23)</f>
        <v>0</v>
      </c>
      <c r="O24" s="272">
        <f t="shared" si="8"/>
        <v>0</v>
      </c>
      <c r="P24" s="272">
        <f t="shared" si="8"/>
        <v>0</v>
      </c>
      <c r="Q24" s="272">
        <f t="shared" si="8"/>
        <v>0</v>
      </c>
      <c r="R24" s="118">
        <f t="shared" si="8"/>
        <v>8</v>
      </c>
      <c r="S24" s="272">
        <f t="shared" si="8"/>
        <v>0</v>
      </c>
      <c r="T24" s="272">
        <f t="shared" si="8"/>
        <v>0</v>
      </c>
      <c r="U24" s="272">
        <f t="shared" si="8"/>
        <v>0</v>
      </c>
      <c r="V24" s="118">
        <f t="shared" si="8"/>
        <v>6</v>
      </c>
      <c r="W24" s="272">
        <f t="shared" si="8"/>
        <v>0</v>
      </c>
      <c r="X24" s="272">
        <f t="shared" si="8"/>
        <v>0</v>
      </c>
      <c r="Y24" s="272">
        <f t="shared" si="8"/>
        <v>0</v>
      </c>
      <c r="Z24" s="118">
        <f t="shared" si="8"/>
        <v>0</v>
      </c>
      <c r="AA24" s="272">
        <f t="shared" si="8"/>
        <v>0</v>
      </c>
      <c r="AB24" s="272">
        <f t="shared" si="8"/>
        <v>0</v>
      </c>
      <c r="AC24" s="272">
        <f t="shared" si="8"/>
        <v>0</v>
      </c>
      <c r="AD24" s="118">
        <f t="shared" si="8"/>
        <v>0</v>
      </c>
      <c r="AE24" s="272">
        <f t="shared" si="8"/>
        <v>0</v>
      </c>
      <c r="AF24" s="272">
        <f t="shared" si="8"/>
        <v>0</v>
      </c>
      <c r="AG24" s="272">
        <f t="shared" si="8"/>
        <v>0</v>
      </c>
      <c r="AH24" s="118">
        <f t="shared" si="8"/>
        <v>14</v>
      </c>
      <c r="AI24" s="272">
        <f t="shared" si="8"/>
        <v>0</v>
      </c>
      <c r="AJ24" s="272">
        <f>SUM(AJ15:AJ23)</f>
        <v>0</v>
      </c>
      <c r="AK24" s="695">
        <f>SUM(AK15:AK23)</f>
        <v>0</v>
      </c>
      <c r="AL24" s="118">
        <f t="shared" ref="AL24:BC24" si="9">SUM(AL15:AL23)</f>
        <v>0</v>
      </c>
      <c r="AM24" s="272">
        <f t="shared" si="9"/>
        <v>0</v>
      </c>
      <c r="AN24" s="272">
        <f t="shared" si="9"/>
        <v>0</v>
      </c>
      <c r="AO24" s="272">
        <f t="shared" si="9"/>
        <v>0</v>
      </c>
      <c r="AP24" s="118">
        <f t="shared" si="9"/>
        <v>0</v>
      </c>
      <c r="AQ24" s="272">
        <f t="shared" si="9"/>
        <v>0</v>
      </c>
      <c r="AR24" s="272">
        <f t="shared" si="9"/>
        <v>0</v>
      </c>
      <c r="AS24" s="272">
        <f t="shared" si="9"/>
        <v>0</v>
      </c>
      <c r="AT24" s="118">
        <f t="shared" si="9"/>
        <v>0</v>
      </c>
      <c r="AU24" s="272">
        <f t="shared" si="9"/>
        <v>0</v>
      </c>
      <c r="AV24" s="272">
        <f t="shared" si="9"/>
        <v>0</v>
      </c>
      <c r="AW24" s="272">
        <f t="shared" si="9"/>
        <v>0</v>
      </c>
      <c r="AX24" s="118">
        <f t="shared" si="9"/>
        <v>0</v>
      </c>
      <c r="AY24" s="272">
        <f t="shared" si="9"/>
        <v>0</v>
      </c>
      <c r="AZ24" s="272">
        <f t="shared" si="9"/>
        <v>0</v>
      </c>
      <c r="BA24" s="272">
        <f t="shared" si="9"/>
        <v>0</v>
      </c>
      <c r="BB24" s="118">
        <f t="shared" si="9"/>
        <v>0</v>
      </c>
      <c r="BC24" s="272">
        <f t="shared" si="9"/>
        <v>0</v>
      </c>
      <c r="BD24" s="272">
        <f>SUM(BD15:BD23)</f>
        <v>0</v>
      </c>
      <c r="BE24" s="272">
        <f>SUM(BE15:BE23)</f>
        <v>0</v>
      </c>
      <c r="BF24" s="278">
        <f t="shared" si="7"/>
        <v>14</v>
      </c>
      <c r="BG24" s="279">
        <f t="shared" si="7"/>
        <v>0</v>
      </c>
      <c r="BH24" s="279">
        <f t="shared" si="7"/>
        <v>0</v>
      </c>
      <c r="BI24" s="705">
        <f t="shared" si="7"/>
        <v>0</v>
      </c>
      <c r="BJ24" s="1059"/>
    </row>
    <row r="25" spans="3:62" s="119" customFormat="1" ht="9" customHeight="1" thickBot="1">
      <c r="C25" s="121"/>
      <c r="D25" s="121"/>
      <c r="E25" s="121"/>
      <c r="F25" s="121"/>
      <c r="H25" s="122"/>
      <c r="I25" s="122"/>
      <c r="J25" s="125"/>
      <c r="K25" s="126"/>
      <c r="L25" s="126"/>
      <c r="M25" s="126"/>
      <c r="N25" s="125"/>
      <c r="O25" s="126"/>
      <c r="P25" s="126"/>
      <c r="Q25" s="126"/>
      <c r="R25" s="125"/>
      <c r="S25" s="126"/>
      <c r="T25" s="126"/>
      <c r="U25" s="126"/>
      <c r="V25" s="125"/>
      <c r="W25" s="126"/>
      <c r="X25" s="126"/>
      <c r="Y25" s="126"/>
      <c r="Z25" s="125"/>
      <c r="AA25" s="126"/>
      <c r="AB25" s="126"/>
      <c r="AC25" s="126"/>
      <c r="AD25" s="125"/>
      <c r="AE25" s="126"/>
      <c r="AF25" s="126"/>
      <c r="AG25" s="126"/>
      <c r="AH25" s="125"/>
      <c r="AI25" s="126"/>
      <c r="AJ25" s="126"/>
      <c r="AK25" s="126"/>
      <c r="AL25" s="125"/>
      <c r="AM25" s="126"/>
      <c r="AN25" s="126"/>
      <c r="AO25" s="126"/>
      <c r="AP25" s="125"/>
      <c r="AQ25" s="126"/>
      <c r="AR25" s="126"/>
      <c r="AS25" s="126"/>
      <c r="AT25" s="125"/>
      <c r="AU25" s="126"/>
      <c r="AV25" s="126"/>
      <c r="AW25" s="126"/>
      <c r="AX25" s="125"/>
      <c r="AY25" s="126"/>
      <c r="AZ25" s="126"/>
      <c r="BA25" s="126"/>
      <c r="BB25" s="125"/>
      <c r="BC25" s="126"/>
      <c r="BD25" s="126"/>
      <c r="BE25" s="126"/>
      <c r="BF25" s="125"/>
      <c r="BG25" s="126"/>
      <c r="BJ25" s="1060"/>
    </row>
    <row r="26" spans="3:62" s="28" customFormat="1" ht="26.25" customHeight="1" thickBot="1">
      <c r="D26" s="29"/>
      <c r="E26" s="29"/>
      <c r="F26" s="29"/>
      <c r="H26" s="1893" t="s">
        <v>49</v>
      </c>
      <c r="I26" s="1894"/>
      <c r="J26" s="123">
        <f t="shared" ref="J26:BI26" si="10">J10+J24</f>
        <v>35</v>
      </c>
      <c r="K26" s="280">
        <f t="shared" si="10"/>
        <v>25</v>
      </c>
      <c r="L26" s="280">
        <f>L10+L24</f>
        <v>0</v>
      </c>
      <c r="M26" s="280">
        <f>M10+M24</f>
        <v>0</v>
      </c>
      <c r="N26" s="123">
        <f t="shared" ref="N26:O26" si="11">N10+N24</f>
        <v>15</v>
      </c>
      <c r="O26" s="280">
        <f t="shared" si="11"/>
        <v>0</v>
      </c>
      <c r="P26" s="280">
        <f>P10+P24</f>
        <v>0</v>
      </c>
      <c r="Q26" s="280">
        <f>Q10+Q24</f>
        <v>0</v>
      </c>
      <c r="R26" s="123">
        <f t="shared" ref="R26:S26" si="12">R10+R24</f>
        <v>8</v>
      </c>
      <c r="S26" s="280">
        <f t="shared" si="12"/>
        <v>0</v>
      </c>
      <c r="T26" s="280">
        <f>T10+T24</f>
        <v>0</v>
      </c>
      <c r="U26" s="280">
        <f>U10+U24</f>
        <v>0</v>
      </c>
      <c r="V26" s="123">
        <f t="shared" ref="V26:W26" si="13">V10+V24</f>
        <v>11</v>
      </c>
      <c r="W26" s="280">
        <f t="shared" si="13"/>
        <v>7.5</v>
      </c>
      <c r="X26" s="280">
        <f>X10+X24</f>
        <v>7.5</v>
      </c>
      <c r="Y26" s="280">
        <f>Y10+Y24</f>
        <v>0</v>
      </c>
      <c r="Z26" s="123">
        <f t="shared" ref="Z26:AA26" si="14">Z10+Z24</f>
        <v>2</v>
      </c>
      <c r="AA26" s="280">
        <f t="shared" si="14"/>
        <v>0</v>
      </c>
      <c r="AB26" s="280">
        <f>AB10+AB24</f>
        <v>0</v>
      </c>
      <c r="AC26" s="280">
        <f>AC10+AC24</f>
        <v>0</v>
      </c>
      <c r="AD26" s="123">
        <f t="shared" ref="AD26:AE26" si="15">AD10+AD24</f>
        <v>15</v>
      </c>
      <c r="AE26" s="280">
        <f t="shared" si="15"/>
        <v>8</v>
      </c>
      <c r="AF26" s="280">
        <f>AF10+AF24</f>
        <v>8</v>
      </c>
      <c r="AG26" s="280">
        <f>AG10+AG24</f>
        <v>0</v>
      </c>
      <c r="AH26" s="127">
        <f t="shared" ref="AH26:AI26" si="16">AH10+AH24</f>
        <v>86</v>
      </c>
      <c r="AI26" s="280">
        <f t="shared" si="16"/>
        <v>40.5</v>
      </c>
      <c r="AJ26" s="697">
        <f>AJ10+AJ24</f>
        <v>15.5</v>
      </c>
      <c r="AK26" s="696">
        <f>AK10+AK24</f>
        <v>0</v>
      </c>
      <c r="AL26" s="123">
        <f t="shared" ref="AL26:AM26" si="17">AL10+AL24</f>
        <v>11</v>
      </c>
      <c r="AM26" s="280">
        <f t="shared" si="17"/>
        <v>11</v>
      </c>
      <c r="AN26" s="280">
        <f>AN10+AN24</f>
        <v>11</v>
      </c>
      <c r="AO26" s="280">
        <f>AO10+AO24</f>
        <v>0</v>
      </c>
      <c r="AP26" s="123">
        <f t="shared" ref="AP26:AQ26" si="18">AP10+AP24</f>
        <v>5</v>
      </c>
      <c r="AQ26" s="280">
        <f t="shared" si="18"/>
        <v>0</v>
      </c>
      <c r="AR26" s="280">
        <f>AR10+AR24</f>
        <v>0</v>
      </c>
      <c r="AS26" s="280">
        <f>AS10+AS24</f>
        <v>0</v>
      </c>
      <c r="AT26" s="123">
        <f t="shared" ref="AT26:AU26" si="19">AT10+AT24</f>
        <v>10</v>
      </c>
      <c r="AU26" s="280">
        <f t="shared" si="19"/>
        <v>3.1</v>
      </c>
      <c r="AV26" s="280">
        <f>AV10+AV24</f>
        <v>3.1</v>
      </c>
      <c r="AW26" s="280">
        <f>AW10+AW24</f>
        <v>0</v>
      </c>
      <c r="AX26" s="123">
        <f t="shared" ref="AX26:AY26" si="20">AX10+AX24</f>
        <v>4</v>
      </c>
      <c r="AY26" s="280">
        <f t="shared" si="20"/>
        <v>0</v>
      </c>
      <c r="AZ26" s="280">
        <f>AZ10+AZ24</f>
        <v>0</v>
      </c>
      <c r="BA26" s="280">
        <f>BA10+BA24</f>
        <v>0</v>
      </c>
      <c r="BB26" s="127">
        <f t="shared" ref="BB26:BC26" si="21">BB10+BB24</f>
        <v>30</v>
      </c>
      <c r="BC26" s="280">
        <f t="shared" si="21"/>
        <v>14.1</v>
      </c>
      <c r="BD26" s="697">
        <f>BD10+BD24</f>
        <v>14.1</v>
      </c>
      <c r="BE26" s="697">
        <f>BE10+BE24</f>
        <v>0</v>
      </c>
      <c r="BF26" s="124">
        <f>BF10+BF24</f>
        <v>116</v>
      </c>
      <c r="BG26" s="707">
        <f t="shared" si="10"/>
        <v>54.6</v>
      </c>
      <c r="BH26" s="706">
        <f t="shared" si="10"/>
        <v>29.6</v>
      </c>
      <c r="BI26" s="284">
        <f t="shared" si="10"/>
        <v>0</v>
      </c>
      <c r="BJ26" s="1059"/>
    </row>
    <row r="27" spans="3:62" ht="21" customHeight="1">
      <c r="H27" s="320"/>
      <c r="I27" s="320"/>
      <c r="J27" s="321"/>
      <c r="K27" s="321"/>
      <c r="L27" s="321"/>
      <c r="M27" s="321"/>
      <c r="N27" s="321"/>
      <c r="O27" s="321"/>
      <c r="P27" s="321"/>
      <c r="Q27" s="321"/>
      <c r="R27" s="321"/>
      <c r="S27" s="321"/>
      <c r="T27" s="321"/>
      <c r="U27" s="321"/>
      <c r="V27" s="321"/>
      <c r="W27" s="321"/>
      <c r="X27" s="323"/>
      <c r="Y27" s="323"/>
      <c r="Z27" s="321"/>
      <c r="AA27" s="321"/>
      <c r="AB27" s="323"/>
      <c r="AC27" s="323"/>
      <c r="AD27" s="321"/>
      <c r="AE27" s="321"/>
      <c r="AF27" s="321"/>
      <c r="AG27" s="321"/>
      <c r="AH27" s="321"/>
      <c r="AI27" s="321"/>
      <c r="AJ27" s="321"/>
      <c r="AK27" s="321"/>
      <c r="AL27" s="321"/>
      <c r="AM27" s="321"/>
      <c r="AN27" s="321"/>
      <c r="AO27" s="321"/>
      <c r="AP27" s="321"/>
      <c r="AQ27" s="321"/>
      <c r="AR27" s="321"/>
      <c r="AS27" s="321"/>
      <c r="AT27" s="321"/>
      <c r="AU27" s="321"/>
      <c r="AV27" s="321"/>
      <c r="AW27" s="321"/>
      <c r="AX27" s="321"/>
      <c r="AY27" s="321"/>
      <c r="AZ27" s="321"/>
      <c r="BA27" s="321"/>
      <c r="BB27" s="335"/>
      <c r="BC27" s="1918">
        <f>SUM(I27:AZ29)</f>
        <v>0</v>
      </c>
      <c r="BD27" s="335"/>
      <c r="BE27" s="335"/>
      <c r="BF27" s="335"/>
      <c r="BG27" s="335"/>
      <c r="BH27" s="1917">
        <f>BH26+BI26</f>
        <v>29.6</v>
      </c>
      <c r="BI27" s="1917"/>
    </row>
    <row r="28" spans="3:62" ht="21" customHeight="1">
      <c r="H28" s="320"/>
      <c r="I28" s="320"/>
      <c r="J28" s="322"/>
      <c r="K28" s="323"/>
      <c r="L28" s="323"/>
      <c r="M28" s="323"/>
      <c r="N28" s="322"/>
      <c r="O28" s="323"/>
      <c r="P28" s="323"/>
      <c r="Q28" s="323"/>
      <c r="R28" s="322"/>
      <c r="S28" s="323"/>
      <c r="T28" s="323"/>
      <c r="U28" s="323"/>
      <c r="V28" s="321"/>
      <c r="W28" s="323"/>
      <c r="X28" s="323"/>
      <c r="Y28" s="323"/>
      <c r="Z28" s="322"/>
      <c r="AA28" s="323"/>
      <c r="AB28" s="323"/>
      <c r="AC28" s="323"/>
      <c r="AD28" s="322"/>
      <c r="AE28" s="323"/>
      <c r="AF28" s="323"/>
      <c r="AG28" s="322"/>
      <c r="AH28" s="322"/>
      <c r="AI28" s="323"/>
      <c r="AJ28" s="323"/>
      <c r="AK28" s="323"/>
      <c r="AL28" s="321"/>
      <c r="AM28" s="323"/>
      <c r="AN28" s="622"/>
      <c r="AO28" s="622"/>
      <c r="AP28" s="321"/>
      <c r="AQ28" s="323"/>
      <c r="AR28" s="323"/>
      <c r="AS28" s="323"/>
      <c r="AT28" s="322"/>
      <c r="AU28" s="323"/>
      <c r="AV28" s="323"/>
      <c r="AW28" s="323"/>
      <c r="AX28" s="322"/>
      <c r="AY28" s="468"/>
      <c r="AZ28" s="468"/>
      <c r="BA28" s="468"/>
      <c r="BB28" s="392"/>
      <c r="BC28" s="1919"/>
      <c r="BD28" s="434"/>
      <c r="BE28" s="434"/>
      <c r="BF28" s="435"/>
      <c r="BG28" s="434"/>
      <c r="BH28" s="726"/>
      <c r="BI28" s="434"/>
    </row>
    <row r="29" spans="3:62" ht="23.25">
      <c r="H29" s="320"/>
      <c r="I29" s="320"/>
      <c r="J29" s="322"/>
      <c r="K29" s="323"/>
      <c r="L29" s="323"/>
      <c r="M29" s="323"/>
      <c r="N29" s="322"/>
      <c r="O29" s="323"/>
      <c r="P29" s="323"/>
      <c r="Q29" s="323"/>
      <c r="R29" s="322"/>
      <c r="S29" s="323"/>
      <c r="T29" s="323"/>
      <c r="U29" s="323"/>
      <c r="V29" s="322"/>
      <c r="W29" s="323"/>
      <c r="X29" s="323"/>
      <c r="Y29" s="323"/>
      <c r="Z29" s="322"/>
      <c r="AA29" s="323"/>
      <c r="AB29" s="323"/>
      <c r="AC29" s="323"/>
      <c r="AD29" s="322"/>
      <c r="AE29" s="323"/>
      <c r="AF29" s="688"/>
      <c r="AG29" s="688"/>
      <c r="AH29" s="322"/>
      <c r="AI29" s="322"/>
      <c r="AJ29" s="323"/>
      <c r="AK29" s="323"/>
      <c r="AL29" s="321"/>
      <c r="AM29" s="323"/>
      <c r="AN29" s="321"/>
      <c r="AO29" s="321"/>
      <c r="AP29" s="322"/>
      <c r="AQ29" s="323"/>
      <c r="AR29" s="323"/>
      <c r="AS29" s="323"/>
      <c r="AT29" s="322"/>
      <c r="AU29" s="323"/>
      <c r="AV29" s="323"/>
      <c r="AW29" s="323"/>
      <c r="AX29" s="322"/>
      <c r="AY29" s="468"/>
      <c r="AZ29" s="468"/>
      <c r="BA29" s="468"/>
      <c r="BB29" s="392"/>
      <c r="BC29" s="434"/>
      <c r="BD29" s="434"/>
      <c r="BE29" s="434"/>
      <c r="BF29" s="435"/>
      <c r="BG29" s="434"/>
      <c r="BH29" s="682"/>
      <c r="BI29" s="434"/>
    </row>
    <row r="30" spans="3:62" s="464" customFormat="1" ht="21.75" thickBot="1">
      <c r="D30" s="576"/>
      <c r="E30" s="576"/>
      <c r="F30" s="576"/>
      <c r="I30" s="577"/>
      <c r="J30" s="578"/>
      <c r="K30" s="579"/>
      <c r="L30" s="579"/>
      <c r="M30" s="579"/>
      <c r="N30" s="578"/>
      <c r="O30" s="579"/>
      <c r="P30" s="579"/>
      <c r="Q30" s="579"/>
      <c r="R30" s="578"/>
      <c r="S30" s="579"/>
      <c r="T30" s="579"/>
      <c r="U30" s="579"/>
      <c r="V30" s="578"/>
      <c r="W30" s="578"/>
      <c r="X30" s="579"/>
      <c r="Y30" s="579"/>
      <c r="Z30" s="579"/>
      <c r="AA30" s="578"/>
      <c r="AB30" s="579"/>
      <c r="AC30" s="579"/>
      <c r="AD30" s="579"/>
      <c r="AE30" s="578"/>
      <c r="AF30" s="579"/>
      <c r="AG30" s="579"/>
      <c r="AH30" s="621"/>
      <c r="AI30" s="578"/>
      <c r="AJ30" s="579"/>
      <c r="AK30" s="579"/>
      <c r="AM30" s="580"/>
      <c r="AN30" s="579"/>
      <c r="AO30" s="579"/>
      <c r="AP30" s="579"/>
      <c r="AQ30" s="578"/>
      <c r="AR30" s="579"/>
      <c r="AS30" s="579"/>
      <c r="AT30" s="579"/>
      <c r="AU30" s="578"/>
      <c r="AV30" s="579"/>
      <c r="AW30" s="579"/>
      <c r="AZ30" s="581"/>
      <c r="BA30" s="581"/>
      <c r="BB30" s="581"/>
      <c r="BC30" s="582"/>
      <c r="BD30" s="583"/>
      <c r="BE30" s="583"/>
      <c r="BF30" s="583"/>
      <c r="BG30" s="584"/>
      <c r="BH30" s="583"/>
      <c r="BI30" s="585"/>
      <c r="BJ30" s="1061"/>
    </row>
    <row r="31" spans="3:62" ht="35.25" customHeight="1" thickBot="1">
      <c r="L31" s="1929" t="s">
        <v>375</v>
      </c>
      <c r="M31" s="1930"/>
      <c r="N31" s="1930"/>
      <c r="O31" s="1930"/>
      <c r="P31" s="1930"/>
      <c r="Q31" s="1930"/>
      <c r="R31" s="1930"/>
      <c r="S31" s="1931"/>
      <c r="T31" s="579"/>
      <c r="U31" s="579"/>
      <c r="V31" s="1929" t="s">
        <v>204</v>
      </c>
      <c r="W31" s="1930"/>
      <c r="X31" s="1930"/>
      <c r="Y31" s="1930"/>
      <c r="Z31" s="1930"/>
      <c r="AA31" s="1930"/>
      <c r="AB31" s="1930"/>
      <c r="AC31" s="1935"/>
      <c r="AD31" s="1936"/>
      <c r="AE31" s="579"/>
      <c r="AF31" s="579"/>
      <c r="AG31" s="26"/>
      <c r="AH31" s="24"/>
      <c r="AJ31" s="685"/>
      <c r="AL31" s="24"/>
      <c r="AM31" s="599"/>
      <c r="AN31" s="1014"/>
      <c r="AP31" s="24"/>
      <c r="AS31" s="26"/>
      <c r="AT31" s="24"/>
      <c r="AX31" s="24"/>
      <c r="AY31" s="25"/>
      <c r="AZ31" s="25"/>
      <c r="BA31" s="24"/>
      <c r="BB31" s="24"/>
      <c r="BE31" s="23"/>
      <c r="BF31" s="23"/>
      <c r="BG31" s="23"/>
    </row>
    <row r="32" spans="3:62" s="24" customFormat="1" ht="28.5" customHeight="1" thickBot="1">
      <c r="C32" s="23"/>
      <c r="D32" s="27"/>
      <c r="E32" s="27"/>
      <c r="F32" s="27"/>
      <c r="G32" s="23"/>
      <c r="H32" s="23"/>
      <c r="I32" s="27"/>
      <c r="L32" s="450" t="s">
        <v>0</v>
      </c>
      <c r="M32" s="439" t="s">
        <v>200</v>
      </c>
      <c r="N32" s="454" t="s">
        <v>205</v>
      </c>
      <c r="O32" s="439" t="s">
        <v>31</v>
      </c>
      <c r="P32" s="448" t="s">
        <v>201</v>
      </c>
      <c r="Q32" s="455" t="s">
        <v>206</v>
      </c>
      <c r="R32" s="436" t="s">
        <v>22</v>
      </c>
      <c r="S32" s="438" t="s">
        <v>191</v>
      </c>
      <c r="T32" s="579"/>
      <c r="U32" s="579"/>
      <c r="V32" s="571" t="s">
        <v>0</v>
      </c>
      <c r="W32" s="572" t="s">
        <v>200</v>
      </c>
      <c r="X32" s="623" t="s">
        <v>205</v>
      </c>
      <c r="Y32" s="572" t="s">
        <v>31</v>
      </c>
      <c r="Z32" s="573" t="s">
        <v>201</v>
      </c>
      <c r="AA32" s="574" t="s">
        <v>206</v>
      </c>
      <c r="AB32" s="717" t="s">
        <v>22</v>
      </c>
      <c r="AC32" s="721" t="s">
        <v>191</v>
      </c>
      <c r="AD32" s="722" t="s">
        <v>226</v>
      </c>
      <c r="AE32" s="579"/>
      <c r="AF32" s="579"/>
      <c r="AG32" s="599"/>
      <c r="AI32" s="599"/>
      <c r="AM32" s="599"/>
      <c r="AN32" s="1014"/>
      <c r="AT32" s="25"/>
      <c r="AU32" s="25"/>
      <c r="AW32" s="23"/>
      <c r="AX32" s="23"/>
      <c r="BJ32" s="1062"/>
    </row>
    <row r="33" spans="1:62" ht="23.25">
      <c r="L33" s="441" t="s">
        <v>189</v>
      </c>
      <c r="M33" s="470">
        <f>$J$6</f>
        <v>30</v>
      </c>
      <c r="N33" s="430">
        <f>$J9</f>
        <v>0</v>
      </c>
      <c r="O33" s="430">
        <f>$J7</f>
        <v>0</v>
      </c>
      <c r="P33" s="430">
        <f>$J8</f>
        <v>5</v>
      </c>
      <c r="Q33" s="430">
        <f>J15+J16+J17+J18+J19+J21+J22+J23</f>
        <v>0</v>
      </c>
      <c r="R33" s="430">
        <f>$J20</f>
        <v>0</v>
      </c>
      <c r="S33" s="446">
        <f t="shared" ref="S33:S42" si="22">SUM(M33:R33)</f>
        <v>35</v>
      </c>
      <c r="T33" s="579"/>
      <c r="U33" s="579"/>
      <c r="V33" s="447" t="s">
        <v>189</v>
      </c>
      <c r="W33" s="569">
        <f>L$6</f>
        <v>0</v>
      </c>
      <c r="X33" s="570">
        <f>$L9</f>
        <v>0</v>
      </c>
      <c r="Y33" s="570">
        <f>$L7</f>
        <v>0</v>
      </c>
      <c r="Z33" s="570">
        <f>$L8</f>
        <v>0</v>
      </c>
      <c r="AA33" s="570">
        <f>L$15+L$16+L$17+L$18+L$19+L$21+L$22+L$23</f>
        <v>0</v>
      </c>
      <c r="AB33" s="718">
        <f>$L20</f>
        <v>0</v>
      </c>
      <c r="AC33" s="723">
        <f t="shared" ref="AC33:AC42" si="23">SUM(W33:AB33)</f>
        <v>0</v>
      </c>
      <c r="AD33" s="587">
        <f>M6+M7+M8++M9+M15+M16+M17+M18+M19+M21+M20+M22+M23</f>
        <v>0</v>
      </c>
      <c r="AE33" s="579">
        <f>AC33+AD33</f>
        <v>0</v>
      </c>
      <c r="AF33" s="579"/>
      <c r="AG33" s="599"/>
      <c r="AH33" s="599"/>
      <c r="AI33" s="599"/>
      <c r="AL33" s="24"/>
      <c r="AN33" s="26"/>
      <c r="AP33" s="24"/>
      <c r="AT33" s="25"/>
      <c r="AU33" s="25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</row>
    <row r="34" spans="1:62" s="24" customFormat="1" ht="23.25">
      <c r="A34" s="23"/>
      <c r="B34" s="23"/>
      <c r="C34" s="23"/>
      <c r="D34" s="27"/>
      <c r="E34" s="27"/>
      <c r="F34" s="27"/>
      <c r="G34" s="23"/>
      <c r="H34" s="23"/>
      <c r="I34" s="27"/>
      <c r="L34" s="441" t="s">
        <v>183</v>
      </c>
      <c r="M34" s="470">
        <f>$N$6</f>
        <v>12</v>
      </c>
      <c r="N34" s="430">
        <f>$N9</f>
        <v>3</v>
      </c>
      <c r="O34" s="430">
        <f>$N7</f>
        <v>0</v>
      </c>
      <c r="P34" s="430">
        <f>$N8</f>
        <v>0</v>
      </c>
      <c r="Q34" s="430">
        <f>N15+N16+N17+N18+N19+N21+N22+N23</f>
        <v>0</v>
      </c>
      <c r="R34" s="430">
        <f>$N20</f>
        <v>0</v>
      </c>
      <c r="S34" s="446">
        <f t="shared" si="22"/>
        <v>15</v>
      </c>
      <c r="T34" s="686"/>
      <c r="U34" s="26"/>
      <c r="V34" s="441" t="s">
        <v>183</v>
      </c>
      <c r="W34" s="440">
        <f>P$6</f>
        <v>0</v>
      </c>
      <c r="X34" s="430">
        <f>$P9</f>
        <v>0</v>
      </c>
      <c r="Y34" s="430">
        <f>$P7</f>
        <v>0</v>
      </c>
      <c r="Z34" s="430">
        <f>$P8</f>
        <v>0</v>
      </c>
      <c r="AA34" s="430">
        <f>P$15+P$16+P$17+P$18+P$19+P$21+P$22+P$23</f>
        <v>0</v>
      </c>
      <c r="AB34" s="719">
        <f>$P20</f>
        <v>0</v>
      </c>
      <c r="AC34" s="723">
        <f t="shared" si="23"/>
        <v>0</v>
      </c>
      <c r="AD34" s="587">
        <f>Q6+Q7+Q8+Q9+Q15+Q16+Q17+Q18+Q19+Q20+Q21+Q22+Q23</f>
        <v>0</v>
      </c>
      <c r="AE34" s="579">
        <f t="shared" ref="AE34:AE43" si="24">AC34+AD34</f>
        <v>0</v>
      </c>
      <c r="AG34" s="599"/>
      <c r="AH34" s="599"/>
      <c r="AI34" s="599"/>
      <c r="AN34" s="26"/>
      <c r="AT34" s="25"/>
      <c r="AU34" s="25"/>
      <c r="BJ34" s="1062"/>
    </row>
    <row r="35" spans="1:62" ht="23.25">
      <c r="L35" s="441" t="s">
        <v>184</v>
      </c>
      <c r="M35" s="470">
        <f>$R$6</f>
        <v>0</v>
      </c>
      <c r="N35" s="430">
        <f>$R9</f>
        <v>0</v>
      </c>
      <c r="O35" s="430">
        <f>$R7</f>
        <v>0</v>
      </c>
      <c r="P35" s="430">
        <f>$R8</f>
        <v>0</v>
      </c>
      <c r="Q35" s="430">
        <f>R15+R16+R17+R18+R19+R21+R22+R23</f>
        <v>8</v>
      </c>
      <c r="R35" s="430">
        <f>$R20</f>
        <v>0</v>
      </c>
      <c r="S35" s="446">
        <f t="shared" si="22"/>
        <v>8</v>
      </c>
      <c r="T35" s="686"/>
      <c r="U35" s="26"/>
      <c r="V35" s="441" t="s">
        <v>184</v>
      </c>
      <c r="W35" s="440">
        <f>T$6</f>
        <v>0</v>
      </c>
      <c r="X35" s="430">
        <f>$T9</f>
        <v>0</v>
      </c>
      <c r="Y35" s="430">
        <f>$T7</f>
        <v>0</v>
      </c>
      <c r="Z35" s="430">
        <f>$T8</f>
        <v>0</v>
      </c>
      <c r="AA35" s="430">
        <f>T$15+T$16+T$17+T$18+T$19+T$21+T$22+T$23</f>
        <v>0</v>
      </c>
      <c r="AB35" s="719">
        <f>$T20</f>
        <v>0</v>
      </c>
      <c r="AC35" s="723">
        <f t="shared" si="23"/>
        <v>0</v>
      </c>
      <c r="AD35" s="587">
        <f>U6+U7+U8+U9+U15+U16+U17+U18+U19+U20+U21+U22+U23</f>
        <v>0</v>
      </c>
      <c r="AE35" s="579">
        <f t="shared" si="24"/>
        <v>0</v>
      </c>
      <c r="AF35" s="26"/>
      <c r="AG35" s="599"/>
      <c r="AH35" s="599"/>
      <c r="AI35" s="599"/>
      <c r="AL35" s="24"/>
      <c r="AN35" s="26"/>
      <c r="AP35" s="24"/>
      <c r="AT35" s="25"/>
      <c r="AU35" s="25"/>
      <c r="AX35" s="23"/>
      <c r="AY35" s="23"/>
      <c r="AZ35" s="23"/>
      <c r="BA35" s="23"/>
      <c r="BB35" s="23"/>
      <c r="BC35" s="23"/>
      <c r="BD35" s="23"/>
      <c r="BE35" s="23"/>
      <c r="BF35" s="23"/>
      <c r="BG35" s="23"/>
    </row>
    <row r="36" spans="1:62" ht="23.25">
      <c r="L36" s="441" t="s">
        <v>170</v>
      </c>
      <c r="M36" s="470">
        <f>$V$6</f>
        <v>2</v>
      </c>
      <c r="N36" s="430">
        <f>$V9</f>
        <v>3</v>
      </c>
      <c r="O36" s="430">
        <f>$V7</f>
        <v>0</v>
      </c>
      <c r="P36" s="430">
        <f>$V8</f>
        <v>0</v>
      </c>
      <c r="Q36" s="430">
        <f>V15+V16+V17+V18+V19+V21++V22+V23</f>
        <v>6</v>
      </c>
      <c r="R36" s="430">
        <f>$V20</f>
        <v>0</v>
      </c>
      <c r="S36" s="446">
        <f t="shared" si="22"/>
        <v>11</v>
      </c>
      <c r="T36" s="686"/>
      <c r="U36" s="26"/>
      <c r="V36" s="441" t="s">
        <v>170</v>
      </c>
      <c r="W36" s="440">
        <f>X$6</f>
        <v>6</v>
      </c>
      <c r="X36" s="430">
        <f>$X9</f>
        <v>1.5</v>
      </c>
      <c r="Y36" s="430">
        <f>$X7</f>
        <v>0</v>
      </c>
      <c r="Z36" s="430">
        <f>$X8</f>
        <v>0</v>
      </c>
      <c r="AA36" s="430">
        <f>X$15+X$16+X$17+X$18+X$19+X$21+X$22+X$23</f>
        <v>0</v>
      </c>
      <c r="AB36" s="719">
        <f>$X20</f>
        <v>0</v>
      </c>
      <c r="AC36" s="723">
        <f t="shared" si="23"/>
        <v>7.5</v>
      </c>
      <c r="AD36" s="587">
        <f>Y6+Y7+Y8+Y9+Y15+Y16+Y17+Y18+Y19+Y20+Y21+Y22+Y23</f>
        <v>0</v>
      </c>
      <c r="AE36" s="579">
        <f t="shared" si="24"/>
        <v>7.5</v>
      </c>
      <c r="AF36" s="26"/>
      <c r="AG36" s="599"/>
      <c r="AH36" s="599"/>
      <c r="AI36" s="599"/>
      <c r="AL36" s="24"/>
      <c r="AN36" s="26"/>
      <c r="AP36" s="24"/>
      <c r="AT36" s="25"/>
      <c r="AU36" s="25"/>
      <c r="AX36" s="23"/>
      <c r="AY36" s="23"/>
      <c r="AZ36" s="23"/>
      <c r="BA36" s="23"/>
      <c r="BB36" s="23"/>
      <c r="BC36" s="23"/>
      <c r="BD36" s="23"/>
      <c r="BE36" s="23"/>
      <c r="BF36" s="23"/>
      <c r="BG36" s="23"/>
    </row>
    <row r="37" spans="1:62" ht="23.25">
      <c r="L37" s="441" t="s">
        <v>171</v>
      </c>
      <c r="M37" s="470">
        <f>$Z$6</f>
        <v>0</v>
      </c>
      <c r="N37" s="430">
        <f>$Z9</f>
        <v>2</v>
      </c>
      <c r="O37" s="430">
        <f>$Z7</f>
        <v>0</v>
      </c>
      <c r="P37" s="430">
        <f>$Z8</f>
        <v>0</v>
      </c>
      <c r="Q37" s="430">
        <f>Z15+Z16+Z17+Z18+Z19+Z21+Z22+Z23</f>
        <v>0</v>
      </c>
      <c r="R37" s="430">
        <f>$Z20</f>
        <v>0</v>
      </c>
      <c r="S37" s="446">
        <f t="shared" si="22"/>
        <v>2</v>
      </c>
      <c r="T37" s="686"/>
      <c r="U37" s="26"/>
      <c r="V37" s="441" t="s">
        <v>171</v>
      </c>
      <c r="W37" s="440">
        <f>AB6</f>
        <v>0</v>
      </c>
      <c r="X37" s="430">
        <f>$AB9</f>
        <v>0</v>
      </c>
      <c r="Y37" s="430">
        <f>$AB7</f>
        <v>0</v>
      </c>
      <c r="Z37" s="430">
        <f>$AB8</f>
        <v>0</v>
      </c>
      <c r="AA37" s="430">
        <f>AB$15+AB$16+AB$17+AB$18+AB$19+AB$21+AB$22+AB$23</f>
        <v>0</v>
      </c>
      <c r="AB37" s="719">
        <f>$AB20</f>
        <v>0</v>
      </c>
      <c r="AC37" s="723">
        <f t="shared" si="23"/>
        <v>0</v>
      </c>
      <c r="AD37" s="587">
        <f>AC6+AC7+AC8+AC9+AC15+AC17+AC16+AC18+AC19+AC20+AC21+AC22+AC23</f>
        <v>0</v>
      </c>
      <c r="AE37" s="579">
        <f t="shared" si="24"/>
        <v>0</v>
      </c>
      <c r="AF37" s="26"/>
      <c r="AG37" s="26"/>
      <c r="AI37" s="26"/>
      <c r="AJ37" s="26"/>
      <c r="AK37" s="26"/>
      <c r="AL37" s="24"/>
      <c r="AN37" s="26"/>
      <c r="AP37" s="24"/>
      <c r="AT37" s="24"/>
      <c r="AX37" s="23"/>
      <c r="AY37" s="23"/>
      <c r="AZ37" s="23"/>
      <c r="BA37" s="23"/>
      <c r="BB37" s="23"/>
      <c r="BC37" s="23"/>
      <c r="BD37" s="23"/>
      <c r="BE37" s="23"/>
      <c r="BF37" s="23"/>
      <c r="BG37" s="23"/>
    </row>
    <row r="38" spans="1:62" ht="23.25">
      <c r="L38" s="441" t="s">
        <v>190</v>
      </c>
      <c r="M38" s="492">
        <f>$AD$6</f>
        <v>5</v>
      </c>
      <c r="N38" s="471">
        <f>$AD9</f>
        <v>0</v>
      </c>
      <c r="O38" s="471">
        <f>$AD7</f>
        <v>0</v>
      </c>
      <c r="P38" s="471">
        <f>$AD8</f>
        <v>10</v>
      </c>
      <c r="Q38" s="430">
        <f>AD15+AD16+AD17+AD18+AD19+AD21+AD22+AD23</f>
        <v>0</v>
      </c>
      <c r="R38" s="471">
        <f>$AD20</f>
        <v>0</v>
      </c>
      <c r="S38" s="446">
        <f t="shared" si="22"/>
        <v>15</v>
      </c>
      <c r="T38" s="686"/>
      <c r="U38" s="26"/>
      <c r="V38" s="441" t="s">
        <v>190</v>
      </c>
      <c r="W38" s="440">
        <f>AF$6</f>
        <v>8</v>
      </c>
      <c r="X38" s="430">
        <f>$AF9</f>
        <v>0</v>
      </c>
      <c r="Y38" s="430">
        <f>$AF7</f>
        <v>0</v>
      </c>
      <c r="Z38" s="430">
        <f>$AF8</f>
        <v>0</v>
      </c>
      <c r="AA38" s="430">
        <f>AF$15+AF$16+AF$17+AF$18+AF$19+AF$21+AF$22+AF$23</f>
        <v>0</v>
      </c>
      <c r="AB38" s="719">
        <f>$AF20</f>
        <v>0</v>
      </c>
      <c r="AC38" s="723">
        <f t="shared" si="23"/>
        <v>8</v>
      </c>
      <c r="AD38" s="587">
        <f>AG6+AG7+AG8+AG9+AG15+AG16+AG17+AG18+AG19+AG20+AG21+AG22+AG23</f>
        <v>0</v>
      </c>
      <c r="AE38" s="579">
        <f t="shared" si="24"/>
        <v>8</v>
      </c>
      <c r="AF38" s="26"/>
      <c r="AG38" s="26"/>
      <c r="AI38" s="26"/>
      <c r="AJ38" s="26"/>
      <c r="AK38" s="26"/>
      <c r="AL38" s="24"/>
      <c r="AN38" s="26"/>
      <c r="AP38" s="24"/>
      <c r="AT38" s="24"/>
      <c r="AX38" s="23"/>
      <c r="AY38" s="23"/>
      <c r="AZ38" s="23"/>
      <c r="BA38" s="23"/>
      <c r="BB38" s="23"/>
      <c r="BC38" s="23"/>
      <c r="BD38" s="23"/>
      <c r="BE38" s="23"/>
      <c r="BF38" s="23"/>
      <c r="BG38" s="23"/>
    </row>
    <row r="39" spans="1:62" ht="23.25">
      <c r="L39" s="441" t="s">
        <v>185</v>
      </c>
      <c r="M39" s="470">
        <f>$AL$6</f>
        <v>1</v>
      </c>
      <c r="N39" s="430">
        <f>$AL9</f>
        <v>0</v>
      </c>
      <c r="O39" s="430">
        <f>$AL7</f>
        <v>0</v>
      </c>
      <c r="P39" s="430">
        <f>$AL8</f>
        <v>10</v>
      </c>
      <c r="Q39" s="430">
        <f>AL15+AL16+AL17+AL18+AL19+AL21+AL22+AL23</f>
        <v>0</v>
      </c>
      <c r="R39" s="430">
        <f>$AL20</f>
        <v>0</v>
      </c>
      <c r="S39" s="446">
        <f t="shared" si="22"/>
        <v>11</v>
      </c>
      <c r="T39" s="686"/>
      <c r="U39" s="26"/>
      <c r="V39" s="441" t="s">
        <v>185</v>
      </c>
      <c r="W39" s="469">
        <f>AN$6</f>
        <v>10</v>
      </c>
      <c r="X39" s="430">
        <f>$AN9</f>
        <v>0</v>
      </c>
      <c r="Y39" s="430">
        <f>$AN7</f>
        <v>0</v>
      </c>
      <c r="Z39" s="430">
        <f>$AN8</f>
        <v>1</v>
      </c>
      <c r="AA39" s="430">
        <f>AN$15+AN$16+AN$17+AN$18+AN$19+AN$21+AN$22+AN$23</f>
        <v>0</v>
      </c>
      <c r="AB39" s="719">
        <f>$AN20</f>
        <v>0</v>
      </c>
      <c r="AC39" s="723">
        <f t="shared" si="23"/>
        <v>11</v>
      </c>
      <c r="AD39" s="587">
        <f>AO6+AO7+AO8+AO9+AO15+AO16+AO17+AO18+AO19+AO20+AO21+AO22+AO23</f>
        <v>0</v>
      </c>
      <c r="AE39" s="579">
        <f t="shared" si="24"/>
        <v>11</v>
      </c>
      <c r="AF39" s="23"/>
      <c r="AG39" s="26"/>
      <c r="AI39" s="26"/>
      <c r="AJ39" s="26"/>
      <c r="AK39" s="26"/>
      <c r="AL39" s="24"/>
      <c r="AN39" s="26"/>
      <c r="AP39" s="24"/>
      <c r="AT39" s="24"/>
      <c r="AX39" s="23"/>
      <c r="AY39" s="23"/>
      <c r="AZ39" s="23"/>
      <c r="BA39" s="23"/>
      <c r="BB39" s="23"/>
      <c r="BC39" s="23"/>
      <c r="BD39" s="23"/>
      <c r="BE39" s="23"/>
      <c r="BF39" s="23"/>
      <c r="BG39" s="23"/>
    </row>
    <row r="40" spans="1:62" ht="23.25">
      <c r="L40" s="441" t="s">
        <v>202</v>
      </c>
      <c r="M40" s="470">
        <f>$AP$6</f>
        <v>3</v>
      </c>
      <c r="N40" s="430">
        <f>$AP9</f>
        <v>0</v>
      </c>
      <c r="O40" s="430">
        <f>$AP7</f>
        <v>0</v>
      </c>
      <c r="P40" s="430">
        <f>$AP8</f>
        <v>2</v>
      </c>
      <c r="Q40" s="430">
        <f>AP15+AP16+AP17+AP18+AP19+AP21+AP22+AP23</f>
        <v>0</v>
      </c>
      <c r="R40" s="430">
        <f>$AP20</f>
        <v>0</v>
      </c>
      <c r="S40" s="446">
        <f t="shared" si="22"/>
        <v>5</v>
      </c>
      <c r="T40" s="686"/>
      <c r="U40" s="26"/>
      <c r="V40" s="441" t="s">
        <v>202</v>
      </c>
      <c r="W40" s="440">
        <f>AR$6</f>
        <v>0</v>
      </c>
      <c r="X40" s="430">
        <f>$AR9</f>
        <v>0</v>
      </c>
      <c r="Y40" s="430">
        <f>$AR7</f>
        <v>0</v>
      </c>
      <c r="Z40" s="430">
        <f>$AR8</f>
        <v>0</v>
      </c>
      <c r="AA40" s="430">
        <f>AR$15+AR$16+AR$17+AR$18+AR$19+AR$21+AR$22+AR$23</f>
        <v>0</v>
      </c>
      <c r="AB40" s="719">
        <f>$AR20</f>
        <v>0</v>
      </c>
      <c r="AC40" s="723">
        <f t="shared" si="23"/>
        <v>0</v>
      </c>
      <c r="AD40" s="587">
        <f>AS6+AS7+AS8+AS9+AS15+AS16+AS17+AS18+AS19+AS20+AS21+AS22+AS23</f>
        <v>0</v>
      </c>
      <c r="AE40" s="579">
        <f t="shared" si="24"/>
        <v>0</v>
      </c>
      <c r="AF40" s="28"/>
      <c r="AG40" s="26"/>
      <c r="AI40" s="26"/>
      <c r="AJ40" s="26"/>
      <c r="AK40" s="26"/>
      <c r="AL40" s="24"/>
      <c r="AN40" s="26"/>
      <c r="AP40" s="24"/>
      <c r="AS40" s="23"/>
      <c r="AT40" s="24"/>
      <c r="AX40" s="23"/>
      <c r="AY40" s="23"/>
      <c r="AZ40" s="23"/>
      <c r="BA40" s="23"/>
      <c r="BB40" s="23"/>
      <c r="BC40" s="23"/>
      <c r="BD40" s="23"/>
      <c r="BE40" s="23"/>
      <c r="BF40" s="23"/>
      <c r="BG40" s="23"/>
    </row>
    <row r="41" spans="1:62" ht="23.25">
      <c r="L41" s="441" t="s">
        <v>186</v>
      </c>
      <c r="M41" s="470">
        <f>$AT$6</f>
        <v>5</v>
      </c>
      <c r="N41" s="430">
        <f>$AT9</f>
        <v>0</v>
      </c>
      <c r="O41" s="430">
        <f>$AT7</f>
        <v>0</v>
      </c>
      <c r="P41" s="430">
        <f>$AT8</f>
        <v>5</v>
      </c>
      <c r="Q41" s="430">
        <f>AT15+AT16+AT17+AT18+AT19+AT21+AT22+AT23</f>
        <v>0</v>
      </c>
      <c r="R41" s="430">
        <f>$AT20</f>
        <v>0</v>
      </c>
      <c r="S41" s="446">
        <f t="shared" si="22"/>
        <v>10</v>
      </c>
      <c r="T41" s="686"/>
      <c r="U41" s="26"/>
      <c r="V41" s="441" t="s">
        <v>186</v>
      </c>
      <c r="W41" s="440">
        <f>AV$6</f>
        <v>2.6</v>
      </c>
      <c r="X41" s="430">
        <f>$AV9</f>
        <v>0</v>
      </c>
      <c r="Y41" s="430">
        <f>$AV7</f>
        <v>0</v>
      </c>
      <c r="Z41" s="430">
        <f>$AV8</f>
        <v>0.5</v>
      </c>
      <c r="AA41" s="430">
        <f>AV$15+AV$16+AV$17+AV$18+AV$19+AV$21+AV$22+AV$23</f>
        <v>0</v>
      </c>
      <c r="AB41" s="719">
        <f>$AV20</f>
        <v>0</v>
      </c>
      <c r="AC41" s="723">
        <f t="shared" si="23"/>
        <v>3.1</v>
      </c>
      <c r="AD41" s="587">
        <f>AW6+AW7+AW8+AW9+AW15+AW16+AW17+AW18+AW20+AW19+AW21+AW22+AW23</f>
        <v>0</v>
      </c>
      <c r="AE41" s="579">
        <f t="shared" si="24"/>
        <v>3.1</v>
      </c>
      <c r="AH41" s="24"/>
      <c r="AJ41" s="25"/>
      <c r="AL41" s="24"/>
      <c r="AN41" s="25"/>
      <c r="AP41" s="24"/>
      <c r="AR41" s="25"/>
      <c r="AT41" s="24"/>
      <c r="AX41" s="23"/>
      <c r="AY41" s="23"/>
      <c r="AZ41" s="23"/>
      <c r="BA41" s="23"/>
      <c r="BB41" s="23"/>
      <c r="BC41" s="23"/>
      <c r="BD41" s="23"/>
      <c r="BE41" s="23"/>
      <c r="BF41" s="23"/>
      <c r="BG41" s="23"/>
    </row>
    <row r="42" spans="1:62" ht="23.25">
      <c r="L42" s="441" t="s">
        <v>203</v>
      </c>
      <c r="M42" s="470">
        <f>$AX$6</f>
        <v>4</v>
      </c>
      <c r="N42" s="430">
        <f>$AX9</f>
        <v>0</v>
      </c>
      <c r="O42" s="430">
        <f>$AX7</f>
        <v>0</v>
      </c>
      <c r="P42" s="430">
        <f>$AX8</f>
        <v>0</v>
      </c>
      <c r="Q42" s="430">
        <f>AX15+AX16+AX17+AX18+AX19+AX21+AX22+AX23</f>
        <v>0</v>
      </c>
      <c r="R42" s="430">
        <f>$AX20</f>
        <v>0</v>
      </c>
      <c r="S42" s="446">
        <f t="shared" si="22"/>
        <v>4</v>
      </c>
      <c r="T42" s="686"/>
      <c r="U42" s="26"/>
      <c r="V42" s="441" t="s">
        <v>203</v>
      </c>
      <c r="W42" s="440">
        <f>AZ$6</f>
        <v>0</v>
      </c>
      <c r="X42" s="430">
        <f>$AZ9</f>
        <v>0</v>
      </c>
      <c r="Y42" s="430">
        <f>$AZ7</f>
        <v>0</v>
      </c>
      <c r="Z42" s="430">
        <f>$AZ8</f>
        <v>0</v>
      </c>
      <c r="AA42" s="430">
        <f>AZ$15+AZ$16+AZ$17+AZ$18+AZ$19+AZ$21+AZ$22+AZ$23</f>
        <v>0</v>
      </c>
      <c r="AB42" s="719">
        <f>$AZ20</f>
        <v>0</v>
      </c>
      <c r="AC42" s="723">
        <f t="shared" si="23"/>
        <v>0</v>
      </c>
      <c r="AD42" s="587">
        <f>BA6+BA7+BA8+BA9+BA15+BA16+BA17+BA18+BA19+BA20+BA21+BA22+BA23</f>
        <v>0</v>
      </c>
      <c r="AE42" s="579">
        <f t="shared" si="24"/>
        <v>0</v>
      </c>
      <c r="AH42" s="24"/>
      <c r="AJ42" s="25"/>
      <c r="AL42" s="24"/>
      <c r="AN42" s="25"/>
      <c r="AP42" s="24"/>
      <c r="AR42" s="25"/>
      <c r="AT42" s="24"/>
      <c r="AV42" s="25"/>
      <c r="AX42" s="23"/>
      <c r="AY42" s="23"/>
      <c r="AZ42" s="23"/>
      <c r="BA42" s="23"/>
      <c r="BB42" s="23"/>
      <c r="BC42" s="23"/>
      <c r="BD42" s="23"/>
      <c r="BE42" s="23"/>
      <c r="BF42" s="23"/>
      <c r="BG42" s="23"/>
    </row>
    <row r="43" spans="1:62" ht="24" thickBot="1">
      <c r="L43" s="442" t="s">
        <v>191</v>
      </c>
      <c r="M43" s="443">
        <f t="shared" ref="M43" si="25">SUM(M33:M42)</f>
        <v>62</v>
      </c>
      <c r="N43" s="444">
        <f>SUM(N33:N42)</f>
        <v>8</v>
      </c>
      <c r="O43" s="443">
        <f t="shared" ref="O43" si="26">SUM(O33:O42)</f>
        <v>0</v>
      </c>
      <c r="P43" s="444">
        <f>SUM(P33:P42)</f>
        <v>32</v>
      </c>
      <c r="Q43" s="444">
        <f>SUM(Q33:Q42)</f>
        <v>14</v>
      </c>
      <c r="R43" s="445">
        <f>SUM(R33:R42)</f>
        <v>0</v>
      </c>
      <c r="S43" s="451">
        <f>SUM(S33:S42)</f>
        <v>116</v>
      </c>
      <c r="T43" s="687"/>
      <c r="U43" s="26"/>
      <c r="V43" s="442" t="s">
        <v>191</v>
      </c>
      <c r="W43" s="443">
        <f t="shared" ref="W43:Y43" si="27">SUM(W33:W42)</f>
        <v>26.6</v>
      </c>
      <c r="X43" s="444">
        <f>SUM(X33:X42)</f>
        <v>1.5</v>
      </c>
      <c r="Y43" s="443">
        <f t="shared" si="27"/>
        <v>0</v>
      </c>
      <c r="Z43" s="444">
        <f>SUM(Z33:Z42)</f>
        <v>1.5</v>
      </c>
      <c r="AA43" s="444">
        <f>SUM(AA33:AA42)</f>
        <v>0</v>
      </c>
      <c r="AB43" s="720">
        <f>SUM(AB33:AB42)</f>
        <v>0</v>
      </c>
      <c r="AC43" s="724">
        <f>SUM(AC33:AC42)</f>
        <v>29.6</v>
      </c>
      <c r="AD43" s="725">
        <f>SUM(AD33:AD42)</f>
        <v>0</v>
      </c>
      <c r="AE43" s="579">
        <f t="shared" si="24"/>
        <v>29.6</v>
      </c>
      <c r="AH43" s="24"/>
      <c r="AJ43" s="25"/>
      <c r="AL43" s="24"/>
      <c r="AN43" s="25"/>
      <c r="AP43" s="24"/>
      <c r="AR43" s="25"/>
      <c r="AT43" s="24"/>
      <c r="AV43" s="25"/>
      <c r="AX43" s="23"/>
      <c r="AY43" s="23"/>
      <c r="AZ43" s="23"/>
      <c r="BA43" s="23"/>
      <c r="BB43" s="23"/>
      <c r="BC43" s="23"/>
      <c r="BD43" s="23"/>
      <c r="BE43" s="23"/>
      <c r="BF43" s="23"/>
      <c r="BG43" s="23"/>
    </row>
    <row r="44" spans="1:62" ht="15" customHeight="1" thickBot="1">
      <c r="L44" s="26"/>
      <c r="M44" s="26"/>
      <c r="N44" s="24"/>
      <c r="P44" s="26"/>
      <c r="Q44" s="26"/>
      <c r="R44" s="24"/>
      <c r="T44" s="26"/>
      <c r="U44" s="26"/>
      <c r="V44" s="24"/>
      <c r="Z44" s="24"/>
      <c r="AD44" s="24"/>
      <c r="AE44" s="26"/>
      <c r="AF44" s="466"/>
      <c r="AG44" s="466"/>
      <c r="AH44" s="466"/>
      <c r="AI44" s="467"/>
      <c r="AL44" s="24"/>
      <c r="AM44" s="25"/>
      <c r="AP44" s="24"/>
      <c r="AQ44" s="25"/>
      <c r="AT44" s="24"/>
      <c r="AU44" s="25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</row>
    <row r="45" spans="1:62" ht="25.5" customHeight="1" thickBot="1">
      <c r="L45" s="1929" t="str">
        <f>L31</f>
        <v>Mode wise Collection Plan-04-01-2022</v>
      </c>
      <c r="M45" s="1930"/>
      <c r="N45" s="1930"/>
      <c r="O45" s="1930"/>
      <c r="P45" s="1930"/>
      <c r="Q45" s="1930"/>
      <c r="R45" s="1930"/>
      <c r="S45" s="1930"/>
      <c r="T45" s="1931"/>
      <c r="U45" s="26"/>
      <c r="V45" s="1923" t="s">
        <v>279</v>
      </c>
      <c r="W45" s="1937"/>
      <c r="X45" s="1937"/>
      <c r="Y45" s="1937"/>
      <c r="Z45" s="1937"/>
      <c r="AA45" s="1937"/>
      <c r="AB45" s="1937"/>
      <c r="AC45" s="1937"/>
      <c r="AD45" s="1937"/>
      <c r="AE45" s="1938"/>
      <c r="AF45" s="466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</row>
    <row r="46" spans="1:62" s="28" customFormat="1" ht="31.5">
      <c r="D46" s="29"/>
      <c r="E46" s="29"/>
      <c r="F46" s="29"/>
      <c r="I46" s="29"/>
      <c r="J46" s="1011" t="s">
        <v>270</v>
      </c>
      <c r="K46" s="1011" t="s">
        <v>196</v>
      </c>
      <c r="L46" s="450" t="s">
        <v>0</v>
      </c>
      <c r="M46" s="439" t="s">
        <v>200</v>
      </c>
      <c r="N46" s="454" t="s">
        <v>205</v>
      </c>
      <c r="O46" s="439" t="s">
        <v>31</v>
      </c>
      <c r="P46" s="448" t="s">
        <v>201</v>
      </c>
      <c r="Q46" s="455" t="s">
        <v>206</v>
      </c>
      <c r="R46" s="436" t="s">
        <v>22</v>
      </c>
      <c r="S46" s="438" t="s">
        <v>191</v>
      </c>
      <c r="T46" s="438" t="s">
        <v>244</v>
      </c>
      <c r="U46" s="26"/>
      <c r="V46" s="596" t="s">
        <v>0</v>
      </c>
      <c r="W46" s="436" t="s">
        <v>200</v>
      </c>
      <c r="X46" s="454" t="s">
        <v>205</v>
      </c>
      <c r="Y46" s="436" t="s">
        <v>31</v>
      </c>
      <c r="Z46" s="448" t="s">
        <v>201</v>
      </c>
      <c r="AA46" s="453" t="s">
        <v>206</v>
      </c>
      <c r="AB46" s="453" t="s">
        <v>210</v>
      </c>
      <c r="AC46" s="436" t="s">
        <v>22</v>
      </c>
      <c r="AD46" s="437" t="s">
        <v>191</v>
      </c>
      <c r="AE46" s="438" t="s">
        <v>244</v>
      </c>
      <c r="AF46" s="952" t="s">
        <v>32</v>
      </c>
      <c r="AG46" s="1022" t="s">
        <v>25</v>
      </c>
      <c r="AH46" s="1022" t="s">
        <v>23</v>
      </c>
      <c r="AI46" s="1022" t="s">
        <v>271</v>
      </c>
      <c r="AJ46" s="23"/>
      <c r="AK46" s="23"/>
      <c r="AL46" s="23"/>
      <c r="AM46" s="23"/>
      <c r="AN46" s="23"/>
      <c r="AO46" s="23"/>
      <c r="AP46" s="23"/>
      <c r="AQ46" s="23"/>
      <c r="AR46" s="23"/>
      <c r="BJ46" s="1059"/>
    </row>
    <row r="47" spans="1:62" ht="23.25">
      <c r="J47" s="441">
        <f>30</f>
        <v>30</v>
      </c>
      <c r="K47" s="441"/>
      <c r="L47" s="441" t="s">
        <v>189</v>
      </c>
      <c r="M47" s="470">
        <v>30</v>
      </c>
      <c r="N47" s="430">
        <v>0</v>
      </c>
      <c r="O47" s="430">
        <v>0</v>
      </c>
      <c r="P47" s="430">
        <v>5</v>
      </c>
      <c r="Q47" s="430">
        <v>0</v>
      </c>
      <c r="R47" s="430">
        <v>0</v>
      </c>
      <c r="S47" s="446">
        <f t="shared" ref="S47:S56" si="28">SUM(M47:R47)</f>
        <v>35</v>
      </c>
      <c r="T47" s="446"/>
      <c r="U47" s="26"/>
      <c r="V47" s="586" t="s">
        <v>189</v>
      </c>
      <c r="W47" s="430">
        <v>3</v>
      </c>
      <c r="X47" s="430">
        <v>0</v>
      </c>
      <c r="Y47" s="430">
        <v>0</v>
      </c>
      <c r="Z47" s="430">
        <v>0</v>
      </c>
      <c r="AA47" s="430">
        <v>0</v>
      </c>
      <c r="AB47" s="655">
        <v>0</v>
      </c>
      <c r="AC47" s="430"/>
      <c r="AD47" s="568">
        <f t="shared" ref="AD47:AD56" si="29">SUM(W47:AC47)</f>
        <v>3</v>
      </c>
      <c r="AE47" s="587">
        <f>L27+L28+L29</f>
        <v>0</v>
      </c>
      <c r="AF47" s="953"/>
      <c r="AG47" s="1017"/>
      <c r="AH47" s="1017"/>
      <c r="AI47" s="1017"/>
      <c r="AJ47" s="28"/>
      <c r="AK47" s="28"/>
      <c r="AL47" s="28"/>
      <c r="AM47" s="28"/>
      <c r="AN47" s="28"/>
      <c r="AO47" s="28"/>
      <c r="AP47" s="28"/>
      <c r="AQ47" s="28"/>
      <c r="AR47" s="28"/>
      <c r="AT47" s="24"/>
      <c r="AU47" s="25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</row>
    <row r="48" spans="1:62" ht="23.25">
      <c r="J48" s="441"/>
      <c r="K48" s="441"/>
      <c r="L48" s="441" t="s">
        <v>183</v>
      </c>
      <c r="M48" s="470">
        <v>12</v>
      </c>
      <c r="N48" s="430">
        <v>3</v>
      </c>
      <c r="O48" s="430">
        <v>0</v>
      </c>
      <c r="P48" s="430">
        <v>0</v>
      </c>
      <c r="Q48" s="430">
        <v>0</v>
      </c>
      <c r="R48" s="430">
        <v>0</v>
      </c>
      <c r="S48" s="446">
        <f t="shared" si="28"/>
        <v>15</v>
      </c>
      <c r="T48" s="446"/>
      <c r="U48" s="466"/>
      <c r="V48" s="586" t="s">
        <v>183</v>
      </c>
      <c r="W48" s="430">
        <v>0</v>
      </c>
      <c r="X48" s="430">
        <v>0</v>
      </c>
      <c r="Y48" s="430">
        <v>0</v>
      </c>
      <c r="Z48" s="430">
        <v>0</v>
      </c>
      <c r="AA48" s="430">
        <v>0</v>
      </c>
      <c r="AB48" s="655">
        <v>0</v>
      </c>
      <c r="AC48" s="430"/>
      <c r="AD48" s="568">
        <f t="shared" si="29"/>
        <v>0</v>
      </c>
      <c r="AE48" s="587">
        <f>P27+P28+P29</f>
        <v>0</v>
      </c>
      <c r="AF48" s="953"/>
      <c r="AG48" s="951"/>
      <c r="AH48" s="951"/>
      <c r="AI48" s="655"/>
      <c r="AL48" s="24"/>
      <c r="AM48" s="25"/>
      <c r="AP48" s="24"/>
      <c r="AQ48" s="25"/>
      <c r="AT48" s="24"/>
      <c r="AU48" s="25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</row>
    <row r="49" spans="4:62" ht="23.25">
      <c r="J49" s="441"/>
      <c r="K49" s="441"/>
      <c r="L49" s="441" t="s">
        <v>184</v>
      </c>
      <c r="M49" s="470">
        <v>0</v>
      </c>
      <c r="N49" s="430">
        <v>0</v>
      </c>
      <c r="O49" s="430">
        <v>0</v>
      </c>
      <c r="P49" s="430">
        <v>0</v>
      </c>
      <c r="Q49" s="430">
        <v>8</v>
      </c>
      <c r="R49" s="430">
        <v>0</v>
      </c>
      <c r="S49" s="446">
        <f t="shared" si="28"/>
        <v>8</v>
      </c>
      <c r="T49" s="446"/>
      <c r="U49" s="466"/>
      <c r="V49" s="586" t="s">
        <v>184</v>
      </c>
      <c r="W49" s="430">
        <v>5</v>
      </c>
      <c r="X49" s="430">
        <v>0</v>
      </c>
      <c r="Y49" s="430">
        <v>0</v>
      </c>
      <c r="Z49" s="430">
        <v>0</v>
      </c>
      <c r="AA49" s="430">
        <v>0</v>
      </c>
      <c r="AB49" s="655">
        <v>0</v>
      </c>
      <c r="AC49" s="430"/>
      <c r="AD49" s="568">
        <f t="shared" si="29"/>
        <v>5</v>
      </c>
      <c r="AE49" s="587">
        <f>T27+T28+T29</f>
        <v>0</v>
      </c>
      <c r="AF49" s="953"/>
      <c r="AG49" s="951"/>
      <c r="AH49" s="951"/>
      <c r="AI49" s="655"/>
      <c r="AL49" s="24"/>
      <c r="AM49" s="25"/>
      <c r="AP49" s="24"/>
      <c r="AQ49" s="25"/>
      <c r="AT49" s="24"/>
      <c r="AU49" s="25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</row>
    <row r="50" spans="4:62" ht="23.25">
      <c r="J50" s="441"/>
      <c r="K50" s="441"/>
      <c r="L50" s="441" t="s">
        <v>170</v>
      </c>
      <c r="M50" s="470">
        <v>2</v>
      </c>
      <c r="N50" s="430">
        <v>3</v>
      </c>
      <c r="O50" s="430">
        <v>0</v>
      </c>
      <c r="P50" s="430">
        <v>0</v>
      </c>
      <c r="Q50" s="430">
        <v>6</v>
      </c>
      <c r="R50" s="430">
        <v>0</v>
      </c>
      <c r="S50" s="446">
        <f t="shared" si="28"/>
        <v>11</v>
      </c>
      <c r="T50" s="446"/>
      <c r="U50" s="466"/>
      <c r="V50" s="586" t="s">
        <v>170</v>
      </c>
      <c r="W50" s="430">
        <v>0</v>
      </c>
      <c r="X50" s="430">
        <v>0</v>
      </c>
      <c r="Y50" s="430">
        <v>0</v>
      </c>
      <c r="Z50" s="430">
        <v>0</v>
      </c>
      <c r="AA50" s="430">
        <v>0</v>
      </c>
      <c r="AB50" s="655">
        <v>0</v>
      </c>
      <c r="AC50" s="430"/>
      <c r="AD50" s="568">
        <f t="shared" si="29"/>
        <v>0</v>
      </c>
      <c r="AE50" s="587">
        <f>X27+X28+X29</f>
        <v>0</v>
      </c>
      <c r="AF50" s="953"/>
      <c r="AG50" s="951"/>
      <c r="AH50" s="951"/>
      <c r="AI50" s="655"/>
      <c r="AL50" s="24"/>
      <c r="AM50" s="25"/>
      <c r="AP50" s="24"/>
      <c r="AQ50" s="25"/>
      <c r="AT50" s="24"/>
      <c r="AU50" s="25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</row>
    <row r="51" spans="4:62" ht="23.25">
      <c r="J51" s="441"/>
      <c r="K51" s="441"/>
      <c r="L51" s="441" t="s">
        <v>171</v>
      </c>
      <c r="M51" s="470">
        <v>0</v>
      </c>
      <c r="N51" s="430">
        <v>2</v>
      </c>
      <c r="O51" s="430">
        <v>0</v>
      </c>
      <c r="P51" s="430">
        <v>0</v>
      </c>
      <c r="Q51" s="430">
        <v>0</v>
      </c>
      <c r="R51" s="430">
        <v>0</v>
      </c>
      <c r="S51" s="446">
        <f t="shared" si="28"/>
        <v>2</v>
      </c>
      <c r="T51" s="446"/>
      <c r="U51" s="466"/>
      <c r="V51" s="586" t="s">
        <v>171</v>
      </c>
      <c r="W51" s="430">
        <v>0</v>
      </c>
      <c r="X51" s="430">
        <v>0</v>
      </c>
      <c r="Y51" s="430">
        <v>0</v>
      </c>
      <c r="Z51" s="430">
        <v>0</v>
      </c>
      <c r="AA51" s="430">
        <v>0</v>
      </c>
      <c r="AB51" s="655">
        <v>0</v>
      </c>
      <c r="AC51" s="430"/>
      <c r="AD51" s="568">
        <f t="shared" si="29"/>
        <v>0</v>
      </c>
      <c r="AE51" s="587">
        <f>AB27+AB28+AB29</f>
        <v>0</v>
      </c>
      <c r="AF51" s="953"/>
      <c r="AG51" s="951"/>
      <c r="AH51" s="951"/>
      <c r="AI51" s="655"/>
      <c r="AL51" s="24"/>
      <c r="AM51" s="25"/>
      <c r="AP51" s="24"/>
      <c r="AQ51" s="25"/>
      <c r="AT51" s="24"/>
      <c r="AU51" s="25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</row>
    <row r="52" spans="4:62" ht="23.25">
      <c r="J52" s="441"/>
      <c r="K52" s="441">
        <v>26</v>
      </c>
      <c r="L52" s="441" t="s">
        <v>190</v>
      </c>
      <c r="M52" s="492">
        <v>5</v>
      </c>
      <c r="N52" s="471">
        <v>0</v>
      </c>
      <c r="O52" s="471">
        <v>0</v>
      </c>
      <c r="P52" s="471">
        <v>10</v>
      </c>
      <c r="Q52" s="430">
        <v>0</v>
      </c>
      <c r="R52" s="471">
        <v>0</v>
      </c>
      <c r="S52" s="446">
        <f t="shared" si="28"/>
        <v>15</v>
      </c>
      <c r="T52" s="446"/>
      <c r="U52" s="466"/>
      <c r="V52" s="586" t="s">
        <v>190</v>
      </c>
      <c r="W52" s="430">
        <v>0</v>
      </c>
      <c r="X52" s="430">
        <v>0</v>
      </c>
      <c r="Y52" s="430">
        <v>0</v>
      </c>
      <c r="Z52" s="430">
        <v>0</v>
      </c>
      <c r="AA52" s="430">
        <v>0</v>
      </c>
      <c r="AB52" s="655">
        <v>0</v>
      </c>
      <c r="AC52" s="430"/>
      <c r="AD52" s="568">
        <f t="shared" si="29"/>
        <v>0</v>
      </c>
      <c r="AE52" s="587">
        <f>AF27+AF28+AF29</f>
        <v>0</v>
      </c>
      <c r="AF52" s="954"/>
      <c r="AG52" s="951"/>
      <c r="AH52" s="951"/>
      <c r="AI52" s="655"/>
      <c r="AL52" s="24"/>
      <c r="AM52" s="25"/>
      <c r="AP52" s="24"/>
      <c r="AQ52" s="25"/>
      <c r="AT52" s="24"/>
      <c r="AU52" s="25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</row>
    <row r="53" spans="4:62" ht="23.25">
      <c r="J53" s="441">
        <f>18.85+29.64+24</f>
        <v>72.490000000000009</v>
      </c>
      <c r="K53" s="441"/>
      <c r="L53" s="441" t="s">
        <v>185</v>
      </c>
      <c r="M53" s="470">
        <v>1</v>
      </c>
      <c r="N53" s="430">
        <v>0</v>
      </c>
      <c r="O53" s="430">
        <v>0</v>
      </c>
      <c r="P53" s="430">
        <v>10</v>
      </c>
      <c r="Q53" s="430">
        <v>0</v>
      </c>
      <c r="R53" s="430">
        <v>0</v>
      </c>
      <c r="S53" s="446">
        <f t="shared" si="28"/>
        <v>11</v>
      </c>
      <c r="T53" s="446"/>
      <c r="U53" s="466"/>
      <c r="V53" s="586" t="s">
        <v>185</v>
      </c>
      <c r="W53" s="430">
        <v>0</v>
      </c>
      <c r="X53" s="430">
        <v>0</v>
      </c>
      <c r="Y53" s="430">
        <v>0</v>
      </c>
      <c r="Z53" s="430">
        <v>0</v>
      </c>
      <c r="AA53" s="430">
        <v>0</v>
      </c>
      <c r="AB53" s="655">
        <v>0</v>
      </c>
      <c r="AC53" s="430"/>
      <c r="AD53" s="568">
        <f t="shared" si="29"/>
        <v>0</v>
      </c>
      <c r="AE53" s="587">
        <f>AN27+AN28+AN29</f>
        <v>0</v>
      </c>
      <c r="AF53" s="954"/>
      <c r="AG53" s="951"/>
      <c r="AH53" s="951"/>
      <c r="AI53" s="655"/>
      <c r="AL53" s="24"/>
      <c r="AM53" s="25"/>
      <c r="AP53" s="24"/>
      <c r="AQ53" s="25"/>
      <c r="AT53" s="24"/>
      <c r="AU53" s="25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</row>
    <row r="54" spans="4:62" ht="23.25">
      <c r="J54" s="441"/>
      <c r="K54" s="441"/>
      <c r="L54" s="441" t="s">
        <v>202</v>
      </c>
      <c r="M54" s="470">
        <v>3</v>
      </c>
      <c r="N54" s="430">
        <v>0</v>
      </c>
      <c r="O54" s="430">
        <v>0</v>
      </c>
      <c r="P54" s="430">
        <v>2</v>
      </c>
      <c r="Q54" s="430">
        <v>0</v>
      </c>
      <c r="R54" s="430">
        <v>0</v>
      </c>
      <c r="S54" s="446">
        <f t="shared" si="28"/>
        <v>5</v>
      </c>
      <c r="T54" s="446"/>
      <c r="U54" s="466"/>
      <c r="V54" s="586" t="s">
        <v>202</v>
      </c>
      <c r="W54" s="430">
        <v>0</v>
      </c>
      <c r="X54" s="430">
        <v>0</v>
      </c>
      <c r="Y54" s="430">
        <v>0</v>
      </c>
      <c r="Z54" s="430">
        <v>0</v>
      </c>
      <c r="AA54" s="430">
        <v>0</v>
      </c>
      <c r="AB54" s="655">
        <v>0</v>
      </c>
      <c r="AC54" s="430"/>
      <c r="AD54" s="568">
        <f t="shared" si="29"/>
        <v>0</v>
      </c>
      <c r="AE54" s="587">
        <f>AR27+AR28+AR29</f>
        <v>0</v>
      </c>
      <c r="AF54" s="952"/>
      <c r="AG54" s="951"/>
      <c r="AH54" s="951"/>
      <c r="AI54" s="655"/>
      <c r="AL54" s="24"/>
      <c r="AM54" s="25"/>
      <c r="AP54" s="24"/>
      <c r="AQ54" s="25"/>
      <c r="AT54" s="24"/>
      <c r="AU54" s="25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</row>
    <row r="55" spans="4:62" ht="23.25">
      <c r="J55" s="441"/>
      <c r="K55" s="441"/>
      <c r="L55" s="441" t="s">
        <v>186</v>
      </c>
      <c r="M55" s="470">
        <v>5</v>
      </c>
      <c r="N55" s="430">
        <v>0</v>
      </c>
      <c r="O55" s="430">
        <v>0</v>
      </c>
      <c r="P55" s="430">
        <v>5</v>
      </c>
      <c r="Q55" s="430">
        <v>0</v>
      </c>
      <c r="R55" s="430">
        <v>0</v>
      </c>
      <c r="S55" s="446">
        <f t="shared" si="28"/>
        <v>10</v>
      </c>
      <c r="T55" s="446"/>
      <c r="U55" s="466"/>
      <c r="V55" s="586" t="s">
        <v>186</v>
      </c>
      <c r="W55" s="430">
        <v>0</v>
      </c>
      <c r="X55" s="430">
        <v>0</v>
      </c>
      <c r="Y55" s="430">
        <v>0</v>
      </c>
      <c r="Z55" s="430">
        <v>0</v>
      </c>
      <c r="AA55" s="430">
        <v>0</v>
      </c>
      <c r="AB55" s="655">
        <v>0</v>
      </c>
      <c r="AC55" s="430"/>
      <c r="AD55" s="568">
        <f t="shared" si="29"/>
        <v>0</v>
      </c>
      <c r="AE55" s="587">
        <f>AV27+AV28+AV29</f>
        <v>0</v>
      </c>
      <c r="AF55" s="952"/>
      <c r="AG55" s="951"/>
      <c r="AH55" s="951"/>
      <c r="AI55" s="655"/>
      <c r="AL55" s="24"/>
      <c r="AM55" s="25"/>
      <c r="AP55" s="24"/>
      <c r="AQ55" s="25"/>
      <c r="AT55" s="24"/>
      <c r="AU55" s="25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</row>
    <row r="56" spans="4:62" ht="23.25">
      <c r="J56" s="441"/>
      <c r="K56" s="441"/>
      <c r="L56" s="441" t="s">
        <v>203</v>
      </c>
      <c r="M56" s="470">
        <v>4</v>
      </c>
      <c r="N56" s="430">
        <v>0</v>
      </c>
      <c r="O56" s="430">
        <v>0</v>
      </c>
      <c r="P56" s="430">
        <v>0</v>
      </c>
      <c r="Q56" s="430">
        <v>0</v>
      </c>
      <c r="R56" s="430">
        <v>0</v>
      </c>
      <c r="S56" s="446">
        <f t="shared" si="28"/>
        <v>4</v>
      </c>
      <c r="T56" s="446"/>
      <c r="U56" s="466"/>
      <c r="V56" s="586" t="s">
        <v>203</v>
      </c>
      <c r="W56" s="430">
        <v>0</v>
      </c>
      <c r="X56" s="430">
        <v>0</v>
      </c>
      <c r="Y56" s="430">
        <v>0</v>
      </c>
      <c r="Z56" s="430">
        <v>0</v>
      </c>
      <c r="AA56" s="430">
        <v>0</v>
      </c>
      <c r="AB56" s="655">
        <v>0</v>
      </c>
      <c r="AC56" s="430"/>
      <c r="AD56" s="568">
        <f t="shared" si="29"/>
        <v>0</v>
      </c>
      <c r="AE56" s="587">
        <f>AZ27+AZ28+AZ29</f>
        <v>0</v>
      </c>
      <c r="AF56" s="952"/>
      <c r="AG56" s="951"/>
      <c r="AH56" s="951"/>
      <c r="AI56" s="655"/>
      <c r="AL56" s="24"/>
      <c r="AM56" s="25"/>
      <c r="AP56" s="24"/>
      <c r="AQ56" s="25"/>
      <c r="AT56" s="24"/>
      <c r="AU56" s="25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</row>
    <row r="57" spans="4:62" ht="24" thickBot="1">
      <c r="J57" s="442">
        <f t="shared" ref="J57:K57" si="30">SUM(J47:J56)</f>
        <v>102.49000000000001</v>
      </c>
      <c r="K57" s="442">
        <f t="shared" si="30"/>
        <v>26</v>
      </c>
      <c r="L57" s="442" t="s">
        <v>191</v>
      </c>
      <c r="M57" s="443">
        <f t="shared" ref="M57" si="31">SUM(M47:M56)</f>
        <v>62</v>
      </c>
      <c r="N57" s="444">
        <f>SUM(N47:N56)</f>
        <v>8</v>
      </c>
      <c r="O57" s="443">
        <f t="shared" ref="O57" si="32">SUM(O47:O56)</f>
        <v>0</v>
      </c>
      <c r="P57" s="444">
        <f>SUM(P47:P56)</f>
        <v>32</v>
      </c>
      <c r="Q57" s="444">
        <f>SUM(Q47:Q56)</f>
        <v>14</v>
      </c>
      <c r="R57" s="445">
        <f>SUM(R47:R56)</f>
        <v>0</v>
      </c>
      <c r="S57" s="451">
        <f>SUM(S47:S56)</f>
        <v>116</v>
      </c>
      <c r="T57" s="451">
        <f>SUM(T47:T56)</f>
        <v>0</v>
      </c>
      <c r="U57" s="466"/>
      <c r="V57" s="588" t="s">
        <v>191</v>
      </c>
      <c r="W57" s="589">
        <f t="shared" ref="W57" si="33">SUM(W47:W56)</f>
        <v>8</v>
      </c>
      <c r="X57" s="444">
        <f>SUM(X47:X56)</f>
        <v>0</v>
      </c>
      <c r="Y57" s="444">
        <f t="shared" ref="Y57" si="34">SUM(Y47:Y56)</f>
        <v>0</v>
      </c>
      <c r="Z57" s="444">
        <f>SUM(Z47:Z56)</f>
        <v>0</v>
      </c>
      <c r="AA57" s="444">
        <f>SUM(AA47:AA56)</f>
        <v>0</v>
      </c>
      <c r="AB57" s="444"/>
      <c r="AC57" s="444">
        <f t="shared" ref="AC57" si="35">SUM(AC47:AC56)</f>
        <v>0</v>
      </c>
      <c r="AD57" s="630">
        <f>SUM(AD47:AD56)</f>
        <v>8</v>
      </c>
      <c r="AE57" s="631">
        <f>SUM(AE47:AE56)</f>
        <v>0</v>
      </c>
      <c r="AF57" s="1016">
        <f t="shared" ref="AF57:AI57" si="36">SUM(AF47:AF56)</f>
        <v>0</v>
      </c>
      <c r="AG57" s="1015">
        <f t="shared" si="36"/>
        <v>0</v>
      </c>
      <c r="AH57" s="1015">
        <f t="shared" si="36"/>
        <v>0</v>
      </c>
      <c r="AI57" s="1015">
        <f t="shared" si="36"/>
        <v>0</v>
      </c>
      <c r="AL57" s="24"/>
      <c r="AM57" s="25"/>
      <c r="AP57" s="24"/>
      <c r="AQ57" s="25"/>
      <c r="AT57" s="24"/>
      <c r="AU57" s="25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</row>
    <row r="58" spans="4:62" ht="24" customHeight="1" thickBot="1">
      <c r="N58" s="24"/>
      <c r="O58" s="1924" t="s">
        <v>254</v>
      </c>
      <c r="P58" s="1925"/>
      <c r="Q58" s="1925"/>
      <c r="R58" s="1926"/>
      <c r="S58" s="1927">
        <f>S57+T57</f>
        <v>116</v>
      </c>
      <c r="T58" s="1928"/>
      <c r="U58" s="466"/>
      <c r="V58" s="1932" t="s">
        <v>221</v>
      </c>
      <c r="W58" s="1932"/>
      <c r="X58" s="1932"/>
      <c r="Y58" s="1932"/>
      <c r="Z58" s="1932"/>
      <c r="AA58" s="1932"/>
      <c r="AB58" s="1932"/>
      <c r="AC58" s="1932"/>
      <c r="AD58" s="1933">
        <f>AD57+AE57</f>
        <v>8</v>
      </c>
      <c r="AE58" s="1934"/>
      <c r="AF58" s="466"/>
      <c r="AH58" s="24"/>
      <c r="AI58" s="25"/>
      <c r="AL58" s="24"/>
      <c r="AM58" s="25"/>
      <c r="AP58" s="24"/>
      <c r="AQ58" s="25"/>
      <c r="AT58" s="24"/>
      <c r="AU58" s="25"/>
      <c r="AX58" s="24"/>
      <c r="AY58" s="24"/>
      <c r="AZ58" s="25"/>
      <c r="BA58" s="24"/>
      <c r="BB58" s="24"/>
      <c r="BC58" s="23"/>
      <c r="BD58" s="23"/>
      <c r="BE58" s="23"/>
      <c r="BF58" s="23"/>
      <c r="BG58" s="23"/>
    </row>
    <row r="59" spans="4:62" ht="29.25" customHeight="1" thickBot="1">
      <c r="J59" s="24"/>
      <c r="V59" s="966"/>
      <c r="W59" s="966"/>
      <c r="X59" s="966"/>
      <c r="Y59" s="1922" t="s">
        <v>235</v>
      </c>
      <c r="Z59" s="1922"/>
      <c r="AA59" s="1922"/>
      <c r="AB59" s="1922"/>
      <c r="AC59" s="1922"/>
      <c r="AD59" s="1920">
        <f>BH6+BI6+BD20+BE20</f>
        <v>26.6</v>
      </c>
      <c r="AE59" s="1921"/>
      <c r="AF59" s="466"/>
      <c r="AH59" s="24"/>
      <c r="AI59" s="25"/>
      <c r="AL59" s="24"/>
      <c r="AP59" s="25"/>
      <c r="AT59" s="25"/>
      <c r="AX59" s="25"/>
      <c r="AY59" s="24"/>
      <c r="AZ59" s="24"/>
      <c r="BA59" s="24"/>
      <c r="BB59" s="25"/>
      <c r="BE59" s="23"/>
      <c r="BF59" s="23"/>
      <c r="BG59" s="23"/>
    </row>
    <row r="60" spans="4:62" s="28" customFormat="1" ht="30.75" customHeight="1" thickBot="1">
      <c r="D60" s="29"/>
      <c r="E60" s="29"/>
      <c r="F60" s="29"/>
      <c r="I60" s="29"/>
      <c r="J60" s="24"/>
      <c r="K60" s="24"/>
      <c r="L60" s="1923" t="s">
        <v>344</v>
      </c>
      <c r="M60" s="1937"/>
      <c r="N60" s="1937"/>
      <c r="O60" s="1937"/>
      <c r="P60" s="1937"/>
      <c r="Q60" s="1937"/>
      <c r="R60" s="1937"/>
      <c r="S60" s="1937"/>
      <c r="T60" s="1937"/>
      <c r="U60" s="1938"/>
      <c r="V60" s="966"/>
      <c r="W60" s="966"/>
      <c r="X60" s="966"/>
      <c r="Y60" s="1013"/>
      <c r="Z60" s="966"/>
      <c r="AA60" s="966"/>
      <c r="AB60" s="966"/>
      <c r="AC60" s="1013"/>
      <c r="AD60" s="966"/>
      <c r="AE60" s="964">
        <f>136+24</f>
        <v>160</v>
      </c>
      <c r="AF60" s="966"/>
      <c r="AG60" s="964"/>
      <c r="AH60" s="964"/>
      <c r="AI60" s="967"/>
      <c r="AJ60" s="964"/>
      <c r="AK60" s="964"/>
      <c r="AL60" s="964"/>
      <c r="AM60" s="964"/>
      <c r="AN60" s="964"/>
      <c r="AO60" s="964"/>
      <c r="AP60" s="967"/>
      <c r="AQ60" s="964"/>
      <c r="AR60" s="964"/>
      <c r="AS60" s="964"/>
      <c r="AT60" s="967"/>
      <c r="AU60" s="964"/>
      <c r="AV60" s="964"/>
      <c r="AW60" s="964"/>
      <c r="AX60" s="967"/>
      <c r="AY60" s="965"/>
      <c r="AZ60" s="965"/>
      <c r="BA60" s="964"/>
      <c r="BB60" s="964"/>
      <c r="BC60" s="967"/>
      <c r="BD60" s="967"/>
      <c r="BE60" s="964"/>
      <c r="BJ60" s="1059"/>
    </row>
    <row r="61" spans="4:62" ht="25.5" customHeight="1">
      <c r="J61" s="24"/>
      <c r="L61" s="596" t="s">
        <v>0</v>
      </c>
      <c r="M61" s="436" t="s">
        <v>200</v>
      </c>
      <c r="N61" s="454" t="s">
        <v>205</v>
      </c>
      <c r="O61" s="436" t="s">
        <v>31</v>
      </c>
      <c r="P61" s="448" t="s">
        <v>201</v>
      </c>
      <c r="Q61" s="453" t="s">
        <v>206</v>
      </c>
      <c r="R61" s="453" t="s">
        <v>210</v>
      </c>
      <c r="S61" s="436" t="s">
        <v>22</v>
      </c>
      <c r="T61" s="437" t="s">
        <v>191</v>
      </c>
      <c r="U61" s="438" t="s">
        <v>244</v>
      </c>
      <c r="V61" s="466"/>
      <c r="W61" s="466"/>
      <c r="X61" s="466"/>
      <c r="Y61" s="465"/>
      <c r="Z61" s="466"/>
      <c r="AA61" s="466"/>
      <c r="AB61" s="466"/>
      <c r="AC61" s="465"/>
      <c r="AD61" s="466"/>
      <c r="AF61" s="466"/>
      <c r="AH61" s="24"/>
      <c r="AI61" s="25"/>
      <c r="AL61" s="24"/>
      <c r="AM61" s="26"/>
      <c r="AN61" s="26"/>
      <c r="AP61" s="24"/>
      <c r="AQ61" s="26"/>
      <c r="AR61" s="26"/>
      <c r="AT61" s="24"/>
      <c r="AU61" s="26"/>
      <c r="AV61" s="26"/>
      <c r="AX61" s="24"/>
      <c r="AY61" s="26"/>
      <c r="AZ61" s="26"/>
      <c r="BA61" s="24"/>
      <c r="BB61" s="24"/>
      <c r="BC61" s="25"/>
      <c r="BD61" s="25"/>
      <c r="BF61" s="23"/>
      <c r="BG61" s="23"/>
    </row>
    <row r="62" spans="4:62" ht="25.5" customHeight="1">
      <c r="J62" s="24"/>
      <c r="L62" s="586" t="s">
        <v>189</v>
      </c>
      <c r="M62" s="430">
        <v>0</v>
      </c>
      <c r="N62" s="430">
        <v>0</v>
      </c>
      <c r="O62" s="430">
        <v>0</v>
      </c>
      <c r="P62" s="430">
        <v>0</v>
      </c>
      <c r="Q62" s="430"/>
      <c r="R62" s="655"/>
      <c r="S62" s="430"/>
      <c r="T62" s="568">
        <f t="shared" ref="T62:T71" si="37">SUM(M62:S62)</f>
        <v>0</v>
      </c>
      <c r="U62" s="587"/>
      <c r="V62" s="466"/>
      <c r="W62" s="466"/>
      <c r="X62" s="466"/>
      <c r="Y62" s="465"/>
      <c r="Z62" s="466"/>
      <c r="AA62" s="466"/>
      <c r="AB62" s="466"/>
      <c r="AC62" s="465"/>
      <c r="AD62" s="466"/>
      <c r="AF62" s="466"/>
      <c r="AH62" s="24"/>
      <c r="AI62" s="25"/>
      <c r="AL62" s="24"/>
      <c r="AM62" s="26"/>
      <c r="AN62" s="26"/>
      <c r="AP62" s="24"/>
      <c r="AQ62" s="26"/>
      <c r="AR62" s="26"/>
      <c r="AT62" s="24"/>
      <c r="AU62" s="26"/>
      <c r="AV62" s="26"/>
      <c r="AX62" s="24"/>
      <c r="AY62" s="26"/>
      <c r="AZ62" s="26"/>
      <c r="BA62" s="24"/>
      <c r="BB62" s="24"/>
      <c r="BC62" s="25"/>
      <c r="BD62" s="25"/>
      <c r="BF62" s="23"/>
      <c r="BG62" s="23"/>
    </row>
    <row r="63" spans="4:62" ht="25.5" customHeight="1">
      <c r="J63" s="24"/>
      <c r="L63" s="586" t="s">
        <v>183</v>
      </c>
      <c r="M63" s="430">
        <v>0</v>
      </c>
      <c r="N63" s="430">
        <v>0</v>
      </c>
      <c r="O63" s="430">
        <v>0</v>
      </c>
      <c r="P63" s="430">
        <v>0</v>
      </c>
      <c r="Q63" s="430"/>
      <c r="R63" s="655"/>
      <c r="S63" s="430"/>
      <c r="T63" s="568">
        <f t="shared" si="37"/>
        <v>0</v>
      </c>
      <c r="U63" s="587"/>
      <c r="V63" s="466"/>
      <c r="W63" s="466"/>
      <c r="X63" s="466"/>
      <c r="Y63" s="465"/>
      <c r="Z63" s="466"/>
      <c r="AA63" s="466"/>
      <c r="AB63" s="466"/>
      <c r="AC63" s="465"/>
      <c r="AD63" s="466"/>
      <c r="AG63" s="26"/>
      <c r="AH63" s="24"/>
      <c r="AI63" s="24" t="s">
        <v>308</v>
      </c>
      <c r="AK63" s="49"/>
      <c r="AL63" s="24"/>
      <c r="AM63" s="26"/>
      <c r="AN63" s="26"/>
      <c r="AP63" s="24"/>
      <c r="AQ63" s="26"/>
      <c r="AR63" s="26"/>
      <c r="AT63" s="24"/>
      <c r="AU63" s="26"/>
      <c r="AV63" s="26"/>
      <c r="AX63" s="24"/>
      <c r="AY63" s="26"/>
      <c r="AZ63" s="26"/>
      <c r="BA63" s="24"/>
      <c r="BB63" s="24"/>
      <c r="BC63" s="25"/>
      <c r="BD63" s="25"/>
      <c r="BF63" s="23"/>
      <c r="BG63" s="23"/>
    </row>
    <row r="64" spans="4:62" ht="25.5" customHeight="1">
      <c r="J64" s="24"/>
      <c r="L64" s="586" t="s">
        <v>184</v>
      </c>
      <c r="M64" s="430">
        <v>0</v>
      </c>
      <c r="N64" s="430">
        <v>0</v>
      </c>
      <c r="O64" s="430">
        <v>0</v>
      </c>
      <c r="P64" s="430">
        <v>0</v>
      </c>
      <c r="Q64" s="430"/>
      <c r="R64" s="655"/>
      <c r="S64" s="430"/>
      <c r="T64" s="568">
        <f t="shared" si="37"/>
        <v>0</v>
      </c>
      <c r="U64" s="587"/>
      <c r="V64" s="466"/>
      <c r="W64" s="466"/>
      <c r="X64" s="466"/>
      <c r="Y64" s="465"/>
      <c r="Z64" s="466"/>
      <c r="AA64" s="466"/>
      <c r="AB64" s="466"/>
      <c r="AC64" s="465"/>
      <c r="AD64" s="466"/>
      <c r="AG64" s="26"/>
      <c r="AH64" s="24"/>
      <c r="AK64" s="49"/>
      <c r="AL64" s="24"/>
      <c r="AO64" s="26"/>
      <c r="AP64" s="24"/>
      <c r="AQ64" s="26"/>
      <c r="AR64" s="26"/>
      <c r="AT64" s="24"/>
      <c r="AU64" s="26"/>
      <c r="AV64" s="26"/>
      <c r="AX64" s="24"/>
      <c r="AY64" s="26"/>
      <c r="AZ64" s="26"/>
      <c r="BA64" s="24"/>
      <c r="BB64" s="24"/>
      <c r="BE64" s="25"/>
      <c r="BF64" s="24"/>
      <c r="BG64" s="23"/>
    </row>
    <row r="65" spans="10:59" ht="25.5" customHeight="1">
      <c r="J65" s="24"/>
      <c r="L65" s="586" t="s">
        <v>170</v>
      </c>
      <c r="M65" s="430">
        <v>6</v>
      </c>
      <c r="N65" s="430">
        <v>1.5</v>
      </c>
      <c r="O65" s="430">
        <v>0</v>
      </c>
      <c r="P65" s="430">
        <v>0</v>
      </c>
      <c r="Q65" s="430"/>
      <c r="R65" s="655"/>
      <c r="S65" s="430"/>
      <c r="T65" s="568">
        <f t="shared" si="37"/>
        <v>7.5</v>
      </c>
      <c r="U65" s="587"/>
      <c r="V65" s="466"/>
      <c r="W65" s="466"/>
      <c r="X65" s="466"/>
      <c r="Y65" s="465"/>
      <c r="Z65" s="466"/>
      <c r="AA65" s="466"/>
      <c r="AB65" s="466"/>
      <c r="AC65" s="465"/>
      <c r="AD65" s="466"/>
      <c r="AG65" s="26"/>
      <c r="AH65" s="24"/>
      <c r="AK65" s="49"/>
      <c r="AL65" s="24"/>
      <c r="AO65" s="26"/>
      <c r="AP65" s="24"/>
      <c r="AQ65" s="26"/>
      <c r="AR65" s="26"/>
      <c r="AT65" s="24"/>
      <c r="AU65" s="26"/>
      <c r="AV65" s="26"/>
      <c r="AX65" s="24"/>
      <c r="AY65" s="26"/>
      <c r="AZ65" s="26"/>
      <c r="BA65" s="24"/>
      <c r="BB65" s="24"/>
      <c r="BE65" s="25"/>
      <c r="BF65" s="24"/>
      <c r="BG65" s="23"/>
    </row>
    <row r="66" spans="10:59" ht="25.5" customHeight="1">
      <c r="J66" s="24"/>
      <c r="L66" s="586" t="s">
        <v>171</v>
      </c>
      <c r="M66" s="430">
        <v>0</v>
      </c>
      <c r="N66" s="430">
        <v>0</v>
      </c>
      <c r="O66" s="430">
        <v>0</v>
      </c>
      <c r="P66" s="430">
        <v>0</v>
      </c>
      <c r="Q66" s="430"/>
      <c r="R66" s="655"/>
      <c r="S66" s="430"/>
      <c r="T66" s="568">
        <f t="shared" si="37"/>
        <v>0</v>
      </c>
      <c r="U66" s="587"/>
      <c r="V66" s="466"/>
      <c r="W66" s="466"/>
      <c r="X66" s="466"/>
      <c r="Y66" s="465"/>
      <c r="Z66" s="466"/>
      <c r="AA66" s="466"/>
      <c r="AB66" s="466"/>
      <c r="AC66" s="465"/>
      <c r="AD66" s="466"/>
      <c r="AG66" s="26"/>
      <c r="AH66" s="24"/>
      <c r="AK66" s="49"/>
      <c r="AL66" s="24"/>
      <c r="AO66" s="26"/>
      <c r="AP66" s="24"/>
      <c r="AQ66" s="26"/>
      <c r="AR66" s="26"/>
      <c r="AT66" s="24"/>
      <c r="AU66" s="26"/>
      <c r="AV66" s="26"/>
      <c r="AX66" s="24"/>
      <c r="AY66" s="26"/>
      <c r="AZ66" s="26"/>
      <c r="BA66" s="24"/>
      <c r="BB66" s="24"/>
      <c r="BE66" s="25"/>
      <c r="BF66" s="24"/>
      <c r="BG66" s="23"/>
    </row>
    <row r="67" spans="10:59" ht="25.5" customHeight="1">
      <c r="J67" s="24"/>
      <c r="L67" s="586" t="s">
        <v>190</v>
      </c>
      <c r="M67" s="430">
        <v>8</v>
      </c>
      <c r="N67" s="430">
        <v>0</v>
      </c>
      <c r="O67" s="430">
        <v>0</v>
      </c>
      <c r="P67" s="430">
        <v>0</v>
      </c>
      <c r="Q67" s="430"/>
      <c r="R67" s="655"/>
      <c r="S67" s="430"/>
      <c r="T67" s="568">
        <f t="shared" si="37"/>
        <v>8</v>
      </c>
      <c r="U67" s="587"/>
      <c r="V67" s="466"/>
      <c r="W67" s="466"/>
      <c r="X67" s="466"/>
      <c r="Y67" s="465"/>
      <c r="Z67" s="466"/>
      <c r="AA67" s="466"/>
      <c r="AB67" s="466"/>
      <c r="AC67" s="465"/>
      <c r="AD67" s="466"/>
      <c r="AG67" s="26"/>
      <c r="AH67" s="24"/>
      <c r="AK67" s="49"/>
      <c r="AL67" s="24"/>
      <c r="AO67" s="26"/>
      <c r="AP67" s="24"/>
      <c r="AQ67" s="26"/>
      <c r="AR67" s="26"/>
      <c r="AT67" s="24"/>
      <c r="AU67" s="26"/>
      <c r="AV67" s="26"/>
      <c r="AX67" s="24"/>
      <c r="AY67" s="26"/>
      <c r="AZ67" s="26"/>
      <c r="BA67" s="24"/>
      <c r="BB67" s="24"/>
      <c r="BE67" s="25"/>
      <c r="BF67" s="24"/>
      <c r="BG67" s="23"/>
    </row>
    <row r="68" spans="10:59" ht="25.5" customHeight="1">
      <c r="J68" s="24"/>
      <c r="L68" s="586" t="s">
        <v>185</v>
      </c>
      <c r="M68" s="430">
        <v>10</v>
      </c>
      <c r="N68" s="430">
        <v>0</v>
      </c>
      <c r="O68" s="430">
        <v>0</v>
      </c>
      <c r="P68" s="430">
        <v>1</v>
      </c>
      <c r="Q68" s="430"/>
      <c r="R68" s="655"/>
      <c r="S68" s="430"/>
      <c r="T68" s="568">
        <f t="shared" si="37"/>
        <v>11</v>
      </c>
      <c r="U68" s="587"/>
      <c r="V68" s="466"/>
      <c r="W68" s="466"/>
      <c r="X68" s="466"/>
      <c r="Y68" s="465"/>
      <c r="Z68" s="466"/>
      <c r="AA68" s="466"/>
      <c r="AB68" s="466"/>
      <c r="AC68" s="465"/>
      <c r="AD68" s="466"/>
      <c r="AG68" s="26"/>
      <c r="AH68" s="24"/>
      <c r="AK68" s="49"/>
      <c r="AL68" s="24"/>
      <c r="AO68" s="26"/>
      <c r="AP68" s="24"/>
      <c r="AQ68" s="26"/>
      <c r="AR68" s="26"/>
      <c r="AT68" s="24"/>
      <c r="AU68" s="26"/>
      <c r="AV68" s="26"/>
      <c r="AX68" s="24"/>
      <c r="AY68" s="26"/>
      <c r="AZ68" s="26"/>
      <c r="BA68" s="24"/>
      <c r="BB68" s="24"/>
      <c r="BE68" s="25"/>
      <c r="BF68" s="24"/>
      <c r="BG68" s="23"/>
    </row>
    <row r="69" spans="10:59" ht="25.5" customHeight="1">
      <c r="L69" s="586" t="s">
        <v>202</v>
      </c>
      <c r="M69" s="430">
        <v>0</v>
      </c>
      <c r="N69" s="430">
        <v>0</v>
      </c>
      <c r="O69" s="430">
        <v>0</v>
      </c>
      <c r="P69" s="430">
        <v>0</v>
      </c>
      <c r="Q69" s="430"/>
      <c r="R69" s="655"/>
      <c r="S69" s="430"/>
      <c r="T69" s="568">
        <f t="shared" si="37"/>
        <v>0</v>
      </c>
      <c r="U69" s="587"/>
      <c r="V69" s="466"/>
      <c r="W69" s="466"/>
      <c r="X69" s="466"/>
      <c r="Y69" s="465"/>
      <c r="Z69" s="466"/>
      <c r="AA69" s="466"/>
      <c r="AB69" s="466"/>
      <c r="AC69" s="465"/>
      <c r="AD69" s="466"/>
      <c r="AG69" s="26"/>
      <c r="AH69" s="24"/>
      <c r="AK69" s="49"/>
      <c r="AL69" s="24"/>
      <c r="AO69" s="26"/>
      <c r="AP69" s="24"/>
      <c r="AQ69" s="26"/>
      <c r="AR69" s="26"/>
      <c r="AT69" s="24"/>
      <c r="AU69" s="26"/>
      <c r="AV69" s="26"/>
      <c r="AX69" s="24"/>
      <c r="AY69" s="26"/>
      <c r="AZ69" s="26"/>
      <c r="BA69" s="24"/>
      <c r="BB69" s="24"/>
      <c r="BE69" s="25"/>
      <c r="BF69" s="24"/>
      <c r="BG69" s="23"/>
    </row>
    <row r="70" spans="10:59" ht="25.5" customHeight="1">
      <c r="L70" s="586" t="s">
        <v>186</v>
      </c>
      <c r="M70" s="430">
        <v>2.6</v>
      </c>
      <c r="N70" s="430">
        <v>0</v>
      </c>
      <c r="O70" s="430">
        <v>0</v>
      </c>
      <c r="P70" s="430">
        <v>0.5</v>
      </c>
      <c r="Q70" s="430"/>
      <c r="R70" s="655"/>
      <c r="S70" s="430"/>
      <c r="T70" s="568">
        <f t="shared" si="37"/>
        <v>3.1</v>
      </c>
      <c r="U70" s="587"/>
      <c r="V70" s="466"/>
      <c r="W70" s="466"/>
      <c r="X70" s="466"/>
      <c r="Y70" s="465"/>
      <c r="Z70" s="466"/>
      <c r="AA70" s="466"/>
      <c r="AB70" s="466"/>
      <c r="AC70" s="465"/>
      <c r="AD70" s="466"/>
      <c r="AG70" s="26"/>
      <c r="AH70" s="24"/>
      <c r="AK70" s="49"/>
      <c r="AL70" s="24"/>
      <c r="AM70" s="26"/>
      <c r="AN70" s="26"/>
      <c r="AY70" s="24"/>
      <c r="AZ70" s="24"/>
      <c r="BA70" s="24"/>
      <c r="BB70" s="24"/>
      <c r="BC70" s="25"/>
      <c r="BD70" s="25"/>
      <c r="BF70" s="23"/>
      <c r="BG70" s="23"/>
    </row>
    <row r="71" spans="10:59" ht="25.5" customHeight="1">
      <c r="L71" s="586" t="s">
        <v>203</v>
      </c>
      <c r="M71" s="430">
        <v>0</v>
      </c>
      <c r="N71" s="430">
        <v>0</v>
      </c>
      <c r="O71" s="430">
        <v>0</v>
      </c>
      <c r="P71" s="430">
        <v>0</v>
      </c>
      <c r="Q71" s="430"/>
      <c r="R71" s="655"/>
      <c r="S71" s="430"/>
      <c r="T71" s="568">
        <f t="shared" si="37"/>
        <v>0</v>
      </c>
      <c r="U71" s="587"/>
      <c r="V71" s="466"/>
      <c r="W71" s="466"/>
      <c r="X71" s="466"/>
      <c r="Y71" s="465"/>
      <c r="Z71" s="466"/>
      <c r="AA71" s="466"/>
      <c r="AB71" s="466"/>
      <c r="AC71" s="465"/>
      <c r="AD71" s="466"/>
      <c r="AG71" s="26"/>
      <c r="AH71" s="24"/>
      <c r="AK71" s="49"/>
      <c r="AL71" s="24"/>
      <c r="AM71" s="26"/>
      <c r="AN71" s="26"/>
      <c r="AY71" s="24"/>
      <c r="AZ71" s="24"/>
      <c r="BA71" s="24"/>
      <c r="BB71" s="24"/>
      <c r="BC71" s="25"/>
      <c r="BD71" s="25"/>
      <c r="BF71" s="23"/>
      <c r="BG71" s="23"/>
    </row>
    <row r="72" spans="10:59" ht="24" thickBot="1">
      <c r="L72" s="588" t="s">
        <v>191</v>
      </c>
      <c r="M72" s="589">
        <f t="shared" ref="M72" si="38">SUM(M62:M71)</f>
        <v>26.6</v>
      </c>
      <c r="N72" s="444">
        <f>SUM(N62:N71)</f>
        <v>1.5</v>
      </c>
      <c r="O72" s="444">
        <f t="shared" ref="O72" si="39">SUM(O62:O71)</f>
        <v>0</v>
      </c>
      <c r="P72" s="444">
        <f>SUM(P62:P71)</f>
        <v>1.5</v>
      </c>
      <c r="Q72" s="444">
        <f>SUM(Q62:Q71)</f>
        <v>0</v>
      </c>
      <c r="R72" s="444">
        <f>SUM(R62:R71)</f>
        <v>0</v>
      </c>
      <c r="S72" s="444">
        <f t="shared" ref="S72" si="40">SUM(S62:S71)</f>
        <v>0</v>
      </c>
      <c r="T72" s="630">
        <f>SUM(T62:T71)</f>
        <v>29.6</v>
      </c>
      <c r="U72" s="631">
        <f>SUM(U62:U71)</f>
        <v>0</v>
      </c>
      <c r="V72" s="466"/>
      <c r="W72" s="466"/>
      <c r="X72" s="466"/>
      <c r="Y72" s="465"/>
      <c r="Z72" s="466"/>
      <c r="AA72" s="466"/>
      <c r="AB72" s="466"/>
      <c r="AC72" s="465"/>
      <c r="AD72" s="466"/>
      <c r="AG72" s="26"/>
      <c r="AH72" s="24"/>
      <c r="AK72" s="49"/>
      <c r="AL72" s="24"/>
      <c r="AM72" s="26"/>
      <c r="AN72" s="26"/>
      <c r="AY72" s="24"/>
      <c r="AZ72" s="24"/>
      <c r="BA72" s="24"/>
      <c r="BB72" s="24"/>
      <c r="BC72" s="25"/>
      <c r="BD72" s="25"/>
      <c r="BF72" s="23"/>
      <c r="BG72" s="23"/>
    </row>
    <row r="73" spans="10:59" ht="27" thickBot="1">
      <c r="L73" s="1932" t="s">
        <v>221</v>
      </c>
      <c r="M73" s="1932"/>
      <c r="N73" s="1932"/>
      <c r="O73" s="1932"/>
      <c r="P73" s="1932"/>
      <c r="Q73" s="1932"/>
      <c r="R73" s="1932"/>
      <c r="S73" s="1947"/>
      <c r="T73" s="1933">
        <f>T72+U72</f>
        <v>29.6</v>
      </c>
      <c r="U73" s="1948"/>
      <c r="V73" s="466"/>
      <c r="W73" s="466"/>
      <c r="X73" s="466"/>
      <c r="Y73" s="465"/>
      <c r="Z73" s="466"/>
      <c r="AA73" s="466"/>
      <c r="AB73" s="466"/>
      <c r="AC73" s="465"/>
      <c r="AD73" s="466"/>
      <c r="AG73" s="26"/>
      <c r="AH73" s="24"/>
      <c r="AK73" s="49"/>
      <c r="AL73" s="24"/>
      <c r="AM73" s="26"/>
      <c r="AN73" s="26"/>
      <c r="AY73" s="24"/>
      <c r="AZ73" s="24"/>
      <c r="BA73" s="24"/>
      <c r="BB73" s="24"/>
      <c r="BC73" s="25"/>
      <c r="BD73" s="25"/>
      <c r="BF73" s="23"/>
      <c r="BG73" s="23"/>
    </row>
    <row r="74" spans="10:59" ht="26.25" customHeight="1">
      <c r="L74" s="966"/>
      <c r="M74" s="1922" t="s">
        <v>235</v>
      </c>
      <c r="N74" s="1922"/>
      <c r="O74" s="1922"/>
      <c r="P74" s="1922"/>
      <c r="Q74" s="1922"/>
      <c r="R74" s="1922"/>
      <c r="S74" s="1922"/>
      <c r="T74" s="1920">
        <f>M72+U72</f>
        <v>26.6</v>
      </c>
      <c r="U74" s="1920"/>
      <c r="V74" s="466"/>
      <c r="W74" s="466"/>
      <c r="X74" s="466"/>
      <c r="Y74" s="465"/>
      <c r="Z74" s="466"/>
      <c r="AA74" s="466"/>
      <c r="AB74" s="466"/>
      <c r="AC74" s="465"/>
      <c r="AD74" s="466"/>
      <c r="AG74" s="26"/>
      <c r="AH74" s="24"/>
      <c r="AK74" s="49"/>
      <c r="AL74" s="24"/>
      <c r="AM74" s="26"/>
      <c r="AN74" s="26"/>
      <c r="AP74" s="24"/>
      <c r="AQ74" s="26"/>
      <c r="AR74" s="26"/>
      <c r="AT74" s="24"/>
      <c r="AU74" s="26"/>
      <c r="AV74" s="26"/>
      <c r="AW74" s="50"/>
      <c r="AX74" s="50"/>
      <c r="AY74" s="26"/>
      <c r="AZ74" s="26"/>
      <c r="BA74" s="24"/>
      <c r="BB74" s="24"/>
      <c r="BC74" s="25"/>
      <c r="BD74" s="25"/>
      <c r="BF74" s="23"/>
      <c r="BG74" s="23"/>
    </row>
    <row r="75" spans="10:59" ht="27" customHeight="1">
      <c r="L75" s="26"/>
      <c r="M75" s="26"/>
      <c r="N75" s="24"/>
      <c r="P75" s="26"/>
      <c r="Q75" s="26"/>
      <c r="R75" s="24"/>
      <c r="T75" s="26"/>
      <c r="U75" s="26"/>
      <c r="V75" s="24"/>
      <c r="W75" s="466"/>
      <c r="X75" s="466"/>
      <c r="Y75" s="465"/>
      <c r="Z75" s="466"/>
      <c r="AA75" s="466"/>
      <c r="AB75" s="466"/>
      <c r="AC75" s="466"/>
      <c r="AD75" s="465"/>
      <c r="AE75" s="466"/>
      <c r="AN75" s="26"/>
      <c r="AO75" s="26"/>
      <c r="AP75" s="24"/>
      <c r="AR75" s="26"/>
      <c r="AS75" s="26"/>
      <c r="AT75" s="24"/>
      <c r="AV75" s="26"/>
      <c r="AW75" s="26"/>
      <c r="AX75" s="50"/>
      <c r="AZ75" s="26"/>
      <c r="BA75" s="26"/>
      <c r="BB75" s="24"/>
      <c r="BD75" s="25"/>
      <c r="BE75" s="25"/>
      <c r="BF75" s="24"/>
      <c r="BG75" s="23"/>
    </row>
    <row r="76" spans="10:59">
      <c r="L76" s="26"/>
      <c r="M76" s="26"/>
      <c r="N76" s="24"/>
      <c r="P76" s="26"/>
      <c r="Q76" s="26"/>
      <c r="R76" s="24"/>
      <c r="T76" s="26"/>
      <c r="U76" s="26"/>
      <c r="V76" s="24"/>
      <c r="W76" s="466"/>
      <c r="X76" s="466"/>
      <c r="Y76" s="466"/>
      <c r="Z76" s="465"/>
      <c r="AA76" s="466"/>
      <c r="AB76" s="466"/>
      <c r="AC76" s="466"/>
      <c r="AD76" s="465"/>
      <c r="AE76" s="466"/>
      <c r="AN76" s="26"/>
      <c r="AO76" s="26"/>
      <c r="AP76" s="24"/>
      <c r="AR76" s="26"/>
      <c r="AS76" s="26"/>
      <c r="AT76" s="24"/>
      <c r="AV76" s="26"/>
      <c r="AW76" s="26"/>
      <c r="AX76" s="50"/>
      <c r="AZ76" s="26"/>
      <c r="BA76" s="26"/>
      <c r="BB76" s="24"/>
      <c r="BD76" s="25"/>
      <c r="BE76" s="25"/>
      <c r="BF76" s="24"/>
      <c r="BG76" s="23"/>
    </row>
    <row r="77" spans="10:59">
      <c r="L77" s="26"/>
      <c r="M77" s="26"/>
      <c r="N77" s="24"/>
      <c r="P77" s="26"/>
      <c r="Q77" s="26"/>
      <c r="R77" s="24"/>
      <c r="T77" s="26"/>
      <c r="U77" s="26"/>
      <c r="V77" s="24"/>
      <c r="W77" s="466"/>
      <c r="X77" s="466"/>
      <c r="Y77" s="466"/>
      <c r="Z77" s="465"/>
      <c r="AA77" s="466"/>
      <c r="AB77" s="466"/>
      <c r="AC77" s="466"/>
      <c r="AD77" s="465"/>
      <c r="AE77" s="466"/>
      <c r="AN77" s="26"/>
      <c r="AO77" s="26"/>
      <c r="AP77" s="24"/>
      <c r="AR77" s="26"/>
      <c r="AS77" s="26"/>
      <c r="AT77" s="24"/>
      <c r="AV77" s="26"/>
      <c r="AW77" s="26"/>
      <c r="AX77" s="50"/>
      <c r="AZ77" s="26"/>
      <c r="BA77" s="26"/>
      <c r="BB77" s="24"/>
      <c r="BD77" s="25"/>
      <c r="BE77" s="25"/>
      <c r="BF77" s="24"/>
      <c r="BG77" s="23"/>
    </row>
    <row r="78" spans="10:59">
      <c r="L78" s="26"/>
      <c r="M78" s="26"/>
      <c r="N78" s="24"/>
      <c r="P78" s="26"/>
      <c r="Q78" s="26"/>
      <c r="R78" s="24"/>
      <c r="T78" s="26"/>
      <c r="U78" s="26"/>
      <c r="V78" s="24"/>
      <c r="W78" s="466"/>
      <c r="X78" s="466"/>
      <c r="Y78" s="466"/>
      <c r="Z78" s="465"/>
      <c r="AA78" s="466"/>
      <c r="AB78" s="466"/>
      <c r="AC78" s="466"/>
      <c r="AD78" s="465"/>
      <c r="AE78" s="466"/>
      <c r="AN78" s="26"/>
      <c r="AO78" s="26"/>
      <c r="AP78" s="24"/>
      <c r="AR78" s="26"/>
      <c r="AS78" s="26"/>
      <c r="AT78" s="24"/>
      <c r="AV78" s="26"/>
      <c r="AW78" s="26"/>
      <c r="AX78" s="50"/>
      <c r="AZ78" s="26"/>
      <c r="BA78" s="26"/>
      <c r="BB78" s="24"/>
      <c r="BD78" s="25"/>
      <c r="BE78" s="25"/>
      <c r="BF78" s="24"/>
      <c r="BG78" s="23"/>
    </row>
    <row r="79" spans="10:59">
      <c r="L79" s="26"/>
      <c r="M79" s="26"/>
      <c r="N79" s="24"/>
      <c r="P79" s="26"/>
      <c r="Q79" s="26"/>
      <c r="R79" s="24"/>
      <c r="T79" s="26"/>
      <c r="U79" s="26"/>
      <c r="V79" s="24"/>
      <c r="X79" s="26"/>
      <c r="Y79" s="466"/>
      <c r="Z79" s="465"/>
      <c r="AB79" s="26"/>
      <c r="AC79" s="26"/>
      <c r="AD79" s="24"/>
      <c r="AF79" s="26"/>
      <c r="AG79" s="26"/>
      <c r="AH79" s="24"/>
      <c r="AJ79" s="49"/>
      <c r="AK79" s="49"/>
      <c r="AL79" s="24"/>
      <c r="AN79" s="26"/>
      <c r="AO79" s="26"/>
      <c r="AP79" s="24"/>
      <c r="AR79" s="26"/>
      <c r="AS79" s="26"/>
      <c r="AT79" s="24"/>
      <c r="AV79" s="26"/>
      <c r="AW79" s="26"/>
      <c r="AX79" s="50"/>
      <c r="AZ79" s="26"/>
      <c r="BA79" s="26"/>
      <c r="BB79" s="24"/>
      <c r="BD79" s="25"/>
      <c r="BE79" s="25"/>
      <c r="BF79" s="24"/>
      <c r="BG79" s="23"/>
    </row>
    <row r="80" spans="10:59">
      <c r="L80" s="26"/>
      <c r="M80" s="26"/>
      <c r="N80" s="24"/>
      <c r="P80" s="26"/>
      <c r="Q80" s="26"/>
      <c r="R80" s="24"/>
      <c r="T80" s="26"/>
      <c r="U80" s="26"/>
      <c r="V80" s="24"/>
      <c r="X80" s="26"/>
      <c r="Y80" s="26"/>
      <c r="Z80" s="24"/>
      <c r="AB80" s="26"/>
      <c r="AC80" s="26"/>
      <c r="AD80" s="24"/>
      <c r="AF80" s="26"/>
      <c r="AG80" s="26"/>
      <c r="AH80" s="24"/>
      <c r="AJ80" s="49"/>
      <c r="AK80" s="49"/>
      <c r="AL80" s="24"/>
      <c r="AN80" s="26"/>
      <c r="AO80" s="26"/>
      <c r="AP80" s="24"/>
      <c r="AR80" s="26"/>
      <c r="AS80" s="26"/>
      <c r="AT80" s="24"/>
      <c r="AV80" s="26"/>
      <c r="AW80" s="26"/>
      <c r="AX80" s="50"/>
      <c r="AZ80" s="26"/>
      <c r="BA80" s="26"/>
      <c r="BB80" s="24"/>
      <c r="BD80" s="25"/>
      <c r="BE80" s="25"/>
      <c r="BF80" s="24"/>
      <c r="BG80" s="23"/>
    </row>
    <row r="81" spans="25:26">
      <c r="Y81" s="26"/>
      <c r="Z81" s="24"/>
    </row>
  </sheetData>
  <mergeCells count="62">
    <mergeCell ref="Y59:AC59"/>
    <mergeCell ref="AD59:AE59"/>
    <mergeCell ref="V45:AE45"/>
    <mergeCell ref="H26:I26"/>
    <mergeCell ref="H10:I10"/>
    <mergeCell ref="H12:BI12"/>
    <mergeCell ref="J13:M13"/>
    <mergeCell ref="N13:Q13"/>
    <mergeCell ref="R13:U13"/>
    <mergeCell ref="V13:Y13"/>
    <mergeCell ref="Z13:AC13"/>
    <mergeCell ref="AD13:AG13"/>
    <mergeCell ref="AH13:AK13"/>
    <mergeCell ref="L31:S31"/>
    <mergeCell ref="L45:T45"/>
    <mergeCell ref="O58:R58"/>
    <mergeCell ref="C15:C24"/>
    <mergeCell ref="H15:H23"/>
    <mergeCell ref="H24:I24"/>
    <mergeCell ref="D13:F13"/>
    <mergeCell ref="H13:I14"/>
    <mergeCell ref="C14:D14"/>
    <mergeCell ref="C2:F2"/>
    <mergeCell ref="H2:K2"/>
    <mergeCell ref="C6:C9"/>
    <mergeCell ref="H6:H9"/>
    <mergeCell ref="D4:F4"/>
    <mergeCell ref="H4:I5"/>
    <mergeCell ref="C5:D5"/>
    <mergeCell ref="N2:AZ2"/>
    <mergeCell ref="BB2:BI2"/>
    <mergeCell ref="H3:BI3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S58:T58"/>
    <mergeCell ref="BF13:BI13"/>
    <mergeCell ref="BC27:BC28"/>
    <mergeCell ref="BH27:BI27"/>
    <mergeCell ref="V31:AD31"/>
    <mergeCell ref="AL13:AO13"/>
    <mergeCell ref="AP13:AS13"/>
    <mergeCell ref="AT13:AW13"/>
    <mergeCell ref="AX13:BA13"/>
    <mergeCell ref="BB13:BE13"/>
    <mergeCell ref="AD58:AE58"/>
    <mergeCell ref="V58:AC58"/>
    <mergeCell ref="L73:S73"/>
    <mergeCell ref="M74:S74"/>
    <mergeCell ref="T73:U73"/>
    <mergeCell ref="T74:U74"/>
    <mergeCell ref="L60:U60"/>
  </mergeCells>
  <conditionalFormatting sqref="M47:R56">
    <cfRule type="cellIs" dxfId="61" priority="2" operator="equal">
      <formula>0</formula>
    </cfRule>
  </conditionalFormatting>
  <conditionalFormatting sqref="M62:P71">
    <cfRule type="cellIs" dxfId="60" priority="1" operator="equal">
      <formula>0</formula>
    </cfRule>
  </conditionalFormatting>
  <printOptions horizontalCentered="1"/>
  <pageMargins left="0.19" right="0.16" top="0.46" bottom="0.74803149606299213" header="0.31496062992125984" footer="0.31496062992125984"/>
  <pageSetup paperSize="9" scale="46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J84"/>
  <sheetViews>
    <sheetView showGridLines="0" topLeftCell="G1" zoomScale="59" zoomScaleNormal="59" workbookViewId="0">
      <pane xSplit="3" topLeftCell="AI1" activePane="topRight" state="frozen"/>
      <selection activeCell="G1" sqref="G1"/>
      <selection pane="topRight" activeCell="AW35" sqref="AW35"/>
    </sheetView>
  </sheetViews>
  <sheetFormatPr defaultColWidth="9.140625" defaultRowHeight="15"/>
  <cols>
    <col min="1" max="2" width="9.140625" style="23" hidden="1" customWidth="1"/>
    <col min="3" max="3" width="14.5703125" style="23" hidden="1" customWidth="1"/>
    <col min="4" max="4" width="11.42578125" style="27" hidden="1" customWidth="1"/>
    <col min="5" max="5" width="6.85546875" style="27" hidden="1" customWidth="1"/>
    <col min="6" max="6" width="9.140625" style="27" hidden="1" customWidth="1"/>
    <col min="7" max="7" width="3.42578125" style="23" hidden="1" customWidth="1"/>
    <col min="8" max="8" width="6.140625" style="23" customWidth="1"/>
    <col min="9" max="9" width="15.28515625" style="27" bestFit="1" customWidth="1"/>
    <col min="10" max="10" width="11.5703125" style="26" customWidth="1"/>
    <col min="11" max="11" width="9.140625" style="24" customWidth="1"/>
    <col min="12" max="13" width="12.85546875" style="24" customWidth="1"/>
    <col min="14" max="14" width="10.5703125" style="26" customWidth="1"/>
    <col min="15" max="15" width="10.28515625" style="24" customWidth="1"/>
    <col min="16" max="17" width="10.5703125" style="24" customWidth="1"/>
    <col min="18" max="18" width="8.5703125" style="26" customWidth="1"/>
    <col min="19" max="19" width="11.5703125" style="24" customWidth="1"/>
    <col min="20" max="20" width="14" style="24" bestFit="1" customWidth="1"/>
    <col min="21" max="21" width="10.5703125" style="24" customWidth="1"/>
    <col min="22" max="22" width="13" style="26" bestFit="1" customWidth="1"/>
    <col min="23" max="23" width="11" style="24" bestFit="1" customWidth="1"/>
    <col min="24" max="25" width="9.7109375" style="24" customWidth="1"/>
    <col min="26" max="26" width="9.5703125" style="26" customWidth="1"/>
    <col min="27" max="27" width="12.42578125" style="24" customWidth="1"/>
    <col min="28" max="29" width="11.85546875" style="24" customWidth="1"/>
    <col min="30" max="30" width="11" style="26" customWidth="1"/>
    <col min="31" max="31" width="11.7109375" style="24" bestFit="1" customWidth="1"/>
    <col min="32" max="32" width="11.7109375" style="24" customWidth="1"/>
    <col min="33" max="33" width="10.5703125" style="24" customWidth="1"/>
    <col min="34" max="34" width="11.5703125" style="26" bestFit="1" customWidth="1"/>
    <col min="35" max="35" width="13.5703125" style="24" customWidth="1"/>
    <col min="36" max="37" width="11.5703125" style="24" customWidth="1"/>
    <col min="38" max="38" width="10.5703125" style="49" customWidth="1"/>
    <col min="39" max="39" width="9" style="24" customWidth="1"/>
    <col min="40" max="40" width="12" style="24" bestFit="1" customWidth="1"/>
    <col min="41" max="41" width="12" style="24" customWidth="1"/>
    <col min="42" max="42" width="8.42578125" style="26" customWidth="1"/>
    <col min="43" max="43" width="10" style="24" bestFit="1" customWidth="1"/>
    <col min="44" max="44" width="13.85546875" style="24" bestFit="1" customWidth="1"/>
    <col min="45" max="45" width="13.85546875" style="24" customWidth="1"/>
    <col min="46" max="46" width="11.7109375" style="26" customWidth="1"/>
    <col min="47" max="47" width="11.7109375" style="24" customWidth="1"/>
    <col min="48" max="48" width="10.5703125" style="24" bestFit="1" customWidth="1"/>
    <col min="49" max="49" width="10.5703125" style="24" customWidth="1"/>
    <col min="50" max="50" width="9.140625" style="26" bestFit="1" customWidth="1"/>
    <col min="51" max="51" width="9.140625" style="50" bestFit="1" customWidth="1"/>
    <col min="52" max="52" width="10.5703125" style="50" bestFit="1" customWidth="1"/>
    <col min="53" max="53" width="10.5703125" style="50" customWidth="1"/>
    <col min="54" max="54" width="10.7109375" style="26" bestFit="1" customWidth="1"/>
    <col min="55" max="55" width="12.85546875" style="24" bestFit="1" customWidth="1"/>
    <col min="56" max="56" width="10.5703125" style="24" bestFit="1" customWidth="1"/>
    <col min="57" max="57" width="10.5703125" style="24" customWidth="1"/>
    <col min="58" max="58" width="16" style="25" bestFit="1" customWidth="1"/>
    <col min="59" max="59" width="10.7109375" style="24" bestFit="1" customWidth="1"/>
    <col min="60" max="60" width="13" style="23" bestFit="1" customWidth="1"/>
    <col min="61" max="16384" width="9.140625" style="23"/>
  </cols>
  <sheetData>
    <row r="1" spans="3:61" ht="15" customHeight="1" thickBot="1"/>
    <row r="2" spans="3:61" ht="21.75" thickBot="1">
      <c r="C2" s="1899" t="s">
        <v>45</v>
      </c>
      <c r="D2" s="1900"/>
      <c r="E2" s="1900"/>
      <c r="F2" s="1901"/>
      <c r="H2" s="1915"/>
      <c r="I2" s="1567"/>
      <c r="J2" s="1567"/>
      <c r="K2" s="1567"/>
      <c r="L2" s="1020"/>
      <c r="M2" s="1020"/>
      <c r="N2" s="1916" t="s">
        <v>249</v>
      </c>
      <c r="O2" s="1916"/>
      <c r="P2" s="1916"/>
      <c r="Q2" s="1916"/>
      <c r="R2" s="1916"/>
      <c r="S2" s="1916"/>
      <c r="T2" s="1916"/>
      <c r="U2" s="1916"/>
      <c r="V2" s="1916"/>
      <c r="W2" s="1916"/>
      <c r="X2" s="1916"/>
      <c r="Y2" s="1916"/>
      <c r="Z2" s="1916"/>
      <c r="AA2" s="1916"/>
      <c r="AB2" s="1916"/>
      <c r="AC2" s="1916"/>
      <c r="AD2" s="1916"/>
      <c r="AE2" s="1916"/>
      <c r="AF2" s="1916"/>
      <c r="AG2" s="1916"/>
      <c r="AH2" s="1916"/>
      <c r="AI2" s="1916"/>
      <c r="AJ2" s="1916"/>
      <c r="AK2" s="1916"/>
      <c r="AL2" s="1916"/>
      <c r="AM2" s="1916"/>
      <c r="AN2" s="1916"/>
      <c r="AO2" s="1916"/>
      <c r="AP2" s="1916"/>
      <c r="AQ2" s="1916"/>
      <c r="AR2" s="1916"/>
      <c r="AS2" s="1916"/>
      <c r="AT2" s="1916"/>
      <c r="AU2" s="1916"/>
      <c r="AV2" s="1916"/>
      <c r="AW2" s="1916"/>
      <c r="AX2" s="1916"/>
      <c r="AY2" s="1916"/>
      <c r="AZ2" s="1916"/>
      <c r="BA2" s="1020"/>
      <c r="BB2" s="1902" t="s">
        <v>118</v>
      </c>
      <c r="BC2" s="1903"/>
      <c r="BD2" s="1903"/>
      <c r="BE2" s="1903"/>
      <c r="BF2" s="1903"/>
      <c r="BG2" s="1903"/>
      <c r="BH2" s="1903"/>
      <c r="BI2" s="1904"/>
    </row>
    <row r="3" spans="3:61" ht="19.5" thickBot="1">
      <c r="C3" s="1019"/>
      <c r="D3" s="1017"/>
      <c r="E3" s="1017"/>
      <c r="F3" s="1023"/>
      <c r="H3" s="1905" t="s">
        <v>115</v>
      </c>
      <c r="I3" s="1906"/>
      <c r="J3" s="1906"/>
      <c r="K3" s="1906"/>
      <c r="L3" s="1906"/>
      <c r="M3" s="1906"/>
      <c r="N3" s="1906"/>
      <c r="O3" s="1906"/>
      <c r="P3" s="1906"/>
      <c r="Q3" s="1906"/>
      <c r="R3" s="1906"/>
      <c r="S3" s="1906"/>
      <c r="T3" s="1906"/>
      <c r="U3" s="1906"/>
      <c r="V3" s="1906"/>
      <c r="W3" s="1906"/>
      <c r="X3" s="1906"/>
      <c r="Y3" s="1906"/>
      <c r="Z3" s="1906"/>
      <c r="AA3" s="1906"/>
      <c r="AB3" s="1906"/>
      <c r="AC3" s="1906"/>
      <c r="AD3" s="1906"/>
      <c r="AE3" s="1906"/>
      <c r="AF3" s="1906"/>
      <c r="AG3" s="1906"/>
      <c r="AH3" s="1906"/>
      <c r="AI3" s="1906"/>
      <c r="AJ3" s="1906"/>
      <c r="AK3" s="1906"/>
      <c r="AL3" s="1906"/>
      <c r="AM3" s="1906"/>
      <c r="AN3" s="1906"/>
      <c r="AO3" s="1906"/>
      <c r="AP3" s="1906"/>
      <c r="AQ3" s="1906"/>
      <c r="AR3" s="1906"/>
      <c r="AS3" s="1906"/>
      <c r="AT3" s="1906"/>
      <c r="AU3" s="1906"/>
      <c r="AV3" s="1906"/>
      <c r="AW3" s="1906"/>
      <c r="AX3" s="1906"/>
      <c r="AY3" s="1906"/>
      <c r="AZ3" s="1906"/>
      <c r="BA3" s="1906"/>
      <c r="BB3" s="1906"/>
      <c r="BC3" s="1906"/>
      <c r="BD3" s="1906"/>
      <c r="BE3" s="1906"/>
      <c r="BF3" s="1906"/>
      <c r="BG3" s="1906"/>
      <c r="BH3" s="1906"/>
      <c r="BI3" s="1907"/>
    </row>
    <row r="4" spans="3:61" ht="18.75">
      <c r="C4" s="37" t="s">
        <v>44</v>
      </c>
      <c r="D4" s="1869"/>
      <c r="E4" s="1869"/>
      <c r="F4" s="1870"/>
      <c r="H4" s="1908" t="s">
        <v>33</v>
      </c>
      <c r="I4" s="1909"/>
      <c r="J4" s="1871" t="s">
        <v>43</v>
      </c>
      <c r="K4" s="1872"/>
      <c r="L4" s="1872"/>
      <c r="M4" s="1873"/>
      <c r="N4" s="1871" t="s">
        <v>42</v>
      </c>
      <c r="O4" s="1872"/>
      <c r="P4" s="1872"/>
      <c r="Q4" s="1873"/>
      <c r="R4" s="1871" t="s">
        <v>41</v>
      </c>
      <c r="S4" s="1872"/>
      <c r="T4" s="1872"/>
      <c r="U4" s="1873"/>
      <c r="V4" s="1871" t="s">
        <v>40</v>
      </c>
      <c r="W4" s="1872"/>
      <c r="X4" s="1872"/>
      <c r="Y4" s="1873"/>
      <c r="Z4" s="1871" t="s">
        <v>39</v>
      </c>
      <c r="AA4" s="1872"/>
      <c r="AB4" s="1872"/>
      <c r="AC4" s="1873"/>
      <c r="AD4" s="1871" t="s">
        <v>38</v>
      </c>
      <c r="AE4" s="1872"/>
      <c r="AF4" s="1872"/>
      <c r="AG4" s="1873"/>
      <c r="AH4" s="1874" t="s">
        <v>122</v>
      </c>
      <c r="AI4" s="1875"/>
      <c r="AJ4" s="1875"/>
      <c r="AK4" s="1876"/>
      <c r="AL4" s="1871" t="s">
        <v>37</v>
      </c>
      <c r="AM4" s="1872"/>
      <c r="AN4" s="1872"/>
      <c r="AO4" s="1873"/>
      <c r="AP4" s="1871" t="s">
        <v>36</v>
      </c>
      <c r="AQ4" s="1872"/>
      <c r="AR4" s="1872"/>
      <c r="AS4" s="1873"/>
      <c r="AT4" s="1871" t="s">
        <v>35</v>
      </c>
      <c r="AU4" s="1872"/>
      <c r="AV4" s="1872"/>
      <c r="AW4" s="1873"/>
      <c r="AX4" s="1871" t="s">
        <v>34</v>
      </c>
      <c r="AY4" s="1872"/>
      <c r="AZ4" s="1872"/>
      <c r="BA4" s="1873"/>
      <c r="BB4" s="1874" t="s">
        <v>123</v>
      </c>
      <c r="BC4" s="1875"/>
      <c r="BD4" s="1875"/>
      <c r="BE4" s="1876"/>
      <c r="BF4" s="1877" t="s">
        <v>17</v>
      </c>
      <c r="BG4" s="1878"/>
      <c r="BH4" s="1878"/>
      <c r="BI4" s="1878"/>
    </row>
    <row r="5" spans="3:61" ht="15.75" customHeight="1">
      <c r="C5" s="1879" t="s">
        <v>33</v>
      </c>
      <c r="D5" s="1869"/>
      <c r="E5" s="1017" t="s">
        <v>1</v>
      </c>
      <c r="F5" s="1023" t="s">
        <v>2</v>
      </c>
      <c r="H5" s="1910"/>
      <c r="I5" s="1911"/>
      <c r="J5" s="36" t="s">
        <v>1</v>
      </c>
      <c r="K5" s="271" t="s">
        <v>2</v>
      </c>
      <c r="L5" s="693" t="s">
        <v>182</v>
      </c>
      <c r="M5" s="35" t="s">
        <v>247</v>
      </c>
      <c r="N5" s="36" t="s">
        <v>1</v>
      </c>
      <c r="O5" s="271" t="s">
        <v>2</v>
      </c>
      <c r="P5" s="693" t="s">
        <v>182</v>
      </c>
      <c r="Q5" s="35" t="s">
        <v>247</v>
      </c>
      <c r="R5" s="36" t="s">
        <v>1</v>
      </c>
      <c r="S5" s="271" t="s">
        <v>2</v>
      </c>
      <c r="T5" s="693" t="s">
        <v>182</v>
      </c>
      <c r="U5" s="35" t="s">
        <v>247</v>
      </c>
      <c r="V5" s="36" t="s">
        <v>1</v>
      </c>
      <c r="W5" s="271" t="s">
        <v>2</v>
      </c>
      <c r="X5" s="693" t="s">
        <v>182</v>
      </c>
      <c r="Y5" s="35" t="s">
        <v>247</v>
      </c>
      <c r="Z5" s="36" t="s">
        <v>1</v>
      </c>
      <c r="AA5" s="271" t="s">
        <v>2</v>
      </c>
      <c r="AB5" s="693" t="s">
        <v>182</v>
      </c>
      <c r="AC5" s="35" t="s">
        <v>247</v>
      </c>
      <c r="AD5" s="36" t="s">
        <v>1</v>
      </c>
      <c r="AE5" s="271" t="s">
        <v>2</v>
      </c>
      <c r="AF5" s="693" t="s">
        <v>182</v>
      </c>
      <c r="AG5" s="35" t="s">
        <v>247</v>
      </c>
      <c r="AH5" s="36" t="s">
        <v>1</v>
      </c>
      <c r="AI5" s="271" t="s">
        <v>2</v>
      </c>
      <c r="AJ5" s="271" t="s">
        <v>182</v>
      </c>
      <c r="AK5" s="690" t="s">
        <v>196</v>
      </c>
      <c r="AL5" s="36" t="s">
        <v>1</v>
      </c>
      <c r="AM5" s="271" t="s">
        <v>2</v>
      </c>
      <c r="AN5" s="693" t="s">
        <v>182</v>
      </c>
      <c r="AO5" s="35" t="s">
        <v>247</v>
      </c>
      <c r="AP5" s="36" t="s">
        <v>1</v>
      </c>
      <c r="AQ5" s="271" t="s">
        <v>2</v>
      </c>
      <c r="AR5" s="693" t="s">
        <v>182</v>
      </c>
      <c r="AS5" s="35" t="s">
        <v>247</v>
      </c>
      <c r="AT5" s="36" t="s">
        <v>1</v>
      </c>
      <c r="AU5" s="271" t="s">
        <v>2</v>
      </c>
      <c r="AV5" s="693" t="s">
        <v>182</v>
      </c>
      <c r="AW5" s="35" t="s">
        <v>247</v>
      </c>
      <c r="AX5" s="36" t="s">
        <v>1</v>
      </c>
      <c r="AY5" s="271" t="s">
        <v>2</v>
      </c>
      <c r="AZ5" s="693" t="s">
        <v>182</v>
      </c>
      <c r="BA5" s="35" t="s">
        <v>247</v>
      </c>
      <c r="BB5" s="36" t="s">
        <v>1</v>
      </c>
      <c r="BC5" s="271" t="s">
        <v>2</v>
      </c>
      <c r="BD5" s="271" t="s">
        <v>182</v>
      </c>
      <c r="BE5" s="690" t="s">
        <v>196</v>
      </c>
      <c r="BF5" s="274" t="s">
        <v>1</v>
      </c>
      <c r="BG5" s="275" t="s">
        <v>2</v>
      </c>
      <c r="BH5" s="275" t="s">
        <v>182</v>
      </c>
      <c r="BI5" s="698" t="s">
        <v>196</v>
      </c>
    </row>
    <row r="6" spans="3:61" s="28" customFormat="1" ht="20.100000000000001" customHeight="1">
      <c r="C6" s="1879" t="s">
        <v>19</v>
      </c>
      <c r="D6" s="1017" t="s">
        <v>32</v>
      </c>
      <c r="E6" s="1017"/>
      <c r="F6" s="1018"/>
      <c r="H6" s="1886" t="s">
        <v>32</v>
      </c>
      <c r="I6" s="33" t="s">
        <v>32</v>
      </c>
      <c r="J6" s="462">
        <v>20</v>
      </c>
      <c r="K6" s="463">
        <v>10</v>
      </c>
      <c r="L6" s="463">
        <v>10</v>
      </c>
      <c r="M6" s="691">
        <v>25</v>
      </c>
      <c r="N6" s="462">
        <v>20</v>
      </c>
      <c r="O6" s="463">
        <v>20</v>
      </c>
      <c r="P6" s="463"/>
      <c r="Q6" s="691"/>
      <c r="R6" s="462"/>
      <c r="S6" s="463"/>
      <c r="T6" s="463"/>
      <c r="U6" s="691"/>
      <c r="V6" s="462">
        <v>6</v>
      </c>
      <c r="W6" s="463">
        <v>6</v>
      </c>
      <c r="X6" s="463"/>
      <c r="Y6" s="691"/>
      <c r="Z6" s="462"/>
      <c r="AA6" s="463"/>
      <c r="AB6" s="463"/>
      <c r="AC6" s="691"/>
      <c r="AD6" s="462">
        <v>10</v>
      </c>
      <c r="AE6" s="463">
        <v>15</v>
      </c>
      <c r="AF6" s="463">
        <v>15</v>
      </c>
      <c r="AG6" s="691"/>
      <c r="AH6" s="128">
        <f>J6+N6+R6+V6+Z6+AD6</f>
        <v>56</v>
      </c>
      <c r="AI6" s="273">
        <f>K6+O6+S6+W6+AA6+AE6</f>
        <v>51</v>
      </c>
      <c r="AJ6" s="273">
        <f>L6+P6+T6+X6+AB6+AF6</f>
        <v>25</v>
      </c>
      <c r="AK6" s="694">
        <f>M6+Q6+U6+Y6+AC6+AG6</f>
        <v>25</v>
      </c>
      <c r="AL6" s="462">
        <v>1</v>
      </c>
      <c r="AM6" s="463"/>
      <c r="AN6" s="463"/>
      <c r="AO6" s="691"/>
      <c r="AP6" s="462">
        <v>3.5</v>
      </c>
      <c r="AQ6" s="463">
        <v>1.05</v>
      </c>
      <c r="AR6" s="463">
        <v>1.05</v>
      </c>
      <c r="AS6" s="691"/>
      <c r="AT6" s="462">
        <v>5</v>
      </c>
      <c r="AU6" s="463"/>
      <c r="AV6" s="463"/>
      <c r="AW6" s="691"/>
      <c r="AX6" s="462">
        <v>5</v>
      </c>
      <c r="AY6" s="463"/>
      <c r="AZ6" s="463"/>
      <c r="BA6" s="691"/>
      <c r="BB6" s="128">
        <f>AL6+AP6+AT6+AX6</f>
        <v>14.5</v>
      </c>
      <c r="BC6" s="273">
        <f>AM6+AQ6+AU6+AY6</f>
        <v>1.05</v>
      </c>
      <c r="BD6" s="273">
        <f>AN6+AR6+AV6+AZ6</f>
        <v>1.05</v>
      </c>
      <c r="BE6" s="273">
        <f>AO6+AS6+AW6+BA6</f>
        <v>0</v>
      </c>
      <c r="BF6" s="276">
        <f>AH6+BB6</f>
        <v>70.5</v>
      </c>
      <c r="BG6" s="277">
        <f>AI6+BC6</f>
        <v>52.05</v>
      </c>
      <c r="BH6" s="701">
        <f>AJ6+BD6</f>
        <v>26.05</v>
      </c>
      <c r="BI6" s="699">
        <f>AK6+BE6</f>
        <v>25</v>
      </c>
    </row>
    <row r="7" spans="3:61" s="28" customFormat="1" ht="20.100000000000001" customHeight="1">
      <c r="C7" s="1879"/>
      <c r="D7" s="1017" t="s">
        <v>31</v>
      </c>
      <c r="E7" s="1017"/>
      <c r="F7" s="1018"/>
      <c r="H7" s="1887"/>
      <c r="I7" s="33" t="s">
        <v>31</v>
      </c>
      <c r="J7" s="462"/>
      <c r="K7" s="463"/>
      <c r="L7" s="463"/>
      <c r="M7" s="691"/>
      <c r="N7" s="462"/>
      <c r="O7" s="463"/>
      <c r="P7" s="463"/>
      <c r="Q7" s="691"/>
      <c r="R7" s="462"/>
      <c r="S7" s="463"/>
      <c r="T7" s="463"/>
      <c r="U7" s="691"/>
      <c r="V7" s="462"/>
      <c r="W7" s="463"/>
      <c r="X7" s="463"/>
      <c r="Y7" s="691"/>
      <c r="Z7" s="462"/>
      <c r="AA7" s="463"/>
      <c r="AB7" s="463"/>
      <c r="AC7" s="691"/>
      <c r="AD7" s="462"/>
      <c r="AE7" s="463"/>
      <c r="AF7" s="463"/>
      <c r="AG7" s="691"/>
      <c r="AH7" s="128">
        <f t="shared" ref="AH7:AK9" si="0">J7+N7+R7+V7+Z7+AD7</f>
        <v>0</v>
      </c>
      <c r="AI7" s="273">
        <f t="shared" si="0"/>
        <v>0</v>
      </c>
      <c r="AJ7" s="273">
        <f t="shared" si="0"/>
        <v>0</v>
      </c>
      <c r="AK7" s="694">
        <f t="shared" si="0"/>
        <v>0</v>
      </c>
      <c r="AL7" s="462"/>
      <c r="AM7" s="463"/>
      <c r="AN7" s="463"/>
      <c r="AO7" s="691"/>
      <c r="AP7" s="462"/>
      <c r="AQ7" s="463"/>
      <c r="AR7" s="463"/>
      <c r="AS7" s="691"/>
      <c r="AT7" s="462"/>
      <c r="AU7" s="463"/>
      <c r="AV7" s="463"/>
      <c r="AW7" s="691"/>
      <c r="AX7" s="462"/>
      <c r="AY7" s="463"/>
      <c r="AZ7" s="463"/>
      <c r="BA7" s="691"/>
      <c r="BB7" s="128">
        <f t="shared" ref="BB7:BE9" si="1">AL7+AP7+AT7+AX7</f>
        <v>0</v>
      </c>
      <c r="BC7" s="273">
        <f t="shared" si="1"/>
        <v>0</v>
      </c>
      <c r="BD7" s="273">
        <f t="shared" si="1"/>
        <v>0</v>
      </c>
      <c r="BE7" s="273">
        <f t="shared" si="1"/>
        <v>0</v>
      </c>
      <c r="BF7" s="276">
        <f t="shared" ref="BF7:BI9" si="2">AH7+BB7</f>
        <v>0</v>
      </c>
      <c r="BG7" s="277">
        <f t="shared" si="2"/>
        <v>0</v>
      </c>
      <c r="BH7" s="277">
        <f t="shared" si="2"/>
        <v>0</v>
      </c>
      <c r="BI7" s="699">
        <f t="shared" si="2"/>
        <v>0</v>
      </c>
    </row>
    <row r="8" spans="3:61" s="28" customFormat="1" ht="20.100000000000001" customHeight="1">
      <c r="C8" s="1879"/>
      <c r="D8" s="1017" t="s">
        <v>30</v>
      </c>
      <c r="E8" s="1017"/>
      <c r="F8" s="1018"/>
      <c r="H8" s="1887"/>
      <c r="I8" s="33" t="s">
        <v>30</v>
      </c>
      <c r="J8" s="462">
        <v>10</v>
      </c>
      <c r="K8" s="463"/>
      <c r="L8" s="463"/>
      <c r="M8" s="691"/>
      <c r="N8" s="462"/>
      <c r="O8" s="463"/>
      <c r="P8" s="463"/>
      <c r="Q8" s="691"/>
      <c r="R8" s="462"/>
      <c r="S8" s="463"/>
      <c r="T8" s="463"/>
      <c r="U8" s="691"/>
      <c r="V8" s="462"/>
      <c r="W8" s="463"/>
      <c r="X8" s="463"/>
      <c r="Y8" s="691"/>
      <c r="Z8" s="462"/>
      <c r="AA8" s="463"/>
      <c r="AB8" s="463"/>
      <c r="AC8" s="691"/>
      <c r="AD8" s="462">
        <v>10</v>
      </c>
      <c r="AE8" s="463"/>
      <c r="AF8" s="463"/>
      <c r="AG8" s="691"/>
      <c r="AH8" s="128">
        <f t="shared" si="0"/>
        <v>20</v>
      </c>
      <c r="AI8" s="273">
        <f t="shared" si="0"/>
        <v>0</v>
      </c>
      <c r="AJ8" s="273">
        <f t="shared" si="0"/>
        <v>0</v>
      </c>
      <c r="AK8" s="694">
        <f t="shared" si="0"/>
        <v>0</v>
      </c>
      <c r="AL8" s="462"/>
      <c r="AM8" s="463">
        <v>10</v>
      </c>
      <c r="AN8" s="463">
        <v>10</v>
      </c>
      <c r="AO8" s="691"/>
      <c r="AP8" s="462"/>
      <c r="AQ8" s="463"/>
      <c r="AR8" s="463"/>
      <c r="AS8" s="691"/>
      <c r="AT8" s="462">
        <v>5</v>
      </c>
      <c r="AU8" s="463">
        <v>10</v>
      </c>
      <c r="AV8" s="463"/>
      <c r="AW8" s="691"/>
      <c r="AX8" s="462"/>
      <c r="AY8" s="463"/>
      <c r="AZ8" s="463"/>
      <c r="BA8" s="691"/>
      <c r="BB8" s="128">
        <f t="shared" si="1"/>
        <v>5</v>
      </c>
      <c r="BC8" s="273">
        <f t="shared" si="1"/>
        <v>20</v>
      </c>
      <c r="BD8" s="273">
        <f t="shared" si="1"/>
        <v>10</v>
      </c>
      <c r="BE8" s="273">
        <f t="shared" si="1"/>
        <v>0</v>
      </c>
      <c r="BF8" s="276">
        <f t="shared" si="2"/>
        <v>25</v>
      </c>
      <c r="BG8" s="277">
        <f t="shared" si="2"/>
        <v>20</v>
      </c>
      <c r="BH8" s="277">
        <f t="shared" si="2"/>
        <v>10</v>
      </c>
      <c r="BI8" s="699">
        <f t="shared" si="2"/>
        <v>0</v>
      </c>
    </row>
    <row r="9" spans="3:61" s="28" customFormat="1" ht="20.100000000000001" customHeight="1">
      <c r="C9" s="1885"/>
      <c r="D9" s="1017" t="s">
        <v>29</v>
      </c>
      <c r="E9" s="1017"/>
      <c r="F9" s="1018"/>
      <c r="H9" s="1887"/>
      <c r="I9" s="33" t="s">
        <v>109</v>
      </c>
      <c r="J9" s="462"/>
      <c r="K9" s="463">
        <f>3.5</f>
        <v>3.5</v>
      </c>
      <c r="L9" s="463">
        <v>3.5</v>
      </c>
      <c r="M9" s="691"/>
      <c r="N9" s="462"/>
      <c r="O9" s="463"/>
      <c r="P9" s="463"/>
      <c r="Q9" s="691"/>
      <c r="R9" s="462"/>
      <c r="S9" s="463"/>
      <c r="T9" s="463"/>
      <c r="U9" s="691"/>
      <c r="V9" s="462">
        <v>4</v>
      </c>
      <c r="W9" s="463">
        <v>1</v>
      </c>
      <c r="X9" s="463">
        <v>1</v>
      </c>
      <c r="Y9" s="691"/>
      <c r="Z9" s="462">
        <v>2</v>
      </c>
      <c r="AA9" s="463"/>
      <c r="AB9" s="463"/>
      <c r="AC9" s="691"/>
      <c r="AD9" s="462"/>
      <c r="AE9" s="463">
        <v>2</v>
      </c>
      <c r="AF9" s="463">
        <v>2</v>
      </c>
      <c r="AG9" s="691"/>
      <c r="AH9" s="128">
        <f t="shared" si="0"/>
        <v>6</v>
      </c>
      <c r="AI9" s="273">
        <f t="shared" si="0"/>
        <v>6.5</v>
      </c>
      <c r="AJ9" s="273">
        <f t="shared" si="0"/>
        <v>6.5</v>
      </c>
      <c r="AK9" s="694">
        <f t="shared" si="0"/>
        <v>0</v>
      </c>
      <c r="AL9" s="462"/>
      <c r="AM9" s="463"/>
      <c r="AN9" s="463"/>
      <c r="AO9" s="691"/>
      <c r="AP9" s="462"/>
      <c r="AQ9" s="463"/>
      <c r="AR9" s="463"/>
      <c r="AS9" s="691"/>
      <c r="AT9" s="462"/>
      <c r="AU9" s="463"/>
      <c r="AV9" s="463"/>
      <c r="AW9" s="691"/>
      <c r="AX9" s="462"/>
      <c r="AY9" s="463">
        <f>2.04+3.9</f>
        <v>5.9399999999999995</v>
      </c>
      <c r="AZ9" s="463">
        <v>5.94</v>
      </c>
      <c r="BA9" s="691"/>
      <c r="BB9" s="128">
        <f t="shared" si="1"/>
        <v>0</v>
      </c>
      <c r="BC9" s="273">
        <f t="shared" si="1"/>
        <v>5.9399999999999995</v>
      </c>
      <c r="BD9" s="273">
        <f t="shared" si="1"/>
        <v>5.94</v>
      </c>
      <c r="BE9" s="273">
        <f t="shared" si="1"/>
        <v>0</v>
      </c>
      <c r="BF9" s="276">
        <f t="shared" si="2"/>
        <v>6</v>
      </c>
      <c r="BG9" s="277">
        <f t="shared" si="2"/>
        <v>12.44</v>
      </c>
      <c r="BH9" s="277">
        <f t="shared" si="2"/>
        <v>12.440000000000001</v>
      </c>
      <c r="BI9" s="699">
        <f t="shared" si="2"/>
        <v>0</v>
      </c>
    </row>
    <row r="10" spans="3:61" s="28" customFormat="1" ht="19.5" customHeight="1" thickBot="1">
      <c r="C10" s="32"/>
      <c r="D10" s="31" t="s">
        <v>18</v>
      </c>
      <c r="E10" s="31"/>
      <c r="F10" s="30"/>
      <c r="H10" s="1865" t="s">
        <v>47</v>
      </c>
      <c r="I10" s="1866"/>
      <c r="J10" s="118">
        <f t="shared" ref="J10:BG10" si="3">SUM(J6:J9)</f>
        <v>30</v>
      </c>
      <c r="K10" s="272">
        <f t="shared" si="3"/>
        <v>13.5</v>
      </c>
      <c r="L10" s="272">
        <f t="shared" si="3"/>
        <v>13.5</v>
      </c>
      <c r="M10" s="272">
        <f t="shared" si="3"/>
        <v>25</v>
      </c>
      <c r="N10" s="118">
        <f t="shared" si="3"/>
        <v>20</v>
      </c>
      <c r="O10" s="272">
        <f t="shared" si="3"/>
        <v>20</v>
      </c>
      <c r="P10" s="272">
        <f t="shared" si="3"/>
        <v>0</v>
      </c>
      <c r="Q10" s="272">
        <f t="shared" si="3"/>
        <v>0</v>
      </c>
      <c r="R10" s="118">
        <f t="shared" si="3"/>
        <v>0</v>
      </c>
      <c r="S10" s="272">
        <f t="shared" si="3"/>
        <v>0</v>
      </c>
      <c r="T10" s="272">
        <f t="shared" si="3"/>
        <v>0</v>
      </c>
      <c r="U10" s="272">
        <f t="shared" si="3"/>
        <v>0</v>
      </c>
      <c r="V10" s="118">
        <f t="shared" si="3"/>
        <v>10</v>
      </c>
      <c r="W10" s="272">
        <f t="shared" si="3"/>
        <v>7</v>
      </c>
      <c r="X10" s="272">
        <f t="shared" si="3"/>
        <v>1</v>
      </c>
      <c r="Y10" s="272">
        <f t="shared" si="3"/>
        <v>0</v>
      </c>
      <c r="Z10" s="118">
        <f t="shared" si="3"/>
        <v>2</v>
      </c>
      <c r="AA10" s="272">
        <f t="shared" si="3"/>
        <v>0</v>
      </c>
      <c r="AB10" s="272">
        <f t="shared" si="3"/>
        <v>0</v>
      </c>
      <c r="AC10" s="272">
        <f t="shared" si="3"/>
        <v>0</v>
      </c>
      <c r="AD10" s="118">
        <f t="shared" si="3"/>
        <v>20</v>
      </c>
      <c r="AE10" s="272">
        <f t="shared" si="3"/>
        <v>17</v>
      </c>
      <c r="AF10" s="272">
        <f t="shared" si="3"/>
        <v>17</v>
      </c>
      <c r="AG10" s="272">
        <f t="shared" si="3"/>
        <v>0</v>
      </c>
      <c r="AH10" s="118">
        <f t="shared" si="3"/>
        <v>82</v>
      </c>
      <c r="AI10" s="272">
        <f t="shared" si="3"/>
        <v>57.5</v>
      </c>
      <c r="AJ10" s="272">
        <f>SUM(AJ6:AJ9)</f>
        <v>31.5</v>
      </c>
      <c r="AK10" s="695">
        <f>SUM(AK6:AK9)</f>
        <v>25</v>
      </c>
      <c r="AL10" s="118">
        <f t="shared" si="3"/>
        <v>1</v>
      </c>
      <c r="AM10" s="272">
        <f t="shared" si="3"/>
        <v>10</v>
      </c>
      <c r="AN10" s="272">
        <f t="shared" si="3"/>
        <v>10</v>
      </c>
      <c r="AO10" s="272">
        <f t="shared" si="3"/>
        <v>0</v>
      </c>
      <c r="AP10" s="118">
        <f t="shared" si="3"/>
        <v>3.5</v>
      </c>
      <c r="AQ10" s="272">
        <f t="shared" si="3"/>
        <v>1.05</v>
      </c>
      <c r="AR10" s="272">
        <f t="shared" si="3"/>
        <v>1.05</v>
      </c>
      <c r="AS10" s="272">
        <f t="shared" si="3"/>
        <v>0</v>
      </c>
      <c r="AT10" s="118">
        <f t="shared" si="3"/>
        <v>10</v>
      </c>
      <c r="AU10" s="272">
        <f t="shared" si="3"/>
        <v>10</v>
      </c>
      <c r="AV10" s="272">
        <f t="shared" si="3"/>
        <v>0</v>
      </c>
      <c r="AW10" s="272">
        <f t="shared" si="3"/>
        <v>0</v>
      </c>
      <c r="AX10" s="118">
        <f t="shared" si="3"/>
        <v>5</v>
      </c>
      <c r="AY10" s="272">
        <f t="shared" si="3"/>
        <v>5.9399999999999995</v>
      </c>
      <c r="AZ10" s="272">
        <f t="shared" si="3"/>
        <v>5.94</v>
      </c>
      <c r="BA10" s="272">
        <f t="shared" si="3"/>
        <v>0</v>
      </c>
      <c r="BB10" s="118">
        <f t="shared" si="3"/>
        <v>19.5</v>
      </c>
      <c r="BC10" s="272">
        <f t="shared" si="3"/>
        <v>26.990000000000002</v>
      </c>
      <c r="BD10" s="272">
        <f t="shared" si="3"/>
        <v>16.990000000000002</v>
      </c>
      <c r="BE10" s="272">
        <f t="shared" si="3"/>
        <v>0</v>
      </c>
      <c r="BF10" s="278">
        <f t="shared" si="3"/>
        <v>101.5</v>
      </c>
      <c r="BG10" s="279">
        <f t="shared" si="3"/>
        <v>84.49</v>
      </c>
      <c r="BH10" s="702">
        <f>AJ10+BD10</f>
        <v>48.49</v>
      </c>
      <c r="BI10" s="700">
        <f>AK10+BE10</f>
        <v>25</v>
      </c>
    </row>
    <row r="11" spans="3:61" s="119" customFormat="1" ht="5.25" customHeight="1">
      <c r="D11" s="120"/>
      <c r="E11" s="120"/>
      <c r="F11" s="120"/>
      <c r="H11" s="122"/>
      <c r="I11" s="122"/>
      <c r="J11" s="125"/>
      <c r="K11" s="126"/>
      <c r="L11" s="126"/>
      <c r="M11" s="126"/>
      <c r="N11" s="125"/>
      <c r="O11" s="126"/>
      <c r="P11" s="126"/>
      <c r="Q11" s="126"/>
      <c r="R11" s="125"/>
      <c r="S11" s="126"/>
      <c r="T11" s="126"/>
      <c r="U11" s="126"/>
      <c r="V11" s="125"/>
      <c r="W11" s="126"/>
      <c r="X11" s="126"/>
      <c r="Y11" s="126"/>
      <c r="Z11" s="125"/>
      <c r="AA11" s="126"/>
      <c r="AB11" s="126"/>
      <c r="AC11" s="126"/>
      <c r="AD11" s="125"/>
      <c r="AE11" s="126"/>
      <c r="AF11" s="126"/>
      <c r="AG11" s="126"/>
      <c r="AH11" s="125"/>
      <c r="AI11" s="126"/>
      <c r="AJ11" s="126"/>
      <c r="AK11" s="126"/>
      <c r="AL11" s="125"/>
      <c r="AM11" s="126"/>
      <c r="AN11" s="126"/>
      <c r="AO11" s="126"/>
      <c r="AP11" s="125"/>
      <c r="AQ11" s="126"/>
      <c r="AR11" s="126"/>
      <c r="AS11" s="126"/>
      <c r="AT11" s="125"/>
      <c r="AU11" s="126"/>
      <c r="AV11" s="126"/>
      <c r="AW11" s="126"/>
      <c r="AX11" s="125"/>
      <c r="AY11" s="126"/>
      <c r="AZ11" s="126"/>
      <c r="BA11" s="126"/>
      <c r="BB11" s="125"/>
      <c r="BC11" s="126"/>
      <c r="BD11" s="126"/>
      <c r="BE11" s="126"/>
      <c r="BF11" s="125"/>
      <c r="BG11" s="126"/>
    </row>
    <row r="12" spans="3:61" ht="19.5" thickBot="1">
      <c r="C12" s="1019"/>
      <c r="D12" s="1017"/>
      <c r="E12" s="1017"/>
      <c r="F12" s="1023"/>
      <c r="H12" s="1867" t="s">
        <v>114</v>
      </c>
      <c r="I12" s="1868"/>
      <c r="J12" s="1868"/>
      <c r="K12" s="1868"/>
      <c r="L12" s="1868"/>
      <c r="M12" s="1868"/>
      <c r="N12" s="1868"/>
      <c r="O12" s="1868"/>
      <c r="P12" s="1868"/>
      <c r="Q12" s="1868"/>
      <c r="R12" s="1868"/>
      <c r="S12" s="1868"/>
      <c r="T12" s="1868"/>
      <c r="U12" s="1868"/>
      <c r="V12" s="1868"/>
      <c r="W12" s="1868"/>
      <c r="X12" s="1868"/>
      <c r="Y12" s="1868"/>
      <c r="Z12" s="1868"/>
      <c r="AA12" s="1868"/>
      <c r="AB12" s="1868"/>
      <c r="AC12" s="1868"/>
      <c r="AD12" s="1868"/>
      <c r="AE12" s="1868"/>
      <c r="AF12" s="1868"/>
      <c r="AG12" s="1868"/>
      <c r="AH12" s="1868"/>
      <c r="AI12" s="1868"/>
      <c r="AJ12" s="1868"/>
      <c r="AK12" s="1868"/>
      <c r="AL12" s="1868"/>
      <c r="AM12" s="1868"/>
      <c r="AN12" s="1868"/>
      <c r="AO12" s="1868"/>
      <c r="AP12" s="1868"/>
      <c r="AQ12" s="1868"/>
      <c r="AR12" s="1868"/>
      <c r="AS12" s="1868"/>
      <c r="AT12" s="1868"/>
      <c r="AU12" s="1868"/>
      <c r="AV12" s="1868"/>
      <c r="AW12" s="1868"/>
      <c r="AX12" s="1868"/>
      <c r="AY12" s="1868"/>
      <c r="AZ12" s="1868"/>
      <c r="BA12" s="1868"/>
      <c r="BB12" s="1868"/>
      <c r="BC12" s="1868"/>
      <c r="BD12" s="1868"/>
      <c r="BE12" s="1868"/>
      <c r="BF12" s="1868"/>
      <c r="BG12" s="1868"/>
      <c r="BH12" s="1868"/>
      <c r="BI12" s="1868"/>
    </row>
    <row r="13" spans="3:61" ht="18.75" customHeight="1">
      <c r="C13" s="37" t="s">
        <v>44</v>
      </c>
      <c r="D13" s="1869"/>
      <c r="E13" s="1869"/>
      <c r="F13" s="1870"/>
      <c r="H13" s="1895" t="s">
        <v>117</v>
      </c>
      <c r="I13" s="1896"/>
      <c r="J13" s="1890" t="s">
        <v>43</v>
      </c>
      <c r="K13" s="1891"/>
      <c r="L13" s="1891"/>
      <c r="M13" s="1892"/>
      <c r="N13" s="1890" t="s">
        <v>42</v>
      </c>
      <c r="O13" s="1891"/>
      <c r="P13" s="1891"/>
      <c r="Q13" s="1892"/>
      <c r="R13" s="1890" t="s">
        <v>41</v>
      </c>
      <c r="S13" s="1891"/>
      <c r="T13" s="1891"/>
      <c r="U13" s="1892"/>
      <c r="V13" s="1890" t="s">
        <v>40</v>
      </c>
      <c r="W13" s="1891"/>
      <c r="X13" s="1891"/>
      <c r="Y13" s="1892"/>
      <c r="Z13" s="1890" t="s">
        <v>39</v>
      </c>
      <c r="AA13" s="1891"/>
      <c r="AB13" s="1891"/>
      <c r="AC13" s="1892"/>
      <c r="AD13" s="1890" t="s">
        <v>38</v>
      </c>
      <c r="AE13" s="1891"/>
      <c r="AF13" s="1891"/>
      <c r="AG13" s="1892"/>
      <c r="AH13" s="1882" t="s">
        <v>122</v>
      </c>
      <c r="AI13" s="1883"/>
      <c r="AJ13" s="1883"/>
      <c r="AK13" s="1884"/>
      <c r="AL13" s="1890" t="s">
        <v>37</v>
      </c>
      <c r="AM13" s="1891"/>
      <c r="AN13" s="1891"/>
      <c r="AO13" s="1892"/>
      <c r="AP13" s="1890" t="s">
        <v>36</v>
      </c>
      <c r="AQ13" s="1891"/>
      <c r="AR13" s="1891"/>
      <c r="AS13" s="1892"/>
      <c r="AT13" s="1890" t="s">
        <v>35</v>
      </c>
      <c r="AU13" s="1891"/>
      <c r="AV13" s="1891"/>
      <c r="AW13" s="1892"/>
      <c r="AX13" s="1890" t="s">
        <v>34</v>
      </c>
      <c r="AY13" s="1891"/>
      <c r="AZ13" s="1891"/>
      <c r="BA13" s="1892"/>
      <c r="BB13" s="1882" t="s">
        <v>123</v>
      </c>
      <c r="BC13" s="1883"/>
      <c r="BD13" s="1883"/>
      <c r="BE13" s="1884"/>
      <c r="BF13" s="1880" t="s">
        <v>17</v>
      </c>
      <c r="BG13" s="1881"/>
      <c r="BH13" s="1881"/>
      <c r="BI13" s="1881"/>
    </row>
    <row r="14" spans="3:61" ht="27" customHeight="1">
      <c r="C14" s="1879" t="s">
        <v>33</v>
      </c>
      <c r="D14" s="1869"/>
      <c r="E14" s="1017" t="s">
        <v>1</v>
      </c>
      <c r="F14" s="1023" t="s">
        <v>2</v>
      </c>
      <c r="H14" s="1897"/>
      <c r="I14" s="1898"/>
      <c r="J14" s="36" t="s">
        <v>1</v>
      </c>
      <c r="K14" s="271" t="s">
        <v>2</v>
      </c>
      <c r="L14" s="271" t="s">
        <v>182</v>
      </c>
      <c r="M14" s="35" t="s">
        <v>247</v>
      </c>
      <c r="N14" s="36" t="s">
        <v>1</v>
      </c>
      <c r="O14" s="271" t="s">
        <v>2</v>
      </c>
      <c r="P14" s="271" t="s">
        <v>182</v>
      </c>
      <c r="Q14" s="35" t="s">
        <v>247</v>
      </c>
      <c r="R14" s="36" t="s">
        <v>1</v>
      </c>
      <c r="S14" s="271" t="s">
        <v>2</v>
      </c>
      <c r="T14" s="271" t="s">
        <v>182</v>
      </c>
      <c r="U14" s="35" t="s">
        <v>247</v>
      </c>
      <c r="V14" s="36" t="s">
        <v>1</v>
      </c>
      <c r="W14" s="271" t="s">
        <v>2</v>
      </c>
      <c r="X14" s="271" t="s">
        <v>182</v>
      </c>
      <c r="Y14" s="35" t="s">
        <v>247</v>
      </c>
      <c r="Z14" s="36" t="s">
        <v>1</v>
      </c>
      <c r="AA14" s="271" t="s">
        <v>2</v>
      </c>
      <c r="AB14" s="271" t="s">
        <v>182</v>
      </c>
      <c r="AC14" s="35" t="s">
        <v>247</v>
      </c>
      <c r="AD14" s="36" t="s">
        <v>1</v>
      </c>
      <c r="AE14" s="271" t="s">
        <v>2</v>
      </c>
      <c r="AF14" s="271" t="s">
        <v>182</v>
      </c>
      <c r="AG14" s="35" t="s">
        <v>247</v>
      </c>
      <c r="AH14" s="36" t="s">
        <v>1</v>
      </c>
      <c r="AI14" s="271" t="s">
        <v>2</v>
      </c>
      <c r="AJ14" s="271" t="s">
        <v>182</v>
      </c>
      <c r="AK14" s="690" t="s">
        <v>196</v>
      </c>
      <c r="AL14" s="36" t="s">
        <v>1</v>
      </c>
      <c r="AM14" s="271" t="s">
        <v>2</v>
      </c>
      <c r="AN14" s="271" t="s">
        <v>182</v>
      </c>
      <c r="AO14" s="35" t="s">
        <v>247</v>
      </c>
      <c r="AP14" s="36" t="s">
        <v>1</v>
      </c>
      <c r="AQ14" s="271" t="s">
        <v>2</v>
      </c>
      <c r="AR14" s="271" t="s">
        <v>182</v>
      </c>
      <c r="AS14" s="35" t="s">
        <v>247</v>
      </c>
      <c r="AT14" s="36" t="s">
        <v>1</v>
      </c>
      <c r="AU14" s="271" t="s">
        <v>2</v>
      </c>
      <c r="AV14" s="271" t="s">
        <v>182</v>
      </c>
      <c r="AW14" s="35" t="s">
        <v>247</v>
      </c>
      <c r="AX14" s="36" t="s">
        <v>1</v>
      </c>
      <c r="AY14" s="271" t="s">
        <v>2</v>
      </c>
      <c r="AZ14" s="271" t="s">
        <v>182</v>
      </c>
      <c r="BA14" s="35" t="s">
        <v>247</v>
      </c>
      <c r="BB14" s="36" t="s">
        <v>1</v>
      </c>
      <c r="BC14" s="271" t="s">
        <v>2</v>
      </c>
      <c r="BD14" s="271" t="s">
        <v>182</v>
      </c>
      <c r="BE14" s="690" t="s">
        <v>196</v>
      </c>
      <c r="BF14" s="274" t="s">
        <v>1</v>
      </c>
      <c r="BG14" s="275" t="s">
        <v>2</v>
      </c>
      <c r="BH14" s="275" t="s">
        <v>182</v>
      </c>
      <c r="BI14" s="703" t="s">
        <v>196</v>
      </c>
    </row>
    <row r="15" spans="3:61" s="28" customFormat="1" ht="20.100000000000001" customHeight="1">
      <c r="C15" s="1879" t="s">
        <v>28</v>
      </c>
      <c r="D15" s="1017" t="s">
        <v>27</v>
      </c>
      <c r="E15" s="1021"/>
      <c r="F15" s="34"/>
      <c r="H15" s="1888" t="s">
        <v>112</v>
      </c>
      <c r="I15" s="33" t="s">
        <v>27</v>
      </c>
      <c r="J15" s="462"/>
      <c r="K15" s="463"/>
      <c r="L15" s="463"/>
      <c r="M15" s="692"/>
      <c r="N15" s="462"/>
      <c r="O15" s="463"/>
      <c r="P15" s="463"/>
      <c r="Q15" s="692"/>
      <c r="R15" s="462"/>
      <c r="S15" s="463"/>
      <c r="T15" s="463"/>
      <c r="U15" s="692"/>
      <c r="V15" s="462"/>
      <c r="W15" s="463"/>
      <c r="X15" s="463"/>
      <c r="Y15" s="692"/>
      <c r="Z15" s="462"/>
      <c r="AA15" s="463"/>
      <c r="AB15" s="463"/>
      <c r="AC15" s="692"/>
      <c r="AD15" s="462"/>
      <c r="AE15" s="463"/>
      <c r="AF15" s="463"/>
      <c r="AG15" s="692"/>
      <c r="AH15" s="128">
        <f>J15+N15+R15+V15+Z15+AD15</f>
        <v>0</v>
      </c>
      <c r="AI15" s="273">
        <f>K15+O15+S15+W15+AA15+AE15</f>
        <v>0</v>
      </c>
      <c r="AJ15" s="273">
        <f>L15+P15+T15+X15+AB15+AF15</f>
        <v>0</v>
      </c>
      <c r="AK15" s="694">
        <f>M15+Q15+U15+Y15+AC15+AG15</f>
        <v>0</v>
      </c>
      <c r="AL15" s="462"/>
      <c r="AM15" s="463"/>
      <c r="AN15" s="463"/>
      <c r="AO15" s="692"/>
      <c r="AP15" s="462">
        <v>6</v>
      </c>
      <c r="AQ15" s="463"/>
      <c r="AR15" s="463"/>
      <c r="AS15" s="692"/>
      <c r="AT15" s="462"/>
      <c r="AU15" s="463"/>
      <c r="AV15" s="463"/>
      <c r="AW15" s="692"/>
      <c r="AX15" s="462"/>
      <c r="AY15" s="463"/>
      <c r="AZ15" s="463"/>
      <c r="BA15" s="692"/>
      <c r="BB15" s="128">
        <f>AL15+AP15+AT15+AX15</f>
        <v>6</v>
      </c>
      <c r="BC15" s="273">
        <f>AM15+AQ15+AU15+AY15</f>
        <v>0</v>
      </c>
      <c r="BD15" s="273">
        <f>AN15+AR15+AV15+AZ15</f>
        <v>0</v>
      </c>
      <c r="BE15" s="273">
        <f>AO15+AS15+AW15+BA15</f>
        <v>0</v>
      </c>
      <c r="BF15" s="276">
        <f t="shared" ref="BF15:BI23" si="4">AH15+BB15</f>
        <v>6</v>
      </c>
      <c r="BG15" s="277">
        <f t="shared" si="4"/>
        <v>0</v>
      </c>
      <c r="BH15" s="277">
        <f t="shared" si="4"/>
        <v>0</v>
      </c>
      <c r="BI15" s="704">
        <f t="shared" si="4"/>
        <v>0</v>
      </c>
    </row>
    <row r="16" spans="3:61" s="28" customFormat="1" ht="20.100000000000001" customHeight="1">
      <c r="C16" s="1879"/>
      <c r="D16" s="1017" t="s">
        <v>26</v>
      </c>
      <c r="E16" s="1017"/>
      <c r="F16" s="1018"/>
      <c r="H16" s="1889"/>
      <c r="I16" s="33" t="s">
        <v>26</v>
      </c>
      <c r="J16" s="462"/>
      <c r="K16" s="463"/>
      <c r="L16" s="463"/>
      <c r="M16" s="692"/>
      <c r="N16" s="462"/>
      <c r="O16" s="463"/>
      <c r="P16" s="463"/>
      <c r="Q16" s="692"/>
      <c r="R16" s="462"/>
      <c r="S16" s="463"/>
      <c r="T16" s="463"/>
      <c r="U16" s="692"/>
      <c r="V16" s="462"/>
      <c r="W16" s="463"/>
      <c r="X16" s="463"/>
      <c r="Y16" s="692"/>
      <c r="Z16" s="462"/>
      <c r="AA16" s="463"/>
      <c r="AB16" s="463"/>
      <c r="AC16" s="692"/>
      <c r="AD16" s="462"/>
      <c r="AE16" s="463"/>
      <c r="AF16" s="463"/>
      <c r="AG16" s="692"/>
      <c r="AH16" s="128">
        <f t="shared" ref="AH16:AK23" si="5">J16+N16+R16+V16+Z16+AD16</f>
        <v>0</v>
      </c>
      <c r="AI16" s="273">
        <f t="shared" si="5"/>
        <v>0</v>
      </c>
      <c r="AJ16" s="273">
        <f t="shared" si="5"/>
        <v>0</v>
      </c>
      <c r="AK16" s="694">
        <f t="shared" si="5"/>
        <v>0</v>
      </c>
      <c r="AL16" s="462"/>
      <c r="AM16" s="463"/>
      <c r="AN16" s="463"/>
      <c r="AO16" s="692"/>
      <c r="AP16" s="462"/>
      <c r="AQ16" s="463"/>
      <c r="AR16" s="463"/>
      <c r="AS16" s="692"/>
      <c r="AT16" s="462"/>
      <c r="AU16" s="463"/>
      <c r="AV16" s="463"/>
      <c r="AW16" s="692"/>
      <c r="AX16" s="462"/>
      <c r="AY16" s="463"/>
      <c r="AZ16" s="463"/>
      <c r="BA16" s="692"/>
      <c r="BB16" s="128">
        <f t="shared" ref="BB16:BE23" si="6">AL16+AP16+AT16+AX16</f>
        <v>0</v>
      </c>
      <c r="BC16" s="273">
        <f t="shared" si="6"/>
        <v>0</v>
      </c>
      <c r="BD16" s="273">
        <f t="shared" si="6"/>
        <v>0</v>
      </c>
      <c r="BE16" s="273">
        <f t="shared" si="6"/>
        <v>0</v>
      </c>
      <c r="BF16" s="276">
        <f t="shared" si="4"/>
        <v>0</v>
      </c>
      <c r="BG16" s="277">
        <f t="shared" si="4"/>
        <v>0</v>
      </c>
      <c r="BH16" s="277">
        <f t="shared" si="4"/>
        <v>0</v>
      </c>
      <c r="BI16" s="704">
        <f t="shared" si="4"/>
        <v>0</v>
      </c>
    </row>
    <row r="17" spans="3:61" s="28" customFormat="1" ht="23.25" customHeight="1">
      <c r="C17" s="1879"/>
      <c r="D17" s="1017" t="s">
        <v>25</v>
      </c>
      <c r="E17" s="1017"/>
      <c r="F17" s="1018"/>
      <c r="H17" s="1889"/>
      <c r="I17" s="33" t="s">
        <v>25</v>
      </c>
      <c r="J17" s="462">
        <v>20</v>
      </c>
      <c r="K17" s="463"/>
      <c r="L17" s="463"/>
      <c r="M17" s="692"/>
      <c r="N17" s="462"/>
      <c r="O17" s="463"/>
      <c r="P17" s="463"/>
      <c r="Q17" s="692"/>
      <c r="R17" s="462"/>
      <c r="S17" s="463"/>
      <c r="T17" s="463"/>
      <c r="U17" s="692"/>
      <c r="V17" s="462"/>
      <c r="W17" s="463"/>
      <c r="X17" s="463"/>
      <c r="Y17" s="692"/>
      <c r="Z17" s="462"/>
      <c r="AA17" s="463"/>
      <c r="AB17" s="463"/>
      <c r="AC17" s="692"/>
      <c r="AD17" s="462"/>
      <c r="AE17" s="463"/>
      <c r="AF17" s="463"/>
      <c r="AG17" s="692"/>
      <c r="AH17" s="128">
        <f t="shared" si="5"/>
        <v>20</v>
      </c>
      <c r="AI17" s="273">
        <f t="shared" si="5"/>
        <v>0</v>
      </c>
      <c r="AJ17" s="273">
        <f t="shared" si="5"/>
        <v>0</v>
      </c>
      <c r="AK17" s="694">
        <f t="shared" si="5"/>
        <v>0</v>
      </c>
      <c r="AL17" s="462"/>
      <c r="AM17" s="463"/>
      <c r="AN17" s="463"/>
      <c r="AO17" s="692"/>
      <c r="AP17" s="462"/>
      <c r="AQ17" s="463"/>
      <c r="AR17" s="463"/>
      <c r="AS17" s="692"/>
      <c r="AT17" s="462"/>
      <c r="AU17" s="463"/>
      <c r="AV17" s="463"/>
      <c r="AW17" s="692"/>
      <c r="AX17" s="462"/>
      <c r="AY17" s="463"/>
      <c r="AZ17" s="463"/>
      <c r="BA17" s="692"/>
      <c r="BB17" s="128">
        <f t="shared" si="6"/>
        <v>0</v>
      </c>
      <c r="BC17" s="273">
        <f t="shared" si="6"/>
        <v>0</v>
      </c>
      <c r="BD17" s="273">
        <f t="shared" si="6"/>
        <v>0</v>
      </c>
      <c r="BE17" s="273">
        <f t="shared" si="6"/>
        <v>0</v>
      </c>
      <c r="BF17" s="276">
        <f t="shared" si="4"/>
        <v>20</v>
      </c>
      <c r="BG17" s="277">
        <f t="shared" si="4"/>
        <v>0</v>
      </c>
      <c r="BH17" s="277">
        <f t="shared" si="4"/>
        <v>0</v>
      </c>
      <c r="BI17" s="704">
        <f t="shared" si="4"/>
        <v>0</v>
      </c>
    </row>
    <row r="18" spans="3:61" s="28" customFormat="1" ht="21">
      <c r="C18" s="1879"/>
      <c r="D18" s="1017" t="s">
        <v>24</v>
      </c>
      <c r="E18" s="1017"/>
      <c r="F18" s="1018"/>
      <c r="H18" s="1889"/>
      <c r="I18" s="33" t="s">
        <v>24</v>
      </c>
      <c r="J18" s="462"/>
      <c r="K18" s="463"/>
      <c r="L18" s="463"/>
      <c r="M18" s="692"/>
      <c r="N18" s="462"/>
      <c r="O18" s="463"/>
      <c r="P18" s="463"/>
      <c r="Q18" s="692"/>
      <c r="R18" s="462"/>
      <c r="S18" s="463"/>
      <c r="T18" s="463"/>
      <c r="U18" s="692"/>
      <c r="V18" s="462"/>
      <c r="W18" s="463"/>
      <c r="X18" s="463"/>
      <c r="Y18" s="692"/>
      <c r="Z18" s="462"/>
      <c r="AA18" s="463"/>
      <c r="AB18" s="463"/>
      <c r="AC18" s="692"/>
      <c r="AD18" s="462"/>
      <c r="AE18" s="463"/>
      <c r="AF18" s="463"/>
      <c r="AG18" s="692"/>
      <c r="AH18" s="128">
        <f t="shared" si="5"/>
        <v>0</v>
      </c>
      <c r="AI18" s="273">
        <f t="shared" si="5"/>
        <v>0</v>
      </c>
      <c r="AJ18" s="273">
        <f t="shared" si="5"/>
        <v>0</v>
      </c>
      <c r="AK18" s="694">
        <f t="shared" si="5"/>
        <v>0</v>
      </c>
      <c r="AL18" s="462"/>
      <c r="AM18" s="463"/>
      <c r="AN18" s="463"/>
      <c r="AO18" s="692"/>
      <c r="AP18" s="462"/>
      <c r="AQ18" s="463"/>
      <c r="AR18" s="463"/>
      <c r="AS18" s="692"/>
      <c r="AT18" s="462"/>
      <c r="AU18" s="463"/>
      <c r="AV18" s="463"/>
      <c r="AW18" s="692"/>
      <c r="AX18" s="462"/>
      <c r="AY18" s="463"/>
      <c r="AZ18" s="463"/>
      <c r="BA18" s="692"/>
      <c r="BB18" s="128">
        <f t="shared" si="6"/>
        <v>0</v>
      </c>
      <c r="BC18" s="273">
        <f t="shared" si="6"/>
        <v>0</v>
      </c>
      <c r="BD18" s="273">
        <f t="shared" si="6"/>
        <v>0</v>
      </c>
      <c r="BE18" s="273">
        <f t="shared" si="6"/>
        <v>0</v>
      </c>
      <c r="BF18" s="276">
        <f t="shared" si="4"/>
        <v>0</v>
      </c>
      <c r="BG18" s="277">
        <f t="shared" si="4"/>
        <v>0</v>
      </c>
      <c r="BH18" s="277">
        <f t="shared" si="4"/>
        <v>0</v>
      </c>
      <c r="BI18" s="704">
        <f t="shared" si="4"/>
        <v>0</v>
      </c>
    </row>
    <row r="19" spans="3:61" s="28" customFormat="1" ht="19.5" customHeight="1">
      <c r="C19" s="1879"/>
      <c r="D19" s="1017" t="s">
        <v>23</v>
      </c>
      <c r="E19" s="1017"/>
      <c r="F19" s="1018"/>
      <c r="H19" s="1889"/>
      <c r="I19" s="33" t="s">
        <v>23</v>
      </c>
      <c r="J19" s="462"/>
      <c r="K19" s="463"/>
      <c r="L19" s="463"/>
      <c r="M19" s="692"/>
      <c r="N19" s="462"/>
      <c r="O19" s="463"/>
      <c r="P19" s="463"/>
      <c r="Q19" s="692"/>
      <c r="R19" s="462"/>
      <c r="S19" s="463"/>
      <c r="T19" s="463"/>
      <c r="U19" s="692"/>
      <c r="V19" s="462"/>
      <c r="W19" s="463"/>
      <c r="X19" s="463"/>
      <c r="Y19" s="692"/>
      <c r="Z19" s="462"/>
      <c r="AA19" s="463"/>
      <c r="AB19" s="463"/>
      <c r="AC19" s="692"/>
      <c r="AD19" s="462"/>
      <c r="AE19" s="463"/>
      <c r="AF19" s="463"/>
      <c r="AG19" s="692"/>
      <c r="AH19" s="128">
        <f t="shared" si="5"/>
        <v>0</v>
      </c>
      <c r="AI19" s="273">
        <f t="shared" si="5"/>
        <v>0</v>
      </c>
      <c r="AJ19" s="273">
        <f t="shared" si="5"/>
        <v>0</v>
      </c>
      <c r="AK19" s="694">
        <f t="shared" si="5"/>
        <v>0</v>
      </c>
      <c r="AL19" s="1012"/>
      <c r="AM19" s="463"/>
      <c r="AN19" s="463"/>
      <c r="AO19" s="692"/>
      <c r="AP19" s="462"/>
      <c r="AQ19" s="463"/>
      <c r="AR19" s="463"/>
      <c r="AS19" s="692"/>
      <c r="AT19" s="462"/>
      <c r="AU19" s="463"/>
      <c r="AV19" s="1313"/>
      <c r="AW19" s="692"/>
      <c r="AX19" s="462"/>
      <c r="AY19" s="463"/>
      <c r="AZ19" s="463"/>
      <c r="BA19" s="692"/>
      <c r="BB19" s="128">
        <f t="shared" si="6"/>
        <v>0</v>
      </c>
      <c r="BC19" s="273">
        <f t="shared" si="6"/>
        <v>0</v>
      </c>
      <c r="BD19" s="273">
        <f t="shared" si="6"/>
        <v>0</v>
      </c>
      <c r="BE19" s="273">
        <f t="shared" si="6"/>
        <v>0</v>
      </c>
      <c r="BF19" s="276">
        <f t="shared" si="4"/>
        <v>0</v>
      </c>
      <c r="BG19" s="277">
        <f t="shared" si="4"/>
        <v>0</v>
      </c>
      <c r="BH19" s="277">
        <f t="shared" si="4"/>
        <v>0</v>
      </c>
      <c r="BI19" s="704">
        <f t="shared" si="4"/>
        <v>0</v>
      </c>
    </row>
    <row r="20" spans="3:61" s="28" customFormat="1" ht="19.5" customHeight="1">
      <c r="C20" s="1879"/>
      <c r="D20" s="1017" t="s">
        <v>22</v>
      </c>
      <c r="E20" s="1017"/>
      <c r="F20" s="1018"/>
      <c r="H20" s="1889"/>
      <c r="I20" s="33" t="s">
        <v>22</v>
      </c>
      <c r="J20" s="462"/>
      <c r="K20" s="463">
        <v>7</v>
      </c>
      <c r="L20" s="463"/>
      <c r="M20" s="692"/>
      <c r="N20" s="462"/>
      <c r="O20" s="463"/>
      <c r="P20" s="463"/>
      <c r="Q20" s="692"/>
      <c r="R20" s="462">
        <v>8</v>
      </c>
      <c r="S20" s="463">
        <v>8</v>
      </c>
      <c r="T20" s="463"/>
      <c r="U20" s="692"/>
      <c r="V20" s="462"/>
      <c r="W20" s="463"/>
      <c r="X20" s="463"/>
      <c r="Y20" s="692"/>
      <c r="Z20" s="462"/>
      <c r="AA20" s="463"/>
      <c r="AB20" s="463"/>
      <c r="AC20" s="692"/>
      <c r="AD20" s="462"/>
      <c r="AE20" s="463"/>
      <c r="AF20" s="463"/>
      <c r="AG20" s="692"/>
      <c r="AH20" s="128">
        <f t="shared" si="5"/>
        <v>8</v>
      </c>
      <c r="AI20" s="273">
        <f t="shared" si="5"/>
        <v>15</v>
      </c>
      <c r="AJ20" s="273">
        <f t="shared" si="5"/>
        <v>0</v>
      </c>
      <c r="AK20" s="694">
        <f t="shared" si="5"/>
        <v>0</v>
      </c>
      <c r="AL20" s="462">
        <v>12</v>
      </c>
      <c r="AM20" s="463"/>
      <c r="AN20" s="463"/>
      <c r="AO20" s="692"/>
      <c r="AP20" s="462"/>
      <c r="AQ20" s="463"/>
      <c r="AR20" s="463"/>
      <c r="AS20" s="692"/>
      <c r="AT20" s="462"/>
      <c r="AU20" s="463"/>
      <c r="AV20" s="463"/>
      <c r="AW20" s="692"/>
      <c r="AX20" s="462">
        <v>12</v>
      </c>
      <c r="AY20" s="463">
        <v>12</v>
      </c>
      <c r="AZ20" s="463">
        <v>12</v>
      </c>
      <c r="BA20" s="692"/>
      <c r="BB20" s="128">
        <f t="shared" si="6"/>
        <v>24</v>
      </c>
      <c r="BC20" s="273">
        <f t="shared" si="6"/>
        <v>12</v>
      </c>
      <c r="BD20" s="273">
        <f t="shared" si="6"/>
        <v>12</v>
      </c>
      <c r="BE20" s="273">
        <f t="shared" si="6"/>
        <v>0</v>
      </c>
      <c r="BF20" s="276">
        <f t="shared" si="4"/>
        <v>32</v>
      </c>
      <c r="BG20" s="277">
        <f>AI20+BC20</f>
        <v>27</v>
      </c>
      <c r="BH20" s="277">
        <f t="shared" si="4"/>
        <v>12</v>
      </c>
      <c r="BI20" s="704">
        <f t="shared" si="4"/>
        <v>0</v>
      </c>
    </row>
    <row r="21" spans="3:61" s="28" customFormat="1" ht="20.100000000000001" customHeight="1">
      <c r="C21" s="1885"/>
      <c r="D21" s="1017"/>
      <c r="E21" s="1017"/>
      <c r="F21" s="1018"/>
      <c r="H21" s="1889"/>
      <c r="I21" s="33" t="s">
        <v>21</v>
      </c>
      <c r="J21" s="462"/>
      <c r="K21" s="463"/>
      <c r="L21" s="463"/>
      <c r="M21" s="692"/>
      <c r="N21" s="462"/>
      <c r="O21" s="463"/>
      <c r="P21" s="463"/>
      <c r="Q21" s="692"/>
      <c r="R21" s="462"/>
      <c r="S21" s="463"/>
      <c r="T21" s="463"/>
      <c r="U21" s="692"/>
      <c r="V21" s="462"/>
      <c r="W21" s="463"/>
      <c r="X21" s="463"/>
      <c r="Y21" s="692"/>
      <c r="Z21" s="462"/>
      <c r="AA21" s="463"/>
      <c r="AB21" s="463"/>
      <c r="AC21" s="692"/>
      <c r="AD21" s="462"/>
      <c r="AE21" s="463"/>
      <c r="AF21" s="463"/>
      <c r="AG21" s="692"/>
      <c r="AH21" s="128">
        <f t="shared" si="5"/>
        <v>0</v>
      </c>
      <c r="AI21" s="273">
        <f t="shared" si="5"/>
        <v>0</v>
      </c>
      <c r="AJ21" s="273">
        <f t="shared" si="5"/>
        <v>0</v>
      </c>
      <c r="AK21" s="694">
        <f t="shared" si="5"/>
        <v>0</v>
      </c>
      <c r="AL21" s="462"/>
      <c r="AM21" s="463"/>
      <c r="AN21" s="463"/>
      <c r="AO21" s="692"/>
      <c r="AP21" s="462"/>
      <c r="AQ21" s="463"/>
      <c r="AR21" s="463"/>
      <c r="AS21" s="692"/>
      <c r="AT21" s="462"/>
      <c r="AU21" s="463"/>
      <c r="AV21" s="463"/>
      <c r="AW21" s="692"/>
      <c r="AX21" s="462"/>
      <c r="AY21" s="463"/>
      <c r="AZ21" s="463"/>
      <c r="BA21" s="692"/>
      <c r="BB21" s="128">
        <f t="shared" si="6"/>
        <v>0</v>
      </c>
      <c r="BC21" s="273">
        <f t="shared" si="6"/>
        <v>0</v>
      </c>
      <c r="BD21" s="273">
        <f t="shared" si="6"/>
        <v>0</v>
      </c>
      <c r="BE21" s="273">
        <f t="shared" si="6"/>
        <v>0</v>
      </c>
      <c r="BF21" s="276">
        <f t="shared" si="4"/>
        <v>0</v>
      </c>
      <c r="BG21" s="277">
        <f t="shared" si="4"/>
        <v>0</v>
      </c>
      <c r="BH21" s="277">
        <f t="shared" si="4"/>
        <v>0</v>
      </c>
      <c r="BI21" s="704">
        <f t="shared" si="4"/>
        <v>0</v>
      </c>
    </row>
    <row r="22" spans="3:61" s="28" customFormat="1" ht="20.100000000000001" customHeight="1">
      <c r="C22" s="1885"/>
      <c r="D22" s="1017"/>
      <c r="E22" s="1017"/>
      <c r="F22" s="1018"/>
      <c r="H22" s="1889"/>
      <c r="I22" s="33" t="s">
        <v>20</v>
      </c>
      <c r="J22" s="462"/>
      <c r="K22" s="463"/>
      <c r="L22" s="463"/>
      <c r="M22" s="692"/>
      <c r="N22" s="462"/>
      <c r="O22" s="463"/>
      <c r="P22" s="463"/>
      <c r="Q22" s="692"/>
      <c r="R22" s="462"/>
      <c r="S22" s="463"/>
      <c r="T22" s="463"/>
      <c r="U22" s="692"/>
      <c r="V22" s="462"/>
      <c r="W22" s="463"/>
      <c r="X22" s="463"/>
      <c r="Y22" s="692"/>
      <c r="Z22" s="462"/>
      <c r="AA22" s="463"/>
      <c r="AB22" s="463"/>
      <c r="AC22" s="692"/>
      <c r="AD22" s="462"/>
      <c r="AE22" s="463"/>
      <c r="AF22" s="463"/>
      <c r="AG22" s="692"/>
      <c r="AH22" s="128">
        <f t="shared" si="5"/>
        <v>0</v>
      </c>
      <c r="AI22" s="273">
        <f t="shared" si="5"/>
        <v>0</v>
      </c>
      <c r="AJ22" s="273">
        <f t="shared" si="5"/>
        <v>0</v>
      </c>
      <c r="AK22" s="694">
        <f t="shared" si="5"/>
        <v>0</v>
      </c>
      <c r="AL22" s="462"/>
      <c r="AM22" s="463"/>
      <c r="AN22" s="463"/>
      <c r="AO22" s="692"/>
      <c r="AP22" s="462"/>
      <c r="AQ22" s="463"/>
      <c r="AR22" s="463"/>
      <c r="AS22" s="692"/>
      <c r="AT22" s="462"/>
      <c r="AU22" s="463"/>
      <c r="AV22" s="463"/>
      <c r="AW22" s="692"/>
      <c r="AX22" s="462"/>
      <c r="AY22" s="463"/>
      <c r="AZ22" s="463"/>
      <c r="BA22" s="692"/>
      <c r="BB22" s="128">
        <f t="shared" si="6"/>
        <v>0</v>
      </c>
      <c r="BC22" s="273">
        <f t="shared" si="6"/>
        <v>0</v>
      </c>
      <c r="BD22" s="273">
        <f t="shared" si="6"/>
        <v>0</v>
      </c>
      <c r="BE22" s="273">
        <f t="shared" si="6"/>
        <v>0</v>
      </c>
      <c r="BF22" s="276">
        <f t="shared" si="4"/>
        <v>0</v>
      </c>
      <c r="BG22" s="277">
        <f t="shared" si="4"/>
        <v>0</v>
      </c>
      <c r="BH22" s="277">
        <f t="shared" si="4"/>
        <v>0</v>
      </c>
      <c r="BI22" s="704">
        <f t="shared" si="4"/>
        <v>0</v>
      </c>
    </row>
    <row r="23" spans="3:61" s="28" customFormat="1" ht="20.100000000000001" customHeight="1">
      <c r="C23" s="1885"/>
      <c r="D23" s="1017"/>
      <c r="E23" s="1017"/>
      <c r="F23" s="1018"/>
      <c r="H23" s="1889"/>
      <c r="I23" s="33" t="s">
        <v>19</v>
      </c>
      <c r="J23" s="462"/>
      <c r="K23" s="463">
        <v>23</v>
      </c>
      <c r="L23" s="463"/>
      <c r="M23" s="692"/>
      <c r="N23" s="462"/>
      <c r="O23" s="463"/>
      <c r="P23" s="463"/>
      <c r="Q23" s="692"/>
      <c r="R23" s="462"/>
      <c r="S23" s="463"/>
      <c r="T23" s="463"/>
      <c r="U23" s="692"/>
      <c r="V23" s="462"/>
      <c r="W23" s="463"/>
      <c r="X23" s="463"/>
      <c r="Y23" s="692"/>
      <c r="Z23" s="462"/>
      <c r="AA23" s="463"/>
      <c r="AB23" s="463"/>
      <c r="AC23" s="692"/>
      <c r="AD23" s="462"/>
      <c r="AE23" s="463"/>
      <c r="AF23" s="463"/>
      <c r="AG23" s="692"/>
      <c r="AH23" s="128">
        <f t="shared" si="5"/>
        <v>0</v>
      </c>
      <c r="AI23" s="273">
        <f t="shared" si="5"/>
        <v>23</v>
      </c>
      <c r="AJ23" s="273">
        <f t="shared" si="5"/>
        <v>0</v>
      </c>
      <c r="AK23" s="694">
        <f t="shared" si="5"/>
        <v>0</v>
      </c>
      <c r="AL23" s="462"/>
      <c r="AM23" s="463"/>
      <c r="AN23" s="463"/>
      <c r="AO23" s="692"/>
      <c r="AP23" s="462"/>
      <c r="AQ23" s="463"/>
      <c r="AR23" s="463"/>
      <c r="AS23" s="692"/>
      <c r="AT23" s="462"/>
      <c r="AU23" s="463"/>
      <c r="AV23" s="463"/>
      <c r="AW23" s="692"/>
      <c r="AX23" s="462"/>
      <c r="AY23" s="463"/>
      <c r="AZ23" s="463"/>
      <c r="BA23" s="692"/>
      <c r="BB23" s="128">
        <f t="shared" si="6"/>
        <v>0</v>
      </c>
      <c r="BC23" s="273">
        <f t="shared" si="6"/>
        <v>0</v>
      </c>
      <c r="BD23" s="273">
        <f t="shared" si="6"/>
        <v>0</v>
      </c>
      <c r="BE23" s="273">
        <f t="shared" si="6"/>
        <v>0</v>
      </c>
      <c r="BF23" s="276">
        <f t="shared" si="4"/>
        <v>0</v>
      </c>
      <c r="BG23" s="277">
        <f t="shared" si="4"/>
        <v>23</v>
      </c>
      <c r="BH23" s="277">
        <f t="shared" si="4"/>
        <v>0</v>
      </c>
      <c r="BI23" s="704">
        <f t="shared" si="4"/>
        <v>0</v>
      </c>
    </row>
    <row r="24" spans="3:61" s="28" customFormat="1" ht="20.100000000000001" customHeight="1" thickBot="1">
      <c r="C24" s="1885"/>
      <c r="D24" s="1017"/>
      <c r="E24" s="1017"/>
      <c r="F24" s="1018"/>
      <c r="H24" s="1865" t="s">
        <v>116</v>
      </c>
      <c r="I24" s="1866"/>
      <c r="J24" s="118">
        <f t="shared" ref="J24:BI24" si="7">SUM(J15:J23)</f>
        <v>20</v>
      </c>
      <c r="K24" s="272">
        <f t="shared" si="7"/>
        <v>30</v>
      </c>
      <c r="L24" s="272">
        <f>SUM(L15:L23)</f>
        <v>0</v>
      </c>
      <c r="M24" s="272">
        <f>SUM(M15:M23)</f>
        <v>0</v>
      </c>
      <c r="N24" s="118">
        <f t="shared" ref="N24:AI24" si="8">SUM(N15:N23)</f>
        <v>0</v>
      </c>
      <c r="O24" s="272">
        <f t="shared" si="8"/>
        <v>0</v>
      </c>
      <c r="P24" s="272">
        <f t="shared" si="8"/>
        <v>0</v>
      </c>
      <c r="Q24" s="272">
        <f t="shared" si="8"/>
        <v>0</v>
      </c>
      <c r="R24" s="118">
        <f t="shared" si="8"/>
        <v>8</v>
      </c>
      <c r="S24" s="272">
        <f t="shared" si="8"/>
        <v>8</v>
      </c>
      <c r="T24" s="272">
        <f t="shared" si="8"/>
        <v>0</v>
      </c>
      <c r="U24" s="272">
        <f t="shared" si="8"/>
        <v>0</v>
      </c>
      <c r="V24" s="118">
        <f t="shared" si="8"/>
        <v>0</v>
      </c>
      <c r="W24" s="272">
        <f t="shared" si="8"/>
        <v>0</v>
      </c>
      <c r="X24" s="272">
        <f t="shared" si="8"/>
        <v>0</v>
      </c>
      <c r="Y24" s="272">
        <f t="shared" si="8"/>
        <v>0</v>
      </c>
      <c r="Z24" s="118">
        <f t="shared" si="8"/>
        <v>0</v>
      </c>
      <c r="AA24" s="272">
        <f t="shared" si="8"/>
        <v>0</v>
      </c>
      <c r="AB24" s="272">
        <f t="shared" si="8"/>
        <v>0</v>
      </c>
      <c r="AC24" s="272">
        <f t="shared" si="8"/>
        <v>0</v>
      </c>
      <c r="AD24" s="118">
        <f t="shared" si="8"/>
        <v>0</v>
      </c>
      <c r="AE24" s="272">
        <f t="shared" si="8"/>
        <v>0</v>
      </c>
      <c r="AF24" s="272">
        <f t="shared" si="8"/>
        <v>0</v>
      </c>
      <c r="AG24" s="272">
        <f t="shared" si="8"/>
        <v>0</v>
      </c>
      <c r="AH24" s="118">
        <f t="shared" si="8"/>
        <v>28</v>
      </c>
      <c r="AI24" s="272">
        <f t="shared" si="8"/>
        <v>38</v>
      </c>
      <c r="AJ24" s="272">
        <f>SUM(AJ15:AJ23)</f>
        <v>0</v>
      </c>
      <c r="AK24" s="695">
        <f>SUM(AK15:AK23)</f>
        <v>0</v>
      </c>
      <c r="AL24" s="118">
        <f t="shared" ref="AL24:BC24" si="9">SUM(AL15:AL23)</f>
        <v>12</v>
      </c>
      <c r="AM24" s="272">
        <f t="shared" si="9"/>
        <v>0</v>
      </c>
      <c r="AN24" s="272">
        <f t="shared" si="9"/>
        <v>0</v>
      </c>
      <c r="AO24" s="272">
        <f t="shared" si="9"/>
        <v>0</v>
      </c>
      <c r="AP24" s="118">
        <f t="shared" si="9"/>
        <v>6</v>
      </c>
      <c r="AQ24" s="272">
        <f t="shared" si="9"/>
        <v>0</v>
      </c>
      <c r="AR24" s="272">
        <f t="shared" si="9"/>
        <v>0</v>
      </c>
      <c r="AS24" s="272">
        <f t="shared" si="9"/>
        <v>0</v>
      </c>
      <c r="AT24" s="118">
        <f t="shared" si="9"/>
        <v>0</v>
      </c>
      <c r="AU24" s="272">
        <f t="shared" si="9"/>
        <v>0</v>
      </c>
      <c r="AV24" s="1314">
        <f t="shared" si="9"/>
        <v>0</v>
      </c>
      <c r="AW24" s="272">
        <f t="shared" si="9"/>
        <v>0</v>
      </c>
      <c r="AX24" s="118">
        <f t="shared" si="9"/>
        <v>12</v>
      </c>
      <c r="AY24" s="272">
        <f t="shared" si="9"/>
        <v>12</v>
      </c>
      <c r="AZ24" s="272">
        <f t="shared" si="9"/>
        <v>12</v>
      </c>
      <c r="BA24" s="272">
        <f t="shared" si="9"/>
        <v>0</v>
      </c>
      <c r="BB24" s="118">
        <f t="shared" si="9"/>
        <v>30</v>
      </c>
      <c r="BC24" s="272">
        <f t="shared" si="9"/>
        <v>12</v>
      </c>
      <c r="BD24" s="272">
        <f>SUM(BD15:BD23)</f>
        <v>12</v>
      </c>
      <c r="BE24" s="272">
        <f>SUM(BE15:BE23)</f>
        <v>0</v>
      </c>
      <c r="BF24" s="278">
        <f t="shared" si="7"/>
        <v>58</v>
      </c>
      <c r="BG24" s="279">
        <f t="shared" si="7"/>
        <v>50</v>
      </c>
      <c r="BH24" s="279">
        <f t="shared" si="7"/>
        <v>12</v>
      </c>
      <c r="BI24" s="705">
        <f t="shared" si="7"/>
        <v>0</v>
      </c>
    </row>
    <row r="25" spans="3:61" s="119" customFormat="1" ht="9" customHeight="1" thickBot="1">
      <c r="C25" s="121"/>
      <c r="D25" s="121"/>
      <c r="E25" s="121"/>
      <c r="F25" s="121"/>
      <c r="H25" s="122"/>
      <c r="I25" s="122"/>
      <c r="J25" s="125"/>
      <c r="K25" s="126"/>
      <c r="L25" s="126"/>
      <c r="M25" s="126"/>
      <c r="N25" s="125"/>
      <c r="O25" s="126"/>
      <c r="P25" s="126"/>
      <c r="Q25" s="126"/>
      <c r="R25" s="125"/>
      <c r="S25" s="126"/>
      <c r="T25" s="126"/>
      <c r="U25" s="126"/>
      <c r="V25" s="125"/>
      <c r="W25" s="126"/>
      <c r="X25" s="126"/>
      <c r="Y25" s="126"/>
      <c r="Z25" s="125"/>
      <c r="AA25" s="126"/>
      <c r="AB25" s="126"/>
      <c r="AC25" s="126"/>
      <c r="AD25" s="125"/>
      <c r="AE25" s="126"/>
      <c r="AF25" s="126"/>
      <c r="AG25" s="126"/>
      <c r="AH25" s="125"/>
      <c r="AI25" s="126"/>
      <c r="AJ25" s="126"/>
      <c r="AK25" s="126"/>
      <c r="AL25" s="125"/>
      <c r="AM25" s="126"/>
      <c r="AN25" s="126"/>
      <c r="AO25" s="126"/>
      <c r="AP25" s="125"/>
      <c r="AQ25" s="126"/>
      <c r="AR25" s="126"/>
      <c r="AS25" s="126"/>
      <c r="AT25" s="125"/>
      <c r="AU25" s="126"/>
      <c r="AV25" s="126"/>
      <c r="AW25" s="126"/>
      <c r="AX25" s="125"/>
      <c r="AY25" s="126"/>
      <c r="AZ25" s="126"/>
      <c r="BA25" s="126"/>
      <c r="BB25" s="125"/>
      <c r="BC25" s="126"/>
      <c r="BD25" s="126"/>
      <c r="BE25" s="126"/>
      <c r="BF25" s="125"/>
      <c r="BG25" s="126"/>
    </row>
    <row r="26" spans="3:61" s="28" customFormat="1" ht="26.25" customHeight="1" thickBot="1">
      <c r="D26" s="29"/>
      <c r="E26" s="29"/>
      <c r="F26" s="29"/>
      <c r="H26" s="1893" t="s">
        <v>49</v>
      </c>
      <c r="I26" s="1894"/>
      <c r="J26" s="123">
        <f t="shared" ref="J26:BI26" si="10">J10+J24</f>
        <v>50</v>
      </c>
      <c r="K26" s="280">
        <f t="shared" si="10"/>
        <v>43.5</v>
      </c>
      <c r="L26" s="280">
        <f>L10+L24</f>
        <v>13.5</v>
      </c>
      <c r="M26" s="280">
        <f>M10+M24</f>
        <v>25</v>
      </c>
      <c r="N26" s="123">
        <f t="shared" ref="N26:O26" si="11">N10+N24</f>
        <v>20</v>
      </c>
      <c r="O26" s="280">
        <f t="shared" si="11"/>
        <v>20</v>
      </c>
      <c r="P26" s="280">
        <f>P10+P24</f>
        <v>0</v>
      </c>
      <c r="Q26" s="280">
        <f>Q10+Q24</f>
        <v>0</v>
      </c>
      <c r="R26" s="123">
        <f t="shared" ref="R26:S26" si="12">R10+R24</f>
        <v>8</v>
      </c>
      <c r="S26" s="280">
        <f t="shared" si="12"/>
        <v>8</v>
      </c>
      <c r="T26" s="280">
        <f>T10+T24</f>
        <v>0</v>
      </c>
      <c r="U26" s="280">
        <f>U10+U24</f>
        <v>0</v>
      </c>
      <c r="V26" s="123">
        <f t="shared" ref="V26:W26" si="13">V10+V24</f>
        <v>10</v>
      </c>
      <c r="W26" s="280">
        <f t="shared" si="13"/>
        <v>7</v>
      </c>
      <c r="X26" s="280">
        <f>X10+X24</f>
        <v>1</v>
      </c>
      <c r="Y26" s="280">
        <f>Y10+Y24</f>
        <v>0</v>
      </c>
      <c r="Z26" s="123">
        <f t="shared" ref="Z26:AA26" si="14">Z10+Z24</f>
        <v>2</v>
      </c>
      <c r="AA26" s="280">
        <f t="shared" si="14"/>
        <v>0</v>
      </c>
      <c r="AB26" s="280">
        <f>AB10+AB24</f>
        <v>0</v>
      </c>
      <c r="AC26" s="280">
        <f>AC10+AC24</f>
        <v>0</v>
      </c>
      <c r="AD26" s="123">
        <f t="shared" ref="AD26:AE26" si="15">AD10+AD24</f>
        <v>20</v>
      </c>
      <c r="AE26" s="280">
        <f t="shared" si="15"/>
        <v>17</v>
      </c>
      <c r="AF26" s="280">
        <f>AF10+AF24</f>
        <v>17</v>
      </c>
      <c r="AG26" s="280">
        <f>AG10+AG24</f>
        <v>0</v>
      </c>
      <c r="AH26" s="127">
        <f t="shared" ref="AH26:AI26" si="16">AH10+AH24</f>
        <v>110</v>
      </c>
      <c r="AI26" s="280">
        <f t="shared" si="16"/>
        <v>95.5</v>
      </c>
      <c r="AJ26" s="697">
        <f>AJ10+AJ24</f>
        <v>31.5</v>
      </c>
      <c r="AK26" s="696">
        <f>AK10+AK24</f>
        <v>25</v>
      </c>
      <c r="AL26" s="123">
        <f t="shared" ref="AL26:AM26" si="17">AL10+AL24</f>
        <v>13</v>
      </c>
      <c r="AM26" s="280">
        <f t="shared" si="17"/>
        <v>10</v>
      </c>
      <c r="AN26" s="280">
        <f>AN10+AN24</f>
        <v>10</v>
      </c>
      <c r="AO26" s="280">
        <f>AO10+AO24</f>
        <v>0</v>
      </c>
      <c r="AP26" s="123">
        <f t="shared" ref="AP26:AQ26" si="18">AP10+AP24</f>
        <v>9.5</v>
      </c>
      <c r="AQ26" s="280">
        <f t="shared" si="18"/>
        <v>1.05</v>
      </c>
      <c r="AR26" s="280">
        <f>AR10+AR24</f>
        <v>1.05</v>
      </c>
      <c r="AS26" s="280">
        <f>AS10+AS24</f>
        <v>0</v>
      </c>
      <c r="AT26" s="123">
        <f t="shared" ref="AT26:AU26" si="19">AT10+AT24</f>
        <v>10</v>
      </c>
      <c r="AU26" s="280">
        <f t="shared" si="19"/>
        <v>10</v>
      </c>
      <c r="AV26" s="280">
        <f>AV10+AV24</f>
        <v>0</v>
      </c>
      <c r="AW26" s="280">
        <f>AW10+AW24</f>
        <v>0</v>
      </c>
      <c r="AX26" s="123">
        <f t="shared" ref="AX26:AY26" si="20">AX10+AX24</f>
        <v>17</v>
      </c>
      <c r="AY26" s="280">
        <f t="shared" si="20"/>
        <v>17.939999999999998</v>
      </c>
      <c r="AZ26" s="280">
        <f>AZ10+AZ24</f>
        <v>17.940000000000001</v>
      </c>
      <c r="BA26" s="280">
        <f>BA10+BA24</f>
        <v>0</v>
      </c>
      <c r="BB26" s="127">
        <f t="shared" ref="BB26:BC26" si="21">BB10+BB24</f>
        <v>49.5</v>
      </c>
      <c r="BC26" s="280">
        <f t="shared" si="21"/>
        <v>38.99</v>
      </c>
      <c r="BD26" s="697">
        <f>BD10+BD24</f>
        <v>28.990000000000002</v>
      </c>
      <c r="BE26" s="697">
        <f>BE10+BE24</f>
        <v>0</v>
      </c>
      <c r="BF26" s="124">
        <f>BF10+BF24</f>
        <v>159.5</v>
      </c>
      <c r="BG26" s="707">
        <f t="shared" si="10"/>
        <v>134.49</v>
      </c>
      <c r="BH26" s="706">
        <f t="shared" si="10"/>
        <v>60.49</v>
      </c>
      <c r="BI26" s="284">
        <f t="shared" si="10"/>
        <v>25</v>
      </c>
    </row>
    <row r="27" spans="3:61" ht="21" customHeight="1">
      <c r="H27" s="320"/>
      <c r="I27" s="320"/>
      <c r="J27" s="321"/>
      <c r="K27" s="321"/>
      <c r="L27" s="321">
        <v>25</v>
      </c>
      <c r="M27" s="321" t="s">
        <v>23</v>
      </c>
      <c r="N27" s="321"/>
      <c r="O27" s="321"/>
      <c r="P27" s="321"/>
      <c r="Q27" s="321"/>
      <c r="R27" s="321"/>
      <c r="S27" s="321"/>
      <c r="T27" s="321"/>
      <c r="U27" s="321"/>
      <c r="V27" s="321"/>
      <c r="W27" s="321"/>
      <c r="X27" s="323"/>
      <c r="Y27" s="323"/>
      <c r="Z27" s="321"/>
      <c r="AA27" s="321"/>
      <c r="AB27" s="323"/>
      <c r="AC27" s="323"/>
      <c r="AD27" s="321"/>
      <c r="AE27" s="321"/>
      <c r="AF27" s="321"/>
      <c r="AG27" s="321"/>
      <c r="AH27" s="321"/>
      <c r="AI27" s="321"/>
      <c r="AJ27" s="321"/>
      <c r="AK27" s="321"/>
      <c r="AL27" s="321"/>
      <c r="AM27" s="321"/>
      <c r="AN27" s="321"/>
      <c r="AO27" s="321"/>
      <c r="AP27" s="321"/>
      <c r="AQ27" s="321"/>
      <c r="AR27" s="321"/>
      <c r="AS27" s="321"/>
      <c r="AT27" s="321"/>
      <c r="AU27" s="321"/>
      <c r="AV27" s="321"/>
      <c r="AW27" s="321"/>
      <c r="AX27" s="321"/>
      <c r="AY27" s="321"/>
      <c r="AZ27" s="321"/>
      <c r="BA27" s="321"/>
      <c r="BB27" s="335"/>
      <c r="BC27" s="1918">
        <f>SUM(I27:AZ29)</f>
        <v>25</v>
      </c>
      <c r="BD27" s="335"/>
      <c r="BE27" s="335"/>
      <c r="BF27" s="335"/>
      <c r="BG27" s="335"/>
      <c r="BH27" s="1917">
        <f>BH26+BI26</f>
        <v>85.490000000000009</v>
      </c>
      <c r="BI27" s="1917"/>
    </row>
    <row r="28" spans="3:61" ht="21" customHeight="1">
      <c r="H28" s="320"/>
      <c r="I28" s="320"/>
      <c r="J28" s="322"/>
      <c r="K28" s="323"/>
      <c r="L28" s="323"/>
      <c r="M28" s="323"/>
      <c r="N28" s="322"/>
      <c r="O28" s="323"/>
      <c r="P28" s="323"/>
      <c r="Q28" s="323"/>
      <c r="R28" s="322"/>
      <c r="S28" s="323"/>
      <c r="T28" s="323"/>
      <c r="U28" s="323"/>
      <c r="V28" s="321"/>
      <c r="W28" s="323"/>
      <c r="X28" s="323"/>
      <c r="Y28" s="323"/>
      <c r="Z28" s="322"/>
      <c r="AA28" s="323"/>
      <c r="AB28" s="323"/>
      <c r="AC28" s="323"/>
      <c r="AD28" s="322"/>
      <c r="AE28" s="323"/>
      <c r="AF28" s="323"/>
      <c r="AG28" s="322"/>
      <c r="AH28" s="322"/>
      <c r="AI28" s="323"/>
      <c r="AJ28" s="323"/>
      <c r="AK28" s="323"/>
      <c r="AL28" s="321"/>
      <c r="AM28" s="323"/>
      <c r="AN28" s="622"/>
      <c r="AO28" s="622"/>
      <c r="AP28" s="321"/>
      <c r="AQ28" s="323"/>
      <c r="AR28" s="323"/>
      <c r="AS28" s="323"/>
      <c r="AT28" s="322"/>
      <c r="AU28" s="323"/>
      <c r="AV28" s="323"/>
      <c r="AW28" s="323"/>
      <c r="AX28" s="322"/>
      <c r="AY28" s="468"/>
      <c r="AZ28" s="468"/>
      <c r="BA28" s="468"/>
      <c r="BB28" s="392"/>
      <c r="BC28" s="1919"/>
      <c r="BD28" s="434"/>
      <c r="BE28" s="434"/>
      <c r="BF28" s="435"/>
      <c r="BG28" s="434"/>
      <c r="BH28" s="726"/>
      <c r="BI28" s="434"/>
    </row>
    <row r="29" spans="3:61" ht="23.25">
      <c r="H29" s="320"/>
      <c r="I29" s="320"/>
      <c r="J29" s="322"/>
      <c r="K29" s="323"/>
      <c r="L29" s="323"/>
      <c r="M29" s="323"/>
      <c r="N29" s="322"/>
      <c r="O29" s="323"/>
      <c r="P29" s="323"/>
      <c r="Q29" s="323"/>
      <c r="R29" s="322"/>
      <c r="S29" s="323"/>
      <c r="T29" s="323"/>
      <c r="U29" s="323"/>
      <c r="V29" s="322"/>
      <c r="W29" s="323"/>
      <c r="X29" s="323"/>
      <c r="Y29" s="323"/>
      <c r="Z29" s="322"/>
      <c r="AA29" s="323"/>
      <c r="AB29" s="323"/>
      <c r="AC29" s="323"/>
      <c r="AD29" s="322"/>
      <c r="AE29" s="323"/>
      <c r="AF29" s="688"/>
      <c r="AG29" s="688"/>
      <c r="AH29" s="322"/>
      <c r="AI29" s="322"/>
      <c r="AJ29" s="323"/>
      <c r="AK29" s="323"/>
      <c r="AL29" s="321"/>
      <c r="AM29" s="323"/>
      <c r="AN29" s="321"/>
      <c r="AO29" s="321"/>
      <c r="AP29" s="322"/>
      <c r="AQ29" s="323"/>
      <c r="AR29" s="323"/>
      <c r="AS29" s="323"/>
      <c r="AT29" s="322"/>
      <c r="AU29" s="323"/>
      <c r="AV29" s="323"/>
      <c r="AW29" s="323"/>
      <c r="AX29" s="322"/>
      <c r="AY29" s="468"/>
      <c r="AZ29" s="468"/>
      <c r="BA29" s="468"/>
      <c r="BB29" s="392"/>
      <c r="BC29" s="434"/>
      <c r="BD29" s="434"/>
      <c r="BE29" s="434"/>
      <c r="BF29" s="435"/>
      <c r="BG29" s="434"/>
      <c r="BH29" s="682"/>
      <c r="BI29" s="434"/>
    </row>
    <row r="30" spans="3:61" s="464" customFormat="1" ht="21.75" thickBot="1">
      <c r="D30" s="576"/>
      <c r="E30" s="576"/>
      <c r="F30" s="576"/>
      <c r="I30" s="577"/>
      <c r="J30" s="578"/>
      <c r="K30" s="579"/>
      <c r="L30" s="579"/>
      <c r="M30" s="579"/>
      <c r="N30" s="578"/>
      <c r="O30" s="579"/>
      <c r="P30" s="579"/>
      <c r="Q30" s="579"/>
      <c r="R30" s="578"/>
      <c r="S30" s="579"/>
      <c r="T30" s="579"/>
      <c r="U30" s="579"/>
      <c r="V30" s="578"/>
      <c r="W30" s="578"/>
      <c r="X30" s="579"/>
      <c r="Y30" s="579"/>
      <c r="Z30" s="579"/>
      <c r="AA30" s="578"/>
      <c r="AB30" s="579"/>
      <c r="AC30" s="579"/>
      <c r="AD30" s="579"/>
      <c r="AE30" s="578"/>
      <c r="AF30" s="579"/>
      <c r="AG30" s="579"/>
      <c r="AH30" s="621"/>
      <c r="AI30" s="578"/>
      <c r="AJ30" s="579"/>
      <c r="AK30" s="579"/>
      <c r="AM30" s="580"/>
      <c r="AN30" s="579"/>
      <c r="AO30" s="579"/>
      <c r="AP30" s="579"/>
      <c r="AQ30" s="578"/>
      <c r="AR30" s="579"/>
      <c r="AS30" s="579"/>
      <c r="AT30" s="579"/>
      <c r="AU30" s="578"/>
      <c r="AV30" s="579"/>
      <c r="AW30" s="579"/>
      <c r="AZ30" s="581"/>
      <c r="BA30" s="581"/>
      <c r="BB30" s="581"/>
      <c r="BC30" s="582"/>
      <c r="BD30" s="583"/>
      <c r="BE30" s="583"/>
      <c r="BF30" s="583"/>
      <c r="BG30" s="584"/>
      <c r="BH30" s="583"/>
      <c r="BI30" s="585"/>
    </row>
    <row r="31" spans="3:61" ht="35.25" customHeight="1" thickBot="1">
      <c r="I31" s="24"/>
      <c r="J31" s="24"/>
      <c r="L31" s="1929" t="s">
        <v>378</v>
      </c>
      <c r="M31" s="1930"/>
      <c r="N31" s="1930"/>
      <c r="O31" s="1930"/>
      <c r="P31" s="1930"/>
      <c r="Q31" s="1930"/>
      <c r="R31" s="1930"/>
      <c r="S31" s="1931"/>
      <c r="T31" s="579"/>
      <c r="U31" s="579"/>
      <c r="V31" s="1929" t="s">
        <v>204</v>
      </c>
      <c r="W31" s="1930"/>
      <c r="X31" s="1930"/>
      <c r="Y31" s="1930"/>
      <c r="Z31" s="1930"/>
      <c r="AA31" s="1930"/>
      <c r="AB31" s="1930"/>
      <c r="AC31" s="1935"/>
      <c r="AD31" s="1936"/>
      <c r="AE31" s="579"/>
      <c r="AF31" s="579"/>
      <c r="AG31" s="26"/>
      <c r="AH31" s="24"/>
      <c r="AJ31" s="685"/>
      <c r="AL31" s="24"/>
      <c r="AM31" s="599"/>
      <c r="AN31" s="1014"/>
      <c r="AP31" s="24"/>
      <c r="AS31" s="26"/>
      <c r="AT31" s="24"/>
      <c r="AX31" s="24"/>
      <c r="AY31" s="25"/>
      <c r="AZ31" s="25"/>
      <c r="BA31" s="24"/>
      <c r="BB31" s="24"/>
      <c r="BE31" s="23"/>
      <c r="BF31" s="23"/>
      <c r="BG31" s="23"/>
    </row>
    <row r="32" spans="3:61" s="24" customFormat="1" ht="28.5" customHeight="1" thickBot="1">
      <c r="C32" s="23"/>
      <c r="D32" s="27"/>
      <c r="E32" s="27"/>
      <c r="F32" s="27"/>
      <c r="G32" s="23"/>
      <c r="H32" s="23"/>
      <c r="I32" s="24" t="s">
        <v>32</v>
      </c>
      <c r="J32" s="24">
        <f>18+22</f>
        <v>40</v>
      </c>
      <c r="L32" s="450" t="s">
        <v>0</v>
      </c>
      <c r="M32" s="439" t="s">
        <v>200</v>
      </c>
      <c r="N32" s="454" t="s">
        <v>205</v>
      </c>
      <c r="O32" s="439" t="s">
        <v>31</v>
      </c>
      <c r="P32" s="448" t="s">
        <v>201</v>
      </c>
      <c r="Q32" s="455" t="s">
        <v>206</v>
      </c>
      <c r="R32" s="436" t="s">
        <v>22</v>
      </c>
      <c r="S32" s="438" t="s">
        <v>191</v>
      </c>
      <c r="T32" s="579"/>
      <c r="U32" s="579"/>
      <c r="V32" s="571" t="s">
        <v>0</v>
      </c>
      <c r="W32" s="572" t="s">
        <v>200</v>
      </c>
      <c r="X32" s="623" t="s">
        <v>205</v>
      </c>
      <c r="Y32" s="572" t="s">
        <v>31</v>
      </c>
      <c r="Z32" s="573" t="s">
        <v>201</v>
      </c>
      <c r="AA32" s="574" t="s">
        <v>206</v>
      </c>
      <c r="AB32" s="717" t="s">
        <v>22</v>
      </c>
      <c r="AC32" s="721" t="s">
        <v>191</v>
      </c>
      <c r="AD32" s="722" t="s">
        <v>226</v>
      </c>
      <c r="AE32" s="579"/>
      <c r="AF32" s="579"/>
      <c r="AG32" s="599"/>
      <c r="AJ32" s="685"/>
      <c r="AM32" s="599"/>
      <c r="AN32" s="1014"/>
      <c r="AT32" s="25"/>
      <c r="AU32" s="25"/>
      <c r="AW32" s="23"/>
      <c r="AX32" s="23"/>
    </row>
    <row r="33" spans="1:62" ht="23.25">
      <c r="I33" s="24" t="s">
        <v>23</v>
      </c>
      <c r="J33" s="24">
        <f>21.6+7</f>
        <v>28.6</v>
      </c>
      <c r="L33" s="441" t="s">
        <v>189</v>
      </c>
      <c r="M33" s="470">
        <f>$J$6</f>
        <v>20</v>
      </c>
      <c r="N33" s="430">
        <f>$J9</f>
        <v>0</v>
      </c>
      <c r="O33" s="430">
        <f>$J7</f>
        <v>0</v>
      </c>
      <c r="P33" s="430">
        <f>$J8</f>
        <v>10</v>
      </c>
      <c r="Q33" s="430">
        <f>J15+J16+J17+J18+J19+J21+J22+J23</f>
        <v>20</v>
      </c>
      <c r="R33" s="430">
        <f>$J20</f>
        <v>0</v>
      </c>
      <c r="S33" s="446">
        <f t="shared" ref="S33:S42" si="22">SUM(M33:R33)</f>
        <v>50</v>
      </c>
      <c r="T33" s="579"/>
      <c r="U33" s="579"/>
      <c r="V33" s="447" t="s">
        <v>189</v>
      </c>
      <c r="W33" s="569">
        <f>L$6</f>
        <v>10</v>
      </c>
      <c r="X33" s="570">
        <f>$L9</f>
        <v>3.5</v>
      </c>
      <c r="Y33" s="570">
        <f>$L7</f>
        <v>0</v>
      </c>
      <c r="Z33" s="570">
        <f>$L8</f>
        <v>0</v>
      </c>
      <c r="AA33" s="570">
        <f>L$15+L$16+L$17+L$18+L$19+L$21+L$22+L$23</f>
        <v>0</v>
      </c>
      <c r="AB33" s="718">
        <f>$L20</f>
        <v>0</v>
      </c>
      <c r="AC33" s="723">
        <f t="shared" ref="AC33:AC42" si="23">SUM(W33:AB33)</f>
        <v>13.5</v>
      </c>
      <c r="AD33" s="587">
        <f>M6+M7+M8++M9+M15+M16+M17+M18+M19+M21+M20+M22+M23</f>
        <v>25</v>
      </c>
      <c r="AE33" s="579">
        <f>AC33+AD33</f>
        <v>38.5</v>
      </c>
      <c r="AF33" s="579"/>
      <c r="AG33" s="599"/>
      <c r="AH33" s="24"/>
      <c r="AJ33" s="685"/>
      <c r="AL33" s="24"/>
      <c r="AM33" s="599"/>
      <c r="AN33" s="1014"/>
      <c r="AP33" s="24"/>
      <c r="AT33" s="25"/>
      <c r="AU33" s="25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</row>
    <row r="34" spans="1:62" s="24" customFormat="1" ht="23.25">
      <c r="A34" s="23"/>
      <c r="B34" s="23"/>
      <c r="C34" s="23"/>
      <c r="D34" s="27"/>
      <c r="E34" s="27"/>
      <c r="F34" s="27"/>
      <c r="G34" s="23"/>
      <c r="H34" s="23"/>
      <c r="I34" s="24" t="s">
        <v>286</v>
      </c>
      <c r="J34" s="24">
        <f>5.92+10+17</f>
        <v>32.92</v>
      </c>
      <c r="L34" s="441" t="s">
        <v>183</v>
      </c>
      <c r="M34" s="470">
        <f>$N$6</f>
        <v>20</v>
      </c>
      <c r="N34" s="430">
        <f>$N9</f>
        <v>0</v>
      </c>
      <c r="O34" s="430">
        <f>$N7</f>
        <v>0</v>
      </c>
      <c r="P34" s="430">
        <f>$N8</f>
        <v>0</v>
      </c>
      <c r="Q34" s="430">
        <f>N15+N16+N17+N18+N19+N21+N22+N23</f>
        <v>0</v>
      </c>
      <c r="R34" s="430">
        <f>$N20</f>
        <v>0</v>
      </c>
      <c r="S34" s="446">
        <f t="shared" si="22"/>
        <v>20</v>
      </c>
      <c r="T34" s="686"/>
      <c r="U34" s="26"/>
      <c r="V34" s="441" t="s">
        <v>183</v>
      </c>
      <c r="W34" s="440">
        <f>P$6</f>
        <v>0</v>
      </c>
      <c r="X34" s="430">
        <f>$P9</f>
        <v>0</v>
      </c>
      <c r="Y34" s="430">
        <f>$P7</f>
        <v>0</v>
      </c>
      <c r="Z34" s="430">
        <f>$P8</f>
        <v>0</v>
      </c>
      <c r="AA34" s="430">
        <f>P$15+P$16+P$17+P$18+P$19+P$21+P$22+P$23</f>
        <v>0</v>
      </c>
      <c r="AB34" s="719">
        <f>$P20</f>
        <v>0</v>
      </c>
      <c r="AC34" s="723">
        <f t="shared" si="23"/>
        <v>0</v>
      </c>
      <c r="AD34" s="587">
        <f>Q6+Q7+Q8+Q9+Q15+Q16+Q17+Q18+Q19+Q20+Q21+Q22+Q23</f>
        <v>0</v>
      </c>
      <c r="AE34" s="579">
        <f t="shared" ref="AE34:AE43" si="24">AC34+AD34</f>
        <v>0</v>
      </c>
      <c r="AG34" s="599">
        <v>14</v>
      </c>
      <c r="AJ34" s="685"/>
      <c r="AM34" s="599"/>
      <c r="AN34" s="1014"/>
      <c r="AT34" s="25"/>
      <c r="AU34" s="25"/>
    </row>
    <row r="35" spans="1:62" ht="23.25">
      <c r="I35" s="24" t="s">
        <v>25</v>
      </c>
      <c r="J35" s="24">
        <f>24.95+37.4</f>
        <v>62.349999999999994</v>
      </c>
      <c r="L35" s="441" t="s">
        <v>184</v>
      </c>
      <c r="M35" s="470">
        <f>$R$6</f>
        <v>0</v>
      </c>
      <c r="N35" s="430">
        <f>$R9</f>
        <v>0</v>
      </c>
      <c r="O35" s="430">
        <f>$R7</f>
        <v>0</v>
      </c>
      <c r="P35" s="430">
        <f>$R8</f>
        <v>0</v>
      </c>
      <c r="Q35" s="430">
        <f>R15+R16+R17+R18+R19+R21+R22+R23</f>
        <v>0</v>
      </c>
      <c r="R35" s="430">
        <f>$R20</f>
        <v>8</v>
      </c>
      <c r="S35" s="446">
        <f t="shared" si="22"/>
        <v>8</v>
      </c>
      <c r="T35" s="686"/>
      <c r="U35" s="26"/>
      <c r="V35" s="441" t="s">
        <v>184</v>
      </c>
      <c r="W35" s="440">
        <f>T$6</f>
        <v>0</v>
      </c>
      <c r="X35" s="430">
        <f>$T9</f>
        <v>0</v>
      </c>
      <c r="Y35" s="430">
        <f>$T7</f>
        <v>0</v>
      </c>
      <c r="Z35" s="430">
        <f>$T8</f>
        <v>0</v>
      </c>
      <c r="AA35" s="430">
        <f>T$15+T$16+T$17+T$18+T$19+T$21+T$22+T$23</f>
        <v>0</v>
      </c>
      <c r="AB35" s="719">
        <f>$T20</f>
        <v>0</v>
      </c>
      <c r="AC35" s="723">
        <f t="shared" si="23"/>
        <v>0</v>
      </c>
      <c r="AD35" s="587">
        <f>U6+U7+U8+U9+U15+U16+U17+U18+U19+U20+U21+U22+U23</f>
        <v>0</v>
      </c>
      <c r="AE35" s="579">
        <f t="shared" si="24"/>
        <v>0</v>
      </c>
      <c r="AF35" s="26"/>
      <c r="AG35" s="599">
        <v>27</v>
      </c>
      <c r="AH35" s="24"/>
      <c r="AJ35" s="685"/>
      <c r="AL35" s="24"/>
      <c r="AM35" s="599"/>
      <c r="AN35" s="1014"/>
      <c r="AP35" s="24"/>
      <c r="AT35" s="25"/>
      <c r="AU35" s="25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J35" s="23" t="s">
        <v>304</v>
      </c>
    </row>
    <row r="36" spans="1:62" ht="23.25">
      <c r="I36" s="24" t="s">
        <v>285</v>
      </c>
      <c r="J36" s="26">
        <f>20</f>
        <v>20</v>
      </c>
      <c r="L36" s="441" t="s">
        <v>170</v>
      </c>
      <c r="M36" s="470">
        <f>$V$6</f>
        <v>6</v>
      </c>
      <c r="N36" s="430">
        <f>$V9</f>
        <v>4</v>
      </c>
      <c r="O36" s="430">
        <f>$V7</f>
        <v>0</v>
      </c>
      <c r="P36" s="430">
        <f>$V8</f>
        <v>0</v>
      </c>
      <c r="Q36" s="430">
        <f>V15+V16+V17+V18+V19+V21++V22+V23</f>
        <v>0</v>
      </c>
      <c r="R36" s="430">
        <f>$V20</f>
        <v>0</v>
      </c>
      <c r="S36" s="446">
        <f t="shared" si="22"/>
        <v>10</v>
      </c>
      <c r="T36" s="686"/>
      <c r="U36" s="26"/>
      <c r="V36" s="441" t="s">
        <v>170</v>
      </c>
      <c r="W36" s="440">
        <f>X$6</f>
        <v>0</v>
      </c>
      <c r="X36" s="430">
        <f>$X9</f>
        <v>1</v>
      </c>
      <c r="Y36" s="430">
        <f>$X7</f>
        <v>0</v>
      </c>
      <c r="Z36" s="430">
        <f>$X8</f>
        <v>0</v>
      </c>
      <c r="AA36" s="430">
        <f>X$15+X$16+X$17+X$18+X$19+X$21+X$22+X$23</f>
        <v>0</v>
      </c>
      <c r="AB36" s="719">
        <f>$X20</f>
        <v>0</v>
      </c>
      <c r="AC36" s="723">
        <f t="shared" si="23"/>
        <v>1</v>
      </c>
      <c r="AD36" s="587">
        <f>Y6+Y7+Y8+Y9+Y15+Y16+Y17+Y18+Y19+Y20+Y21+Y22+Y23</f>
        <v>0</v>
      </c>
      <c r="AE36" s="579">
        <f t="shared" si="24"/>
        <v>1</v>
      </c>
      <c r="AF36" s="26"/>
      <c r="AG36" s="599"/>
      <c r="AH36" s="599"/>
      <c r="AI36" s="599"/>
      <c r="AL36" s="24"/>
      <c r="AN36" s="26"/>
      <c r="AP36" s="24"/>
      <c r="AT36" s="25"/>
      <c r="AU36" s="25"/>
      <c r="AX36" s="23"/>
      <c r="AY36" s="23"/>
      <c r="AZ36" s="23"/>
      <c r="BA36" s="23"/>
      <c r="BB36" s="23"/>
      <c r="BC36" s="23"/>
      <c r="BD36" s="23"/>
      <c r="BE36" s="23"/>
      <c r="BF36" s="23"/>
      <c r="BG36" s="23"/>
    </row>
    <row r="37" spans="1:62" ht="23.25">
      <c r="I37" s="24" t="s">
        <v>273</v>
      </c>
      <c r="J37" s="24">
        <f>8+19.1+14.7+29</f>
        <v>70.8</v>
      </c>
      <c r="L37" s="441" t="s">
        <v>171</v>
      </c>
      <c r="M37" s="470">
        <f>$Z$6</f>
        <v>0</v>
      </c>
      <c r="N37" s="430">
        <f>$Z9</f>
        <v>2</v>
      </c>
      <c r="O37" s="430">
        <f>$Z7</f>
        <v>0</v>
      </c>
      <c r="P37" s="430">
        <f>$Z8</f>
        <v>0</v>
      </c>
      <c r="Q37" s="430">
        <f>Z15+Z16+Z17+Z18+Z19+Z21+Z22+Z23</f>
        <v>0</v>
      </c>
      <c r="R37" s="430">
        <f>$Z20</f>
        <v>0</v>
      </c>
      <c r="S37" s="446">
        <f t="shared" si="22"/>
        <v>2</v>
      </c>
      <c r="T37" s="686"/>
      <c r="U37" s="26"/>
      <c r="V37" s="441" t="s">
        <v>171</v>
      </c>
      <c r="W37" s="440">
        <f>AB$6</f>
        <v>0</v>
      </c>
      <c r="X37" s="430">
        <f>$AB9</f>
        <v>0</v>
      </c>
      <c r="Y37" s="430">
        <f>$AB7</f>
        <v>0</v>
      </c>
      <c r="Z37" s="430">
        <f>$AB8</f>
        <v>0</v>
      </c>
      <c r="AA37" s="430">
        <f>AB$15+AB$16+AB$17+AB$18+AB$19+AB$21+AB$22+AB$23</f>
        <v>0</v>
      </c>
      <c r="AB37" s="719">
        <f>$AB20</f>
        <v>0</v>
      </c>
      <c r="AC37" s="723">
        <f t="shared" si="23"/>
        <v>0</v>
      </c>
      <c r="AD37" s="587">
        <f>AC6+AC7+AC8+AC9+AC15+AC17+AC16+AC18+AC19+AC20+AC21+AC22+AC23</f>
        <v>0</v>
      </c>
      <c r="AE37" s="579">
        <f t="shared" si="24"/>
        <v>0</v>
      </c>
      <c r="AF37" s="26"/>
      <c r="AG37" s="26"/>
      <c r="AI37" s="26"/>
      <c r="AJ37" s="26"/>
      <c r="AK37" s="26"/>
      <c r="AL37" s="24"/>
      <c r="AN37" s="26"/>
      <c r="AP37" s="24"/>
      <c r="AT37" s="24"/>
      <c r="AX37" s="23"/>
      <c r="AY37" s="23"/>
      <c r="AZ37" s="23"/>
      <c r="BA37" s="23"/>
      <c r="BB37" s="23"/>
      <c r="BC37" s="23"/>
      <c r="BD37" s="23"/>
      <c r="BE37" s="23"/>
      <c r="BF37" s="23"/>
      <c r="BG37" s="23"/>
    </row>
    <row r="38" spans="1:62" ht="23.25">
      <c r="I38" s="24"/>
      <c r="J38" s="24">
        <f>SUM(J32:J37)</f>
        <v>254.67000000000002</v>
      </c>
      <c r="L38" s="441" t="s">
        <v>190</v>
      </c>
      <c r="M38" s="492">
        <f>$AD$6</f>
        <v>10</v>
      </c>
      <c r="N38" s="471">
        <f>$AD9</f>
        <v>0</v>
      </c>
      <c r="O38" s="471">
        <f>$AD7</f>
        <v>0</v>
      </c>
      <c r="P38" s="471">
        <f>$AD8</f>
        <v>10</v>
      </c>
      <c r="Q38" s="430">
        <f>AD15+AD16+AD17+AD18+AD19+AD21+AD22+AD23</f>
        <v>0</v>
      </c>
      <c r="R38" s="471">
        <f>$AD20</f>
        <v>0</v>
      </c>
      <c r="S38" s="446">
        <f t="shared" si="22"/>
        <v>20</v>
      </c>
      <c r="T38" s="686"/>
      <c r="U38" s="26"/>
      <c r="V38" s="441" t="s">
        <v>190</v>
      </c>
      <c r="W38" s="440">
        <f>AF$6</f>
        <v>15</v>
      </c>
      <c r="X38" s="430">
        <f>$AF9</f>
        <v>2</v>
      </c>
      <c r="Y38" s="430">
        <f>$AF7</f>
        <v>0</v>
      </c>
      <c r="Z38" s="430">
        <f>$AF8</f>
        <v>0</v>
      </c>
      <c r="AA38" s="430">
        <f>AF$15+AF$16+AF$17+AF$18+AF$19+AF$21+AF$22+AF$23</f>
        <v>0</v>
      </c>
      <c r="AB38" s="719">
        <f>$AF20</f>
        <v>0</v>
      </c>
      <c r="AC38" s="723">
        <f t="shared" si="23"/>
        <v>17</v>
      </c>
      <c r="AD38" s="587">
        <f>AG6+AG7+AG8+AG9+AG15+AG16+AG17+AG18+AG19+AG20+AG21+AG22+AG23</f>
        <v>0</v>
      </c>
      <c r="AE38" s="579">
        <f t="shared" si="24"/>
        <v>17</v>
      </c>
      <c r="AF38" s="26"/>
      <c r="AG38" s="26"/>
      <c r="AI38" s="26"/>
      <c r="AJ38" s="26"/>
      <c r="AK38" s="26"/>
      <c r="AL38" s="24"/>
      <c r="AN38" s="26"/>
      <c r="AP38" s="24"/>
      <c r="AT38" s="24"/>
      <c r="AX38" s="23"/>
      <c r="AY38" s="23"/>
      <c r="AZ38" s="23"/>
      <c r="BA38" s="23"/>
      <c r="BB38" s="23"/>
      <c r="BC38" s="23"/>
      <c r="BD38" s="23"/>
      <c r="BE38" s="23"/>
      <c r="BF38" s="23"/>
      <c r="BG38" s="23"/>
    </row>
    <row r="39" spans="1:62" ht="23.25">
      <c r="L39" s="441" t="s">
        <v>185</v>
      </c>
      <c r="M39" s="470">
        <f>$AL$6</f>
        <v>1</v>
      </c>
      <c r="N39" s="430">
        <f>$AL9</f>
        <v>0</v>
      </c>
      <c r="O39" s="430">
        <f>$AL7</f>
        <v>0</v>
      </c>
      <c r="P39" s="430">
        <f>$AL8</f>
        <v>0</v>
      </c>
      <c r="Q39" s="430">
        <f>AL15+AL16+AL17+AL18+AL19+AL21+AL22+AL23</f>
        <v>0</v>
      </c>
      <c r="R39" s="430">
        <f>$AL20</f>
        <v>12</v>
      </c>
      <c r="S39" s="446">
        <f t="shared" si="22"/>
        <v>13</v>
      </c>
      <c r="T39" s="686"/>
      <c r="U39" s="26"/>
      <c r="V39" s="441" t="s">
        <v>185</v>
      </c>
      <c r="W39" s="469">
        <f>AN$6</f>
        <v>0</v>
      </c>
      <c r="X39" s="430">
        <f>$AN9</f>
        <v>0</v>
      </c>
      <c r="Y39" s="430">
        <f>$AN7</f>
        <v>0</v>
      </c>
      <c r="Z39" s="430">
        <f>$AN8</f>
        <v>10</v>
      </c>
      <c r="AA39" s="430">
        <f>AN$15+AN$16+AN$17+AN$18+AN$19+AN$21+AN$22+AN$23</f>
        <v>0</v>
      </c>
      <c r="AB39" s="719">
        <f>$AN20</f>
        <v>0</v>
      </c>
      <c r="AC39" s="723">
        <f t="shared" si="23"/>
        <v>10</v>
      </c>
      <c r="AD39" s="587">
        <f>AO6+AO7+AO8+AO9+AO15+AO16+AO17+AO18+AO19+AO20+AO21+AO22+AO23</f>
        <v>0</v>
      </c>
      <c r="AE39" s="579">
        <f t="shared" si="24"/>
        <v>10</v>
      </c>
      <c r="AF39" s="23"/>
      <c r="AG39" s="26"/>
      <c r="AI39" s="26"/>
      <c r="AJ39" s="26"/>
      <c r="AK39" s="26"/>
      <c r="AL39" s="24"/>
      <c r="AN39" s="26"/>
      <c r="AP39" s="24"/>
      <c r="AT39" s="24"/>
      <c r="AX39" s="23"/>
      <c r="AY39" s="23"/>
      <c r="AZ39" s="23"/>
      <c r="BA39" s="23"/>
      <c r="BB39" s="23"/>
      <c r="BC39" s="23"/>
      <c r="BD39" s="23"/>
      <c r="BE39" s="23">
        <f>100-67</f>
        <v>33</v>
      </c>
      <c r="BF39" s="23"/>
      <c r="BG39" s="23"/>
    </row>
    <row r="40" spans="1:62" ht="23.25">
      <c r="L40" s="441" t="s">
        <v>202</v>
      </c>
      <c r="M40" s="470">
        <f>$AP$6</f>
        <v>3.5</v>
      </c>
      <c r="N40" s="430">
        <f>$AP9</f>
        <v>0</v>
      </c>
      <c r="O40" s="430">
        <f>$AP7</f>
        <v>0</v>
      </c>
      <c r="P40" s="430">
        <f>$AP8</f>
        <v>0</v>
      </c>
      <c r="Q40" s="430">
        <f>AP15+AP16+AP17+AP18+AP19+AP21+AP22+AP23</f>
        <v>6</v>
      </c>
      <c r="R40" s="430">
        <f>$AP20</f>
        <v>0</v>
      </c>
      <c r="S40" s="446">
        <f t="shared" si="22"/>
        <v>9.5</v>
      </c>
      <c r="T40" s="686"/>
      <c r="U40" s="26"/>
      <c r="V40" s="441" t="s">
        <v>202</v>
      </c>
      <c r="W40" s="440">
        <f>AR$6</f>
        <v>1.05</v>
      </c>
      <c r="X40" s="430">
        <f>$AR9</f>
        <v>0</v>
      </c>
      <c r="Y40" s="430">
        <f>$AR7</f>
        <v>0</v>
      </c>
      <c r="Z40" s="430">
        <f>$AR8</f>
        <v>0</v>
      </c>
      <c r="AA40" s="430">
        <f>AR$15+AR$16+AR$17+AR$18+AR$19+AR$21+AR$22+AR$23</f>
        <v>0</v>
      </c>
      <c r="AB40" s="719">
        <f>$AR20</f>
        <v>0</v>
      </c>
      <c r="AC40" s="723">
        <f t="shared" si="23"/>
        <v>1.05</v>
      </c>
      <c r="AD40" s="587">
        <f>AS6+AS7+AS8+AS9+AS15+AS16+AS17+AS18+AS19+AS20+AS21+AS22+AS23</f>
        <v>0</v>
      </c>
      <c r="AE40" s="579">
        <f t="shared" si="24"/>
        <v>1.05</v>
      </c>
      <c r="AF40" s="28"/>
      <c r="AG40" s="26"/>
      <c r="AI40" s="26"/>
      <c r="AJ40" s="26"/>
      <c r="AK40" s="26"/>
      <c r="AL40" s="24"/>
      <c r="AN40" s="26"/>
      <c r="AP40" s="24"/>
      <c r="AS40" s="23"/>
      <c r="AT40" s="24"/>
      <c r="AX40" s="23"/>
      <c r="AY40" s="23"/>
      <c r="AZ40" s="23"/>
      <c r="BA40" s="23"/>
      <c r="BB40" s="23"/>
      <c r="BC40" s="23"/>
      <c r="BD40" s="23"/>
      <c r="BE40" s="23">
        <f>20+6</f>
        <v>26</v>
      </c>
      <c r="BF40" s="23"/>
      <c r="BG40" s="23"/>
    </row>
    <row r="41" spans="1:62" ht="23.25">
      <c r="L41" s="441" t="s">
        <v>186</v>
      </c>
      <c r="M41" s="470">
        <f>$AT$6</f>
        <v>5</v>
      </c>
      <c r="N41" s="430">
        <f>$AT9</f>
        <v>0</v>
      </c>
      <c r="O41" s="430">
        <f>$AT7</f>
        <v>0</v>
      </c>
      <c r="P41" s="430">
        <f>$AT8</f>
        <v>5</v>
      </c>
      <c r="Q41" s="430">
        <f>AT15+AT16+AT17+AT18+AT19+AT21+AT22+AT23</f>
        <v>0</v>
      </c>
      <c r="R41" s="430">
        <f>$AT20</f>
        <v>0</v>
      </c>
      <c r="S41" s="446">
        <f t="shared" si="22"/>
        <v>10</v>
      </c>
      <c r="T41" s="686"/>
      <c r="U41" s="26"/>
      <c r="V41" s="441" t="s">
        <v>186</v>
      </c>
      <c r="W41" s="440">
        <f>AV$6</f>
        <v>0</v>
      </c>
      <c r="X41" s="430">
        <f>$AV9</f>
        <v>0</v>
      </c>
      <c r="Y41" s="430">
        <f>$AV7</f>
        <v>0</v>
      </c>
      <c r="Z41" s="430">
        <f>$AV8</f>
        <v>0</v>
      </c>
      <c r="AA41" s="430">
        <f>AV$15+AV$16+AV$17+AV$18+AV$19+AV$21+AV$22+AV$23</f>
        <v>0</v>
      </c>
      <c r="AB41" s="719">
        <f>$AV20</f>
        <v>0</v>
      </c>
      <c r="AC41" s="723">
        <f t="shared" si="23"/>
        <v>0</v>
      </c>
      <c r="AD41" s="587">
        <f>AW6+AW7+AW8+AW9+AW15+AW16+AW17+AW18+AW20+AW19+AW21+AW22+AW23</f>
        <v>0</v>
      </c>
      <c r="AE41" s="579">
        <f t="shared" si="24"/>
        <v>0</v>
      </c>
      <c r="AH41" s="24"/>
      <c r="AJ41" s="25"/>
      <c r="AL41" s="24"/>
      <c r="AN41" s="25"/>
      <c r="AP41" s="24"/>
      <c r="AR41" s="25"/>
      <c r="AT41" s="24"/>
      <c r="AX41" s="23"/>
      <c r="AY41" s="23"/>
      <c r="AZ41" s="23"/>
      <c r="BA41" s="23"/>
      <c r="BB41" s="23"/>
      <c r="BC41" s="23"/>
      <c r="BD41" s="23"/>
      <c r="BE41" s="23"/>
      <c r="BF41" s="23"/>
      <c r="BG41" s="23"/>
    </row>
    <row r="42" spans="1:62" ht="23.25">
      <c r="L42" s="441" t="s">
        <v>203</v>
      </c>
      <c r="M42" s="470">
        <f>$AX$6</f>
        <v>5</v>
      </c>
      <c r="N42" s="430">
        <f>$AX9</f>
        <v>0</v>
      </c>
      <c r="O42" s="430">
        <f>$AX7</f>
        <v>0</v>
      </c>
      <c r="P42" s="430">
        <f>$AX8</f>
        <v>0</v>
      </c>
      <c r="Q42" s="430">
        <f>AX15+AX16+AX17+AX18+AX19+AX21+AX22+AX23</f>
        <v>0</v>
      </c>
      <c r="R42" s="430">
        <f>$AX20</f>
        <v>12</v>
      </c>
      <c r="S42" s="446">
        <f t="shared" si="22"/>
        <v>17</v>
      </c>
      <c r="T42" s="686"/>
      <c r="U42" s="26"/>
      <c r="V42" s="441" t="s">
        <v>203</v>
      </c>
      <c r="W42" s="440">
        <f>AZ$6</f>
        <v>0</v>
      </c>
      <c r="X42" s="430">
        <f>$AZ9</f>
        <v>5.94</v>
      </c>
      <c r="Y42" s="430">
        <f>$AZ7</f>
        <v>0</v>
      </c>
      <c r="Z42" s="430">
        <f>$AZ8</f>
        <v>0</v>
      </c>
      <c r="AA42" s="430">
        <f>AZ$15+AZ$16+AZ$17+AZ$18+AZ$19+AZ$21+AZ$22+AZ$23</f>
        <v>0</v>
      </c>
      <c r="AB42" s="719">
        <f>$AZ20</f>
        <v>12</v>
      </c>
      <c r="AC42" s="723">
        <f t="shared" si="23"/>
        <v>17.940000000000001</v>
      </c>
      <c r="AD42" s="587">
        <f>BA6+BA7+BA8+BA9+BA15+BA16+BA17+BA18+BA19+BA20+BA21+BA22+BA23</f>
        <v>0</v>
      </c>
      <c r="AE42" s="579">
        <f t="shared" si="24"/>
        <v>17.940000000000001</v>
      </c>
      <c r="AH42" s="24"/>
      <c r="AJ42" s="25"/>
      <c r="AL42" s="24"/>
      <c r="AN42" s="25"/>
      <c r="AP42" s="24"/>
      <c r="AR42" s="25"/>
      <c r="AT42" s="24"/>
      <c r="AV42" s="25"/>
      <c r="AX42" s="23"/>
      <c r="AY42" s="23"/>
      <c r="AZ42" s="23"/>
      <c r="BA42" s="23"/>
      <c r="BB42" s="23"/>
      <c r="BC42" s="23"/>
      <c r="BD42" s="23"/>
      <c r="BE42" s="23"/>
      <c r="BF42" s="23"/>
      <c r="BG42" s="23"/>
    </row>
    <row r="43" spans="1:62" ht="24" thickBot="1">
      <c r="L43" s="442" t="s">
        <v>191</v>
      </c>
      <c r="M43" s="443">
        <f t="shared" ref="M43" si="25">SUM(M33:M42)</f>
        <v>70.5</v>
      </c>
      <c r="N43" s="444">
        <f>SUM(N33:N42)</f>
        <v>6</v>
      </c>
      <c r="O43" s="443">
        <f t="shared" ref="O43" si="26">SUM(O33:O42)</f>
        <v>0</v>
      </c>
      <c r="P43" s="444">
        <f>SUM(P33:P42)</f>
        <v>25</v>
      </c>
      <c r="Q43" s="444">
        <f>SUM(Q33:Q42)</f>
        <v>26</v>
      </c>
      <c r="R43" s="445">
        <f>SUM(R33:R42)</f>
        <v>32</v>
      </c>
      <c r="S43" s="451">
        <f>SUM(S33:S42)</f>
        <v>159.5</v>
      </c>
      <c r="T43" s="687"/>
      <c r="U43" s="26"/>
      <c r="V43" s="442" t="s">
        <v>191</v>
      </c>
      <c r="W43" s="443">
        <f t="shared" ref="W43:Y43" si="27">SUM(W33:W42)</f>
        <v>26.05</v>
      </c>
      <c r="X43" s="444">
        <f>SUM(X33:X42)</f>
        <v>12.440000000000001</v>
      </c>
      <c r="Y43" s="443">
        <f t="shared" si="27"/>
        <v>0</v>
      </c>
      <c r="Z43" s="444">
        <f>SUM(Z33:Z42)</f>
        <v>10</v>
      </c>
      <c r="AA43" s="444">
        <f>SUM(AA33:AA42)</f>
        <v>0</v>
      </c>
      <c r="AB43" s="720">
        <f>SUM(AB33:AB42)</f>
        <v>12</v>
      </c>
      <c r="AC43" s="724">
        <f>SUM(AC33:AC42)</f>
        <v>60.489999999999995</v>
      </c>
      <c r="AD43" s="725">
        <f>SUM(AD33:AD42)</f>
        <v>25</v>
      </c>
      <c r="AE43" s="579">
        <f t="shared" si="24"/>
        <v>85.49</v>
      </c>
      <c r="AH43" s="24"/>
      <c r="AJ43" s="25"/>
      <c r="AL43" s="24"/>
      <c r="AN43" s="25"/>
      <c r="AP43" s="24"/>
      <c r="AR43" s="25"/>
      <c r="AT43" s="24"/>
      <c r="AV43" s="25"/>
      <c r="AX43" s="23"/>
      <c r="AY43" s="23"/>
      <c r="AZ43" s="23"/>
      <c r="BA43" s="23"/>
      <c r="BB43" s="23"/>
      <c r="BC43" s="23"/>
      <c r="BD43" s="23"/>
      <c r="BE43" s="23"/>
      <c r="BF43" s="23"/>
      <c r="BG43" s="23"/>
    </row>
    <row r="44" spans="1:62" ht="15" customHeight="1" thickBot="1">
      <c r="L44" s="26"/>
      <c r="M44" s="26"/>
      <c r="N44" s="24"/>
      <c r="P44" s="26"/>
      <c r="Q44" s="26"/>
      <c r="R44" s="24"/>
      <c r="T44" s="26"/>
      <c r="U44" s="26"/>
      <c r="V44" s="24"/>
      <c r="Z44" s="24"/>
      <c r="AD44" s="24"/>
      <c r="AE44" s="26"/>
      <c r="AF44" s="466"/>
      <c r="AG44" s="466"/>
      <c r="AH44" s="466"/>
      <c r="AI44" s="467"/>
      <c r="AL44" s="24"/>
      <c r="AM44" s="25"/>
      <c r="AP44" s="24"/>
      <c r="AQ44" s="25"/>
      <c r="AT44" s="24"/>
      <c r="AU44" s="25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</row>
    <row r="45" spans="1:62" ht="38.25" customHeight="1" thickBot="1">
      <c r="L45" s="1929" t="str">
        <f>L31</f>
        <v>Mode wise Collection Plan-5-01-2022</v>
      </c>
      <c r="M45" s="1930"/>
      <c r="N45" s="1930"/>
      <c r="O45" s="1930"/>
      <c r="P45" s="1930"/>
      <c r="Q45" s="1930"/>
      <c r="R45" s="1930"/>
      <c r="S45" s="1930"/>
      <c r="T45" s="1931"/>
      <c r="U45" s="26"/>
      <c r="V45" s="1923" t="s">
        <v>282</v>
      </c>
      <c r="W45" s="1937"/>
      <c r="X45" s="1937"/>
      <c r="Y45" s="1937"/>
      <c r="Z45" s="1937"/>
      <c r="AA45" s="1937"/>
      <c r="AB45" s="1937"/>
      <c r="AC45" s="1937"/>
      <c r="AD45" s="1937"/>
      <c r="AE45" s="1938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</row>
    <row r="46" spans="1:62" s="28" customFormat="1" ht="31.5">
      <c r="D46" s="29"/>
      <c r="E46" s="29"/>
      <c r="F46" s="29"/>
      <c r="I46" s="29"/>
      <c r="J46" s="1011" t="s">
        <v>270</v>
      </c>
      <c r="K46" s="1011" t="s">
        <v>196</v>
      </c>
      <c r="L46" s="450" t="s">
        <v>0</v>
      </c>
      <c r="M46" s="439" t="s">
        <v>200</v>
      </c>
      <c r="N46" s="454" t="s">
        <v>205</v>
      </c>
      <c r="O46" s="439" t="s">
        <v>31</v>
      </c>
      <c r="P46" s="448" t="s">
        <v>201</v>
      </c>
      <c r="Q46" s="455" t="s">
        <v>206</v>
      </c>
      <c r="R46" s="436" t="s">
        <v>22</v>
      </c>
      <c r="S46" s="438" t="s">
        <v>191</v>
      </c>
      <c r="T46" s="438" t="s">
        <v>244</v>
      </c>
      <c r="U46" s="26"/>
      <c r="V46" s="596" t="s">
        <v>0</v>
      </c>
      <c r="W46" s="436" t="s">
        <v>200</v>
      </c>
      <c r="X46" s="454" t="s">
        <v>205</v>
      </c>
      <c r="Y46" s="436" t="s">
        <v>31</v>
      </c>
      <c r="Z46" s="448" t="s">
        <v>201</v>
      </c>
      <c r="AA46" s="453" t="s">
        <v>206</v>
      </c>
      <c r="AB46" s="453" t="s">
        <v>210</v>
      </c>
      <c r="AC46" s="436" t="s">
        <v>22</v>
      </c>
      <c r="AD46" s="437" t="s">
        <v>191</v>
      </c>
      <c r="AE46" s="438" t="s">
        <v>244</v>
      </c>
      <c r="AF46" s="1028" t="s">
        <v>32</v>
      </c>
      <c r="AG46" s="1027" t="s">
        <v>25</v>
      </c>
      <c r="AH46" s="1027" t="s">
        <v>23</v>
      </c>
      <c r="AI46" s="1027" t="s">
        <v>271</v>
      </c>
      <c r="AJ46" s="1027" t="s">
        <v>285</v>
      </c>
      <c r="AK46" s="23"/>
      <c r="AL46" s="23"/>
      <c r="AM46" s="23"/>
      <c r="AN46" s="23"/>
      <c r="AO46" s="23"/>
      <c r="AP46" s="23"/>
      <c r="AQ46" s="23"/>
    </row>
    <row r="47" spans="1:62" ht="23.25">
      <c r="J47" s="441"/>
      <c r="K47" s="441"/>
      <c r="L47" s="441" t="s">
        <v>189</v>
      </c>
      <c r="M47" s="470">
        <v>20</v>
      </c>
      <c r="N47" s="430">
        <v>0</v>
      </c>
      <c r="O47" s="430">
        <v>0</v>
      </c>
      <c r="P47" s="430">
        <v>10</v>
      </c>
      <c r="Q47" s="430">
        <v>20</v>
      </c>
      <c r="R47" s="430">
        <v>0</v>
      </c>
      <c r="S47" s="446">
        <f t="shared" ref="S47:S56" si="28">SUM(M47:R47)</f>
        <v>50</v>
      </c>
      <c r="T47" s="446">
        <v>25</v>
      </c>
      <c r="U47" s="26"/>
      <c r="V47" s="586" t="s">
        <v>189</v>
      </c>
      <c r="W47" s="430">
        <v>28.369999999999997</v>
      </c>
      <c r="X47" s="430">
        <v>20.7</v>
      </c>
      <c r="Y47" s="430">
        <v>0</v>
      </c>
      <c r="Z47" s="430">
        <v>0</v>
      </c>
      <c r="AA47" s="430">
        <v>0</v>
      </c>
      <c r="AB47" s="655">
        <v>0</v>
      </c>
      <c r="AC47" s="430"/>
      <c r="AD47" s="568">
        <f t="shared" ref="AD47:AD56" si="29">SUM(W47:AC47)</f>
        <v>49.069999999999993</v>
      </c>
      <c r="AE47" s="587">
        <f>L27+L28+L29</f>
        <v>25</v>
      </c>
      <c r="AF47" s="951"/>
      <c r="AG47" s="1027">
        <v>24.95</v>
      </c>
      <c r="AH47" s="1027"/>
      <c r="AI47" s="1027"/>
      <c r="AJ47" s="1027"/>
      <c r="AK47" s="28"/>
      <c r="AL47" s="28"/>
      <c r="AM47" s="28"/>
      <c r="AN47" s="28"/>
      <c r="AO47" s="28"/>
      <c r="AP47" s="28"/>
      <c r="AQ47" s="28"/>
      <c r="AT47" s="25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</row>
    <row r="48" spans="1:62" ht="23.25">
      <c r="J48" s="441"/>
      <c r="K48" s="441"/>
      <c r="L48" s="441" t="s">
        <v>183</v>
      </c>
      <c r="M48" s="470">
        <v>20</v>
      </c>
      <c r="N48" s="430">
        <v>0</v>
      </c>
      <c r="O48" s="430">
        <v>0</v>
      </c>
      <c r="P48" s="430">
        <v>0</v>
      </c>
      <c r="Q48" s="430">
        <v>0</v>
      </c>
      <c r="R48" s="430">
        <v>0</v>
      </c>
      <c r="S48" s="446">
        <f t="shared" si="28"/>
        <v>20</v>
      </c>
      <c r="T48" s="446"/>
      <c r="U48" s="466"/>
      <c r="V48" s="586" t="s">
        <v>183</v>
      </c>
      <c r="W48" s="430">
        <v>8</v>
      </c>
      <c r="X48" s="430">
        <v>2.65</v>
      </c>
      <c r="Y48" s="430">
        <v>0</v>
      </c>
      <c r="Z48" s="430">
        <v>0</v>
      </c>
      <c r="AA48" s="430">
        <v>0</v>
      </c>
      <c r="AB48" s="655">
        <v>0</v>
      </c>
      <c r="AC48" s="430"/>
      <c r="AD48" s="568">
        <f t="shared" si="29"/>
        <v>10.65</v>
      </c>
      <c r="AE48" s="587">
        <f>P27+P28+P29</f>
        <v>0</v>
      </c>
      <c r="AF48" s="951"/>
      <c r="AG48" s="951"/>
      <c r="AH48" s="951"/>
      <c r="AI48" s="655"/>
      <c r="AJ48" s="1027">
        <v>18.850000000000001</v>
      </c>
      <c r="AL48" s="25"/>
      <c r="AP48" s="25"/>
      <c r="AT48" s="25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</row>
    <row r="49" spans="4:59" ht="23.25">
      <c r="J49" s="441"/>
      <c r="K49" s="441"/>
      <c r="L49" s="441" t="s">
        <v>184</v>
      </c>
      <c r="M49" s="470">
        <v>0</v>
      </c>
      <c r="N49" s="430">
        <v>0</v>
      </c>
      <c r="O49" s="430">
        <v>0</v>
      </c>
      <c r="P49" s="430">
        <v>0</v>
      </c>
      <c r="Q49" s="430">
        <v>0</v>
      </c>
      <c r="R49" s="430">
        <v>8</v>
      </c>
      <c r="S49" s="446">
        <f t="shared" si="28"/>
        <v>8</v>
      </c>
      <c r="T49" s="446"/>
      <c r="U49" s="466"/>
      <c r="V49" s="586" t="s">
        <v>184</v>
      </c>
      <c r="W49" s="430">
        <v>0</v>
      </c>
      <c r="X49" s="430">
        <v>0</v>
      </c>
      <c r="Y49" s="430">
        <v>0</v>
      </c>
      <c r="Z49" s="430">
        <v>0</v>
      </c>
      <c r="AA49" s="430">
        <v>0</v>
      </c>
      <c r="AB49" s="655">
        <v>0</v>
      </c>
      <c r="AC49" s="430"/>
      <c r="AD49" s="568">
        <f t="shared" si="29"/>
        <v>0</v>
      </c>
      <c r="AE49" s="587">
        <f>T27+T28+T29</f>
        <v>0</v>
      </c>
      <c r="AF49" s="951">
        <v>7.39</v>
      </c>
      <c r="AG49" s="951"/>
      <c r="AH49" s="951"/>
      <c r="AI49" s="655"/>
      <c r="AJ49" s="655"/>
      <c r="AL49" s="25"/>
      <c r="AP49" s="25"/>
      <c r="AT49" s="25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</row>
    <row r="50" spans="4:59" ht="23.25">
      <c r="J50" s="441"/>
      <c r="K50" s="441"/>
      <c r="L50" s="441" t="s">
        <v>170</v>
      </c>
      <c r="M50" s="470">
        <v>6</v>
      </c>
      <c r="N50" s="430">
        <v>4</v>
      </c>
      <c r="O50" s="430">
        <v>0</v>
      </c>
      <c r="P50" s="430">
        <v>0</v>
      </c>
      <c r="Q50" s="430">
        <v>0</v>
      </c>
      <c r="R50" s="430">
        <v>0</v>
      </c>
      <c r="S50" s="446">
        <f t="shared" si="28"/>
        <v>10</v>
      </c>
      <c r="T50" s="446"/>
      <c r="U50" s="466"/>
      <c r="V50" s="586" t="s">
        <v>170</v>
      </c>
      <c r="W50" s="430">
        <v>0</v>
      </c>
      <c r="X50" s="430">
        <v>0</v>
      </c>
      <c r="Y50" s="430">
        <v>0</v>
      </c>
      <c r="Z50" s="430">
        <v>0</v>
      </c>
      <c r="AA50" s="430">
        <v>0</v>
      </c>
      <c r="AB50" s="655">
        <v>0</v>
      </c>
      <c r="AC50" s="430"/>
      <c r="AD50" s="568">
        <f t="shared" si="29"/>
        <v>0</v>
      </c>
      <c r="AE50" s="587">
        <f>X27+X28+X29</f>
        <v>0</v>
      </c>
      <c r="AF50" s="951"/>
      <c r="AG50" s="951">
        <v>37.35</v>
      </c>
      <c r="AH50" s="951"/>
      <c r="AI50" s="655"/>
      <c r="AJ50" s="655"/>
      <c r="AL50" s="25"/>
      <c r="AP50" s="25"/>
      <c r="AT50" s="25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</row>
    <row r="51" spans="4:59" ht="23.25">
      <c r="J51" s="441"/>
      <c r="K51" s="441"/>
      <c r="L51" s="441" t="s">
        <v>171</v>
      </c>
      <c r="M51" s="470">
        <v>0</v>
      </c>
      <c r="N51" s="430">
        <v>2</v>
      </c>
      <c r="O51" s="430">
        <v>0</v>
      </c>
      <c r="P51" s="430">
        <v>0</v>
      </c>
      <c r="Q51" s="430">
        <v>0</v>
      </c>
      <c r="R51" s="430">
        <v>0</v>
      </c>
      <c r="S51" s="446">
        <f t="shared" si="28"/>
        <v>2</v>
      </c>
      <c r="T51" s="446"/>
      <c r="U51" s="466"/>
      <c r="V51" s="586" t="s">
        <v>171</v>
      </c>
      <c r="W51" s="430">
        <v>1</v>
      </c>
      <c r="X51" s="430">
        <v>0</v>
      </c>
      <c r="Y51" s="430">
        <v>0</v>
      </c>
      <c r="Z51" s="430">
        <v>0</v>
      </c>
      <c r="AA51" s="430">
        <v>0</v>
      </c>
      <c r="AB51" s="655">
        <v>0</v>
      </c>
      <c r="AC51" s="430"/>
      <c r="AD51" s="568">
        <f t="shared" si="29"/>
        <v>1</v>
      </c>
      <c r="AE51" s="587">
        <f>AB27+AB28+AB29</f>
        <v>0</v>
      </c>
      <c r="AF51" s="951"/>
      <c r="AG51" s="951"/>
      <c r="AH51" s="951"/>
      <c r="AI51" s="655"/>
      <c r="AJ51" s="655"/>
      <c r="AL51" s="25"/>
      <c r="AP51" s="25"/>
      <c r="AT51" s="25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</row>
    <row r="52" spans="4:59" ht="23.25">
      <c r="J52" s="441"/>
      <c r="K52" s="441"/>
      <c r="L52" s="441" t="s">
        <v>190</v>
      </c>
      <c r="M52" s="492">
        <v>10</v>
      </c>
      <c r="N52" s="471">
        <v>0</v>
      </c>
      <c r="O52" s="471">
        <v>0</v>
      </c>
      <c r="P52" s="471">
        <v>10</v>
      </c>
      <c r="Q52" s="430">
        <v>0</v>
      </c>
      <c r="R52" s="471">
        <v>0</v>
      </c>
      <c r="S52" s="446">
        <f t="shared" si="28"/>
        <v>20</v>
      </c>
      <c r="T52" s="446"/>
      <c r="U52" s="466"/>
      <c r="V52" s="586" t="s">
        <v>190</v>
      </c>
      <c r="W52" s="430">
        <v>41.64</v>
      </c>
      <c r="X52" s="430">
        <v>4.3</v>
      </c>
      <c r="Y52" s="430">
        <v>0</v>
      </c>
      <c r="Z52" s="430">
        <v>0</v>
      </c>
      <c r="AA52" s="430">
        <v>0</v>
      </c>
      <c r="AB52" s="655">
        <v>0</v>
      </c>
      <c r="AC52" s="430"/>
      <c r="AD52" s="568">
        <f t="shared" si="29"/>
        <v>45.94</v>
      </c>
      <c r="AE52" s="587">
        <f>AF27+AF28+AF29</f>
        <v>0</v>
      </c>
      <c r="AF52" s="655"/>
      <c r="AG52" s="951"/>
      <c r="AH52" s="951"/>
      <c r="AI52" s="655"/>
      <c r="AJ52" s="655"/>
      <c r="AL52" s="25"/>
      <c r="AP52" s="25"/>
      <c r="AT52" s="25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</row>
    <row r="53" spans="4:59" ht="23.25">
      <c r="J53" s="441"/>
      <c r="K53" s="441"/>
      <c r="L53" s="441" t="s">
        <v>185</v>
      </c>
      <c r="M53" s="470">
        <v>1</v>
      </c>
      <c r="N53" s="430">
        <v>0</v>
      </c>
      <c r="O53" s="430">
        <v>0</v>
      </c>
      <c r="P53" s="430">
        <v>0</v>
      </c>
      <c r="Q53" s="430">
        <v>0</v>
      </c>
      <c r="R53" s="430">
        <v>12</v>
      </c>
      <c r="S53" s="446">
        <f t="shared" si="28"/>
        <v>13</v>
      </c>
      <c r="T53" s="446"/>
      <c r="U53" s="466"/>
      <c r="V53" s="586" t="s">
        <v>185</v>
      </c>
      <c r="W53" s="430">
        <v>33.5</v>
      </c>
      <c r="X53" s="430">
        <v>0</v>
      </c>
      <c r="Y53" s="430">
        <v>0</v>
      </c>
      <c r="Z53" s="430">
        <v>0</v>
      </c>
      <c r="AA53" s="430">
        <v>0</v>
      </c>
      <c r="AB53" s="655">
        <v>0</v>
      </c>
      <c r="AC53" s="430"/>
      <c r="AD53" s="568">
        <f t="shared" si="29"/>
        <v>33.5</v>
      </c>
      <c r="AE53" s="587">
        <f>AN27+AN28+AN29</f>
        <v>0</v>
      </c>
      <c r="AF53" s="655">
        <v>5.92</v>
      </c>
      <c r="AG53" s="951"/>
      <c r="AH53" s="951">
        <v>21.71</v>
      </c>
      <c r="AI53" s="655">
        <v>63.59</v>
      </c>
      <c r="AJ53" s="655"/>
      <c r="AL53" s="25"/>
      <c r="AP53" s="25"/>
      <c r="AT53" s="25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</row>
    <row r="54" spans="4:59" ht="23.25">
      <c r="J54" s="441"/>
      <c r="K54" s="441"/>
      <c r="L54" s="441" t="s">
        <v>202</v>
      </c>
      <c r="M54" s="470">
        <v>3.5</v>
      </c>
      <c r="N54" s="430">
        <v>0</v>
      </c>
      <c r="O54" s="430">
        <v>0</v>
      </c>
      <c r="P54" s="430">
        <v>0</v>
      </c>
      <c r="Q54" s="430">
        <v>6</v>
      </c>
      <c r="R54" s="430">
        <v>0</v>
      </c>
      <c r="S54" s="446">
        <f t="shared" si="28"/>
        <v>9.5</v>
      </c>
      <c r="T54" s="446"/>
      <c r="U54" s="466"/>
      <c r="V54" s="586" t="s">
        <v>202</v>
      </c>
      <c r="W54" s="430">
        <v>0</v>
      </c>
      <c r="X54" s="430">
        <v>0</v>
      </c>
      <c r="Y54" s="430">
        <v>0</v>
      </c>
      <c r="Z54" s="430">
        <v>0</v>
      </c>
      <c r="AA54" s="430">
        <v>0</v>
      </c>
      <c r="AB54" s="655">
        <v>0</v>
      </c>
      <c r="AC54" s="430"/>
      <c r="AD54" s="568">
        <f t="shared" si="29"/>
        <v>0</v>
      </c>
      <c r="AE54" s="587">
        <f>AR27+AR28+AR29</f>
        <v>0</v>
      </c>
      <c r="AF54" s="1029"/>
      <c r="AG54" s="951"/>
      <c r="AH54" s="951">
        <v>20</v>
      </c>
      <c r="AI54" s="655"/>
      <c r="AJ54" s="655"/>
      <c r="AL54" s="25"/>
      <c r="AP54" s="25"/>
      <c r="AT54" s="25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</row>
    <row r="55" spans="4:59" ht="23.25">
      <c r="J55" s="441"/>
      <c r="K55" s="441"/>
      <c r="L55" s="441" t="s">
        <v>186</v>
      </c>
      <c r="M55" s="470">
        <v>5</v>
      </c>
      <c r="N55" s="430">
        <v>0</v>
      </c>
      <c r="O55" s="430">
        <v>0</v>
      </c>
      <c r="P55" s="430">
        <v>5</v>
      </c>
      <c r="Q55" s="430">
        <v>0</v>
      </c>
      <c r="R55" s="430">
        <v>0</v>
      </c>
      <c r="S55" s="446">
        <f t="shared" si="28"/>
        <v>10</v>
      </c>
      <c r="T55" s="446"/>
      <c r="U55" s="466"/>
      <c r="V55" s="586" t="s">
        <v>186</v>
      </c>
      <c r="W55" s="430">
        <v>3.5</v>
      </c>
      <c r="X55" s="430">
        <v>1</v>
      </c>
      <c r="Y55" s="430">
        <v>0</v>
      </c>
      <c r="Z55" s="430">
        <v>0</v>
      </c>
      <c r="AA55" s="430">
        <v>19.8</v>
      </c>
      <c r="AB55" s="655">
        <v>0</v>
      </c>
      <c r="AC55" s="430"/>
      <c r="AD55" s="568">
        <f t="shared" si="29"/>
        <v>24.3</v>
      </c>
      <c r="AE55" s="587">
        <f>AV27+AV28+AV29</f>
        <v>0</v>
      </c>
      <c r="AF55" s="1029">
        <v>17</v>
      </c>
      <c r="AG55" s="951"/>
      <c r="AH55" s="951"/>
      <c r="AI55" s="655"/>
      <c r="AJ55" s="655"/>
      <c r="AL55" s="25"/>
      <c r="AP55" s="25"/>
      <c r="AT55" s="25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</row>
    <row r="56" spans="4:59" ht="23.25">
      <c r="J56" s="441"/>
      <c r="K56" s="441"/>
      <c r="L56" s="441" t="s">
        <v>203</v>
      </c>
      <c r="M56" s="470">
        <v>5</v>
      </c>
      <c r="N56" s="430">
        <v>0</v>
      </c>
      <c r="O56" s="430">
        <v>0</v>
      </c>
      <c r="P56" s="430">
        <v>0</v>
      </c>
      <c r="Q56" s="430">
        <v>0</v>
      </c>
      <c r="R56" s="430">
        <v>12</v>
      </c>
      <c r="S56" s="446">
        <f t="shared" si="28"/>
        <v>17</v>
      </c>
      <c r="T56" s="446"/>
      <c r="U56" s="466"/>
      <c r="V56" s="586" t="s">
        <v>203</v>
      </c>
      <c r="W56" s="430">
        <v>0</v>
      </c>
      <c r="X56" s="430">
        <v>0</v>
      </c>
      <c r="Y56" s="430">
        <v>0</v>
      </c>
      <c r="Z56" s="430">
        <v>0</v>
      </c>
      <c r="AA56" s="430">
        <v>0</v>
      </c>
      <c r="AB56" s="655">
        <v>0</v>
      </c>
      <c r="AC56" s="430"/>
      <c r="AD56" s="568">
        <f t="shared" si="29"/>
        <v>0</v>
      </c>
      <c r="AE56" s="587">
        <f>AZ27+AZ28+AZ29</f>
        <v>0</v>
      </c>
      <c r="AF56" s="1029"/>
      <c r="AG56" s="951"/>
      <c r="AH56" s="951"/>
      <c r="AI56" s="655"/>
      <c r="AJ56" s="655"/>
      <c r="AL56" s="25"/>
      <c r="AP56" s="25"/>
      <c r="AT56" s="25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</row>
    <row r="57" spans="4:59" ht="24" thickBot="1">
      <c r="J57" s="442">
        <f t="shared" ref="J57:K57" si="30">SUM(J47:J56)</f>
        <v>0</v>
      </c>
      <c r="K57" s="442">
        <f t="shared" si="30"/>
        <v>0</v>
      </c>
      <c r="L57" s="442" t="s">
        <v>191</v>
      </c>
      <c r="M57" s="443">
        <f t="shared" ref="M57" si="31">SUM(M47:M56)</f>
        <v>70.5</v>
      </c>
      <c r="N57" s="444">
        <f>SUM(N47:N56)</f>
        <v>6</v>
      </c>
      <c r="O57" s="443">
        <f t="shared" ref="O57" si="32">SUM(O47:O56)</f>
        <v>0</v>
      </c>
      <c r="P57" s="444">
        <f>SUM(P47:P56)</f>
        <v>25</v>
      </c>
      <c r="Q57" s="444">
        <f>SUM(Q47:Q56)</f>
        <v>26</v>
      </c>
      <c r="R57" s="445">
        <f>SUM(R47:R56)</f>
        <v>32</v>
      </c>
      <c r="S57" s="451">
        <f>SUM(S47:S56)</f>
        <v>159.5</v>
      </c>
      <c r="T57" s="451">
        <f>SUM(T47:T56)</f>
        <v>25</v>
      </c>
      <c r="U57" s="466"/>
      <c r="V57" s="588" t="s">
        <v>191</v>
      </c>
      <c r="W57" s="589">
        <f t="shared" ref="W57" si="33">SUM(W47:W56)</f>
        <v>116.00999999999999</v>
      </c>
      <c r="X57" s="444">
        <f>SUM(X47:X56)</f>
        <v>28.65</v>
      </c>
      <c r="Y57" s="444">
        <f t="shared" ref="Y57" si="34">SUM(Y47:Y56)</f>
        <v>0</v>
      </c>
      <c r="Z57" s="444">
        <f>SUM(Z47:Z56)</f>
        <v>0</v>
      </c>
      <c r="AA57" s="444">
        <f>SUM(AA47:AA56)</f>
        <v>19.8</v>
      </c>
      <c r="AB57" s="444"/>
      <c r="AC57" s="444">
        <f t="shared" ref="AC57" si="35">SUM(AC47:AC56)</f>
        <v>0</v>
      </c>
      <c r="AD57" s="630">
        <f>SUM(AD47:AD56)</f>
        <v>164.46</v>
      </c>
      <c r="AE57" s="631">
        <f>SUM(AE47:AE56)</f>
        <v>25</v>
      </c>
      <c r="AF57" s="1015">
        <f t="shared" ref="AF57:AJ57" si="36">SUM(AF47:AF56)</f>
        <v>30.31</v>
      </c>
      <c r="AG57" s="1015">
        <f t="shared" si="36"/>
        <v>62.3</v>
      </c>
      <c r="AH57" s="1015">
        <f t="shared" si="36"/>
        <v>41.71</v>
      </c>
      <c r="AI57" s="1015">
        <f t="shared" si="36"/>
        <v>63.59</v>
      </c>
      <c r="AJ57" s="1015">
        <f t="shared" si="36"/>
        <v>18.850000000000001</v>
      </c>
      <c r="AL57" s="25"/>
      <c r="AP57" s="25"/>
      <c r="AT57" s="25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</row>
    <row r="58" spans="4:59" ht="27" thickBot="1">
      <c r="N58" s="24"/>
      <c r="O58" s="1924" t="s">
        <v>254</v>
      </c>
      <c r="P58" s="1925"/>
      <c r="Q58" s="1925"/>
      <c r="R58" s="1926"/>
      <c r="S58" s="1927">
        <f>S57+T57</f>
        <v>184.5</v>
      </c>
      <c r="T58" s="1928"/>
      <c r="U58" s="466"/>
      <c r="V58" s="1932" t="s">
        <v>221</v>
      </c>
      <c r="W58" s="1932"/>
      <c r="X58" s="1932"/>
      <c r="Y58" s="1932"/>
      <c r="Z58" s="1932"/>
      <c r="AA58" s="1932"/>
      <c r="AB58" s="1932"/>
      <c r="AC58" s="1932"/>
      <c r="AD58" s="1933">
        <f>AD57+AE57</f>
        <v>189.46</v>
      </c>
      <c r="AE58" s="1934"/>
      <c r="AH58" s="25"/>
      <c r="AL58" s="25"/>
      <c r="AP58" s="25"/>
      <c r="AT58" s="25"/>
      <c r="AX58" s="24"/>
      <c r="AY58" s="25"/>
      <c r="AZ58" s="24"/>
      <c r="BA58" s="24"/>
      <c r="BB58" s="23"/>
      <c r="BC58" s="23"/>
      <c r="BD58" s="23"/>
      <c r="BE58" s="23"/>
      <c r="BF58" s="23"/>
      <c r="BG58" s="23"/>
    </row>
    <row r="59" spans="4:59" ht="27" thickBot="1">
      <c r="J59" s="24"/>
      <c r="N59" s="24"/>
      <c r="R59" s="24"/>
      <c r="T59" s="26"/>
      <c r="U59" s="26"/>
      <c r="V59" s="966"/>
      <c r="W59" s="966"/>
      <c r="X59" s="966"/>
      <c r="Y59" s="1922" t="s">
        <v>235</v>
      </c>
      <c r="Z59" s="1922"/>
      <c r="AA59" s="1922"/>
      <c r="AB59" s="1922"/>
      <c r="AC59" s="1922"/>
      <c r="AD59" s="1949">
        <f>(BH6+BI6+BD20+BE20+BH17+BI17)-24</f>
        <v>39.049999999999997</v>
      </c>
      <c r="AE59" s="1950"/>
      <c r="AF59" s="466"/>
      <c r="AH59" s="24"/>
      <c r="AI59" s="25"/>
      <c r="AL59" s="24"/>
      <c r="AP59" s="25"/>
      <c r="AT59" s="25"/>
      <c r="AX59" s="25"/>
      <c r="AY59" s="24"/>
      <c r="AZ59" s="24"/>
      <c r="BA59" s="24"/>
      <c r="BB59" s="25"/>
      <c r="BE59" s="23"/>
      <c r="BF59" s="23"/>
      <c r="BG59" s="23"/>
    </row>
    <row r="60" spans="4:59" s="28" customFormat="1" ht="25.5" customHeight="1" thickBot="1">
      <c r="D60" s="29"/>
      <c r="E60" s="29"/>
      <c r="F60" s="29"/>
      <c r="I60" s="29"/>
      <c r="J60" s="1256">
        <f>J57+K57+M57</f>
        <v>70.5</v>
      </c>
      <c r="K60" s="1257"/>
      <c r="L60" s="1923" t="s">
        <v>319</v>
      </c>
      <c r="M60" s="1937"/>
      <c r="N60" s="1937"/>
      <c r="O60" s="1937"/>
      <c r="P60" s="1937"/>
      <c r="Q60" s="1937"/>
      <c r="R60" s="1937"/>
      <c r="S60" s="1937"/>
      <c r="T60" s="1937"/>
      <c r="U60" s="1938"/>
      <c r="V60" s="966"/>
      <c r="W60" s="966"/>
      <c r="X60" s="966"/>
      <c r="Y60" s="966"/>
      <c r="Z60" s="966"/>
      <c r="AA60" s="966"/>
      <c r="AB60" s="966"/>
      <c r="AC60" s="966"/>
      <c r="AD60" s="966"/>
      <c r="AE60" s="966"/>
      <c r="AF60" s="966"/>
      <c r="AG60" s="964"/>
      <c r="AH60" s="964"/>
      <c r="AI60" s="967"/>
      <c r="AJ60" s="964"/>
      <c r="AK60" s="964"/>
      <c r="AL60" s="964"/>
      <c r="AM60" s="964"/>
      <c r="AN60" s="964"/>
      <c r="AO60" s="964"/>
      <c r="AP60" s="967"/>
      <c r="AQ60" s="964"/>
      <c r="AR60" s="964"/>
      <c r="AS60" s="964"/>
      <c r="AT60" s="967"/>
      <c r="AU60" s="964"/>
      <c r="AV60" s="964"/>
      <c r="AW60" s="964"/>
      <c r="AX60" s="967"/>
      <c r="AY60" s="965"/>
      <c r="AZ60" s="965"/>
      <c r="BA60" s="964"/>
      <c r="BB60" s="964"/>
      <c r="BC60" s="967"/>
      <c r="BD60" s="967"/>
      <c r="BE60" s="964"/>
    </row>
    <row r="61" spans="4:59" ht="30.75" customHeight="1">
      <c r="J61" s="24"/>
      <c r="L61" s="596" t="s">
        <v>0</v>
      </c>
      <c r="M61" s="436" t="s">
        <v>200</v>
      </c>
      <c r="N61" s="454" t="s">
        <v>205</v>
      </c>
      <c r="O61" s="436" t="s">
        <v>31</v>
      </c>
      <c r="P61" s="448" t="s">
        <v>201</v>
      </c>
      <c r="Q61" s="453" t="s">
        <v>206</v>
      </c>
      <c r="R61" s="453" t="s">
        <v>210</v>
      </c>
      <c r="S61" s="436" t="s">
        <v>22</v>
      </c>
      <c r="T61" s="437" t="s">
        <v>191</v>
      </c>
      <c r="U61" s="438" t="s">
        <v>244</v>
      </c>
      <c r="V61" s="466"/>
      <c r="W61" s="466"/>
      <c r="X61" s="466"/>
      <c r="Y61" s="466"/>
      <c r="Z61" s="466"/>
      <c r="AA61" s="466"/>
      <c r="AB61" s="466"/>
      <c r="AC61" s="466"/>
      <c r="AD61" s="466"/>
      <c r="AE61" s="466"/>
      <c r="AF61" s="466"/>
      <c r="AH61" s="24"/>
      <c r="AI61" s="25"/>
      <c r="AL61" s="24"/>
      <c r="AM61" s="26"/>
      <c r="AN61" s="26"/>
      <c r="AP61" s="24"/>
      <c r="AQ61" s="26"/>
      <c r="AR61" s="26"/>
      <c r="AT61" s="24"/>
      <c r="AU61" s="26"/>
      <c r="AV61" s="26"/>
      <c r="AX61" s="24"/>
      <c r="AY61" s="26"/>
      <c r="AZ61" s="26"/>
      <c r="BA61" s="24"/>
      <c r="BB61" s="24"/>
      <c r="BC61" s="25"/>
      <c r="BD61" s="25"/>
      <c r="BF61" s="23"/>
      <c r="BG61" s="23"/>
    </row>
    <row r="62" spans="4:59" ht="23.25">
      <c r="J62" s="24"/>
      <c r="L62" s="586" t="s">
        <v>189</v>
      </c>
      <c r="M62" s="430">
        <v>10</v>
      </c>
      <c r="N62" s="430">
        <v>3.5</v>
      </c>
      <c r="O62" s="430">
        <v>0</v>
      </c>
      <c r="P62" s="430">
        <v>0</v>
      </c>
      <c r="Q62" s="430"/>
      <c r="R62" s="655"/>
      <c r="S62" s="430"/>
      <c r="T62" s="568">
        <f t="shared" ref="T62:T71" si="37">SUM(M62:S62)</f>
        <v>13.5</v>
      </c>
      <c r="U62" s="587">
        <v>25</v>
      </c>
      <c r="V62" s="466"/>
      <c r="W62" s="466"/>
      <c r="X62" s="966"/>
      <c r="Y62" s="966"/>
      <c r="Z62" s="966"/>
      <c r="AA62" s="966"/>
      <c r="AB62" s="966"/>
      <c r="AC62" s="966"/>
      <c r="AD62" s="966"/>
      <c r="AE62" s="966"/>
      <c r="AF62" s="966"/>
      <c r="AH62" s="24"/>
      <c r="AI62" s="25"/>
      <c r="AL62" s="24"/>
      <c r="AM62" s="26"/>
      <c r="AN62" s="26"/>
      <c r="AP62" s="24"/>
      <c r="AQ62" s="26"/>
      <c r="AR62" s="26"/>
      <c r="AT62" s="24"/>
      <c r="AU62" s="26"/>
      <c r="AV62" s="26"/>
      <c r="AX62" s="24"/>
      <c r="AY62" s="26"/>
      <c r="AZ62" s="26"/>
      <c r="BA62" s="24"/>
      <c r="BB62" s="24"/>
      <c r="BC62" s="25"/>
      <c r="BD62" s="25"/>
      <c r="BF62" s="23"/>
      <c r="BG62" s="23"/>
    </row>
    <row r="63" spans="4:59" ht="23.25">
      <c r="J63" s="24"/>
      <c r="L63" s="586" t="s">
        <v>183</v>
      </c>
      <c r="M63" s="430">
        <v>0</v>
      </c>
      <c r="N63" s="430">
        <v>0</v>
      </c>
      <c r="O63" s="430">
        <v>0</v>
      </c>
      <c r="P63" s="430">
        <v>0</v>
      </c>
      <c r="Q63" s="430"/>
      <c r="R63" s="655"/>
      <c r="S63" s="430"/>
      <c r="T63" s="568">
        <f t="shared" si="37"/>
        <v>0</v>
      </c>
      <c r="U63" s="587"/>
      <c r="V63" s="466"/>
      <c r="W63" s="466"/>
      <c r="X63" s="466"/>
      <c r="Y63" s="465"/>
      <c r="Z63" s="466"/>
      <c r="AA63" s="466"/>
      <c r="AB63" s="466"/>
      <c r="AC63" s="465"/>
      <c r="AD63" s="466"/>
      <c r="AG63" s="26"/>
      <c r="AH63" s="24"/>
      <c r="AK63" s="49"/>
      <c r="AL63" s="24"/>
      <c r="AM63" s="26"/>
      <c r="AN63" s="26"/>
      <c r="AP63" s="24"/>
      <c r="AQ63" s="26"/>
      <c r="AR63" s="26"/>
      <c r="AT63" s="24"/>
      <c r="AU63" s="26"/>
      <c r="AV63" s="26"/>
      <c r="AX63" s="24"/>
      <c r="AY63" s="26"/>
      <c r="AZ63" s="26"/>
      <c r="BA63" s="24"/>
      <c r="BB63" s="24"/>
      <c r="BC63" s="25"/>
      <c r="BD63" s="25"/>
      <c r="BF63" s="23"/>
      <c r="BG63" s="23"/>
    </row>
    <row r="64" spans="4:59" ht="23.25">
      <c r="J64" s="24"/>
      <c r="L64" s="586" t="s">
        <v>184</v>
      </c>
      <c r="M64" s="430">
        <v>0</v>
      </c>
      <c r="N64" s="430">
        <v>0</v>
      </c>
      <c r="O64" s="430">
        <v>0</v>
      </c>
      <c r="P64" s="430">
        <v>0</v>
      </c>
      <c r="Q64" s="430"/>
      <c r="R64" s="655"/>
      <c r="S64" s="430"/>
      <c r="T64" s="568">
        <f t="shared" si="37"/>
        <v>0</v>
      </c>
      <c r="U64" s="587"/>
      <c r="V64" s="466"/>
      <c r="W64" s="466"/>
      <c r="X64" s="466"/>
      <c r="Y64" s="465"/>
      <c r="Z64" s="466"/>
      <c r="AA64" s="466"/>
      <c r="AB64" s="466"/>
      <c r="AC64" s="465"/>
      <c r="AD64" s="466"/>
      <c r="AG64" s="26"/>
      <c r="AH64" s="24"/>
      <c r="AK64" s="49"/>
      <c r="AL64" s="24"/>
      <c r="AO64" s="26"/>
      <c r="AP64" s="24"/>
      <c r="AQ64" s="26"/>
      <c r="AR64" s="26"/>
      <c r="AT64" s="24"/>
      <c r="AU64" s="26"/>
      <c r="AV64" s="26"/>
      <c r="AX64" s="24"/>
      <c r="AY64" s="26"/>
      <c r="AZ64" s="26"/>
      <c r="BA64" s="24"/>
      <c r="BB64" s="24"/>
      <c r="BE64" s="25"/>
      <c r="BF64" s="24"/>
      <c r="BG64" s="23"/>
    </row>
    <row r="65" spans="10:59" ht="23.25">
      <c r="J65" s="24"/>
      <c r="L65" s="586" t="s">
        <v>170</v>
      </c>
      <c r="M65" s="430">
        <v>0</v>
      </c>
      <c r="N65" s="430">
        <v>1</v>
      </c>
      <c r="O65" s="430">
        <v>0</v>
      </c>
      <c r="P65" s="430">
        <v>0</v>
      </c>
      <c r="Q65" s="430"/>
      <c r="R65" s="655"/>
      <c r="S65" s="430"/>
      <c r="T65" s="568">
        <f t="shared" si="37"/>
        <v>1</v>
      </c>
      <c r="U65" s="587"/>
      <c r="V65" s="466"/>
      <c r="W65" s="466"/>
      <c r="X65" s="466"/>
      <c r="Y65" s="465"/>
      <c r="Z65" s="466"/>
      <c r="AA65" s="466"/>
      <c r="AB65" s="466"/>
      <c r="AC65" s="465"/>
      <c r="AD65" s="466"/>
      <c r="AG65" s="26"/>
      <c r="AH65" s="24"/>
      <c r="AK65" s="49"/>
      <c r="AL65" s="24"/>
      <c r="AO65" s="26"/>
      <c r="AP65" s="24"/>
      <c r="AQ65" s="26"/>
      <c r="AR65" s="26"/>
      <c r="AT65" s="24"/>
      <c r="AU65" s="26"/>
      <c r="AV65" s="26"/>
      <c r="AX65" s="24"/>
      <c r="AY65" s="26"/>
      <c r="AZ65" s="26"/>
      <c r="BA65" s="24"/>
      <c r="BB65" s="24"/>
      <c r="BE65" s="25"/>
      <c r="BF65" s="24"/>
      <c r="BG65" s="23"/>
    </row>
    <row r="66" spans="10:59" ht="23.25">
      <c r="J66" s="24"/>
      <c r="L66" s="586" t="s">
        <v>171</v>
      </c>
      <c r="M66" s="430">
        <v>0</v>
      </c>
      <c r="N66" s="430">
        <v>0</v>
      </c>
      <c r="O66" s="430">
        <v>0</v>
      </c>
      <c r="P66" s="430">
        <v>0</v>
      </c>
      <c r="Q66" s="430"/>
      <c r="R66" s="655"/>
      <c r="S66" s="430"/>
      <c r="T66" s="568">
        <f t="shared" si="37"/>
        <v>0</v>
      </c>
      <c r="U66" s="587"/>
      <c r="V66" s="466"/>
      <c r="W66" s="466"/>
      <c r="X66" s="466"/>
      <c r="Y66" s="465"/>
      <c r="Z66" s="466"/>
      <c r="AA66" s="466"/>
      <c r="AB66" s="466"/>
      <c r="AC66" s="465"/>
      <c r="AD66" s="466"/>
      <c r="AG66" s="26"/>
      <c r="AH66" s="24"/>
      <c r="AK66" s="49"/>
      <c r="AL66" s="24"/>
      <c r="AO66" s="26"/>
      <c r="AP66" s="24"/>
      <c r="AQ66" s="26"/>
      <c r="AR66" s="26"/>
      <c r="AT66" s="24"/>
      <c r="AU66" s="26"/>
      <c r="AV66" s="26"/>
      <c r="AX66" s="24"/>
      <c r="AY66" s="26"/>
      <c r="AZ66" s="26"/>
      <c r="BA66" s="24"/>
      <c r="BB66" s="24"/>
      <c r="BE66" s="25"/>
      <c r="BF66" s="24"/>
      <c r="BG66" s="23"/>
    </row>
    <row r="67" spans="10:59" ht="23.25">
      <c r="J67" s="24"/>
      <c r="L67" s="586" t="s">
        <v>190</v>
      </c>
      <c r="M67" s="430">
        <v>15</v>
      </c>
      <c r="N67" s="430">
        <v>2</v>
      </c>
      <c r="O67" s="430">
        <v>0</v>
      </c>
      <c r="P67" s="430">
        <v>0</v>
      </c>
      <c r="Q67" s="430"/>
      <c r="R67" s="655"/>
      <c r="S67" s="430"/>
      <c r="T67" s="568">
        <f t="shared" si="37"/>
        <v>17</v>
      </c>
      <c r="U67" s="587"/>
      <c r="V67" s="466"/>
      <c r="W67" s="466"/>
      <c r="X67" s="466"/>
      <c r="Y67" s="465"/>
      <c r="Z67" s="466"/>
      <c r="AA67" s="466"/>
      <c r="AB67" s="466"/>
      <c r="AC67" s="465"/>
      <c r="AD67" s="466"/>
      <c r="AG67" s="26"/>
      <c r="AH67" s="24"/>
      <c r="AK67" s="49"/>
      <c r="AL67" s="24"/>
      <c r="AO67" s="26"/>
      <c r="AP67" s="24"/>
      <c r="AQ67" s="26"/>
      <c r="AR67" s="26"/>
      <c r="AT67" s="24"/>
      <c r="AU67" s="26"/>
      <c r="AV67" s="26"/>
      <c r="AX67" s="24"/>
      <c r="AY67" s="26"/>
      <c r="AZ67" s="26"/>
      <c r="BA67" s="24"/>
      <c r="BB67" s="24"/>
      <c r="BE67" s="25"/>
      <c r="BF67" s="24"/>
      <c r="BG67" s="23"/>
    </row>
    <row r="68" spans="10:59" ht="23.25">
      <c r="J68" s="24"/>
      <c r="L68" s="586" t="s">
        <v>185</v>
      </c>
      <c r="M68" s="430">
        <v>0</v>
      </c>
      <c r="N68" s="430">
        <v>0</v>
      </c>
      <c r="O68" s="430">
        <v>0</v>
      </c>
      <c r="P68" s="430">
        <v>10</v>
      </c>
      <c r="Q68" s="430"/>
      <c r="R68" s="655"/>
      <c r="S68" s="430"/>
      <c r="T68" s="568">
        <f t="shared" si="37"/>
        <v>10</v>
      </c>
      <c r="U68" s="587"/>
      <c r="V68" s="466"/>
      <c r="W68" s="466"/>
      <c r="X68" s="466"/>
      <c r="Y68" s="465"/>
      <c r="Z68" s="466"/>
      <c r="AA68" s="466"/>
      <c r="AB68" s="466"/>
      <c r="AC68" s="465"/>
      <c r="AD68" s="466"/>
      <c r="AG68" s="26"/>
      <c r="AH68" s="24"/>
      <c r="AK68" s="49"/>
      <c r="AL68" s="24"/>
      <c r="AO68" s="26"/>
      <c r="AP68" s="24"/>
      <c r="AQ68" s="26"/>
      <c r="AR68" s="26"/>
      <c r="AT68" s="24"/>
      <c r="AU68" s="26"/>
      <c r="AV68" s="26"/>
      <c r="AX68" s="24"/>
      <c r="AY68" s="26"/>
      <c r="AZ68" s="26"/>
      <c r="BA68" s="24"/>
      <c r="BB68" s="24"/>
      <c r="BE68" s="25"/>
      <c r="BF68" s="24"/>
      <c r="BG68" s="23"/>
    </row>
    <row r="69" spans="10:59" ht="23.25">
      <c r="L69" s="586" t="s">
        <v>202</v>
      </c>
      <c r="M69" s="430">
        <v>1.05</v>
      </c>
      <c r="N69" s="430">
        <v>0</v>
      </c>
      <c r="O69" s="430">
        <v>0</v>
      </c>
      <c r="P69" s="430">
        <v>0</v>
      </c>
      <c r="Q69" s="430"/>
      <c r="R69" s="655"/>
      <c r="S69" s="430"/>
      <c r="T69" s="568">
        <f t="shared" si="37"/>
        <v>1.05</v>
      </c>
      <c r="U69" s="587"/>
      <c r="V69" s="466"/>
      <c r="W69" s="466"/>
      <c r="X69" s="466"/>
      <c r="Y69" s="465"/>
      <c r="Z69" s="466"/>
      <c r="AA69" s="466"/>
      <c r="AB69" s="466"/>
      <c r="AC69" s="465"/>
      <c r="AD69" s="466"/>
      <c r="AG69" s="26"/>
      <c r="AH69" s="24"/>
      <c r="AK69" s="49"/>
      <c r="AL69" s="24"/>
      <c r="AO69" s="26"/>
      <c r="AP69" s="24"/>
      <c r="AQ69" s="26"/>
      <c r="AR69" s="26"/>
      <c r="AT69" s="24"/>
      <c r="AU69" s="26"/>
      <c r="AV69" s="26"/>
      <c r="AX69" s="24"/>
      <c r="AY69" s="26"/>
      <c r="AZ69" s="26"/>
      <c r="BA69" s="24"/>
      <c r="BB69" s="24"/>
      <c r="BE69" s="25"/>
      <c r="BF69" s="24"/>
      <c r="BG69" s="23"/>
    </row>
    <row r="70" spans="10:59" ht="23.25">
      <c r="L70" s="586" t="s">
        <v>186</v>
      </c>
      <c r="M70" s="430">
        <v>0</v>
      </c>
      <c r="N70" s="430">
        <v>0</v>
      </c>
      <c r="O70" s="430">
        <v>0</v>
      </c>
      <c r="P70" s="430">
        <v>10</v>
      </c>
      <c r="Q70" s="430"/>
      <c r="R70" s="655"/>
      <c r="S70" s="430"/>
      <c r="T70" s="568">
        <f t="shared" si="37"/>
        <v>10</v>
      </c>
      <c r="U70" s="587"/>
      <c r="V70" s="466"/>
      <c r="W70" s="466"/>
      <c r="X70" s="466"/>
      <c r="Y70" s="465"/>
      <c r="Z70" s="466"/>
      <c r="AA70" s="466"/>
      <c r="AB70" s="466"/>
      <c r="AC70" s="465"/>
      <c r="AD70" s="466"/>
      <c r="AG70" s="26"/>
      <c r="AH70" s="24"/>
      <c r="AK70" s="49"/>
      <c r="AL70" s="24"/>
      <c r="AM70" s="26"/>
      <c r="AN70" s="26"/>
      <c r="AY70" s="24"/>
      <c r="AZ70" s="24"/>
      <c r="BA70" s="24"/>
      <c r="BB70" s="24"/>
      <c r="BC70" s="25"/>
      <c r="BD70" s="25"/>
      <c r="BF70" s="23"/>
      <c r="BG70" s="23"/>
    </row>
    <row r="71" spans="10:59" ht="23.25">
      <c r="L71" s="586" t="s">
        <v>203</v>
      </c>
      <c r="M71" s="430">
        <v>0</v>
      </c>
      <c r="N71" s="430">
        <v>5.94</v>
      </c>
      <c r="O71" s="430">
        <v>0</v>
      </c>
      <c r="P71" s="430">
        <v>0</v>
      </c>
      <c r="Q71" s="430"/>
      <c r="R71" s="655"/>
      <c r="S71" s="430">
        <v>12</v>
      </c>
      <c r="T71" s="568">
        <f t="shared" si="37"/>
        <v>17.940000000000001</v>
      </c>
      <c r="U71" s="587"/>
      <c r="V71" s="466"/>
      <c r="W71" s="466"/>
      <c r="X71" s="466"/>
      <c r="Y71" s="465"/>
      <c r="Z71" s="466"/>
      <c r="AA71" s="466"/>
      <c r="AB71" s="466"/>
      <c r="AC71" s="465"/>
      <c r="AD71" s="466"/>
      <c r="AG71" s="26"/>
      <c r="AH71" s="24"/>
      <c r="AK71" s="49"/>
      <c r="AL71" s="24"/>
      <c r="AM71" s="26"/>
      <c r="AN71" s="26"/>
      <c r="AY71" s="24"/>
      <c r="AZ71" s="24"/>
      <c r="BA71" s="24"/>
      <c r="BB71" s="24"/>
      <c r="BC71" s="25"/>
      <c r="BD71" s="25"/>
      <c r="BF71" s="23"/>
      <c r="BG71" s="23"/>
    </row>
    <row r="72" spans="10:59" ht="24" thickBot="1">
      <c r="L72" s="588" t="s">
        <v>191</v>
      </c>
      <c r="M72" s="589">
        <f t="shared" ref="M72" si="38">SUM(M62:M71)</f>
        <v>26.05</v>
      </c>
      <c r="N72" s="444">
        <f>SUM(N62:N71)</f>
        <v>12.440000000000001</v>
      </c>
      <c r="O72" s="444">
        <f t="shared" ref="O72" si="39">SUM(O62:O71)</f>
        <v>0</v>
      </c>
      <c r="P72" s="444">
        <f>SUM(P62:P71)</f>
        <v>20</v>
      </c>
      <c r="Q72" s="444">
        <f>SUM(Q62:Q71)</f>
        <v>0</v>
      </c>
      <c r="R72" s="444"/>
      <c r="S72" s="444">
        <f t="shared" ref="S72" si="40">SUM(S62:S71)</f>
        <v>12</v>
      </c>
      <c r="T72" s="630">
        <f>SUM(T62:T71)</f>
        <v>70.489999999999995</v>
      </c>
      <c r="U72" s="631">
        <f>SUM(U62:U71)</f>
        <v>25</v>
      </c>
      <c r="V72" s="466"/>
      <c r="W72" s="466"/>
      <c r="X72" s="466"/>
      <c r="Y72" s="465"/>
      <c r="Z72" s="466"/>
      <c r="AA72" s="466"/>
      <c r="AB72" s="466"/>
      <c r="AC72" s="465"/>
      <c r="AD72" s="466"/>
      <c r="AG72" s="26"/>
      <c r="AH72" s="24"/>
      <c r="AK72" s="49"/>
      <c r="AL72" s="24"/>
      <c r="AM72" s="26"/>
      <c r="AN72" s="26"/>
      <c r="AY72" s="24"/>
      <c r="AZ72" s="24"/>
      <c r="BA72" s="24"/>
      <c r="BB72" s="24"/>
      <c r="BC72" s="25"/>
      <c r="BD72" s="25"/>
      <c r="BF72" s="23"/>
      <c r="BG72" s="23"/>
    </row>
    <row r="73" spans="10:59" ht="27" thickBot="1">
      <c r="L73" s="1932" t="s">
        <v>221</v>
      </c>
      <c r="M73" s="1932"/>
      <c r="N73" s="1932"/>
      <c r="O73" s="1932"/>
      <c r="P73" s="1932"/>
      <c r="Q73" s="1932"/>
      <c r="R73" s="1932"/>
      <c r="S73" s="1932"/>
      <c r="T73" s="1933">
        <f>T72+U72</f>
        <v>95.49</v>
      </c>
      <c r="U73" s="1934"/>
      <c r="V73" s="466"/>
      <c r="W73" s="466"/>
      <c r="X73" s="466"/>
      <c r="Y73" s="465"/>
      <c r="Z73" s="466"/>
      <c r="AA73" s="466"/>
      <c r="AB73" s="466"/>
      <c r="AC73" s="465"/>
      <c r="AD73" s="466"/>
      <c r="AG73" s="26"/>
      <c r="AH73" s="24"/>
      <c r="AK73" s="49"/>
      <c r="AL73" s="24"/>
      <c r="AM73" s="26"/>
      <c r="AN73" s="26"/>
      <c r="AY73" s="24"/>
      <c r="AZ73" s="24"/>
      <c r="BA73" s="24"/>
      <c r="BB73" s="24"/>
      <c r="BC73" s="25"/>
      <c r="BD73" s="25"/>
      <c r="BF73" s="23"/>
      <c r="BG73" s="23"/>
    </row>
    <row r="74" spans="10:59" ht="26.25">
      <c r="L74" s="966"/>
      <c r="M74" s="966"/>
      <c r="N74" s="966"/>
      <c r="O74" s="1922" t="s">
        <v>235</v>
      </c>
      <c r="P74" s="1922"/>
      <c r="Q74" s="1922"/>
      <c r="R74" s="1922"/>
      <c r="S74" s="1922"/>
      <c r="T74" s="1949">
        <v>51</v>
      </c>
      <c r="U74" s="1950"/>
      <c r="V74" s="466"/>
      <c r="W74" s="466"/>
      <c r="X74" s="466"/>
      <c r="Y74" s="465"/>
      <c r="Z74" s="466"/>
      <c r="AA74" s="466"/>
      <c r="AB74" s="466"/>
      <c r="AC74" s="465"/>
      <c r="AD74" s="466"/>
      <c r="AG74" s="26"/>
      <c r="AH74" s="24"/>
      <c r="AK74" s="49"/>
      <c r="AL74" s="24"/>
      <c r="AM74" s="26"/>
      <c r="AN74" s="26"/>
      <c r="AP74" s="24"/>
      <c r="AQ74" s="26"/>
      <c r="AR74" s="26"/>
      <c r="AT74" s="24"/>
      <c r="AU74" s="26"/>
      <c r="AV74" s="26"/>
      <c r="AW74" s="50"/>
      <c r="AX74" s="50"/>
      <c r="AY74" s="26"/>
      <c r="AZ74" s="26"/>
      <c r="BA74" s="24"/>
      <c r="BB74" s="24"/>
      <c r="BC74" s="25"/>
      <c r="BD74" s="25"/>
      <c r="BF74" s="23"/>
      <c r="BG74" s="23"/>
    </row>
    <row r="75" spans="10:59" ht="15" customHeight="1">
      <c r="L75" s="26"/>
      <c r="M75" s="26"/>
      <c r="N75" s="24"/>
      <c r="P75" s="26"/>
      <c r="Q75" s="26"/>
      <c r="R75" s="24"/>
      <c r="T75" s="26"/>
      <c r="U75" s="26"/>
      <c r="V75" s="24"/>
      <c r="W75" s="466"/>
      <c r="X75" s="466"/>
      <c r="Y75" s="466"/>
      <c r="Z75" s="465"/>
      <c r="AA75" s="466"/>
      <c r="AB75" s="466"/>
      <c r="AC75" s="466"/>
      <c r="AD75" s="465"/>
      <c r="AE75" s="466"/>
      <c r="AN75" s="26"/>
      <c r="AO75" s="26"/>
      <c r="AP75" s="24"/>
      <c r="AR75" s="26"/>
      <c r="AS75" s="26"/>
      <c r="AT75" s="24"/>
      <c r="AV75" s="26"/>
      <c r="AW75" s="26"/>
      <c r="AX75" s="50"/>
      <c r="AZ75" s="26"/>
      <c r="BA75" s="26"/>
      <c r="BB75" s="24"/>
      <c r="BD75" s="25"/>
      <c r="BE75" s="25"/>
      <c r="BF75" s="24"/>
      <c r="BG75" s="23"/>
    </row>
    <row r="76" spans="10:59" ht="27" customHeight="1">
      <c r="L76" s="26"/>
      <c r="M76" s="26"/>
      <c r="N76" s="24"/>
      <c r="P76" s="26"/>
      <c r="Q76" s="26"/>
      <c r="R76" s="24"/>
      <c r="T76" s="26"/>
      <c r="U76" s="26"/>
      <c r="V76" s="24"/>
      <c r="W76" s="466"/>
      <c r="X76" s="466"/>
      <c r="Y76" s="466"/>
      <c r="Z76" s="465"/>
      <c r="AA76" s="466"/>
      <c r="AB76" s="466"/>
      <c r="AC76" s="466"/>
      <c r="AD76" s="465"/>
      <c r="AE76" s="466"/>
      <c r="AN76" s="26"/>
      <c r="AO76" s="26"/>
      <c r="AP76" s="24"/>
      <c r="AR76" s="26"/>
      <c r="AS76" s="26"/>
      <c r="AT76" s="24"/>
      <c r="AV76" s="26"/>
      <c r="AW76" s="26"/>
      <c r="AX76" s="50"/>
      <c r="AZ76" s="26"/>
      <c r="BA76" s="26"/>
      <c r="BB76" s="24"/>
      <c r="BD76" s="25"/>
      <c r="BE76" s="25"/>
      <c r="BF76" s="24"/>
      <c r="BG76" s="23"/>
    </row>
    <row r="77" spans="10:59">
      <c r="L77" s="26"/>
      <c r="M77" s="26"/>
      <c r="N77" s="24"/>
      <c r="P77" s="26"/>
      <c r="Q77" s="26"/>
      <c r="R77" s="24"/>
      <c r="T77" s="26"/>
      <c r="U77" s="26"/>
      <c r="V77" s="24"/>
      <c r="W77" s="466"/>
      <c r="X77" s="466"/>
      <c r="Y77" s="466"/>
      <c r="Z77" s="465"/>
      <c r="AA77" s="466"/>
      <c r="AB77" s="466"/>
      <c r="AC77" s="466"/>
      <c r="AD77" s="465"/>
      <c r="AE77" s="466"/>
      <c r="AN77" s="26"/>
      <c r="AO77" s="26"/>
      <c r="AP77" s="24"/>
      <c r="AR77" s="26"/>
      <c r="AS77" s="26"/>
      <c r="AT77" s="24"/>
      <c r="AV77" s="26"/>
      <c r="AW77" s="26"/>
      <c r="AX77" s="50"/>
      <c r="AZ77" s="26"/>
      <c r="BA77" s="26"/>
      <c r="BB77" s="24"/>
      <c r="BD77" s="25"/>
      <c r="BE77" s="25"/>
      <c r="BF77" s="24"/>
      <c r="BG77" s="23"/>
    </row>
    <row r="78" spans="10:59">
      <c r="L78" s="26"/>
      <c r="M78" s="26"/>
      <c r="N78" s="24"/>
      <c r="P78" s="26"/>
      <c r="Q78" s="26"/>
      <c r="R78" s="24"/>
      <c r="T78" s="26"/>
      <c r="U78" s="26"/>
      <c r="V78" s="24"/>
      <c r="W78" s="466"/>
      <c r="X78" s="466"/>
      <c r="Y78" s="466"/>
      <c r="Z78" s="465"/>
      <c r="AA78" s="466"/>
      <c r="AB78" s="466"/>
      <c r="AC78" s="466"/>
      <c r="AD78" s="465"/>
      <c r="AE78" s="466"/>
      <c r="AN78" s="26"/>
      <c r="AO78" s="26"/>
      <c r="AP78" s="24"/>
      <c r="AR78" s="26"/>
      <c r="AS78" s="26"/>
      <c r="AT78" s="24"/>
      <c r="AV78" s="26"/>
      <c r="AW78" s="26"/>
      <c r="AX78" s="50"/>
      <c r="AZ78" s="26"/>
      <c r="BA78" s="26"/>
      <c r="BB78" s="24"/>
      <c r="BD78" s="25"/>
      <c r="BE78" s="25"/>
      <c r="BF78" s="24"/>
      <c r="BG78" s="23"/>
    </row>
    <row r="79" spans="10:59">
      <c r="L79" s="26"/>
      <c r="M79" s="26"/>
      <c r="N79" s="24"/>
      <c r="P79" s="26"/>
      <c r="Q79" s="26"/>
      <c r="R79" s="24"/>
      <c r="T79" s="26"/>
      <c r="U79" s="26"/>
      <c r="V79" s="24"/>
      <c r="X79" s="26"/>
      <c r="Y79" s="26"/>
      <c r="Z79" s="24"/>
      <c r="AB79" s="26"/>
      <c r="AC79" s="26"/>
      <c r="AD79" s="24"/>
      <c r="AF79" s="26"/>
      <c r="AG79" s="26"/>
      <c r="AH79" s="24"/>
      <c r="AJ79" s="49"/>
      <c r="AK79" s="49"/>
      <c r="AL79" s="24"/>
      <c r="AN79" s="26"/>
      <c r="AO79" s="26"/>
      <c r="AP79" s="24"/>
      <c r="AR79" s="26"/>
      <c r="AS79" s="26"/>
      <c r="AT79" s="24"/>
      <c r="AV79" s="26"/>
      <c r="AW79" s="26"/>
      <c r="AX79" s="50"/>
      <c r="AZ79" s="26"/>
      <c r="BA79" s="26"/>
      <c r="BB79" s="24"/>
      <c r="BD79" s="25"/>
      <c r="BE79" s="25"/>
      <c r="BF79" s="24"/>
      <c r="BG79" s="23"/>
    </row>
    <row r="80" spans="10:59">
      <c r="L80" s="26"/>
      <c r="M80" s="26"/>
      <c r="N80" s="24"/>
      <c r="P80" s="26"/>
      <c r="Q80" s="26"/>
      <c r="R80" s="24"/>
      <c r="T80" s="26"/>
      <c r="U80" s="26"/>
      <c r="V80" s="24"/>
      <c r="X80" s="26"/>
      <c r="Y80" s="26"/>
      <c r="Z80" s="24"/>
      <c r="AB80" s="26"/>
      <c r="AC80" s="26"/>
      <c r="AD80" s="24"/>
      <c r="AF80" s="26"/>
      <c r="AG80" s="26"/>
      <c r="AH80" s="24"/>
      <c r="AJ80" s="49"/>
      <c r="AK80" s="49"/>
      <c r="AL80" s="24"/>
      <c r="AN80" s="26"/>
      <c r="AO80" s="26"/>
      <c r="AP80" s="24"/>
      <c r="AR80" s="26"/>
      <c r="AS80" s="26"/>
      <c r="AT80" s="24"/>
      <c r="AV80" s="26"/>
      <c r="AW80" s="26"/>
      <c r="AX80" s="50"/>
      <c r="AZ80" s="26"/>
      <c r="BA80" s="26"/>
      <c r="BB80" s="24"/>
      <c r="BD80" s="25"/>
      <c r="BE80" s="25"/>
      <c r="BF80" s="24"/>
      <c r="BG80" s="23"/>
    </row>
    <row r="84" spans="24:24">
      <c r="X84" s="24" t="s">
        <v>308</v>
      </c>
    </row>
  </sheetData>
  <mergeCells count="62">
    <mergeCell ref="C2:F2"/>
    <mergeCell ref="H2:K2"/>
    <mergeCell ref="C5:D5"/>
    <mergeCell ref="H10:I10"/>
    <mergeCell ref="D13:F13"/>
    <mergeCell ref="H13:I14"/>
    <mergeCell ref="H12:BI12"/>
    <mergeCell ref="J13:M13"/>
    <mergeCell ref="N13:Q13"/>
    <mergeCell ref="R13:U13"/>
    <mergeCell ref="V13:Y13"/>
    <mergeCell ref="Z13:AC13"/>
    <mergeCell ref="AD13:AG13"/>
    <mergeCell ref="AH13:AK13"/>
    <mergeCell ref="AL13:AO13"/>
    <mergeCell ref="BF4:BI4"/>
    <mergeCell ref="C15:C24"/>
    <mergeCell ref="H15:H23"/>
    <mergeCell ref="H24:I24"/>
    <mergeCell ref="H26:I26"/>
    <mergeCell ref="C14:D14"/>
    <mergeCell ref="C6:C9"/>
    <mergeCell ref="H6:H9"/>
    <mergeCell ref="D4:F4"/>
    <mergeCell ref="H4:I5"/>
    <mergeCell ref="BF13:BI13"/>
    <mergeCell ref="AP13:AS13"/>
    <mergeCell ref="AT13:AW13"/>
    <mergeCell ref="AX13:BA13"/>
    <mergeCell ref="BB13:BE13"/>
    <mergeCell ref="N2:AZ2"/>
    <mergeCell ref="BB2:BI2"/>
    <mergeCell ref="H3:BI3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V58:AC58"/>
    <mergeCell ref="AD58:AE58"/>
    <mergeCell ref="Y59:AC59"/>
    <mergeCell ref="O58:R58"/>
    <mergeCell ref="S58:T58"/>
    <mergeCell ref="AD59:AE59"/>
    <mergeCell ref="BC27:BC28"/>
    <mergeCell ref="BH27:BI27"/>
    <mergeCell ref="L31:S31"/>
    <mergeCell ref="L45:T45"/>
    <mergeCell ref="V45:AE45"/>
    <mergeCell ref="V31:AD31"/>
    <mergeCell ref="L60:U60"/>
    <mergeCell ref="L73:S73"/>
    <mergeCell ref="T73:U73"/>
    <mergeCell ref="O74:S74"/>
    <mergeCell ref="T74:U74"/>
  </mergeCells>
  <conditionalFormatting sqref="M47:R56">
    <cfRule type="cellIs" dxfId="59" priority="2" operator="equal">
      <formula>0</formula>
    </cfRule>
  </conditionalFormatting>
  <conditionalFormatting sqref="M62:P71">
    <cfRule type="cellIs" dxfId="58" priority="1" operator="equal">
      <formula>0</formula>
    </cfRule>
  </conditionalFormatting>
  <printOptions horizontalCentered="1" verticalCentered="1"/>
  <pageMargins left="0.33" right="0.42" top="0.75" bottom="0.75" header="0.3" footer="0.3"/>
  <pageSetup paperSize="9" scale="60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I80"/>
  <sheetViews>
    <sheetView topLeftCell="H1" zoomScale="55" zoomScaleNormal="55" workbookViewId="0">
      <pane xSplit="2" topLeftCell="AG1" activePane="topRight" state="frozen"/>
      <selection activeCell="H1" sqref="H1"/>
      <selection pane="topRight" activeCell="BB20" sqref="BB20"/>
    </sheetView>
  </sheetViews>
  <sheetFormatPr defaultColWidth="9.140625" defaultRowHeight="15"/>
  <cols>
    <col min="1" max="2" width="9.140625" style="23" hidden="1" customWidth="1"/>
    <col min="3" max="3" width="14.5703125" style="23" hidden="1" customWidth="1"/>
    <col min="4" max="4" width="11.42578125" style="27" hidden="1" customWidth="1"/>
    <col min="5" max="5" width="6.85546875" style="27" hidden="1" customWidth="1"/>
    <col min="6" max="6" width="9.140625" style="27" hidden="1" customWidth="1"/>
    <col min="7" max="7" width="3.42578125" style="23" hidden="1" customWidth="1"/>
    <col min="8" max="8" width="6.140625" style="23" customWidth="1"/>
    <col min="9" max="9" width="20.140625" style="27" bestFit="1" customWidth="1"/>
    <col min="10" max="10" width="11.5703125" style="26" customWidth="1"/>
    <col min="11" max="11" width="9.140625" style="24" customWidth="1"/>
    <col min="12" max="12" width="15" style="24" bestFit="1" customWidth="1"/>
    <col min="13" max="13" width="12.85546875" style="24" customWidth="1"/>
    <col min="14" max="14" width="10.5703125" style="26" customWidth="1"/>
    <col min="15" max="15" width="10.28515625" style="24" customWidth="1"/>
    <col min="16" max="17" width="10.5703125" style="24" customWidth="1"/>
    <col min="18" max="18" width="8.5703125" style="26" customWidth="1"/>
    <col min="19" max="19" width="11.5703125" style="24" customWidth="1"/>
    <col min="20" max="20" width="14" style="24" bestFit="1" customWidth="1"/>
    <col min="21" max="21" width="14" style="24" customWidth="1"/>
    <col min="22" max="22" width="13.7109375" style="26" bestFit="1" customWidth="1"/>
    <col min="23" max="23" width="12.5703125" style="24" bestFit="1" customWidth="1"/>
    <col min="24" max="25" width="9.7109375" style="24" customWidth="1"/>
    <col min="26" max="26" width="11" style="26" customWidth="1"/>
    <col min="27" max="27" width="12.42578125" style="24" customWidth="1"/>
    <col min="28" max="29" width="11.85546875" style="24" customWidth="1"/>
    <col min="30" max="30" width="11.5703125" style="26" bestFit="1" customWidth="1"/>
    <col min="31" max="31" width="11.7109375" style="24" customWidth="1"/>
    <col min="32" max="32" width="10.5703125" style="24" customWidth="1"/>
    <col min="33" max="33" width="17.140625" style="24" bestFit="1" customWidth="1"/>
    <col min="34" max="34" width="11.5703125" style="26" bestFit="1" customWidth="1"/>
    <col min="35" max="35" width="13.5703125" style="24" customWidth="1"/>
    <col min="36" max="37" width="11.5703125" style="24" customWidth="1"/>
    <col min="38" max="38" width="10.5703125" style="49" customWidth="1"/>
    <col min="39" max="39" width="9" style="24" customWidth="1"/>
    <col min="40" max="40" width="12" style="24" bestFit="1" customWidth="1"/>
    <col min="41" max="41" width="12" style="24" customWidth="1"/>
    <col min="42" max="42" width="8.42578125" style="26" customWidth="1"/>
    <col min="43" max="43" width="10" style="24" bestFit="1" customWidth="1"/>
    <col min="44" max="44" width="13.85546875" style="24" bestFit="1" customWidth="1"/>
    <col min="45" max="45" width="13.85546875" style="24" customWidth="1"/>
    <col min="46" max="46" width="11.7109375" style="26" customWidth="1"/>
    <col min="47" max="47" width="11.7109375" style="24" customWidth="1"/>
    <col min="48" max="48" width="10.5703125" style="24" bestFit="1" customWidth="1"/>
    <col min="49" max="49" width="10.5703125" style="24" customWidth="1"/>
    <col min="50" max="50" width="9.140625" style="26" bestFit="1" customWidth="1"/>
    <col min="51" max="51" width="9.140625" style="50" bestFit="1" customWidth="1"/>
    <col min="52" max="52" width="10.5703125" style="50" bestFit="1" customWidth="1"/>
    <col min="53" max="53" width="10.5703125" style="50" customWidth="1"/>
    <col min="54" max="54" width="10.7109375" style="26" bestFit="1" customWidth="1"/>
    <col min="55" max="55" width="12.85546875" style="24" bestFit="1" customWidth="1"/>
    <col min="56" max="56" width="10.5703125" style="24" bestFit="1" customWidth="1"/>
    <col min="57" max="57" width="10.5703125" style="24" customWidth="1"/>
    <col min="58" max="58" width="16" style="25" bestFit="1" customWidth="1"/>
    <col min="59" max="59" width="10.7109375" style="24" bestFit="1" customWidth="1"/>
    <col min="60" max="60" width="13" style="23" bestFit="1" customWidth="1"/>
    <col min="61" max="16384" width="9.140625" style="23"/>
  </cols>
  <sheetData>
    <row r="1" spans="3:61" ht="15" customHeight="1" thickBot="1"/>
    <row r="2" spans="3:61" ht="21.75" thickBot="1">
      <c r="C2" s="1899" t="s">
        <v>45</v>
      </c>
      <c r="D2" s="1900"/>
      <c r="E2" s="1900"/>
      <c r="F2" s="1901"/>
      <c r="H2" s="1915"/>
      <c r="I2" s="1567"/>
      <c r="J2" s="1567"/>
      <c r="K2" s="1567"/>
      <c r="L2" s="1020"/>
      <c r="M2" s="1020"/>
      <c r="N2" s="1916" t="s">
        <v>249</v>
      </c>
      <c r="O2" s="1916"/>
      <c r="P2" s="1916"/>
      <c r="Q2" s="1916"/>
      <c r="R2" s="1916"/>
      <c r="S2" s="1916"/>
      <c r="T2" s="1916"/>
      <c r="U2" s="1916"/>
      <c r="V2" s="1916"/>
      <c r="W2" s="1916"/>
      <c r="X2" s="1916"/>
      <c r="Y2" s="1916"/>
      <c r="Z2" s="1916"/>
      <c r="AA2" s="1916"/>
      <c r="AB2" s="1916"/>
      <c r="AC2" s="1916"/>
      <c r="AD2" s="1916"/>
      <c r="AE2" s="1916"/>
      <c r="AF2" s="1916"/>
      <c r="AG2" s="1916"/>
      <c r="AH2" s="1916"/>
      <c r="AI2" s="1916"/>
      <c r="AJ2" s="1916"/>
      <c r="AK2" s="1916"/>
      <c r="AL2" s="1916"/>
      <c r="AM2" s="1916"/>
      <c r="AN2" s="1916"/>
      <c r="AO2" s="1916"/>
      <c r="AP2" s="1916"/>
      <c r="AQ2" s="1916"/>
      <c r="AR2" s="1916"/>
      <c r="AS2" s="1916"/>
      <c r="AT2" s="1916"/>
      <c r="AU2" s="1916"/>
      <c r="AV2" s="1916"/>
      <c r="AW2" s="1916"/>
      <c r="AX2" s="1916"/>
      <c r="AY2" s="1916"/>
      <c r="AZ2" s="1916"/>
      <c r="BA2" s="1020"/>
      <c r="BB2" s="1902" t="s">
        <v>118</v>
      </c>
      <c r="BC2" s="1903"/>
      <c r="BD2" s="1903"/>
      <c r="BE2" s="1903"/>
      <c r="BF2" s="1903"/>
      <c r="BG2" s="1903"/>
      <c r="BH2" s="1903"/>
      <c r="BI2" s="1904"/>
    </row>
    <row r="3" spans="3:61" ht="19.5" thickBot="1">
      <c r="C3" s="1019"/>
      <c r="D3" s="1017"/>
      <c r="E3" s="1017"/>
      <c r="F3" s="1023"/>
      <c r="H3" s="1905" t="s">
        <v>115</v>
      </c>
      <c r="I3" s="1906"/>
      <c r="J3" s="1906"/>
      <c r="K3" s="1906"/>
      <c r="L3" s="1906"/>
      <c r="M3" s="1906"/>
      <c r="N3" s="1906"/>
      <c r="O3" s="1906"/>
      <c r="P3" s="1906"/>
      <c r="Q3" s="1906"/>
      <c r="R3" s="1906"/>
      <c r="S3" s="1906"/>
      <c r="T3" s="1906"/>
      <c r="U3" s="1906"/>
      <c r="V3" s="1906"/>
      <c r="W3" s="1906"/>
      <c r="X3" s="1906"/>
      <c r="Y3" s="1906"/>
      <c r="Z3" s="1906"/>
      <c r="AA3" s="1906"/>
      <c r="AB3" s="1906"/>
      <c r="AC3" s="1906"/>
      <c r="AD3" s="1906"/>
      <c r="AE3" s="1906"/>
      <c r="AF3" s="1906"/>
      <c r="AG3" s="1906"/>
      <c r="AH3" s="1906"/>
      <c r="AI3" s="1906"/>
      <c r="AJ3" s="1906"/>
      <c r="AK3" s="1906"/>
      <c r="AL3" s="1906"/>
      <c r="AM3" s="1906"/>
      <c r="AN3" s="1906"/>
      <c r="AO3" s="1906"/>
      <c r="AP3" s="1906"/>
      <c r="AQ3" s="1906"/>
      <c r="AR3" s="1906"/>
      <c r="AS3" s="1906"/>
      <c r="AT3" s="1906"/>
      <c r="AU3" s="1906"/>
      <c r="AV3" s="1906"/>
      <c r="AW3" s="1906"/>
      <c r="AX3" s="1906"/>
      <c r="AY3" s="1906"/>
      <c r="AZ3" s="1906"/>
      <c r="BA3" s="1906"/>
      <c r="BB3" s="1906"/>
      <c r="BC3" s="1906"/>
      <c r="BD3" s="1906"/>
      <c r="BE3" s="1906"/>
      <c r="BF3" s="1906"/>
      <c r="BG3" s="1906"/>
      <c r="BH3" s="1906"/>
      <c r="BI3" s="1907"/>
    </row>
    <row r="4" spans="3:61" ht="18.75">
      <c r="C4" s="37" t="s">
        <v>44</v>
      </c>
      <c r="D4" s="1869"/>
      <c r="E4" s="1869"/>
      <c r="F4" s="1870"/>
      <c r="H4" s="1908" t="s">
        <v>33</v>
      </c>
      <c r="I4" s="1909"/>
      <c r="J4" s="1871" t="s">
        <v>43</v>
      </c>
      <c r="K4" s="1872"/>
      <c r="L4" s="1872"/>
      <c r="M4" s="1873"/>
      <c r="N4" s="1871" t="s">
        <v>42</v>
      </c>
      <c r="O4" s="1872"/>
      <c r="P4" s="1872"/>
      <c r="Q4" s="1873"/>
      <c r="R4" s="1871" t="s">
        <v>41</v>
      </c>
      <c r="S4" s="1872"/>
      <c r="T4" s="1872"/>
      <c r="U4" s="1873"/>
      <c r="V4" s="1871" t="s">
        <v>40</v>
      </c>
      <c r="W4" s="1872"/>
      <c r="X4" s="1872"/>
      <c r="Y4" s="1873"/>
      <c r="Z4" s="1871" t="s">
        <v>39</v>
      </c>
      <c r="AA4" s="1872"/>
      <c r="AB4" s="1872"/>
      <c r="AC4" s="1873"/>
      <c r="AD4" s="1871" t="s">
        <v>38</v>
      </c>
      <c r="AE4" s="1872"/>
      <c r="AF4" s="1872"/>
      <c r="AG4" s="1873"/>
      <c r="AH4" s="1874" t="s">
        <v>122</v>
      </c>
      <c r="AI4" s="1875"/>
      <c r="AJ4" s="1875"/>
      <c r="AK4" s="1876"/>
      <c r="AL4" s="1871" t="s">
        <v>37</v>
      </c>
      <c r="AM4" s="1872"/>
      <c r="AN4" s="1872"/>
      <c r="AO4" s="1873"/>
      <c r="AP4" s="1871" t="s">
        <v>36</v>
      </c>
      <c r="AQ4" s="1872"/>
      <c r="AR4" s="1872"/>
      <c r="AS4" s="1873"/>
      <c r="AT4" s="1871" t="s">
        <v>35</v>
      </c>
      <c r="AU4" s="1872"/>
      <c r="AV4" s="1872"/>
      <c r="AW4" s="1873"/>
      <c r="AX4" s="1871" t="s">
        <v>34</v>
      </c>
      <c r="AY4" s="1872"/>
      <c r="AZ4" s="1872"/>
      <c r="BA4" s="1873"/>
      <c r="BB4" s="1874" t="s">
        <v>123</v>
      </c>
      <c r="BC4" s="1875"/>
      <c r="BD4" s="1875"/>
      <c r="BE4" s="1876"/>
      <c r="BF4" s="1877" t="s">
        <v>17</v>
      </c>
      <c r="BG4" s="1878"/>
      <c r="BH4" s="1878"/>
      <c r="BI4" s="1878"/>
    </row>
    <row r="5" spans="3:61" ht="15.75" customHeight="1">
      <c r="C5" s="1879" t="s">
        <v>33</v>
      </c>
      <c r="D5" s="1869"/>
      <c r="E5" s="1017" t="s">
        <v>1</v>
      </c>
      <c r="F5" s="1023" t="s">
        <v>2</v>
      </c>
      <c r="H5" s="1910"/>
      <c r="I5" s="1911"/>
      <c r="J5" s="36" t="s">
        <v>1</v>
      </c>
      <c r="K5" s="271" t="s">
        <v>2</v>
      </c>
      <c r="L5" s="693" t="s">
        <v>182</v>
      </c>
      <c r="M5" s="35" t="s">
        <v>247</v>
      </c>
      <c r="N5" s="36" t="s">
        <v>1</v>
      </c>
      <c r="O5" s="271" t="s">
        <v>2</v>
      </c>
      <c r="P5" s="693" t="s">
        <v>182</v>
      </c>
      <c r="Q5" s="35" t="s">
        <v>247</v>
      </c>
      <c r="R5" s="36" t="s">
        <v>1</v>
      </c>
      <c r="S5" s="271" t="s">
        <v>2</v>
      </c>
      <c r="T5" s="693" t="s">
        <v>182</v>
      </c>
      <c r="U5" s="35" t="s">
        <v>247</v>
      </c>
      <c r="V5" s="36" t="s">
        <v>1</v>
      </c>
      <c r="W5" s="271" t="s">
        <v>2</v>
      </c>
      <c r="X5" s="693" t="s">
        <v>182</v>
      </c>
      <c r="Y5" s="35" t="s">
        <v>247</v>
      </c>
      <c r="Z5" s="36" t="s">
        <v>1</v>
      </c>
      <c r="AA5" s="271" t="s">
        <v>2</v>
      </c>
      <c r="AB5" s="693" t="s">
        <v>182</v>
      </c>
      <c r="AC5" s="35" t="s">
        <v>247</v>
      </c>
      <c r="AD5" s="36" t="s">
        <v>1</v>
      </c>
      <c r="AE5" s="271" t="s">
        <v>2</v>
      </c>
      <c r="AF5" s="693" t="s">
        <v>182</v>
      </c>
      <c r="AG5" s="35" t="s">
        <v>247</v>
      </c>
      <c r="AH5" s="36" t="s">
        <v>1</v>
      </c>
      <c r="AI5" s="271" t="s">
        <v>2</v>
      </c>
      <c r="AJ5" s="271" t="s">
        <v>182</v>
      </c>
      <c r="AK5" s="690" t="s">
        <v>196</v>
      </c>
      <c r="AL5" s="36" t="s">
        <v>1</v>
      </c>
      <c r="AM5" s="271" t="s">
        <v>2</v>
      </c>
      <c r="AN5" s="693" t="s">
        <v>182</v>
      </c>
      <c r="AO5" s="35" t="s">
        <v>247</v>
      </c>
      <c r="AP5" s="36" t="s">
        <v>1</v>
      </c>
      <c r="AQ5" s="271" t="s">
        <v>2</v>
      </c>
      <c r="AR5" s="693" t="s">
        <v>182</v>
      </c>
      <c r="AS5" s="35" t="s">
        <v>247</v>
      </c>
      <c r="AT5" s="36" t="s">
        <v>1</v>
      </c>
      <c r="AU5" s="271" t="s">
        <v>2</v>
      </c>
      <c r="AV5" s="693" t="s">
        <v>182</v>
      </c>
      <c r="AW5" s="35" t="s">
        <v>247</v>
      </c>
      <c r="AX5" s="36" t="s">
        <v>1</v>
      </c>
      <c r="AY5" s="271" t="s">
        <v>2</v>
      </c>
      <c r="AZ5" s="693" t="s">
        <v>182</v>
      </c>
      <c r="BA5" s="35" t="s">
        <v>247</v>
      </c>
      <c r="BB5" s="36" t="s">
        <v>1</v>
      </c>
      <c r="BC5" s="271" t="s">
        <v>2</v>
      </c>
      <c r="BD5" s="271" t="s">
        <v>182</v>
      </c>
      <c r="BE5" s="690" t="s">
        <v>196</v>
      </c>
      <c r="BF5" s="274" t="s">
        <v>1</v>
      </c>
      <c r="BG5" s="275" t="s">
        <v>2</v>
      </c>
      <c r="BH5" s="275" t="s">
        <v>182</v>
      </c>
      <c r="BI5" s="698" t="s">
        <v>196</v>
      </c>
    </row>
    <row r="6" spans="3:61" s="28" customFormat="1" ht="20.100000000000001" customHeight="1">
      <c r="C6" s="1879" t="s">
        <v>19</v>
      </c>
      <c r="D6" s="1017" t="s">
        <v>32</v>
      </c>
      <c r="E6" s="1017"/>
      <c r="F6" s="1018"/>
      <c r="H6" s="1886" t="s">
        <v>32</v>
      </c>
      <c r="I6" s="33" t="s">
        <v>32</v>
      </c>
      <c r="J6" s="462">
        <v>30</v>
      </c>
      <c r="K6" s="463">
        <v>30</v>
      </c>
      <c r="L6" s="463"/>
      <c r="M6" s="691"/>
      <c r="N6" s="462">
        <v>20</v>
      </c>
      <c r="O6" s="463">
        <v>22</v>
      </c>
      <c r="P6" s="463">
        <v>22</v>
      </c>
      <c r="Q6" s="691">
        <v>20</v>
      </c>
      <c r="R6" s="462">
        <v>6</v>
      </c>
      <c r="S6" s="463">
        <v>5</v>
      </c>
      <c r="T6" s="463"/>
      <c r="U6" s="691"/>
      <c r="V6" s="462">
        <v>5</v>
      </c>
      <c r="W6" s="463">
        <v>5</v>
      </c>
      <c r="X6" s="463">
        <v>5</v>
      </c>
      <c r="Y6" s="691"/>
      <c r="Z6" s="462"/>
      <c r="AA6" s="463"/>
      <c r="AB6" s="463"/>
      <c r="AC6" s="691"/>
      <c r="AD6" s="462">
        <v>15</v>
      </c>
      <c r="AE6" s="463">
        <f>9.52+5</f>
        <v>14.52</v>
      </c>
      <c r="AF6" s="463">
        <v>9.52</v>
      </c>
      <c r="AG6" s="691"/>
      <c r="AH6" s="128">
        <f>J6+N6+R6+V6+Z6+AD6</f>
        <v>76</v>
      </c>
      <c r="AI6" s="273">
        <f>K6+O6+S6+W6+AA6+AE6</f>
        <v>76.52</v>
      </c>
      <c r="AJ6" s="273">
        <f>L6+P6+T6+X6+AB6+AF6</f>
        <v>36.519999999999996</v>
      </c>
      <c r="AK6" s="694">
        <f>M6+Q6+U6+Y6+AC6+AG6</f>
        <v>20</v>
      </c>
      <c r="AL6" s="462"/>
      <c r="AM6" s="463">
        <f>2.8+3.71+0.5+0.5</f>
        <v>7.51</v>
      </c>
      <c r="AN6" s="1126">
        <v>7.51</v>
      </c>
      <c r="AO6" s="691"/>
      <c r="AP6" s="462">
        <v>7</v>
      </c>
      <c r="AQ6" s="463">
        <v>4</v>
      </c>
      <c r="AR6" s="463">
        <v>4</v>
      </c>
      <c r="AS6" s="691"/>
      <c r="AT6" s="462">
        <v>7</v>
      </c>
      <c r="AU6" s="463">
        <v>17.38</v>
      </c>
      <c r="AV6" s="463">
        <v>17.38</v>
      </c>
      <c r="AW6" s="691"/>
      <c r="AX6" s="462">
        <v>9</v>
      </c>
      <c r="AY6" s="463">
        <f>1.5+8.4</f>
        <v>9.9</v>
      </c>
      <c r="AZ6" s="463">
        <v>9.9</v>
      </c>
      <c r="BA6" s="691"/>
      <c r="BB6" s="128">
        <f>AL6+AP6+AT6+AX6</f>
        <v>23</v>
      </c>
      <c r="BC6" s="273">
        <f>AM6+AQ6+AU6+AY6</f>
        <v>38.79</v>
      </c>
      <c r="BD6" s="273">
        <f>AN6+AR6+AV6+AZ6</f>
        <v>38.79</v>
      </c>
      <c r="BE6" s="273">
        <f>AO6+AS6+AW6+BA6</f>
        <v>0</v>
      </c>
      <c r="BF6" s="276">
        <f>AH6+BB6</f>
        <v>99</v>
      </c>
      <c r="BG6" s="277">
        <f>AI6+BC6</f>
        <v>115.31</v>
      </c>
      <c r="BH6" s="701">
        <f>AJ6+BD6</f>
        <v>75.31</v>
      </c>
      <c r="BI6" s="699">
        <f>AK6+BE6</f>
        <v>20</v>
      </c>
    </row>
    <row r="7" spans="3:61" s="28" customFormat="1" ht="20.100000000000001" customHeight="1">
      <c r="C7" s="1879"/>
      <c r="D7" s="1017" t="s">
        <v>31</v>
      </c>
      <c r="E7" s="1017"/>
      <c r="F7" s="1018"/>
      <c r="H7" s="1887"/>
      <c r="I7" s="33" t="s">
        <v>31</v>
      </c>
      <c r="J7" s="462"/>
      <c r="K7" s="463"/>
      <c r="L7" s="463"/>
      <c r="M7" s="691"/>
      <c r="N7" s="462"/>
      <c r="O7" s="463"/>
      <c r="P7" s="463"/>
      <c r="Q7" s="691"/>
      <c r="R7" s="462"/>
      <c r="S7" s="463"/>
      <c r="T7" s="463"/>
      <c r="U7" s="691"/>
      <c r="V7" s="462"/>
      <c r="W7" s="463"/>
      <c r="X7" s="463"/>
      <c r="Y7" s="691"/>
      <c r="Z7" s="462"/>
      <c r="AA7" s="463"/>
      <c r="AB7" s="463"/>
      <c r="AC7" s="691"/>
      <c r="AD7" s="462"/>
      <c r="AE7" s="463"/>
      <c r="AF7" s="463"/>
      <c r="AG7" s="691"/>
      <c r="AH7" s="128">
        <f t="shared" ref="AH7:AK9" si="0">J7+N7+R7+V7+Z7+AD7</f>
        <v>0</v>
      </c>
      <c r="AI7" s="273">
        <f t="shared" si="0"/>
        <v>0</v>
      </c>
      <c r="AJ7" s="273">
        <f t="shared" si="0"/>
        <v>0</v>
      </c>
      <c r="AK7" s="694">
        <f t="shared" si="0"/>
        <v>0</v>
      </c>
      <c r="AL7" s="462"/>
      <c r="AM7" s="463"/>
      <c r="AN7" s="463"/>
      <c r="AO7" s="691"/>
      <c r="AP7" s="462"/>
      <c r="AQ7" s="463"/>
      <c r="AR7" s="463"/>
      <c r="AS7" s="691"/>
      <c r="AT7" s="462"/>
      <c r="AU7" s="463"/>
      <c r="AV7" s="463"/>
      <c r="AW7" s="691"/>
      <c r="AX7" s="462"/>
      <c r="AY7" s="463"/>
      <c r="AZ7" s="463"/>
      <c r="BA7" s="691"/>
      <c r="BB7" s="128">
        <f t="shared" ref="BB7:BE9" si="1">AL7+AP7+AT7+AX7</f>
        <v>0</v>
      </c>
      <c r="BC7" s="273">
        <f t="shared" si="1"/>
        <v>0</v>
      </c>
      <c r="BD7" s="273">
        <f t="shared" si="1"/>
        <v>0</v>
      </c>
      <c r="BE7" s="273">
        <f t="shared" si="1"/>
        <v>0</v>
      </c>
      <c r="BF7" s="276">
        <f t="shared" ref="BF7:BI9" si="2">AH7+BB7</f>
        <v>0</v>
      </c>
      <c r="BG7" s="277">
        <f t="shared" si="2"/>
        <v>0</v>
      </c>
      <c r="BH7" s="277">
        <f t="shared" si="2"/>
        <v>0</v>
      </c>
      <c r="BI7" s="699">
        <f t="shared" si="2"/>
        <v>0</v>
      </c>
    </row>
    <row r="8" spans="3:61" s="28" customFormat="1" ht="20.100000000000001" customHeight="1">
      <c r="C8" s="1879"/>
      <c r="D8" s="1017" t="s">
        <v>30</v>
      </c>
      <c r="E8" s="1017"/>
      <c r="F8" s="1018"/>
      <c r="H8" s="1887"/>
      <c r="I8" s="33" t="s">
        <v>30</v>
      </c>
      <c r="J8" s="462"/>
      <c r="K8" s="463">
        <v>9</v>
      </c>
      <c r="L8" s="463"/>
      <c r="M8" s="691"/>
      <c r="N8" s="462"/>
      <c r="O8" s="463"/>
      <c r="P8" s="463"/>
      <c r="Q8" s="691"/>
      <c r="R8" s="462"/>
      <c r="S8" s="463"/>
      <c r="T8" s="463"/>
      <c r="U8" s="691"/>
      <c r="V8" s="462"/>
      <c r="W8" s="463">
        <v>1.5</v>
      </c>
      <c r="X8" s="463">
        <v>1.5</v>
      </c>
      <c r="Y8" s="691"/>
      <c r="Z8" s="462">
        <v>35</v>
      </c>
      <c r="AA8" s="463">
        <v>35</v>
      </c>
      <c r="AB8" s="463"/>
      <c r="AC8" s="691"/>
      <c r="AD8" s="462">
        <v>15</v>
      </c>
      <c r="AE8" s="463"/>
      <c r="AF8" s="463"/>
      <c r="AG8" s="691"/>
      <c r="AH8" s="128">
        <f t="shared" si="0"/>
        <v>50</v>
      </c>
      <c r="AI8" s="273">
        <f t="shared" si="0"/>
        <v>45.5</v>
      </c>
      <c r="AJ8" s="273">
        <f t="shared" si="0"/>
        <v>1.5</v>
      </c>
      <c r="AK8" s="694">
        <f t="shared" si="0"/>
        <v>0</v>
      </c>
      <c r="AL8" s="462">
        <f>10+8+5</f>
        <v>23</v>
      </c>
      <c r="AM8" s="463"/>
      <c r="AN8" s="463"/>
      <c r="AO8" s="691"/>
      <c r="AP8" s="462"/>
      <c r="AQ8" s="463"/>
      <c r="AR8" s="463"/>
      <c r="AS8" s="691"/>
      <c r="AT8" s="462">
        <v>4</v>
      </c>
      <c r="AU8" s="463"/>
      <c r="AV8" s="463"/>
      <c r="AW8" s="691"/>
      <c r="AX8" s="462"/>
      <c r="AY8" s="463">
        <v>5</v>
      </c>
      <c r="AZ8" s="463">
        <v>5</v>
      </c>
      <c r="BA8" s="691"/>
      <c r="BB8" s="128">
        <f t="shared" si="1"/>
        <v>27</v>
      </c>
      <c r="BC8" s="273">
        <f t="shared" si="1"/>
        <v>5</v>
      </c>
      <c r="BD8" s="273">
        <f t="shared" si="1"/>
        <v>5</v>
      </c>
      <c r="BE8" s="273">
        <f t="shared" si="1"/>
        <v>0</v>
      </c>
      <c r="BF8" s="276">
        <f t="shared" si="2"/>
        <v>77</v>
      </c>
      <c r="BG8" s="277">
        <f t="shared" si="2"/>
        <v>50.5</v>
      </c>
      <c r="BH8" s="277">
        <f t="shared" si="2"/>
        <v>6.5</v>
      </c>
      <c r="BI8" s="699">
        <f t="shared" si="2"/>
        <v>0</v>
      </c>
    </row>
    <row r="9" spans="3:61" s="28" customFormat="1" ht="20.100000000000001" customHeight="1">
      <c r="C9" s="1885"/>
      <c r="D9" s="1017" t="s">
        <v>29</v>
      </c>
      <c r="E9" s="1017"/>
      <c r="F9" s="1018"/>
      <c r="H9" s="1887"/>
      <c r="I9" s="33" t="s">
        <v>109</v>
      </c>
      <c r="J9" s="462"/>
      <c r="K9" s="463">
        <v>0.1</v>
      </c>
      <c r="L9" s="463">
        <v>0.1</v>
      </c>
      <c r="M9" s="691"/>
      <c r="N9" s="462"/>
      <c r="O9" s="463"/>
      <c r="P9" s="463"/>
      <c r="Q9" s="691"/>
      <c r="R9" s="462"/>
      <c r="S9" s="463"/>
      <c r="T9" s="463"/>
      <c r="U9" s="691"/>
      <c r="V9" s="462">
        <v>5</v>
      </c>
      <c r="W9" s="463">
        <v>1</v>
      </c>
      <c r="X9" s="463">
        <v>1</v>
      </c>
      <c r="Y9" s="691"/>
      <c r="Z9" s="462">
        <v>2</v>
      </c>
      <c r="AA9" s="463"/>
      <c r="AB9" s="463"/>
      <c r="AC9" s="691"/>
      <c r="AD9" s="462"/>
      <c r="AE9" s="463"/>
      <c r="AF9" s="463"/>
      <c r="AG9" s="691"/>
      <c r="AH9" s="128">
        <f t="shared" si="0"/>
        <v>7</v>
      </c>
      <c r="AI9" s="273">
        <f t="shared" si="0"/>
        <v>1.1000000000000001</v>
      </c>
      <c r="AJ9" s="273">
        <f t="shared" si="0"/>
        <v>1.1000000000000001</v>
      </c>
      <c r="AK9" s="694">
        <f t="shared" si="0"/>
        <v>0</v>
      </c>
      <c r="AL9" s="462"/>
      <c r="AM9" s="463"/>
      <c r="AN9" s="463"/>
      <c r="AO9" s="691"/>
      <c r="AP9" s="462"/>
      <c r="AQ9" s="463">
        <v>1</v>
      </c>
      <c r="AR9" s="463">
        <v>1</v>
      </c>
      <c r="AS9" s="691"/>
      <c r="AT9" s="462"/>
      <c r="AU9" s="463"/>
      <c r="AV9" s="463"/>
      <c r="AW9" s="691"/>
      <c r="AX9" s="462"/>
      <c r="AY9" s="463"/>
      <c r="AZ9" s="463"/>
      <c r="BA9" s="691"/>
      <c r="BB9" s="128">
        <f t="shared" si="1"/>
        <v>0</v>
      </c>
      <c r="BC9" s="273">
        <f t="shared" si="1"/>
        <v>1</v>
      </c>
      <c r="BD9" s="273">
        <f t="shared" si="1"/>
        <v>1</v>
      </c>
      <c r="BE9" s="273">
        <f t="shared" si="1"/>
        <v>0</v>
      </c>
      <c r="BF9" s="276">
        <f t="shared" si="2"/>
        <v>7</v>
      </c>
      <c r="BG9" s="277">
        <f t="shared" si="2"/>
        <v>2.1</v>
      </c>
      <c r="BH9" s="277">
        <f t="shared" si="2"/>
        <v>2.1</v>
      </c>
      <c r="BI9" s="699">
        <f t="shared" si="2"/>
        <v>0</v>
      </c>
    </row>
    <row r="10" spans="3:61" s="28" customFormat="1" ht="19.5" customHeight="1" thickBot="1">
      <c r="C10" s="32"/>
      <c r="D10" s="31" t="s">
        <v>18</v>
      </c>
      <c r="E10" s="31"/>
      <c r="F10" s="30"/>
      <c r="H10" s="1865" t="s">
        <v>47</v>
      </c>
      <c r="I10" s="1866"/>
      <c r="J10" s="118">
        <f t="shared" ref="J10:BG10" si="3">SUM(J6:J9)</f>
        <v>30</v>
      </c>
      <c r="K10" s="272">
        <f t="shared" si="3"/>
        <v>39.1</v>
      </c>
      <c r="L10" s="272">
        <f t="shared" si="3"/>
        <v>0.1</v>
      </c>
      <c r="M10" s="272">
        <f t="shared" si="3"/>
        <v>0</v>
      </c>
      <c r="N10" s="118">
        <f t="shared" si="3"/>
        <v>20</v>
      </c>
      <c r="O10" s="272">
        <f t="shared" si="3"/>
        <v>22</v>
      </c>
      <c r="P10" s="272">
        <f t="shared" si="3"/>
        <v>22</v>
      </c>
      <c r="Q10" s="272">
        <f t="shared" si="3"/>
        <v>20</v>
      </c>
      <c r="R10" s="118">
        <f t="shared" si="3"/>
        <v>6</v>
      </c>
      <c r="S10" s="272">
        <f t="shared" si="3"/>
        <v>5</v>
      </c>
      <c r="T10" s="272">
        <f t="shared" si="3"/>
        <v>0</v>
      </c>
      <c r="U10" s="272">
        <f t="shared" si="3"/>
        <v>0</v>
      </c>
      <c r="V10" s="118">
        <f t="shared" si="3"/>
        <v>10</v>
      </c>
      <c r="W10" s="272">
        <f t="shared" si="3"/>
        <v>7.5</v>
      </c>
      <c r="X10" s="272">
        <f t="shared" si="3"/>
        <v>7.5</v>
      </c>
      <c r="Y10" s="272">
        <f t="shared" si="3"/>
        <v>0</v>
      </c>
      <c r="Z10" s="118">
        <f t="shared" si="3"/>
        <v>37</v>
      </c>
      <c r="AA10" s="272">
        <f t="shared" si="3"/>
        <v>35</v>
      </c>
      <c r="AB10" s="272">
        <f t="shared" si="3"/>
        <v>0</v>
      </c>
      <c r="AC10" s="272">
        <f t="shared" si="3"/>
        <v>0</v>
      </c>
      <c r="AD10" s="118">
        <f t="shared" si="3"/>
        <v>30</v>
      </c>
      <c r="AE10" s="272">
        <f t="shared" si="3"/>
        <v>14.52</v>
      </c>
      <c r="AF10" s="272">
        <f t="shared" si="3"/>
        <v>9.52</v>
      </c>
      <c r="AG10" s="272">
        <f t="shared" si="3"/>
        <v>0</v>
      </c>
      <c r="AH10" s="118">
        <f t="shared" si="3"/>
        <v>133</v>
      </c>
      <c r="AI10" s="272">
        <f t="shared" si="3"/>
        <v>123.11999999999999</v>
      </c>
      <c r="AJ10" s="272">
        <f>SUM(AJ6:AJ9)</f>
        <v>39.119999999999997</v>
      </c>
      <c r="AK10" s="695">
        <f>SUM(AK6:AK9)</f>
        <v>20</v>
      </c>
      <c r="AL10" s="118">
        <f t="shared" si="3"/>
        <v>23</v>
      </c>
      <c r="AM10" s="272">
        <f t="shared" si="3"/>
        <v>7.51</v>
      </c>
      <c r="AN10" s="272">
        <f t="shared" si="3"/>
        <v>7.51</v>
      </c>
      <c r="AO10" s="272">
        <f t="shared" si="3"/>
        <v>0</v>
      </c>
      <c r="AP10" s="118">
        <f t="shared" si="3"/>
        <v>7</v>
      </c>
      <c r="AQ10" s="272">
        <f t="shared" si="3"/>
        <v>5</v>
      </c>
      <c r="AR10" s="272">
        <f t="shared" si="3"/>
        <v>5</v>
      </c>
      <c r="AS10" s="272">
        <f t="shared" si="3"/>
        <v>0</v>
      </c>
      <c r="AT10" s="118">
        <f t="shared" si="3"/>
        <v>11</v>
      </c>
      <c r="AU10" s="272">
        <f t="shared" si="3"/>
        <v>17.38</v>
      </c>
      <c r="AV10" s="272">
        <f t="shared" si="3"/>
        <v>17.38</v>
      </c>
      <c r="AW10" s="272">
        <f t="shared" si="3"/>
        <v>0</v>
      </c>
      <c r="AX10" s="118">
        <f t="shared" si="3"/>
        <v>9</v>
      </c>
      <c r="AY10" s="272">
        <f t="shared" si="3"/>
        <v>14.9</v>
      </c>
      <c r="AZ10" s="272">
        <f t="shared" si="3"/>
        <v>14.9</v>
      </c>
      <c r="BA10" s="272">
        <f t="shared" si="3"/>
        <v>0</v>
      </c>
      <c r="BB10" s="118">
        <f t="shared" si="3"/>
        <v>50</v>
      </c>
      <c r="BC10" s="272">
        <f t="shared" si="3"/>
        <v>44.79</v>
      </c>
      <c r="BD10" s="272">
        <f t="shared" si="3"/>
        <v>44.79</v>
      </c>
      <c r="BE10" s="272">
        <f t="shared" si="3"/>
        <v>0</v>
      </c>
      <c r="BF10" s="278">
        <f t="shared" si="3"/>
        <v>183</v>
      </c>
      <c r="BG10" s="279">
        <f t="shared" si="3"/>
        <v>167.91</v>
      </c>
      <c r="BH10" s="702">
        <f>AJ10+BD10</f>
        <v>83.91</v>
      </c>
      <c r="BI10" s="700">
        <f>AK10+BE10</f>
        <v>20</v>
      </c>
    </row>
    <row r="11" spans="3:61" s="119" customFormat="1" ht="5.25" customHeight="1">
      <c r="D11" s="120"/>
      <c r="E11" s="120"/>
      <c r="F11" s="120"/>
      <c r="H11" s="122"/>
      <c r="I11" s="122"/>
      <c r="J11" s="125"/>
      <c r="K11" s="126"/>
      <c r="L11" s="126"/>
      <c r="M11" s="126"/>
      <c r="N11" s="125"/>
      <c r="O11" s="126"/>
      <c r="P11" s="126"/>
      <c r="Q11" s="126"/>
      <c r="R11" s="125"/>
      <c r="S11" s="126"/>
      <c r="T11" s="126"/>
      <c r="U11" s="126"/>
      <c r="V11" s="125"/>
      <c r="W11" s="126"/>
      <c r="X11" s="126"/>
      <c r="Y11" s="126"/>
      <c r="Z11" s="125"/>
      <c r="AA11" s="126"/>
      <c r="AB11" s="126"/>
      <c r="AC11" s="126"/>
      <c r="AD11" s="125"/>
      <c r="AE11" s="126"/>
      <c r="AF11" s="126"/>
      <c r="AG11" s="126"/>
      <c r="AH11" s="125"/>
      <c r="AI11" s="126"/>
      <c r="AJ11" s="126"/>
      <c r="AK11" s="126"/>
      <c r="AL11" s="125"/>
      <c r="AM11" s="126"/>
      <c r="AN11" s="126"/>
      <c r="AO11" s="126"/>
      <c r="AP11" s="125"/>
      <c r="AQ11" s="126"/>
      <c r="AR11" s="126"/>
      <c r="AS11" s="126"/>
      <c r="AT11" s="125"/>
      <c r="AU11" s="126"/>
      <c r="AV11" s="126"/>
      <c r="AW11" s="126"/>
      <c r="AX11" s="125"/>
      <c r="AY11" s="126"/>
      <c r="AZ11" s="126"/>
      <c r="BA11" s="126"/>
      <c r="BB11" s="125"/>
      <c r="BC11" s="126"/>
      <c r="BD11" s="126"/>
      <c r="BE11" s="126"/>
      <c r="BF11" s="125"/>
      <c r="BG11" s="126"/>
    </row>
    <row r="12" spans="3:61" ht="19.5" thickBot="1">
      <c r="C12" s="1019"/>
      <c r="D12" s="1017"/>
      <c r="E12" s="1017"/>
      <c r="F12" s="1023"/>
      <c r="H12" s="1867" t="s">
        <v>114</v>
      </c>
      <c r="I12" s="1868"/>
      <c r="J12" s="1868"/>
      <c r="K12" s="1868"/>
      <c r="L12" s="1868"/>
      <c r="M12" s="1868"/>
      <c r="N12" s="1868"/>
      <c r="O12" s="1868"/>
      <c r="P12" s="1868"/>
      <c r="Q12" s="1868"/>
      <c r="R12" s="1868"/>
      <c r="S12" s="1868"/>
      <c r="T12" s="1868"/>
      <c r="U12" s="1868"/>
      <c r="V12" s="1868"/>
      <c r="W12" s="1868"/>
      <c r="X12" s="1868"/>
      <c r="Y12" s="1868"/>
      <c r="Z12" s="1868"/>
      <c r="AA12" s="1868"/>
      <c r="AB12" s="1868"/>
      <c r="AC12" s="1868"/>
      <c r="AD12" s="1868"/>
      <c r="AE12" s="1868"/>
      <c r="AF12" s="1868"/>
      <c r="AG12" s="1868"/>
      <c r="AH12" s="1868"/>
      <c r="AI12" s="1868"/>
      <c r="AJ12" s="1868"/>
      <c r="AK12" s="1868"/>
      <c r="AL12" s="1868"/>
      <c r="AM12" s="1868"/>
      <c r="AN12" s="1868"/>
      <c r="AO12" s="1868"/>
      <c r="AP12" s="1868"/>
      <c r="AQ12" s="1868"/>
      <c r="AR12" s="1868"/>
      <c r="AS12" s="1868"/>
      <c r="AT12" s="1868"/>
      <c r="AU12" s="1868"/>
      <c r="AV12" s="1868"/>
      <c r="AW12" s="1868"/>
      <c r="AX12" s="1868"/>
      <c r="AY12" s="1868"/>
      <c r="AZ12" s="1868"/>
      <c r="BA12" s="1868"/>
      <c r="BB12" s="1868"/>
      <c r="BC12" s="1868"/>
      <c r="BD12" s="1868"/>
      <c r="BE12" s="1868"/>
      <c r="BF12" s="1868"/>
      <c r="BG12" s="1868"/>
      <c r="BH12" s="1868"/>
      <c r="BI12" s="1868"/>
    </row>
    <row r="13" spans="3:61" ht="18.75" customHeight="1">
      <c r="C13" s="37" t="s">
        <v>44</v>
      </c>
      <c r="D13" s="1869"/>
      <c r="E13" s="1869"/>
      <c r="F13" s="1870"/>
      <c r="H13" s="1895" t="s">
        <v>117</v>
      </c>
      <c r="I13" s="1896"/>
      <c r="J13" s="1890" t="s">
        <v>43</v>
      </c>
      <c r="K13" s="1891"/>
      <c r="L13" s="1891"/>
      <c r="M13" s="1892"/>
      <c r="N13" s="1890" t="s">
        <v>42</v>
      </c>
      <c r="O13" s="1891"/>
      <c r="P13" s="1891"/>
      <c r="Q13" s="1892"/>
      <c r="R13" s="1890" t="s">
        <v>41</v>
      </c>
      <c r="S13" s="1891"/>
      <c r="T13" s="1891"/>
      <c r="U13" s="1892"/>
      <c r="V13" s="1890" t="s">
        <v>40</v>
      </c>
      <c r="W13" s="1891"/>
      <c r="X13" s="1891"/>
      <c r="Y13" s="1892"/>
      <c r="Z13" s="1890" t="s">
        <v>39</v>
      </c>
      <c r="AA13" s="1891"/>
      <c r="AB13" s="1891"/>
      <c r="AC13" s="1892"/>
      <c r="AD13" s="1890" t="s">
        <v>38</v>
      </c>
      <c r="AE13" s="1891"/>
      <c r="AF13" s="1891"/>
      <c r="AG13" s="1892"/>
      <c r="AH13" s="1882" t="s">
        <v>122</v>
      </c>
      <c r="AI13" s="1883"/>
      <c r="AJ13" s="1883"/>
      <c r="AK13" s="1884"/>
      <c r="AL13" s="1890" t="s">
        <v>37</v>
      </c>
      <c r="AM13" s="1891"/>
      <c r="AN13" s="1891"/>
      <c r="AO13" s="1892"/>
      <c r="AP13" s="1890" t="s">
        <v>36</v>
      </c>
      <c r="AQ13" s="1891"/>
      <c r="AR13" s="1891"/>
      <c r="AS13" s="1892"/>
      <c r="AT13" s="1890" t="s">
        <v>35</v>
      </c>
      <c r="AU13" s="1891"/>
      <c r="AV13" s="1891"/>
      <c r="AW13" s="1892"/>
      <c r="AX13" s="1890" t="s">
        <v>34</v>
      </c>
      <c r="AY13" s="1891"/>
      <c r="AZ13" s="1891"/>
      <c r="BA13" s="1892"/>
      <c r="BB13" s="1882" t="s">
        <v>123</v>
      </c>
      <c r="BC13" s="1883"/>
      <c r="BD13" s="1883"/>
      <c r="BE13" s="1884"/>
      <c r="BF13" s="1880" t="s">
        <v>17</v>
      </c>
      <c r="BG13" s="1881"/>
      <c r="BH13" s="1881"/>
      <c r="BI13" s="1881"/>
    </row>
    <row r="14" spans="3:61" ht="27" customHeight="1">
      <c r="C14" s="1879" t="s">
        <v>33</v>
      </c>
      <c r="D14" s="1869"/>
      <c r="E14" s="1017" t="s">
        <v>1</v>
      </c>
      <c r="F14" s="1023" t="s">
        <v>2</v>
      </c>
      <c r="H14" s="1897"/>
      <c r="I14" s="1898"/>
      <c r="J14" s="36" t="s">
        <v>1</v>
      </c>
      <c r="K14" s="271" t="s">
        <v>2</v>
      </c>
      <c r="L14" s="271" t="s">
        <v>182</v>
      </c>
      <c r="M14" s="35" t="s">
        <v>247</v>
      </c>
      <c r="N14" s="36" t="s">
        <v>1</v>
      </c>
      <c r="O14" s="271" t="s">
        <v>2</v>
      </c>
      <c r="P14" s="271" t="s">
        <v>182</v>
      </c>
      <c r="Q14" s="35" t="s">
        <v>247</v>
      </c>
      <c r="R14" s="36" t="s">
        <v>1</v>
      </c>
      <c r="S14" s="271" t="s">
        <v>2</v>
      </c>
      <c r="T14" s="271" t="s">
        <v>182</v>
      </c>
      <c r="U14" s="35" t="s">
        <v>247</v>
      </c>
      <c r="V14" s="36" t="s">
        <v>1</v>
      </c>
      <c r="W14" s="271" t="s">
        <v>2</v>
      </c>
      <c r="X14" s="271" t="s">
        <v>182</v>
      </c>
      <c r="Y14" s="35" t="s">
        <v>247</v>
      </c>
      <c r="Z14" s="36" t="s">
        <v>1</v>
      </c>
      <c r="AA14" s="271" t="s">
        <v>2</v>
      </c>
      <c r="AB14" s="271" t="s">
        <v>182</v>
      </c>
      <c r="AC14" s="35" t="s">
        <v>247</v>
      </c>
      <c r="AD14" s="36" t="s">
        <v>1</v>
      </c>
      <c r="AE14" s="271" t="s">
        <v>2</v>
      </c>
      <c r="AF14" s="271" t="s">
        <v>182</v>
      </c>
      <c r="AG14" s="35" t="s">
        <v>247</v>
      </c>
      <c r="AH14" s="36" t="s">
        <v>1</v>
      </c>
      <c r="AI14" s="271" t="s">
        <v>2</v>
      </c>
      <c r="AJ14" s="271" t="s">
        <v>182</v>
      </c>
      <c r="AK14" s="690" t="s">
        <v>196</v>
      </c>
      <c r="AL14" s="36" t="s">
        <v>1</v>
      </c>
      <c r="AM14" s="271" t="s">
        <v>2</v>
      </c>
      <c r="AN14" s="271" t="s">
        <v>182</v>
      </c>
      <c r="AO14" s="35" t="s">
        <v>247</v>
      </c>
      <c r="AP14" s="36" t="s">
        <v>1</v>
      </c>
      <c r="AQ14" s="271" t="s">
        <v>2</v>
      </c>
      <c r="AR14" s="271" t="s">
        <v>182</v>
      </c>
      <c r="AS14" s="35" t="s">
        <v>247</v>
      </c>
      <c r="AT14" s="36" t="s">
        <v>1</v>
      </c>
      <c r="AU14" s="271" t="s">
        <v>2</v>
      </c>
      <c r="AV14" s="271" t="s">
        <v>182</v>
      </c>
      <c r="AW14" s="35" t="s">
        <v>247</v>
      </c>
      <c r="AX14" s="36" t="s">
        <v>1</v>
      </c>
      <c r="AY14" s="271" t="s">
        <v>2</v>
      </c>
      <c r="AZ14" s="271" t="s">
        <v>182</v>
      </c>
      <c r="BA14" s="35" t="s">
        <v>247</v>
      </c>
      <c r="BB14" s="36" t="s">
        <v>1</v>
      </c>
      <c r="BC14" s="271" t="s">
        <v>2</v>
      </c>
      <c r="BD14" s="271" t="s">
        <v>182</v>
      </c>
      <c r="BE14" s="690" t="s">
        <v>196</v>
      </c>
      <c r="BF14" s="274" t="s">
        <v>1</v>
      </c>
      <c r="BG14" s="275" t="s">
        <v>2</v>
      </c>
      <c r="BH14" s="275" t="s">
        <v>182</v>
      </c>
      <c r="BI14" s="703" t="s">
        <v>196</v>
      </c>
    </row>
    <row r="15" spans="3:61" s="28" customFormat="1" ht="20.100000000000001" customHeight="1">
      <c r="C15" s="1879" t="s">
        <v>28</v>
      </c>
      <c r="D15" s="1017" t="s">
        <v>27</v>
      </c>
      <c r="E15" s="1021"/>
      <c r="F15" s="34"/>
      <c r="H15" s="1888" t="s">
        <v>112</v>
      </c>
      <c r="I15" s="33" t="s">
        <v>27</v>
      </c>
      <c r="J15" s="462"/>
      <c r="K15" s="463"/>
      <c r="L15" s="463"/>
      <c r="M15" s="692"/>
      <c r="N15" s="462"/>
      <c r="O15" s="463"/>
      <c r="P15" s="463"/>
      <c r="Q15" s="692"/>
      <c r="R15" s="462"/>
      <c r="S15" s="463"/>
      <c r="T15" s="463"/>
      <c r="U15" s="692"/>
      <c r="V15" s="462"/>
      <c r="W15" s="463"/>
      <c r="X15" s="463"/>
      <c r="Y15" s="692"/>
      <c r="Z15" s="462"/>
      <c r="AA15" s="463"/>
      <c r="AB15" s="463"/>
      <c r="AC15" s="692"/>
      <c r="AD15" s="462"/>
      <c r="AE15" s="463"/>
      <c r="AF15" s="463"/>
      <c r="AG15" s="692"/>
      <c r="AH15" s="128">
        <f>J15+N15+R15+V15+Z15+AD15</f>
        <v>0</v>
      </c>
      <c r="AI15" s="273">
        <f>K15+O15+S15+W15+AA15+AE15</f>
        <v>0</v>
      </c>
      <c r="AJ15" s="273">
        <f>L15+P15+T15+X15+AB15+AF15</f>
        <v>0</v>
      </c>
      <c r="AK15" s="694">
        <f>M15+Q15+U15+Y15+AC15+AG15</f>
        <v>0</v>
      </c>
      <c r="AL15" s="462"/>
      <c r="AM15" s="463"/>
      <c r="AN15" s="463"/>
      <c r="AO15" s="692"/>
      <c r="AP15" s="462"/>
      <c r="AQ15" s="463"/>
      <c r="AR15" s="463"/>
      <c r="AS15" s="692"/>
      <c r="AT15" s="462"/>
      <c r="AU15" s="463"/>
      <c r="AV15" s="463"/>
      <c r="AW15" s="692"/>
      <c r="AX15" s="462"/>
      <c r="AY15" s="463"/>
      <c r="AZ15" s="463"/>
      <c r="BA15" s="692"/>
      <c r="BB15" s="128">
        <f>AL15+AP15+AT15+AX15</f>
        <v>0</v>
      </c>
      <c r="BC15" s="273">
        <f>AM15+AQ15+AU15+AY15</f>
        <v>0</v>
      </c>
      <c r="BD15" s="273">
        <f>AN15+AR15+AV15+AZ15</f>
        <v>0</v>
      </c>
      <c r="BE15" s="273">
        <f>AO15+AS15+AW15+BA15</f>
        <v>0</v>
      </c>
      <c r="BF15" s="276">
        <f t="shared" ref="BF15:BI23" si="4">AH15+BB15</f>
        <v>0</v>
      </c>
      <c r="BG15" s="277">
        <f t="shared" si="4"/>
        <v>0</v>
      </c>
      <c r="BH15" s="277">
        <f t="shared" si="4"/>
        <v>0</v>
      </c>
      <c r="BI15" s="704">
        <f t="shared" si="4"/>
        <v>0</v>
      </c>
    </row>
    <row r="16" spans="3:61" s="28" customFormat="1" ht="20.100000000000001" customHeight="1">
      <c r="C16" s="1879"/>
      <c r="D16" s="1017" t="s">
        <v>26</v>
      </c>
      <c r="E16" s="1017"/>
      <c r="F16" s="1018"/>
      <c r="H16" s="1889"/>
      <c r="I16" s="33" t="s">
        <v>26</v>
      </c>
      <c r="J16" s="462"/>
      <c r="K16" s="463"/>
      <c r="L16" s="463"/>
      <c r="M16" s="692"/>
      <c r="N16" s="462"/>
      <c r="O16" s="463"/>
      <c r="P16" s="463"/>
      <c r="Q16" s="692"/>
      <c r="R16" s="462"/>
      <c r="S16" s="463"/>
      <c r="T16" s="463"/>
      <c r="U16" s="692"/>
      <c r="V16" s="462"/>
      <c r="W16" s="463"/>
      <c r="X16" s="463"/>
      <c r="Y16" s="692"/>
      <c r="Z16" s="462"/>
      <c r="AA16" s="463"/>
      <c r="AB16" s="463"/>
      <c r="AC16" s="692"/>
      <c r="AD16" s="462"/>
      <c r="AE16" s="463"/>
      <c r="AF16" s="463"/>
      <c r="AG16" s="692"/>
      <c r="AH16" s="128">
        <f t="shared" ref="AH16:AK23" si="5">J16+N16+R16+V16+Z16+AD16</f>
        <v>0</v>
      </c>
      <c r="AI16" s="273">
        <f t="shared" si="5"/>
        <v>0</v>
      </c>
      <c r="AJ16" s="273">
        <f t="shared" si="5"/>
        <v>0</v>
      </c>
      <c r="AK16" s="694">
        <f t="shared" si="5"/>
        <v>0</v>
      </c>
      <c r="AL16" s="462"/>
      <c r="AM16" s="463"/>
      <c r="AN16" s="463"/>
      <c r="AO16" s="692"/>
      <c r="AP16" s="462"/>
      <c r="AQ16" s="463"/>
      <c r="AR16" s="463"/>
      <c r="AS16" s="692"/>
      <c r="AT16" s="462"/>
      <c r="AU16" s="463"/>
      <c r="AV16" s="463"/>
      <c r="AW16" s="692"/>
      <c r="AX16" s="462"/>
      <c r="AY16" s="463"/>
      <c r="AZ16" s="463"/>
      <c r="BA16" s="692"/>
      <c r="BB16" s="128">
        <f t="shared" ref="BB16:BE23" si="6">AL16+AP16+AT16+AX16</f>
        <v>0</v>
      </c>
      <c r="BC16" s="273">
        <f t="shared" si="6"/>
        <v>0</v>
      </c>
      <c r="BD16" s="273">
        <f t="shared" si="6"/>
        <v>0</v>
      </c>
      <c r="BE16" s="273">
        <f t="shared" si="6"/>
        <v>0</v>
      </c>
      <c r="BF16" s="276">
        <f t="shared" si="4"/>
        <v>0</v>
      </c>
      <c r="BG16" s="277">
        <f t="shared" si="4"/>
        <v>0</v>
      </c>
      <c r="BH16" s="277">
        <f t="shared" si="4"/>
        <v>0</v>
      </c>
      <c r="BI16" s="704">
        <f t="shared" si="4"/>
        <v>0</v>
      </c>
    </row>
    <row r="17" spans="3:61" s="28" customFormat="1" ht="21">
      <c r="C17" s="1879"/>
      <c r="D17" s="1017" t="s">
        <v>25</v>
      </c>
      <c r="E17" s="1017"/>
      <c r="F17" s="1018"/>
      <c r="H17" s="1889"/>
      <c r="I17" s="33" t="s">
        <v>25</v>
      </c>
      <c r="J17" s="462">
        <v>20</v>
      </c>
      <c r="K17" s="463"/>
      <c r="L17" s="463"/>
      <c r="M17" s="692"/>
      <c r="N17" s="462"/>
      <c r="O17" s="463"/>
      <c r="P17" s="463"/>
      <c r="Q17" s="692"/>
      <c r="R17" s="462"/>
      <c r="S17" s="463"/>
      <c r="T17" s="463"/>
      <c r="U17" s="692"/>
      <c r="V17" s="462"/>
      <c r="W17" s="463"/>
      <c r="X17" s="463"/>
      <c r="Y17" s="692"/>
      <c r="Z17" s="462"/>
      <c r="AA17" s="463"/>
      <c r="AB17" s="463"/>
      <c r="AC17" s="692"/>
      <c r="AD17" s="462"/>
      <c r="AE17" s="463"/>
      <c r="AF17" s="463"/>
      <c r="AG17" s="692"/>
      <c r="AH17" s="128">
        <f t="shared" si="5"/>
        <v>20</v>
      </c>
      <c r="AI17" s="273">
        <f t="shared" si="5"/>
        <v>0</v>
      </c>
      <c r="AJ17" s="273">
        <f t="shared" si="5"/>
        <v>0</v>
      </c>
      <c r="AK17" s="694">
        <f t="shared" si="5"/>
        <v>0</v>
      </c>
      <c r="AL17" s="462"/>
      <c r="AM17" s="463"/>
      <c r="AN17" s="463"/>
      <c r="AO17" s="692"/>
      <c r="AP17" s="462"/>
      <c r="AQ17" s="463"/>
      <c r="AR17" s="463"/>
      <c r="AS17" s="692"/>
      <c r="AT17" s="462"/>
      <c r="AU17" s="463"/>
      <c r="AV17" s="463"/>
      <c r="AW17" s="692"/>
      <c r="AX17" s="462"/>
      <c r="AY17" s="463"/>
      <c r="AZ17" s="463"/>
      <c r="BA17" s="692"/>
      <c r="BB17" s="128">
        <f t="shared" si="6"/>
        <v>0</v>
      </c>
      <c r="BC17" s="273">
        <f t="shared" si="6"/>
        <v>0</v>
      </c>
      <c r="BD17" s="273">
        <f t="shared" si="6"/>
        <v>0</v>
      </c>
      <c r="BE17" s="273">
        <f t="shared" si="6"/>
        <v>0</v>
      </c>
      <c r="BF17" s="276">
        <f t="shared" si="4"/>
        <v>20</v>
      </c>
      <c r="BG17" s="277">
        <f t="shared" si="4"/>
        <v>0</v>
      </c>
      <c r="BH17" s="277">
        <f t="shared" si="4"/>
        <v>0</v>
      </c>
      <c r="BI17" s="704">
        <f t="shared" si="4"/>
        <v>0</v>
      </c>
    </row>
    <row r="18" spans="3:61" s="28" customFormat="1" ht="21">
      <c r="C18" s="1879"/>
      <c r="D18" s="1017" t="s">
        <v>24</v>
      </c>
      <c r="E18" s="1017"/>
      <c r="F18" s="1018"/>
      <c r="H18" s="1889"/>
      <c r="I18" s="33" t="s">
        <v>24</v>
      </c>
      <c r="J18" s="462"/>
      <c r="K18" s="463"/>
      <c r="L18" s="463"/>
      <c r="M18" s="692"/>
      <c r="N18" s="462"/>
      <c r="O18" s="463"/>
      <c r="P18" s="463"/>
      <c r="Q18" s="692"/>
      <c r="R18" s="462"/>
      <c r="S18" s="463"/>
      <c r="T18" s="463"/>
      <c r="U18" s="692"/>
      <c r="V18" s="462"/>
      <c r="W18" s="463"/>
      <c r="X18" s="463"/>
      <c r="Y18" s="692"/>
      <c r="Z18" s="462"/>
      <c r="AA18" s="463"/>
      <c r="AB18" s="463"/>
      <c r="AC18" s="692"/>
      <c r="AD18" s="462"/>
      <c r="AE18" s="463"/>
      <c r="AF18" s="463"/>
      <c r="AG18" s="692"/>
      <c r="AH18" s="128">
        <f t="shared" si="5"/>
        <v>0</v>
      </c>
      <c r="AI18" s="273">
        <f t="shared" si="5"/>
        <v>0</v>
      </c>
      <c r="AJ18" s="273">
        <f t="shared" si="5"/>
        <v>0</v>
      </c>
      <c r="AK18" s="694">
        <f t="shared" si="5"/>
        <v>0</v>
      </c>
      <c r="AL18" s="462"/>
      <c r="AM18" s="463"/>
      <c r="AN18" s="463"/>
      <c r="AO18" s="692"/>
      <c r="AP18" s="462"/>
      <c r="AQ18" s="463"/>
      <c r="AR18" s="463"/>
      <c r="AS18" s="692"/>
      <c r="AT18" s="462"/>
      <c r="AU18" s="463"/>
      <c r="AV18" s="463"/>
      <c r="AW18" s="692"/>
      <c r="AX18" s="462"/>
      <c r="AY18" s="463"/>
      <c r="AZ18" s="463"/>
      <c r="BA18" s="692"/>
      <c r="BB18" s="128">
        <f t="shared" si="6"/>
        <v>0</v>
      </c>
      <c r="BC18" s="273">
        <f t="shared" si="6"/>
        <v>0</v>
      </c>
      <c r="BD18" s="273">
        <f t="shared" si="6"/>
        <v>0</v>
      </c>
      <c r="BE18" s="273">
        <f t="shared" si="6"/>
        <v>0</v>
      </c>
      <c r="BF18" s="276">
        <f t="shared" si="4"/>
        <v>0</v>
      </c>
      <c r="BG18" s="277">
        <f t="shared" si="4"/>
        <v>0</v>
      </c>
      <c r="BH18" s="277">
        <f t="shared" si="4"/>
        <v>0</v>
      </c>
      <c r="BI18" s="704">
        <f t="shared" si="4"/>
        <v>0</v>
      </c>
    </row>
    <row r="19" spans="3:61" s="28" customFormat="1" ht="21">
      <c r="C19" s="1879"/>
      <c r="D19" s="1017" t="s">
        <v>23</v>
      </c>
      <c r="E19" s="1017"/>
      <c r="F19" s="1018"/>
      <c r="H19" s="1889"/>
      <c r="I19" s="33" t="s">
        <v>23</v>
      </c>
      <c r="J19" s="462"/>
      <c r="K19" s="463"/>
      <c r="L19" s="463"/>
      <c r="M19" s="692"/>
      <c r="N19" s="462"/>
      <c r="O19" s="463"/>
      <c r="P19" s="463"/>
      <c r="Q19" s="692"/>
      <c r="R19" s="462"/>
      <c r="S19" s="463"/>
      <c r="T19" s="463"/>
      <c r="U19" s="692"/>
      <c r="V19" s="462"/>
      <c r="W19" s="463"/>
      <c r="X19" s="463"/>
      <c r="Y19" s="692"/>
      <c r="Z19" s="462"/>
      <c r="AA19" s="463"/>
      <c r="AB19" s="463"/>
      <c r="AC19" s="692"/>
      <c r="AD19" s="462"/>
      <c r="AE19" s="463"/>
      <c r="AF19" s="463"/>
      <c r="AG19" s="692"/>
      <c r="AH19" s="128">
        <f t="shared" si="5"/>
        <v>0</v>
      </c>
      <c r="AI19" s="273">
        <f t="shared" si="5"/>
        <v>0</v>
      </c>
      <c r="AJ19" s="273">
        <f t="shared" si="5"/>
        <v>0</v>
      </c>
      <c r="AK19" s="694">
        <f t="shared" si="5"/>
        <v>0</v>
      </c>
      <c r="AL19" s="1012"/>
      <c r="AM19" s="463"/>
      <c r="AN19" s="463"/>
      <c r="AO19" s="692"/>
      <c r="AP19" s="462"/>
      <c r="AQ19" s="463"/>
      <c r="AR19" s="463"/>
      <c r="AS19" s="692"/>
      <c r="AT19" s="462"/>
      <c r="AU19" s="463"/>
      <c r="AV19" s="463"/>
      <c r="AW19" s="692"/>
      <c r="AX19" s="462"/>
      <c r="AY19" s="463"/>
      <c r="AZ19" s="463"/>
      <c r="BA19" s="692"/>
      <c r="BB19" s="128">
        <f t="shared" si="6"/>
        <v>0</v>
      </c>
      <c r="BC19" s="273">
        <f t="shared" si="6"/>
        <v>0</v>
      </c>
      <c r="BD19" s="273">
        <f t="shared" si="6"/>
        <v>0</v>
      </c>
      <c r="BE19" s="273">
        <f t="shared" si="6"/>
        <v>0</v>
      </c>
      <c r="BF19" s="276">
        <f t="shared" si="4"/>
        <v>0</v>
      </c>
      <c r="BG19" s="277">
        <f t="shared" si="4"/>
        <v>0</v>
      </c>
      <c r="BH19" s="277">
        <f t="shared" si="4"/>
        <v>0</v>
      </c>
      <c r="BI19" s="704">
        <f t="shared" si="4"/>
        <v>0</v>
      </c>
    </row>
    <row r="20" spans="3:61" s="28" customFormat="1" ht="21">
      <c r="C20" s="1879"/>
      <c r="D20" s="1017" t="s">
        <v>22</v>
      </c>
      <c r="E20" s="1017"/>
      <c r="F20" s="1018"/>
      <c r="H20" s="1889"/>
      <c r="I20" s="33" t="s">
        <v>22</v>
      </c>
      <c r="J20" s="462"/>
      <c r="K20" s="463"/>
      <c r="L20" s="463"/>
      <c r="M20" s="692">
        <v>5.96</v>
      </c>
      <c r="N20" s="462"/>
      <c r="O20" s="463"/>
      <c r="P20" s="463"/>
      <c r="Q20" s="692"/>
      <c r="R20" s="462"/>
      <c r="S20" s="463"/>
      <c r="T20" s="463"/>
      <c r="U20" s="692"/>
      <c r="V20" s="462"/>
      <c r="W20" s="463"/>
      <c r="X20" s="463"/>
      <c r="Y20" s="692"/>
      <c r="Z20" s="462"/>
      <c r="AA20" s="463"/>
      <c r="AB20" s="463"/>
      <c r="AC20" s="692"/>
      <c r="AD20" s="462"/>
      <c r="AE20" s="463"/>
      <c r="AF20" s="463"/>
      <c r="AG20" s="692"/>
      <c r="AH20" s="128">
        <f t="shared" si="5"/>
        <v>0</v>
      </c>
      <c r="AI20" s="273">
        <f t="shared" si="5"/>
        <v>0</v>
      </c>
      <c r="AJ20" s="273">
        <f t="shared" si="5"/>
        <v>0</v>
      </c>
      <c r="AK20" s="694">
        <f t="shared" si="5"/>
        <v>5.96</v>
      </c>
      <c r="AL20" s="462"/>
      <c r="AM20" s="463"/>
      <c r="AN20" s="463"/>
      <c r="AO20" s="692"/>
      <c r="AP20" s="462"/>
      <c r="AQ20" s="463"/>
      <c r="AR20" s="463"/>
      <c r="AS20" s="692"/>
      <c r="AT20" s="462"/>
      <c r="AU20" s="463"/>
      <c r="AV20" s="463"/>
      <c r="AW20" s="692">
        <v>18.5</v>
      </c>
      <c r="AX20" s="462"/>
      <c r="AY20" s="463"/>
      <c r="AZ20" s="463"/>
      <c r="BA20" s="692">
        <v>3.94</v>
      </c>
      <c r="BB20" s="128">
        <f t="shared" si="6"/>
        <v>0</v>
      </c>
      <c r="BC20" s="273">
        <f t="shared" si="6"/>
        <v>0</v>
      </c>
      <c r="BD20" s="273">
        <f t="shared" si="6"/>
        <v>0</v>
      </c>
      <c r="BE20" s="273">
        <f t="shared" si="6"/>
        <v>22.44</v>
      </c>
      <c r="BF20" s="276">
        <f t="shared" si="4"/>
        <v>0</v>
      </c>
      <c r="BG20" s="277">
        <f t="shared" si="4"/>
        <v>0</v>
      </c>
      <c r="BH20" s="277">
        <f t="shared" si="4"/>
        <v>0</v>
      </c>
      <c r="BI20" s="704">
        <f t="shared" si="4"/>
        <v>28.400000000000002</v>
      </c>
    </row>
    <row r="21" spans="3:61" s="28" customFormat="1" ht="21">
      <c r="C21" s="1885"/>
      <c r="D21" s="1017"/>
      <c r="E21" s="1017"/>
      <c r="F21" s="1018"/>
      <c r="H21" s="1889"/>
      <c r="I21" s="33" t="s">
        <v>21</v>
      </c>
      <c r="J21" s="462"/>
      <c r="K21" s="463"/>
      <c r="L21" s="463"/>
      <c r="M21" s="692"/>
      <c r="N21" s="462"/>
      <c r="O21" s="463"/>
      <c r="P21" s="463"/>
      <c r="Q21" s="692"/>
      <c r="R21" s="462"/>
      <c r="S21" s="463"/>
      <c r="T21" s="463"/>
      <c r="U21" s="692"/>
      <c r="V21" s="462"/>
      <c r="W21" s="463"/>
      <c r="X21" s="463"/>
      <c r="Y21" s="692"/>
      <c r="Z21" s="462"/>
      <c r="AA21" s="463"/>
      <c r="AB21" s="463"/>
      <c r="AC21" s="692"/>
      <c r="AD21" s="462"/>
      <c r="AE21" s="463"/>
      <c r="AF21" s="463"/>
      <c r="AG21" s="692"/>
      <c r="AH21" s="128">
        <f t="shared" si="5"/>
        <v>0</v>
      </c>
      <c r="AI21" s="273">
        <f t="shared" si="5"/>
        <v>0</v>
      </c>
      <c r="AJ21" s="273">
        <f t="shared" si="5"/>
        <v>0</v>
      </c>
      <c r="AK21" s="694">
        <f t="shared" si="5"/>
        <v>0</v>
      </c>
      <c r="AL21" s="462"/>
      <c r="AM21" s="463"/>
      <c r="AN21" s="463"/>
      <c r="AO21" s="692"/>
      <c r="AP21" s="462"/>
      <c r="AQ21" s="463"/>
      <c r="AR21" s="463"/>
      <c r="AS21" s="692"/>
      <c r="AT21" s="462"/>
      <c r="AU21" s="463"/>
      <c r="AV21" s="463"/>
      <c r="AW21" s="692"/>
      <c r="AX21" s="462"/>
      <c r="AY21" s="463"/>
      <c r="AZ21" s="463"/>
      <c r="BA21" s="692"/>
      <c r="BB21" s="128">
        <f t="shared" si="6"/>
        <v>0</v>
      </c>
      <c r="BC21" s="273">
        <f t="shared" si="6"/>
        <v>0</v>
      </c>
      <c r="BD21" s="273">
        <f t="shared" si="6"/>
        <v>0</v>
      </c>
      <c r="BE21" s="273">
        <f t="shared" si="6"/>
        <v>0</v>
      </c>
      <c r="BF21" s="276">
        <f t="shared" si="4"/>
        <v>0</v>
      </c>
      <c r="BG21" s="277">
        <f t="shared" si="4"/>
        <v>0</v>
      </c>
      <c r="BH21" s="277">
        <f t="shared" si="4"/>
        <v>0</v>
      </c>
      <c r="BI21" s="704">
        <f t="shared" si="4"/>
        <v>0</v>
      </c>
    </row>
    <row r="22" spans="3:61" s="28" customFormat="1" ht="21">
      <c r="C22" s="1885"/>
      <c r="D22" s="1017"/>
      <c r="E22" s="1017"/>
      <c r="F22" s="1018"/>
      <c r="H22" s="1889"/>
      <c r="I22" s="33" t="s">
        <v>20</v>
      </c>
      <c r="J22" s="462"/>
      <c r="K22" s="463"/>
      <c r="L22" s="463"/>
      <c r="M22" s="692"/>
      <c r="N22" s="462"/>
      <c r="O22" s="463"/>
      <c r="P22" s="463"/>
      <c r="Q22" s="692"/>
      <c r="R22" s="462"/>
      <c r="S22" s="463"/>
      <c r="T22" s="463"/>
      <c r="U22" s="692"/>
      <c r="V22" s="462"/>
      <c r="W22" s="463"/>
      <c r="X22" s="463"/>
      <c r="Y22" s="692"/>
      <c r="Z22" s="462"/>
      <c r="AA22" s="463"/>
      <c r="AB22" s="463"/>
      <c r="AC22" s="692"/>
      <c r="AD22" s="462"/>
      <c r="AE22" s="463"/>
      <c r="AF22" s="463"/>
      <c r="AG22" s="692"/>
      <c r="AH22" s="128">
        <f t="shared" si="5"/>
        <v>0</v>
      </c>
      <c r="AI22" s="273">
        <f t="shared" si="5"/>
        <v>0</v>
      </c>
      <c r="AJ22" s="273">
        <f t="shared" si="5"/>
        <v>0</v>
      </c>
      <c r="AK22" s="694">
        <f t="shared" si="5"/>
        <v>0</v>
      </c>
      <c r="AL22" s="462"/>
      <c r="AM22" s="463"/>
      <c r="AN22" s="463"/>
      <c r="AO22" s="692"/>
      <c r="AP22" s="462"/>
      <c r="AQ22" s="463"/>
      <c r="AR22" s="463"/>
      <c r="AS22" s="692"/>
      <c r="AT22" s="462"/>
      <c r="AU22" s="463"/>
      <c r="AV22" s="463"/>
      <c r="AW22" s="692"/>
      <c r="AX22" s="462"/>
      <c r="AY22" s="463"/>
      <c r="AZ22" s="463"/>
      <c r="BA22" s="692"/>
      <c r="BB22" s="128">
        <f t="shared" si="6"/>
        <v>0</v>
      </c>
      <c r="BC22" s="273">
        <f t="shared" si="6"/>
        <v>0</v>
      </c>
      <c r="BD22" s="273">
        <f t="shared" si="6"/>
        <v>0</v>
      </c>
      <c r="BE22" s="273">
        <f t="shared" si="6"/>
        <v>0</v>
      </c>
      <c r="BF22" s="276">
        <f t="shared" si="4"/>
        <v>0</v>
      </c>
      <c r="BG22" s="277">
        <f t="shared" si="4"/>
        <v>0</v>
      </c>
      <c r="BH22" s="277">
        <f t="shared" si="4"/>
        <v>0</v>
      </c>
      <c r="BI22" s="704">
        <f t="shared" si="4"/>
        <v>0</v>
      </c>
    </row>
    <row r="23" spans="3:61" s="28" customFormat="1" ht="21">
      <c r="C23" s="1885"/>
      <c r="D23" s="1017"/>
      <c r="E23" s="1017"/>
      <c r="F23" s="1018"/>
      <c r="H23" s="1889"/>
      <c r="I23" s="33" t="s">
        <v>19</v>
      </c>
      <c r="J23" s="462"/>
      <c r="K23" s="463"/>
      <c r="L23" s="463"/>
      <c r="M23" s="692"/>
      <c r="N23" s="462"/>
      <c r="O23" s="463"/>
      <c r="P23" s="463"/>
      <c r="Q23" s="692"/>
      <c r="R23" s="462"/>
      <c r="S23" s="463"/>
      <c r="T23" s="463"/>
      <c r="U23" s="692"/>
      <c r="V23" s="462"/>
      <c r="W23" s="463"/>
      <c r="X23" s="463"/>
      <c r="Y23" s="692"/>
      <c r="Z23" s="462"/>
      <c r="AA23" s="463"/>
      <c r="AB23" s="463"/>
      <c r="AC23" s="692"/>
      <c r="AD23" s="462"/>
      <c r="AE23" s="463"/>
      <c r="AF23" s="463"/>
      <c r="AG23" s="692"/>
      <c r="AH23" s="128">
        <f t="shared" si="5"/>
        <v>0</v>
      </c>
      <c r="AI23" s="273">
        <f t="shared" si="5"/>
        <v>0</v>
      </c>
      <c r="AJ23" s="273">
        <f t="shared" si="5"/>
        <v>0</v>
      </c>
      <c r="AK23" s="694">
        <f t="shared" si="5"/>
        <v>0</v>
      </c>
      <c r="AL23" s="462"/>
      <c r="AM23" s="463"/>
      <c r="AN23" s="463"/>
      <c r="AO23" s="692"/>
      <c r="AP23" s="462"/>
      <c r="AQ23" s="463"/>
      <c r="AR23" s="463"/>
      <c r="AS23" s="692"/>
      <c r="AT23" s="462"/>
      <c r="AU23" s="463"/>
      <c r="AV23" s="463"/>
      <c r="AW23" s="692"/>
      <c r="AX23" s="462">
        <v>8</v>
      </c>
      <c r="AY23" s="463"/>
      <c r="AZ23" s="463"/>
      <c r="BA23" s="692"/>
      <c r="BB23" s="128">
        <f t="shared" si="6"/>
        <v>8</v>
      </c>
      <c r="BC23" s="273">
        <f t="shared" si="6"/>
        <v>0</v>
      </c>
      <c r="BD23" s="273">
        <f t="shared" si="6"/>
        <v>0</v>
      </c>
      <c r="BE23" s="273">
        <f t="shared" si="6"/>
        <v>0</v>
      </c>
      <c r="BF23" s="276">
        <f t="shared" si="4"/>
        <v>8</v>
      </c>
      <c r="BG23" s="277">
        <f t="shared" si="4"/>
        <v>0</v>
      </c>
      <c r="BH23" s="277">
        <f t="shared" si="4"/>
        <v>0</v>
      </c>
      <c r="BI23" s="704">
        <f t="shared" si="4"/>
        <v>0</v>
      </c>
    </row>
    <row r="24" spans="3:61" s="28" customFormat="1" ht="21.75" thickBot="1">
      <c r="C24" s="1885"/>
      <c r="D24" s="1017"/>
      <c r="E24" s="1017"/>
      <c r="F24" s="1018"/>
      <c r="H24" s="1865" t="s">
        <v>116</v>
      </c>
      <c r="I24" s="1866"/>
      <c r="J24" s="118">
        <f t="shared" ref="J24:BI24" si="7">SUM(J15:J23)</f>
        <v>20</v>
      </c>
      <c r="K24" s="272">
        <f t="shared" si="7"/>
        <v>0</v>
      </c>
      <c r="L24" s="272">
        <f>SUM(L15:L23)</f>
        <v>0</v>
      </c>
      <c r="M24" s="272">
        <f>SUM(M15:M23)</f>
        <v>5.96</v>
      </c>
      <c r="N24" s="118">
        <f t="shared" ref="N24:AI24" si="8">SUM(N15:N23)</f>
        <v>0</v>
      </c>
      <c r="O24" s="272">
        <f t="shared" si="8"/>
        <v>0</v>
      </c>
      <c r="P24" s="272">
        <f t="shared" si="8"/>
        <v>0</v>
      </c>
      <c r="Q24" s="272">
        <f t="shared" si="8"/>
        <v>0</v>
      </c>
      <c r="R24" s="118">
        <f t="shared" si="8"/>
        <v>0</v>
      </c>
      <c r="S24" s="272">
        <f t="shared" si="8"/>
        <v>0</v>
      </c>
      <c r="T24" s="272">
        <f t="shared" si="8"/>
        <v>0</v>
      </c>
      <c r="U24" s="272">
        <f t="shared" si="8"/>
        <v>0</v>
      </c>
      <c r="V24" s="118">
        <f t="shared" si="8"/>
        <v>0</v>
      </c>
      <c r="W24" s="272">
        <f t="shared" si="8"/>
        <v>0</v>
      </c>
      <c r="X24" s="272">
        <f t="shared" si="8"/>
        <v>0</v>
      </c>
      <c r="Y24" s="272">
        <f t="shared" si="8"/>
        <v>0</v>
      </c>
      <c r="Z24" s="118">
        <f t="shared" si="8"/>
        <v>0</v>
      </c>
      <c r="AA24" s="272">
        <f t="shared" si="8"/>
        <v>0</v>
      </c>
      <c r="AB24" s="272">
        <f t="shared" si="8"/>
        <v>0</v>
      </c>
      <c r="AC24" s="272">
        <f t="shared" si="8"/>
        <v>0</v>
      </c>
      <c r="AD24" s="118">
        <f t="shared" si="8"/>
        <v>0</v>
      </c>
      <c r="AE24" s="272">
        <f t="shared" si="8"/>
        <v>0</v>
      </c>
      <c r="AF24" s="272">
        <f t="shared" si="8"/>
        <v>0</v>
      </c>
      <c r="AG24" s="272">
        <f t="shared" si="8"/>
        <v>0</v>
      </c>
      <c r="AH24" s="118">
        <f t="shared" si="8"/>
        <v>20</v>
      </c>
      <c r="AI24" s="272">
        <f t="shared" si="8"/>
        <v>0</v>
      </c>
      <c r="AJ24" s="272">
        <f>SUM(AJ15:AJ23)</f>
        <v>0</v>
      </c>
      <c r="AK24" s="695">
        <f>SUM(AK15:AK23)</f>
        <v>5.96</v>
      </c>
      <c r="AL24" s="118">
        <f t="shared" ref="AL24:BC24" si="9">SUM(AL15:AL23)</f>
        <v>0</v>
      </c>
      <c r="AM24" s="272">
        <f t="shared" si="9"/>
        <v>0</v>
      </c>
      <c r="AN24" s="272">
        <f t="shared" si="9"/>
        <v>0</v>
      </c>
      <c r="AO24" s="272">
        <f t="shared" si="9"/>
        <v>0</v>
      </c>
      <c r="AP24" s="118">
        <f t="shared" si="9"/>
        <v>0</v>
      </c>
      <c r="AQ24" s="272">
        <f t="shared" si="9"/>
        <v>0</v>
      </c>
      <c r="AR24" s="272">
        <f t="shared" si="9"/>
        <v>0</v>
      </c>
      <c r="AS24" s="272">
        <f t="shared" si="9"/>
        <v>0</v>
      </c>
      <c r="AT24" s="118">
        <f t="shared" si="9"/>
        <v>0</v>
      </c>
      <c r="AU24" s="272">
        <f t="shared" si="9"/>
        <v>0</v>
      </c>
      <c r="AV24" s="272">
        <f t="shared" si="9"/>
        <v>0</v>
      </c>
      <c r="AW24" s="272">
        <f t="shared" si="9"/>
        <v>18.5</v>
      </c>
      <c r="AX24" s="118">
        <f t="shared" si="9"/>
        <v>8</v>
      </c>
      <c r="AY24" s="272">
        <f t="shared" si="9"/>
        <v>0</v>
      </c>
      <c r="AZ24" s="272">
        <f t="shared" si="9"/>
        <v>0</v>
      </c>
      <c r="BA24" s="272">
        <f t="shared" si="9"/>
        <v>3.94</v>
      </c>
      <c r="BB24" s="118">
        <f t="shared" si="9"/>
        <v>8</v>
      </c>
      <c r="BC24" s="272">
        <f t="shared" si="9"/>
        <v>0</v>
      </c>
      <c r="BD24" s="272">
        <f>SUM(BD15:BD23)</f>
        <v>0</v>
      </c>
      <c r="BE24" s="272">
        <f>SUM(BE15:BE23)</f>
        <v>22.44</v>
      </c>
      <c r="BF24" s="278">
        <f t="shared" si="7"/>
        <v>28</v>
      </c>
      <c r="BG24" s="279">
        <f t="shared" si="7"/>
        <v>0</v>
      </c>
      <c r="BH24" s="279">
        <f t="shared" si="7"/>
        <v>0</v>
      </c>
      <c r="BI24" s="705">
        <f t="shared" si="7"/>
        <v>28.400000000000002</v>
      </c>
    </row>
    <row r="25" spans="3:61" s="119" customFormat="1" ht="21.75" thickBot="1">
      <c r="C25" s="121"/>
      <c r="D25" s="121"/>
      <c r="E25" s="121"/>
      <c r="F25" s="121"/>
      <c r="H25" s="122"/>
      <c r="I25" s="122"/>
      <c r="J25" s="125"/>
      <c r="K25" s="126"/>
      <c r="L25" s="126"/>
      <c r="M25" s="126"/>
      <c r="N25" s="125"/>
      <c r="O25" s="126"/>
      <c r="P25" s="126"/>
      <c r="Q25" s="126"/>
      <c r="R25" s="125"/>
      <c r="S25" s="126"/>
      <c r="T25" s="126"/>
      <c r="U25" s="126"/>
      <c r="V25" s="125"/>
      <c r="W25" s="126"/>
      <c r="X25" s="126"/>
      <c r="Y25" s="126"/>
      <c r="Z25" s="125"/>
      <c r="AA25" s="126"/>
      <c r="AB25" s="126"/>
      <c r="AC25" s="126"/>
      <c r="AD25" s="125"/>
      <c r="AE25" s="126"/>
      <c r="AF25" s="126"/>
      <c r="AG25" s="126"/>
      <c r="AH25" s="125"/>
      <c r="AI25" s="126"/>
      <c r="AJ25" s="126"/>
      <c r="AK25" s="126"/>
      <c r="AL25" s="125"/>
      <c r="AM25" s="126"/>
      <c r="AN25" s="126"/>
      <c r="AO25" s="126"/>
      <c r="AP25" s="125"/>
      <c r="AQ25" s="126"/>
      <c r="AR25" s="126"/>
      <c r="AS25" s="126"/>
      <c r="AT25" s="125"/>
      <c r="AU25" s="126"/>
      <c r="AV25" s="126"/>
      <c r="AW25" s="126"/>
      <c r="AX25" s="125"/>
      <c r="AY25" s="126"/>
      <c r="AZ25" s="126"/>
      <c r="BA25" s="126"/>
      <c r="BB25" s="125"/>
      <c r="BC25" s="126"/>
      <c r="BD25" s="126"/>
      <c r="BE25" s="126"/>
      <c r="BF25" s="125"/>
      <c r="BG25" s="126"/>
    </row>
    <row r="26" spans="3:61" s="28" customFormat="1" ht="21.75" thickBot="1">
      <c r="D26" s="29"/>
      <c r="E26" s="29"/>
      <c r="F26" s="29"/>
      <c r="H26" s="1893" t="s">
        <v>49</v>
      </c>
      <c r="I26" s="1894"/>
      <c r="J26" s="123">
        <f t="shared" ref="J26:BI26" si="10">J10+J24</f>
        <v>50</v>
      </c>
      <c r="K26" s="280">
        <f t="shared" si="10"/>
        <v>39.1</v>
      </c>
      <c r="L26" s="280">
        <f>L10+L24</f>
        <v>0.1</v>
      </c>
      <c r="M26" s="280">
        <f>M10+M24</f>
        <v>5.96</v>
      </c>
      <c r="N26" s="123">
        <f t="shared" ref="N26:O26" si="11">N10+N24</f>
        <v>20</v>
      </c>
      <c r="O26" s="280">
        <f t="shared" si="11"/>
        <v>22</v>
      </c>
      <c r="P26" s="280">
        <f>P10+P24</f>
        <v>22</v>
      </c>
      <c r="Q26" s="280">
        <f>Q10+Q24</f>
        <v>20</v>
      </c>
      <c r="R26" s="123">
        <f t="shared" ref="R26:S26" si="12">R10+R24</f>
        <v>6</v>
      </c>
      <c r="S26" s="280">
        <f t="shared" si="12"/>
        <v>5</v>
      </c>
      <c r="T26" s="280">
        <f>T10+T24</f>
        <v>0</v>
      </c>
      <c r="U26" s="280">
        <f>U10+U24</f>
        <v>0</v>
      </c>
      <c r="V26" s="123">
        <f t="shared" ref="V26:W26" si="13">V10+V24</f>
        <v>10</v>
      </c>
      <c r="W26" s="280">
        <f t="shared" si="13"/>
        <v>7.5</v>
      </c>
      <c r="X26" s="280">
        <f>X10+X24</f>
        <v>7.5</v>
      </c>
      <c r="Y26" s="280">
        <f>Y10+Y24</f>
        <v>0</v>
      </c>
      <c r="Z26" s="123">
        <f t="shared" ref="Z26:AA26" si="14">Z10+Z24</f>
        <v>37</v>
      </c>
      <c r="AA26" s="280">
        <f t="shared" si="14"/>
        <v>35</v>
      </c>
      <c r="AB26" s="280">
        <f>AB10+AB24</f>
        <v>0</v>
      </c>
      <c r="AC26" s="280">
        <f>AC10+AC24</f>
        <v>0</v>
      </c>
      <c r="AD26" s="123">
        <f t="shared" ref="AD26" si="15">AD10+AD24</f>
        <v>30</v>
      </c>
      <c r="AE26" s="280">
        <f>AE10+AE24</f>
        <v>14.52</v>
      </c>
      <c r="AF26" s="280">
        <f>AF10+AF24</f>
        <v>9.52</v>
      </c>
      <c r="AG26" s="280">
        <f>AG10+AG24</f>
        <v>0</v>
      </c>
      <c r="AH26" s="127">
        <f t="shared" ref="AH26:AI26" si="16">AH10+AH24</f>
        <v>153</v>
      </c>
      <c r="AI26" s="280">
        <f t="shared" si="16"/>
        <v>123.11999999999999</v>
      </c>
      <c r="AJ26" s="697">
        <f>AJ10+AJ24</f>
        <v>39.119999999999997</v>
      </c>
      <c r="AK26" s="696">
        <f>AK10+AK24</f>
        <v>25.96</v>
      </c>
      <c r="AL26" s="123">
        <f>AL10+AL24</f>
        <v>23</v>
      </c>
      <c r="AM26" s="280">
        <f t="shared" ref="AM26" si="17">AM10+AM24</f>
        <v>7.51</v>
      </c>
      <c r="AN26" s="280">
        <f>AN10+AN24</f>
        <v>7.51</v>
      </c>
      <c r="AO26" s="280">
        <f>AO10+AO24</f>
        <v>0</v>
      </c>
      <c r="AP26" s="123">
        <f t="shared" ref="AP26:AQ26" si="18">AP10+AP24</f>
        <v>7</v>
      </c>
      <c r="AQ26" s="280">
        <f t="shared" si="18"/>
        <v>5</v>
      </c>
      <c r="AR26" s="280">
        <f>AR10+AR24</f>
        <v>5</v>
      </c>
      <c r="AS26" s="280">
        <f>AS10+AS24</f>
        <v>0</v>
      </c>
      <c r="AT26" s="123">
        <f t="shared" ref="AT26:AU26" si="19">AT10+AT24</f>
        <v>11</v>
      </c>
      <c r="AU26" s="280">
        <f t="shared" si="19"/>
        <v>17.38</v>
      </c>
      <c r="AV26" s="280">
        <f>AV10+AV24</f>
        <v>17.38</v>
      </c>
      <c r="AW26" s="280">
        <f>AW10+AW24</f>
        <v>18.5</v>
      </c>
      <c r="AX26" s="123">
        <f t="shared" ref="AX26:AY26" si="20">AX10+AX24</f>
        <v>17</v>
      </c>
      <c r="AY26" s="280">
        <f t="shared" si="20"/>
        <v>14.9</v>
      </c>
      <c r="AZ26" s="280">
        <f>AZ10+AZ24</f>
        <v>14.9</v>
      </c>
      <c r="BA26" s="280">
        <f>BA10+BA24</f>
        <v>3.94</v>
      </c>
      <c r="BB26" s="127">
        <f t="shared" ref="BB26:BC26" si="21">BB10+BB24</f>
        <v>58</v>
      </c>
      <c r="BC26" s="280">
        <f t="shared" si="21"/>
        <v>44.79</v>
      </c>
      <c r="BD26" s="697">
        <f>BD10+BD24</f>
        <v>44.79</v>
      </c>
      <c r="BE26" s="697">
        <f>BE10+BE24</f>
        <v>22.44</v>
      </c>
      <c r="BF26" s="124">
        <f>BF10+BF24</f>
        <v>211</v>
      </c>
      <c r="BG26" s="707">
        <f t="shared" si="10"/>
        <v>167.91</v>
      </c>
      <c r="BH26" s="706">
        <f t="shared" si="10"/>
        <v>83.91</v>
      </c>
      <c r="BI26" s="284">
        <f t="shared" si="10"/>
        <v>48.400000000000006</v>
      </c>
    </row>
    <row r="27" spans="3:61" ht="26.25">
      <c r="H27" s="320"/>
      <c r="I27" s="320"/>
      <c r="J27" s="321"/>
      <c r="K27" s="321"/>
      <c r="L27" s="321"/>
      <c r="M27" s="321"/>
      <c r="N27" s="321"/>
      <c r="O27" s="321"/>
      <c r="P27" s="321"/>
      <c r="Q27" s="321"/>
      <c r="R27" s="321"/>
      <c r="S27" s="321"/>
      <c r="T27" s="321"/>
      <c r="U27" s="321"/>
      <c r="V27" s="321"/>
      <c r="W27" s="321"/>
      <c r="X27" s="323"/>
      <c r="Y27" s="323"/>
      <c r="Z27" s="321"/>
      <c r="AA27" s="321"/>
      <c r="AB27" s="323"/>
      <c r="AC27" s="323"/>
      <c r="AD27" s="321"/>
      <c r="AE27" s="321"/>
      <c r="AF27" s="321"/>
      <c r="AG27" s="321"/>
      <c r="AH27" s="321"/>
      <c r="AI27" s="321"/>
      <c r="AJ27" s="321"/>
      <c r="AK27" s="321"/>
      <c r="AL27" s="321"/>
      <c r="AM27" s="321"/>
      <c r="AN27" s="321"/>
      <c r="AO27" s="321"/>
      <c r="AP27" s="321"/>
      <c r="AQ27" s="321"/>
      <c r="AR27" s="321"/>
      <c r="AS27" s="321"/>
      <c r="AT27" s="321"/>
      <c r="AU27" s="321"/>
      <c r="AV27" s="321"/>
      <c r="AW27" s="321"/>
      <c r="AX27" s="321"/>
      <c r="AY27" s="321"/>
      <c r="AZ27" s="321">
        <v>3.94</v>
      </c>
      <c r="BA27" s="321" t="s">
        <v>22</v>
      </c>
      <c r="BB27" s="335"/>
      <c r="BC27" s="1918">
        <f>SUM(I27:AZ29)</f>
        <v>3.94</v>
      </c>
      <c r="BD27" s="335"/>
      <c r="BE27" s="335"/>
      <c r="BF27" s="335"/>
      <c r="BG27" s="335"/>
      <c r="BH27" s="1917">
        <f>BH26+BI26</f>
        <v>132.31</v>
      </c>
      <c r="BI27" s="1917"/>
    </row>
    <row r="28" spans="3:61" ht="26.25">
      <c r="H28" s="320"/>
      <c r="I28" s="320"/>
      <c r="J28" s="322"/>
      <c r="K28" s="323"/>
      <c r="L28" s="323"/>
      <c r="M28" s="323"/>
      <c r="N28" s="322"/>
      <c r="O28" s="323"/>
      <c r="P28" s="323"/>
      <c r="Q28" s="323"/>
      <c r="R28" s="322"/>
      <c r="S28" s="323"/>
      <c r="T28" s="323"/>
      <c r="U28" s="323"/>
      <c r="V28" s="321"/>
      <c r="W28" s="323"/>
      <c r="X28" s="323"/>
      <c r="Y28" s="323"/>
      <c r="Z28" s="322"/>
      <c r="AA28" s="323"/>
      <c r="AB28" s="323"/>
      <c r="AC28" s="323"/>
      <c r="AD28" s="322"/>
      <c r="AE28" s="323"/>
      <c r="AF28" s="323"/>
      <c r="AG28" s="322"/>
      <c r="AH28" s="322"/>
      <c r="AI28" s="323"/>
      <c r="AJ28" s="323"/>
      <c r="AK28" s="323"/>
      <c r="AL28" s="321"/>
      <c r="AM28" s="323"/>
      <c r="AN28" s="622"/>
      <c r="AO28" s="622"/>
      <c r="AP28" s="321"/>
      <c r="AQ28" s="323"/>
      <c r="AR28" s="323"/>
      <c r="AS28" s="323"/>
      <c r="AT28" s="322"/>
      <c r="AU28" s="323"/>
      <c r="AV28" s="323"/>
      <c r="AW28" s="323"/>
      <c r="AX28" s="322"/>
      <c r="AY28" s="468"/>
      <c r="AZ28" s="468"/>
      <c r="BA28" s="468"/>
      <c r="BB28" s="392"/>
      <c r="BC28" s="1919"/>
      <c r="BD28" s="434"/>
      <c r="BE28" s="434"/>
      <c r="BF28" s="435"/>
      <c r="BG28" s="434"/>
      <c r="BH28" s="726"/>
      <c r="BI28" s="434"/>
    </row>
    <row r="29" spans="3:61" ht="23.25">
      <c r="H29" s="320"/>
      <c r="I29" s="320"/>
      <c r="J29" s="322"/>
      <c r="K29" s="323"/>
      <c r="L29" s="323"/>
      <c r="M29" s="323"/>
      <c r="N29" s="322"/>
      <c r="O29" s="323"/>
      <c r="P29" s="323"/>
      <c r="Q29" s="323"/>
      <c r="R29" s="322"/>
      <c r="S29" s="323"/>
      <c r="T29" s="323"/>
      <c r="U29" s="323"/>
      <c r="V29" s="322"/>
      <c r="W29" s="323"/>
      <c r="X29" s="323"/>
      <c r="Y29" s="323"/>
      <c r="Z29" s="322"/>
      <c r="AA29" s="323"/>
      <c r="AB29" s="323"/>
      <c r="AC29" s="323"/>
      <c r="AD29" s="322"/>
      <c r="AE29" s="323"/>
      <c r="AF29" s="323"/>
      <c r="AG29" s="322"/>
      <c r="AH29" s="322"/>
      <c r="AI29" s="322"/>
      <c r="AJ29" s="323"/>
      <c r="AK29" s="323"/>
      <c r="AL29" s="321"/>
      <c r="AM29" s="323"/>
      <c r="AN29" s="321"/>
      <c r="AO29" s="321"/>
      <c r="AP29" s="322"/>
      <c r="AQ29" s="323"/>
      <c r="AR29" s="323"/>
      <c r="AS29" s="323"/>
      <c r="AT29" s="322"/>
      <c r="AU29" s="323"/>
      <c r="AV29" s="323"/>
      <c r="AW29" s="323"/>
      <c r="AX29" s="322"/>
      <c r="AY29" s="468"/>
      <c r="AZ29" s="468"/>
      <c r="BA29" s="468"/>
      <c r="BB29" s="392"/>
      <c r="BC29" s="434"/>
      <c r="BD29" s="434"/>
      <c r="BE29" s="434"/>
      <c r="BF29" s="435"/>
      <c r="BG29" s="434"/>
      <c r="BH29" s="682"/>
      <c r="BI29" s="434"/>
    </row>
    <row r="30" spans="3:61" s="464" customFormat="1" ht="21.75" thickBot="1">
      <c r="D30" s="576"/>
      <c r="E30" s="576"/>
      <c r="F30" s="576"/>
      <c r="I30" s="577"/>
      <c r="J30" s="578"/>
      <c r="K30" s="579"/>
      <c r="L30" s="579"/>
      <c r="M30" s="579"/>
      <c r="N30" s="578"/>
      <c r="O30" s="579"/>
      <c r="P30" s="579"/>
      <c r="Q30" s="579"/>
      <c r="R30" s="578"/>
      <c r="S30" s="579"/>
      <c r="T30" s="579"/>
      <c r="U30" s="579"/>
      <c r="V30" s="578"/>
      <c r="W30" s="578"/>
      <c r="X30" s="579"/>
      <c r="Y30" s="579"/>
      <c r="Z30" s="579"/>
      <c r="AA30" s="578"/>
      <c r="AB30" s="579"/>
      <c r="AC30" s="579"/>
      <c r="AD30" s="579"/>
      <c r="AE30" s="578"/>
      <c r="AF30" s="579"/>
      <c r="AG30" s="579"/>
      <c r="AH30" s="621"/>
      <c r="AI30" s="578"/>
      <c r="AJ30" s="579"/>
      <c r="AK30" s="579"/>
      <c r="AM30" s="580"/>
      <c r="AN30" s="579"/>
      <c r="AO30" s="579"/>
      <c r="AP30" s="579"/>
      <c r="AQ30" s="578"/>
      <c r="AR30" s="579"/>
      <c r="AS30" s="579"/>
      <c r="AT30" s="579"/>
      <c r="AU30" s="578"/>
      <c r="AV30" s="579"/>
      <c r="AW30" s="579"/>
      <c r="AZ30" s="581"/>
      <c r="BA30" s="581"/>
      <c r="BB30" s="581"/>
      <c r="BC30" s="582"/>
      <c r="BD30" s="583"/>
      <c r="BE30" s="583"/>
      <c r="BF30" s="583"/>
      <c r="BG30" s="584"/>
      <c r="BH30" s="583"/>
      <c r="BI30" s="585"/>
    </row>
    <row r="31" spans="3:61" ht="24" thickBot="1">
      <c r="I31" s="1031" t="s">
        <v>32</v>
      </c>
      <c r="J31" s="1030">
        <f>37.17+18+22+18</f>
        <v>95.17</v>
      </c>
      <c r="L31" s="1929" t="s">
        <v>379</v>
      </c>
      <c r="M31" s="1930"/>
      <c r="N31" s="1930"/>
      <c r="O31" s="1930"/>
      <c r="P31" s="1930"/>
      <c r="Q31" s="1930"/>
      <c r="R31" s="1930"/>
      <c r="S31" s="1931"/>
      <c r="T31" s="579"/>
      <c r="U31" s="579"/>
      <c r="V31" s="1929" t="s">
        <v>204</v>
      </c>
      <c r="W31" s="1930"/>
      <c r="X31" s="1930"/>
      <c r="Y31" s="1930"/>
      <c r="Z31" s="1930"/>
      <c r="AA31" s="1930"/>
      <c r="AB31" s="1930"/>
      <c r="AC31" s="1935"/>
      <c r="AD31" s="1936"/>
      <c r="AE31" s="579"/>
      <c r="AF31" s="579"/>
      <c r="AG31" s="26"/>
      <c r="AH31" s="24"/>
      <c r="AJ31" s="685"/>
      <c r="AL31" s="24"/>
      <c r="AM31" s="599"/>
      <c r="AN31" s="1014"/>
      <c r="AP31" s="24"/>
      <c r="AS31" s="26"/>
      <c r="AT31" s="24"/>
      <c r="AX31" s="24"/>
      <c r="AY31" s="25"/>
      <c r="AZ31" s="25"/>
      <c r="BA31" s="24"/>
      <c r="BB31" s="24"/>
      <c r="BE31" s="23"/>
      <c r="BF31" s="23"/>
      <c r="BG31" s="23"/>
    </row>
    <row r="32" spans="3:61" s="24" customFormat="1" ht="32.25" thickBot="1">
      <c r="C32" s="23"/>
      <c r="D32" s="27"/>
      <c r="E32" s="27"/>
      <c r="F32" s="27"/>
      <c r="G32" s="23"/>
      <c r="H32" s="23"/>
      <c r="I32" s="1031" t="s">
        <v>23</v>
      </c>
      <c r="J32" s="1030">
        <f>29.79+7</f>
        <v>36.79</v>
      </c>
      <c r="L32" s="450" t="s">
        <v>0</v>
      </c>
      <c r="M32" s="439" t="s">
        <v>200</v>
      </c>
      <c r="N32" s="454" t="s">
        <v>205</v>
      </c>
      <c r="O32" s="439" t="s">
        <v>31</v>
      </c>
      <c r="P32" s="448" t="s">
        <v>201</v>
      </c>
      <c r="Q32" s="455" t="s">
        <v>206</v>
      </c>
      <c r="R32" s="436" t="s">
        <v>22</v>
      </c>
      <c r="S32" s="438" t="s">
        <v>191</v>
      </c>
      <c r="T32" s="579"/>
      <c r="U32" s="579"/>
      <c r="V32" s="571" t="s">
        <v>0</v>
      </c>
      <c r="W32" s="572" t="s">
        <v>200</v>
      </c>
      <c r="X32" s="623" t="s">
        <v>205</v>
      </c>
      <c r="Y32" s="572" t="s">
        <v>31</v>
      </c>
      <c r="Z32" s="573" t="s">
        <v>201</v>
      </c>
      <c r="AA32" s="574" t="s">
        <v>206</v>
      </c>
      <c r="AB32" s="717" t="s">
        <v>22</v>
      </c>
      <c r="AC32" s="721" t="s">
        <v>191</v>
      </c>
      <c r="AD32" s="722" t="s">
        <v>226</v>
      </c>
      <c r="AE32" s="579"/>
      <c r="AF32" s="579"/>
      <c r="AG32" s="599"/>
      <c r="AH32" s="599"/>
      <c r="AI32" s="599"/>
      <c r="AN32" s="26"/>
      <c r="AO32" s="24" t="s">
        <v>310</v>
      </c>
      <c r="AT32" s="25"/>
      <c r="AU32" s="25"/>
      <c r="AW32" s="23"/>
      <c r="AX32" s="23"/>
    </row>
    <row r="33" spans="1:59" ht="23.25">
      <c r="I33" s="1031" t="s">
        <v>286</v>
      </c>
      <c r="J33" s="1030">
        <f>18</f>
        <v>18</v>
      </c>
      <c r="L33" s="441" t="s">
        <v>189</v>
      </c>
      <c r="M33" s="470">
        <f>$J$6</f>
        <v>30</v>
      </c>
      <c r="N33" s="430">
        <f>$J9</f>
        <v>0</v>
      </c>
      <c r="O33" s="430">
        <f>$J7</f>
        <v>0</v>
      </c>
      <c r="P33" s="430">
        <f>$J8</f>
        <v>0</v>
      </c>
      <c r="Q33" s="430">
        <f>J15+J16+J17+J18+J19+J21+J22+J23</f>
        <v>20</v>
      </c>
      <c r="R33" s="430">
        <f>$J20</f>
        <v>0</v>
      </c>
      <c r="S33" s="446">
        <f t="shared" ref="S33:S42" si="22">SUM(M33:R33)</f>
        <v>50</v>
      </c>
      <c r="T33" s="579"/>
      <c r="U33" s="579"/>
      <c r="V33" s="447" t="s">
        <v>189</v>
      </c>
      <c r="W33" s="569">
        <f>L$6</f>
        <v>0</v>
      </c>
      <c r="X33" s="570">
        <f>$L9</f>
        <v>0.1</v>
      </c>
      <c r="Y33" s="570">
        <f>$L7</f>
        <v>0</v>
      </c>
      <c r="Z33" s="570">
        <f>$L8</f>
        <v>0</v>
      </c>
      <c r="AA33" s="570">
        <f>L$15+L$16+L$17+L$18+L$19+L$21+L$22+L$23</f>
        <v>0</v>
      </c>
      <c r="AB33" s="718">
        <f>$L20</f>
        <v>0</v>
      </c>
      <c r="AC33" s="723">
        <f t="shared" ref="AC33:AC42" si="23">SUM(W33:AB33)</f>
        <v>0.1</v>
      </c>
      <c r="AD33" s="587">
        <f>M6+M7+M8++M9+M15+M16+M17+M18+M19+M21+M20+M22+M23</f>
        <v>5.96</v>
      </c>
      <c r="AE33" s="579">
        <f>AC33+AD33</f>
        <v>6.06</v>
      </c>
      <c r="AF33" s="579"/>
      <c r="AG33" s="599"/>
      <c r="AH33" s="599"/>
      <c r="AI33" s="599"/>
      <c r="AL33" s="24"/>
      <c r="AN33" s="26"/>
      <c r="AP33" s="24"/>
      <c r="AT33" s="25"/>
      <c r="AU33" s="25"/>
      <c r="AW33" s="23"/>
      <c r="AX33" s="23"/>
      <c r="AY33" s="23"/>
      <c r="AZ33" s="23"/>
      <c r="BA33" s="23"/>
      <c r="BB33" s="23"/>
      <c r="BC33" s="23"/>
      <c r="BD33" s="23"/>
      <c r="BE33" s="23"/>
      <c r="BF33" s="23">
        <v>35</v>
      </c>
      <c r="BG33" s="23"/>
    </row>
    <row r="34" spans="1:59" s="24" customFormat="1" ht="23.25">
      <c r="A34" s="23"/>
      <c r="B34" s="23"/>
      <c r="C34" s="23"/>
      <c r="D34" s="27"/>
      <c r="E34" s="27"/>
      <c r="F34" s="27"/>
      <c r="G34" s="23"/>
      <c r="H34" s="23"/>
      <c r="I34" s="1031" t="s">
        <v>25</v>
      </c>
      <c r="J34" s="1030">
        <f>18+19.2</f>
        <v>37.200000000000003</v>
      </c>
      <c r="L34" s="441" t="s">
        <v>183</v>
      </c>
      <c r="M34" s="470">
        <f>$N$6</f>
        <v>20</v>
      </c>
      <c r="N34" s="430">
        <f>$N9</f>
        <v>0</v>
      </c>
      <c r="O34" s="430">
        <f>$N7</f>
        <v>0</v>
      </c>
      <c r="P34" s="430">
        <f>$N8</f>
        <v>0</v>
      </c>
      <c r="Q34" s="430">
        <f>N15+N16+N17+N18+N19+N21+N22+N23</f>
        <v>0</v>
      </c>
      <c r="R34" s="430">
        <f>$N20</f>
        <v>0</v>
      </c>
      <c r="S34" s="446">
        <f t="shared" si="22"/>
        <v>20</v>
      </c>
      <c r="T34" s="686"/>
      <c r="U34" s="26"/>
      <c r="V34" s="441" t="s">
        <v>183</v>
      </c>
      <c r="W34" s="440">
        <f>P$6</f>
        <v>22</v>
      </c>
      <c r="X34" s="430">
        <f>$P9</f>
        <v>0</v>
      </c>
      <c r="Y34" s="430">
        <f>$P7</f>
        <v>0</v>
      </c>
      <c r="Z34" s="430">
        <f>$P8</f>
        <v>0</v>
      </c>
      <c r="AA34" s="430">
        <f>P$15+P$16+P$17+P$18+P$19+P$21+P$22+P$23</f>
        <v>0</v>
      </c>
      <c r="AB34" s="719">
        <f>$P20</f>
        <v>0</v>
      </c>
      <c r="AC34" s="723">
        <f t="shared" si="23"/>
        <v>22</v>
      </c>
      <c r="AD34" s="587">
        <f>Q6+Q7+Q8+Q9+Q15+Q16+Q17+Q18+Q19+Q20+Q21+Q22+Q23</f>
        <v>20</v>
      </c>
      <c r="AE34" s="579">
        <f t="shared" ref="AE34:AE43" si="24">AC34+AD34</f>
        <v>42</v>
      </c>
      <c r="AG34" s="599"/>
      <c r="AH34" s="599"/>
      <c r="AI34" s="599"/>
      <c r="AN34" s="26"/>
      <c r="AT34" s="25"/>
      <c r="AU34" s="25"/>
      <c r="BA34" s="24">
        <v>95</v>
      </c>
      <c r="BE34" s="24">
        <v>22</v>
      </c>
      <c r="BF34" s="24">
        <v>20</v>
      </c>
    </row>
    <row r="35" spans="1:59" ht="23.25">
      <c r="I35" s="1031" t="s">
        <v>285</v>
      </c>
      <c r="J35" s="1032">
        <f>20</f>
        <v>20</v>
      </c>
      <c r="L35" s="441" t="s">
        <v>184</v>
      </c>
      <c r="M35" s="470">
        <f>$R$6</f>
        <v>6</v>
      </c>
      <c r="N35" s="430">
        <f>$R9</f>
        <v>0</v>
      </c>
      <c r="O35" s="430">
        <f>$R7</f>
        <v>0</v>
      </c>
      <c r="P35" s="430">
        <f>$R8</f>
        <v>0</v>
      </c>
      <c r="Q35" s="430">
        <f>R15+R16+R17+R18+R19+R21+R22+R23</f>
        <v>0</v>
      </c>
      <c r="R35" s="430">
        <f>$R20</f>
        <v>0</v>
      </c>
      <c r="S35" s="446">
        <f t="shared" si="22"/>
        <v>6</v>
      </c>
      <c r="T35" s="686"/>
      <c r="U35" s="26"/>
      <c r="V35" s="441" t="s">
        <v>184</v>
      </c>
      <c r="W35" s="440">
        <f>T$6</f>
        <v>0</v>
      </c>
      <c r="X35" s="430">
        <f>$T9</f>
        <v>0</v>
      </c>
      <c r="Y35" s="430">
        <f>$T7</f>
        <v>0</v>
      </c>
      <c r="Z35" s="430">
        <f>$T8</f>
        <v>0</v>
      </c>
      <c r="AA35" s="430">
        <f>T$15+T$16+T$17+T$18+T$19+T$21+T$22+T$23</f>
        <v>0</v>
      </c>
      <c r="AB35" s="719">
        <f>$T20</f>
        <v>0</v>
      </c>
      <c r="AC35" s="723">
        <f t="shared" si="23"/>
        <v>0</v>
      </c>
      <c r="AD35" s="587">
        <f>U6+U7+U8+U9+U15+U16+U17+U18+U19+U20+U21+U22+U23</f>
        <v>0</v>
      </c>
      <c r="AE35" s="579">
        <f t="shared" si="24"/>
        <v>0</v>
      </c>
      <c r="AF35" s="26"/>
      <c r="AG35" s="599"/>
      <c r="AH35" s="599"/>
      <c r="AI35" s="599"/>
      <c r="AL35" s="24"/>
      <c r="AN35" s="26"/>
      <c r="AP35" s="24"/>
      <c r="AS35" s="24">
        <f>372-175</f>
        <v>197</v>
      </c>
      <c r="AT35" s="25"/>
      <c r="AU35" s="25"/>
      <c r="AX35" s="23"/>
      <c r="AY35" s="23"/>
      <c r="AZ35" s="23"/>
      <c r="BA35" s="23">
        <v>40</v>
      </c>
      <c r="BB35" s="23"/>
      <c r="BC35" s="23"/>
      <c r="BD35" s="23"/>
      <c r="BE35" s="23">
        <v>20</v>
      </c>
      <c r="BF35" s="23">
        <v>24</v>
      </c>
      <c r="BG35" s="23"/>
    </row>
    <row r="36" spans="1:59" ht="23.25">
      <c r="I36" s="1031" t="s">
        <v>273</v>
      </c>
      <c r="J36" s="1030"/>
      <c r="L36" s="441" t="s">
        <v>170</v>
      </c>
      <c r="M36" s="470">
        <f>$V$6</f>
        <v>5</v>
      </c>
      <c r="N36" s="430">
        <f>$V9</f>
        <v>5</v>
      </c>
      <c r="O36" s="430">
        <f>$V7</f>
        <v>0</v>
      </c>
      <c r="P36" s="430">
        <f>$V8</f>
        <v>0</v>
      </c>
      <c r="Q36" s="430">
        <f>V15+V16+V17+V18+V19+V21++V22+V23</f>
        <v>0</v>
      </c>
      <c r="R36" s="430">
        <f>$V20</f>
        <v>0</v>
      </c>
      <c r="S36" s="446">
        <f t="shared" si="22"/>
        <v>10</v>
      </c>
      <c r="T36" s="686"/>
      <c r="U36" s="26"/>
      <c r="V36" s="441" t="s">
        <v>170</v>
      </c>
      <c r="W36" s="440">
        <f>X$6</f>
        <v>5</v>
      </c>
      <c r="X36" s="430">
        <f>$X9</f>
        <v>1</v>
      </c>
      <c r="Y36" s="430">
        <f>$X7</f>
        <v>0</v>
      </c>
      <c r="Z36" s="430">
        <f>$X8</f>
        <v>1.5</v>
      </c>
      <c r="AA36" s="430">
        <f>X$15+X$16+X$17+X$18+X$19+X$21+X$22+X$23</f>
        <v>0</v>
      </c>
      <c r="AB36" s="719">
        <f>$X20</f>
        <v>0</v>
      </c>
      <c r="AC36" s="723">
        <f t="shared" si="23"/>
        <v>7.5</v>
      </c>
      <c r="AD36" s="587">
        <f>Y6+Y7+Y8+Y9+Y15+Y16+Y17+Y18+Y19+Y20+Y21+Y22+Y23</f>
        <v>0</v>
      </c>
      <c r="AE36" s="579">
        <f t="shared" si="24"/>
        <v>7.5</v>
      </c>
      <c r="AF36" s="26"/>
      <c r="AG36" s="599"/>
      <c r="AH36" s="599"/>
      <c r="AI36" s="599"/>
      <c r="AL36" s="24"/>
      <c r="AN36" s="26"/>
      <c r="AP36" s="24"/>
      <c r="AS36" s="24">
        <f>AS35-76</f>
        <v>121</v>
      </c>
      <c r="AT36" s="25">
        <v>22</v>
      </c>
      <c r="AU36" s="25"/>
      <c r="AX36" s="23"/>
      <c r="AY36" s="23"/>
      <c r="AZ36" s="23"/>
      <c r="BA36" s="23">
        <v>35</v>
      </c>
      <c r="BB36" s="23"/>
      <c r="BC36" s="23"/>
      <c r="BD36" s="23"/>
      <c r="BE36" s="23">
        <v>34</v>
      </c>
      <c r="BF36" s="23"/>
      <c r="BG36" s="23"/>
    </row>
    <row r="37" spans="1:59" ht="23.25">
      <c r="I37" s="24"/>
      <c r="J37" s="1030">
        <f>SUM(J31:J36)</f>
        <v>207.16000000000003</v>
      </c>
      <c r="L37" s="441" t="s">
        <v>171</v>
      </c>
      <c r="M37" s="470">
        <f>$Z$6</f>
        <v>0</v>
      </c>
      <c r="N37" s="430">
        <f>$Z9</f>
        <v>2</v>
      </c>
      <c r="O37" s="430">
        <f>$Z7</f>
        <v>0</v>
      </c>
      <c r="P37" s="430">
        <f>$Z8</f>
        <v>35</v>
      </c>
      <c r="Q37" s="430">
        <f>Z15+Z16+Z17+Z18+Z19+Z21+Z22+Z23</f>
        <v>0</v>
      </c>
      <c r="R37" s="430">
        <f>$Z20</f>
        <v>0</v>
      </c>
      <c r="S37" s="446">
        <f t="shared" si="22"/>
        <v>37</v>
      </c>
      <c r="T37" s="686"/>
      <c r="U37" s="26"/>
      <c r="V37" s="441" t="s">
        <v>171</v>
      </c>
      <c r="W37" s="440">
        <f>AB$6</f>
        <v>0</v>
      </c>
      <c r="X37" s="430">
        <f>$AB9</f>
        <v>0</v>
      </c>
      <c r="Y37" s="430">
        <f>$AB7</f>
        <v>0</v>
      </c>
      <c r="Z37" s="430">
        <f>$AB8</f>
        <v>0</v>
      </c>
      <c r="AA37" s="430">
        <f>AB$15+AB$16+AB$17+AB$18+AB$19+AB$21+AB$22+AB$23</f>
        <v>0</v>
      </c>
      <c r="AB37" s="719">
        <f>$AB20</f>
        <v>0</v>
      </c>
      <c r="AC37" s="723">
        <f t="shared" si="23"/>
        <v>0</v>
      </c>
      <c r="AD37" s="587">
        <f>AC6+AC7+AC8+AC9+AC15+AC17+AC16+AC18+AC19+AC20+AC21+AC22+AC23</f>
        <v>0</v>
      </c>
      <c r="AE37" s="579">
        <f t="shared" si="24"/>
        <v>0</v>
      </c>
      <c r="AF37" s="26"/>
      <c r="AG37" s="26"/>
      <c r="AI37" s="26"/>
      <c r="AJ37" s="26"/>
      <c r="AK37" s="26"/>
      <c r="AL37" s="24"/>
      <c r="AN37" s="26"/>
      <c r="AP37" s="24"/>
      <c r="AT37" s="24">
        <v>23</v>
      </c>
      <c r="AX37" s="23"/>
      <c r="AY37" s="23"/>
      <c r="AZ37" s="23"/>
      <c r="BA37" s="23"/>
      <c r="BB37" s="23"/>
      <c r="BC37" s="23"/>
      <c r="BD37" s="23"/>
      <c r="BE37" s="23">
        <v>9</v>
      </c>
      <c r="BF37" s="23"/>
      <c r="BG37" s="23"/>
    </row>
    <row r="38" spans="1:59" ht="23.25">
      <c r="L38" s="441" t="s">
        <v>190</v>
      </c>
      <c r="M38" s="492">
        <f>$AD$6</f>
        <v>15</v>
      </c>
      <c r="N38" s="471">
        <f>$AD9</f>
        <v>0</v>
      </c>
      <c r="O38" s="471">
        <f>$AD7</f>
        <v>0</v>
      </c>
      <c r="P38" s="471">
        <f>$AD8</f>
        <v>15</v>
      </c>
      <c r="Q38" s="430">
        <f>AD15+AD16+AD17+AD18+AD19+AD21+AD22+AD23</f>
        <v>0</v>
      </c>
      <c r="R38" s="471">
        <f>$AD20</f>
        <v>0</v>
      </c>
      <c r="S38" s="446">
        <f t="shared" si="22"/>
        <v>30</v>
      </c>
      <c r="T38" s="686"/>
      <c r="U38" s="26"/>
      <c r="V38" s="441" t="s">
        <v>190</v>
      </c>
      <c r="W38" s="440">
        <f>AF$6</f>
        <v>9.52</v>
      </c>
      <c r="X38" s="430">
        <f>$AF9</f>
        <v>0</v>
      </c>
      <c r="Y38" s="430">
        <f>$AF7</f>
        <v>0</v>
      </c>
      <c r="Z38" s="430">
        <f>$AF8</f>
        <v>0</v>
      </c>
      <c r="AA38" s="430">
        <f>AF$15+AF$16+AF$17+AF$18+AF$19+AF$21+AF$22+AF$23</f>
        <v>0</v>
      </c>
      <c r="AB38" s="719">
        <f>$AF20</f>
        <v>0</v>
      </c>
      <c r="AC38" s="723">
        <f t="shared" si="23"/>
        <v>9.52</v>
      </c>
      <c r="AD38" s="587">
        <f>AG6+AG7+AG8+AG9+AG15+AG16+AG17+AG18+AG19+AG20+AG21+AG22+AG23</f>
        <v>0</v>
      </c>
      <c r="AE38" s="579">
        <f t="shared" si="24"/>
        <v>9.52</v>
      </c>
      <c r="AF38" s="26"/>
      <c r="AG38" s="26"/>
      <c r="AI38" s="26"/>
      <c r="AJ38" s="26"/>
      <c r="AK38" s="26"/>
      <c r="AL38" s="24"/>
      <c r="AN38" s="26"/>
      <c r="AP38" s="24"/>
      <c r="AT38" s="24">
        <v>6</v>
      </c>
      <c r="AX38" s="23"/>
      <c r="AY38" s="23"/>
      <c r="AZ38" s="23"/>
      <c r="BA38" s="23"/>
      <c r="BB38" s="23"/>
      <c r="BC38" s="23"/>
      <c r="BD38" s="23"/>
      <c r="BE38" s="23"/>
      <c r="BF38" s="23"/>
      <c r="BG38" s="23"/>
    </row>
    <row r="39" spans="1:59" ht="23.25">
      <c r="L39" s="441" t="s">
        <v>185</v>
      </c>
      <c r="M39" s="470">
        <f>$AL$6</f>
        <v>0</v>
      </c>
      <c r="N39" s="430">
        <f>$AL9</f>
        <v>0</v>
      </c>
      <c r="O39" s="430">
        <f>$AL7</f>
        <v>0</v>
      </c>
      <c r="P39" s="430">
        <f>$AL8</f>
        <v>23</v>
      </c>
      <c r="Q39" s="430">
        <f>AL15+AL16+AL17+AL18+AL19+AL21+AL22+AL23</f>
        <v>0</v>
      </c>
      <c r="R39" s="430">
        <f>$AL20</f>
        <v>0</v>
      </c>
      <c r="S39" s="446">
        <f t="shared" si="22"/>
        <v>23</v>
      </c>
      <c r="T39" s="686"/>
      <c r="U39" s="26"/>
      <c r="V39" s="441" t="s">
        <v>185</v>
      </c>
      <c r="W39" s="469">
        <f>AN$6</f>
        <v>7.51</v>
      </c>
      <c r="X39" s="430">
        <f>$AN9</f>
        <v>0</v>
      </c>
      <c r="Y39" s="430">
        <f>$AN7</f>
        <v>0</v>
      </c>
      <c r="Z39" s="430">
        <f>$AN8</f>
        <v>0</v>
      </c>
      <c r="AA39" s="430">
        <f>AN$15+AN$16+AN$17+AN$18+AN$19+AN$21+AN$22+AN$23</f>
        <v>0</v>
      </c>
      <c r="AB39" s="719">
        <f>$AN20</f>
        <v>0</v>
      </c>
      <c r="AC39" s="723">
        <f t="shared" si="23"/>
        <v>7.51</v>
      </c>
      <c r="AD39" s="587">
        <f>AO6+AO7+AO8+AO9+AO15+AO16+AO17+AO18+AO19+AO20+AO21+AO22+AO23</f>
        <v>0</v>
      </c>
      <c r="AE39" s="579">
        <f t="shared" si="24"/>
        <v>7.51</v>
      </c>
      <c r="AF39" s="23"/>
      <c r="AG39" s="26"/>
      <c r="AI39" s="26"/>
      <c r="AJ39" s="26"/>
      <c r="AK39" s="26"/>
      <c r="AL39" s="24"/>
      <c r="AN39" s="26"/>
      <c r="AP39" s="24"/>
      <c r="AT39" s="24">
        <v>56</v>
      </c>
      <c r="AX39" s="23"/>
      <c r="AY39" s="23"/>
      <c r="AZ39" s="23"/>
      <c r="BA39" s="23"/>
      <c r="BB39" s="23"/>
      <c r="BC39" s="23"/>
      <c r="BD39" s="23"/>
      <c r="BE39" s="23"/>
      <c r="BF39" s="23"/>
      <c r="BG39" s="23"/>
    </row>
    <row r="40" spans="1:59" ht="23.25">
      <c r="L40" s="441" t="s">
        <v>202</v>
      </c>
      <c r="M40" s="470">
        <f>$AP$6</f>
        <v>7</v>
      </c>
      <c r="N40" s="430">
        <f>$AP9</f>
        <v>0</v>
      </c>
      <c r="O40" s="430">
        <f>$AP7</f>
        <v>0</v>
      </c>
      <c r="P40" s="430">
        <f>$AP8</f>
        <v>0</v>
      </c>
      <c r="Q40" s="430">
        <f>AP15+AP16+AP17+AP18+AP19+AP21+AP22+AP23</f>
        <v>0</v>
      </c>
      <c r="R40" s="430">
        <f>$AP20</f>
        <v>0</v>
      </c>
      <c r="S40" s="446">
        <f t="shared" si="22"/>
        <v>7</v>
      </c>
      <c r="T40" s="686"/>
      <c r="U40" s="26"/>
      <c r="V40" s="441" t="s">
        <v>202</v>
      </c>
      <c r="W40" s="440">
        <f>AR$6</f>
        <v>4</v>
      </c>
      <c r="X40" s="430">
        <f>$AR9</f>
        <v>1</v>
      </c>
      <c r="Y40" s="430">
        <f>$AR7</f>
        <v>0</v>
      </c>
      <c r="Z40" s="430">
        <f>$AR8</f>
        <v>0</v>
      </c>
      <c r="AA40" s="430">
        <f>AR$15+AR$16+AR$17+AR$18+AR$19+AR$21+AR$22+AR$23</f>
        <v>0</v>
      </c>
      <c r="AB40" s="719">
        <f>$AR20</f>
        <v>0</v>
      </c>
      <c r="AC40" s="723">
        <f t="shared" si="23"/>
        <v>5</v>
      </c>
      <c r="AD40" s="587">
        <f>AS6+AS7+AS8+AS9+AS15+AS16+AS17+AS18+AS19+AS20+AS21+AS22+AS23</f>
        <v>0</v>
      </c>
      <c r="AE40" s="579">
        <f t="shared" si="24"/>
        <v>5</v>
      </c>
      <c r="AF40" s="28"/>
      <c r="AG40" s="26"/>
      <c r="AI40" s="26"/>
      <c r="AJ40" s="26"/>
      <c r="AK40" s="26"/>
      <c r="AL40" s="24"/>
      <c r="AN40" s="26"/>
      <c r="AP40" s="24"/>
      <c r="AS40" s="23"/>
      <c r="AT40" s="24">
        <v>5</v>
      </c>
      <c r="AX40" s="23"/>
      <c r="AY40" s="23"/>
      <c r="AZ40" s="23"/>
      <c r="BA40" s="23"/>
      <c r="BB40" s="23"/>
      <c r="BC40" s="23"/>
      <c r="BD40" s="23"/>
      <c r="BE40" s="23"/>
      <c r="BF40" s="23"/>
      <c r="BG40" s="23"/>
    </row>
    <row r="41" spans="1:59" ht="23.25">
      <c r="L41" s="441" t="s">
        <v>186</v>
      </c>
      <c r="M41" s="470">
        <f>$AT$6</f>
        <v>7</v>
      </c>
      <c r="N41" s="430">
        <f>$AT9</f>
        <v>0</v>
      </c>
      <c r="O41" s="430">
        <f>$AT7</f>
        <v>0</v>
      </c>
      <c r="P41" s="430">
        <f>$AT8</f>
        <v>4</v>
      </c>
      <c r="Q41" s="430">
        <f>AT15+AT16+AT17+AT18+AT19+AT21+AT22+AT23</f>
        <v>0</v>
      </c>
      <c r="R41" s="430">
        <f>$AT20</f>
        <v>0</v>
      </c>
      <c r="S41" s="446">
        <f t="shared" si="22"/>
        <v>11</v>
      </c>
      <c r="T41" s="686"/>
      <c r="U41" s="26"/>
      <c r="V41" s="441" t="s">
        <v>186</v>
      </c>
      <c r="W41" s="440">
        <f>AV$6</f>
        <v>17.38</v>
      </c>
      <c r="X41" s="430">
        <f>$AV9</f>
        <v>0</v>
      </c>
      <c r="Y41" s="430">
        <f>$AV7</f>
        <v>0</v>
      </c>
      <c r="Z41" s="430">
        <f>$AV8</f>
        <v>0</v>
      </c>
      <c r="AA41" s="430">
        <f>AV$15+AV$16+AV$17+AV$18+AV$19+AV$21+AV$22+AV$23</f>
        <v>0</v>
      </c>
      <c r="AB41" s="719">
        <f>$AV20</f>
        <v>0</v>
      </c>
      <c r="AC41" s="723">
        <f t="shared" si="23"/>
        <v>17.38</v>
      </c>
      <c r="AD41" s="587">
        <f>AW6+AW7+AW8+AW9+AW15+AW16+AW17+AW18+AW20+AW19+AW21+AW22+AW23</f>
        <v>18.5</v>
      </c>
      <c r="AE41" s="579">
        <f t="shared" si="24"/>
        <v>35.879999999999995</v>
      </c>
      <c r="AH41" s="24"/>
      <c r="AJ41" s="25"/>
      <c r="AL41" s="24"/>
      <c r="AN41" s="25"/>
      <c r="AP41" s="24"/>
      <c r="AR41" s="25"/>
      <c r="AT41" s="24"/>
      <c r="AX41" s="23"/>
      <c r="AY41" s="23"/>
      <c r="AZ41" s="23"/>
      <c r="BA41" s="23"/>
      <c r="BB41" s="23"/>
      <c r="BC41" s="23"/>
      <c r="BD41" s="23"/>
      <c r="BE41" s="23"/>
      <c r="BF41" s="23"/>
      <c r="BG41" s="23"/>
    </row>
    <row r="42" spans="1:59" ht="23.25">
      <c r="L42" s="441" t="s">
        <v>203</v>
      </c>
      <c r="M42" s="470">
        <f>$AX$6</f>
        <v>9</v>
      </c>
      <c r="N42" s="430">
        <f>$AX9</f>
        <v>0</v>
      </c>
      <c r="O42" s="430">
        <f>$AX7</f>
        <v>0</v>
      </c>
      <c r="P42" s="430">
        <f>$AX8</f>
        <v>0</v>
      </c>
      <c r="Q42" s="430">
        <f>AX15+AX16+AX17+AX18+AX19+AX21+AX22+AX23</f>
        <v>8</v>
      </c>
      <c r="R42" s="430">
        <f>$AX20</f>
        <v>0</v>
      </c>
      <c r="S42" s="446">
        <f t="shared" si="22"/>
        <v>17</v>
      </c>
      <c r="T42" s="686"/>
      <c r="U42" s="26"/>
      <c r="V42" s="441" t="s">
        <v>203</v>
      </c>
      <c r="W42" s="440">
        <f>AZ$6</f>
        <v>9.9</v>
      </c>
      <c r="X42" s="430">
        <f>$AZ9</f>
        <v>0</v>
      </c>
      <c r="Y42" s="430">
        <f>$AZ7</f>
        <v>0</v>
      </c>
      <c r="Z42" s="430">
        <f>$AZ8</f>
        <v>5</v>
      </c>
      <c r="AA42" s="430">
        <f>AZ$15+AZ$16+AZ$17+AZ$18+AZ$19+AZ$21+AZ$22+AZ$23</f>
        <v>0</v>
      </c>
      <c r="AB42" s="719">
        <f>$AZ20</f>
        <v>0</v>
      </c>
      <c r="AC42" s="723">
        <f t="shared" si="23"/>
        <v>14.9</v>
      </c>
      <c r="AD42" s="587">
        <f>BA6+BA7+BA8+BA9+BA15+BA16+BA17+BA18+BA19+BA20+BA21+BA22+BA23</f>
        <v>3.94</v>
      </c>
      <c r="AE42" s="579">
        <f t="shared" si="24"/>
        <v>18.84</v>
      </c>
      <c r="AH42" s="24"/>
      <c r="AJ42" s="25"/>
      <c r="AL42" s="24"/>
      <c r="AN42" s="25"/>
      <c r="AP42" s="24"/>
      <c r="AR42" s="25"/>
      <c r="AT42" s="24"/>
      <c r="AV42" s="25"/>
      <c r="AX42" s="23"/>
      <c r="AY42" s="23"/>
      <c r="AZ42" s="23"/>
      <c r="BA42" s="23"/>
      <c r="BB42" s="23"/>
      <c r="BC42" s="23"/>
      <c r="BD42" s="23"/>
      <c r="BE42" s="23"/>
      <c r="BF42" s="23"/>
      <c r="BG42" s="23"/>
    </row>
    <row r="43" spans="1:59" ht="24" thickBot="1">
      <c r="L43" s="442" t="s">
        <v>191</v>
      </c>
      <c r="M43" s="443">
        <f t="shared" ref="M43" si="25">SUM(M33:M42)</f>
        <v>99</v>
      </c>
      <c r="N43" s="444">
        <f>SUM(N33:N42)</f>
        <v>7</v>
      </c>
      <c r="O43" s="443">
        <f t="shared" ref="O43" si="26">SUM(O33:O42)</f>
        <v>0</v>
      </c>
      <c r="P43" s="444">
        <f>SUM(P33:P42)</f>
        <v>77</v>
      </c>
      <c r="Q43" s="444">
        <f>SUM(Q33:Q42)</f>
        <v>28</v>
      </c>
      <c r="R43" s="445">
        <f>SUM(R33:R42)</f>
        <v>0</v>
      </c>
      <c r="S43" s="451">
        <f>SUM(S33:S42)</f>
        <v>211</v>
      </c>
      <c r="T43" s="687"/>
      <c r="U43" s="26"/>
      <c r="V43" s="442" t="s">
        <v>191</v>
      </c>
      <c r="W43" s="443">
        <f t="shared" ref="W43:Y43" si="27">SUM(W33:W42)</f>
        <v>75.31</v>
      </c>
      <c r="X43" s="444">
        <f>SUM(X33:X42)</f>
        <v>2.1</v>
      </c>
      <c r="Y43" s="443">
        <f t="shared" si="27"/>
        <v>0</v>
      </c>
      <c r="Z43" s="444">
        <f>SUM(Z33:Z42)</f>
        <v>6.5</v>
      </c>
      <c r="AA43" s="444">
        <f>SUM(AA33:AA42)</f>
        <v>0</v>
      </c>
      <c r="AB43" s="720">
        <f>SUM(AB33:AB42)</f>
        <v>0</v>
      </c>
      <c r="AC43" s="724">
        <f>SUM(AC33:AC42)</f>
        <v>83.910000000000011</v>
      </c>
      <c r="AD43" s="725">
        <f>SUM(AD33:AD42)</f>
        <v>48.4</v>
      </c>
      <c r="AE43" s="579">
        <f t="shared" si="24"/>
        <v>132.31</v>
      </c>
      <c r="AH43" s="24"/>
      <c r="AJ43" s="25"/>
      <c r="AL43" s="24"/>
      <c r="AN43" s="25"/>
      <c r="AP43" s="24"/>
      <c r="AR43" s="25"/>
      <c r="AT43" s="24"/>
      <c r="AV43" s="25"/>
      <c r="AX43" s="23"/>
      <c r="AY43" s="23"/>
      <c r="AZ43" s="23"/>
      <c r="BA43" s="23"/>
      <c r="BB43" s="23"/>
      <c r="BC43" s="23"/>
      <c r="BD43" s="23"/>
      <c r="BE43" s="23"/>
      <c r="BF43" s="23"/>
      <c r="BG43" s="23"/>
    </row>
    <row r="44" spans="1:59" ht="15.75" thickBot="1">
      <c r="L44" s="26"/>
      <c r="M44" s="26"/>
      <c r="N44" s="24"/>
      <c r="P44" s="26"/>
      <c r="Q44" s="26"/>
      <c r="R44" s="24"/>
      <c r="T44" s="26"/>
      <c r="U44" s="26"/>
      <c r="V44" s="24"/>
      <c r="Z44" s="24"/>
      <c r="AD44" s="24"/>
      <c r="AE44" s="26"/>
      <c r="AF44" s="466"/>
      <c r="AG44" s="466"/>
      <c r="AH44" s="466"/>
      <c r="AI44" s="467"/>
      <c r="AL44" s="24"/>
      <c r="AM44" s="25"/>
      <c r="AP44" s="24"/>
      <c r="AQ44" s="25"/>
      <c r="AT44" s="24"/>
      <c r="AU44" s="25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</row>
    <row r="45" spans="1:59" ht="27" thickBot="1">
      <c r="L45" s="1929" t="str">
        <f>L31</f>
        <v>Mode wise Collection Plan-6-01-2022</v>
      </c>
      <c r="M45" s="1930"/>
      <c r="N45" s="1930"/>
      <c r="O45" s="1930"/>
      <c r="P45" s="1930"/>
      <c r="Q45" s="1930"/>
      <c r="R45" s="1930"/>
      <c r="S45" s="1930"/>
      <c r="T45" s="1931"/>
      <c r="U45" s="26"/>
      <c r="V45" s="1923" t="s">
        <v>305</v>
      </c>
      <c r="W45" s="1937"/>
      <c r="X45" s="1937"/>
      <c r="Y45" s="1937"/>
      <c r="Z45" s="1937"/>
      <c r="AA45" s="1937"/>
      <c r="AB45" s="1937"/>
      <c r="AC45" s="1937"/>
      <c r="AD45" s="1937"/>
      <c r="AE45" s="1938"/>
      <c r="AF45" s="466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</row>
    <row r="46" spans="1:59" s="28" customFormat="1" ht="30" customHeight="1" thickBot="1">
      <c r="D46" s="29"/>
      <c r="E46" s="29"/>
      <c r="F46" s="29"/>
      <c r="I46" s="29"/>
      <c r="J46" s="1011" t="s">
        <v>270</v>
      </c>
      <c r="K46" s="1011" t="s">
        <v>196</v>
      </c>
      <c r="L46" s="450" t="s">
        <v>0</v>
      </c>
      <c r="M46" s="439" t="s">
        <v>200</v>
      </c>
      <c r="N46" s="454" t="s">
        <v>205</v>
      </c>
      <c r="O46" s="439" t="s">
        <v>31</v>
      </c>
      <c r="P46" s="448" t="s">
        <v>201</v>
      </c>
      <c r="Q46" s="455" t="s">
        <v>206</v>
      </c>
      <c r="R46" s="436" t="s">
        <v>22</v>
      </c>
      <c r="S46" s="438" t="s">
        <v>191</v>
      </c>
      <c r="T46" s="438" t="s">
        <v>244</v>
      </c>
      <c r="U46" s="26"/>
      <c r="V46" s="596" t="s">
        <v>0</v>
      </c>
      <c r="W46" s="436" t="s">
        <v>200</v>
      </c>
      <c r="X46" s="454" t="s">
        <v>205</v>
      </c>
      <c r="Y46" s="572" t="s">
        <v>31</v>
      </c>
      <c r="Z46" s="448" t="s">
        <v>201</v>
      </c>
      <c r="AA46" s="453" t="s">
        <v>206</v>
      </c>
      <c r="AB46" s="453" t="s">
        <v>210</v>
      </c>
      <c r="AC46" s="436" t="s">
        <v>22</v>
      </c>
      <c r="AD46" s="437" t="s">
        <v>191</v>
      </c>
      <c r="AE46" s="1033" t="s">
        <v>244</v>
      </c>
      <c r="AF46" s="1042" t="s">
        <v>32</v>
      </c>
      <c r="AG46" s="1043" t="s">
        <v>25</v>
      </c>
      <c r="AH46" s="1043" t="s">
        <v>23</v>
      </c>
      <c r="AI46" s="1043" t="s">
        <v>271</v>
      </c>
      <c r="AJ46" s="1044" t="s">
        <v>287</v>
      </c>
      <c r="AK46" s="23"/>
      <c r="AL46" s="23"/>
      <c r="AM46" s="23"/>
      <c r="AN46" s="23"/>
      <c r="AO46" s="23"/>
      <c r="AP46" s="23"/>
      <c r="AQ46" s="23"/>
      <c r="AR46" s="23"/>
    </row>
    <row r="47" spans="1:59" ht="21.75" customHeight="1">
      <c r="J47" s="441">
        <v>29.79</v>
      </c>
      <c r="K47" s="441"/>
      <c r="L47" s="441" t="s">
        <v>189</v>
      </c>
      <c r="M47" s="470">
        <v>30</v>
      </c>
      <c r="N47" s="430">
        <v>0</v>
      </c>
      <c r="O47" s="430">
        <v>0</v>
      </c>
      <c r="P47" s="430">
        <v>0</v>
      </c>
      <c r="Q47" s="430">
        <v>20</v>
      </c>
      <c r="R47" s="430">
        <v>0</v>
      </c>
      <c r="S47" s="446">
        <f t="shared" ref="S47:S56" si="28">SUM(M47:R47)</f>
        <v>50</v>
      </c>
      <c r="T47" s="446">
        <v>24</v>
      </c>
      <c r="U47" s="26"/>
      <c r="V47" s="586" t="s">
        <v>189</v>
      </c>
      <c r="W47" s="430">
        <v>0</v>
      </c>
      <c r="X47" s="430">
        <v>0</v>
      </c>
      <c r="Y47" s="430">
        <v>0</v>
      </c>
      <c r="Z47" s="430">
        <v>0</v>
      </c>
      <c r="AA47" s="430">
        <v>0</v>
      </c>
      <c r="AB47" s="655">
        <v>0</v>
      </c>
      <c r="AC47" s="430"/>
      <c r="AD47" s="568">
        <f t="shared" ref="AD47:AD56" si="29">SUM(W47:AC47)</f>
        <v>0</v>
      </c>
      <c r="AE47" s="1034">
        <f>L27+L28+L29</f>
        <v>0</v>
      </c>
      <c r="AF47" s="1039"/>
      <c r="AG47" s="1040"/>
      <c r="AH47" s="1040">
        <v>29.79</v>
      </c>
      <c r="AI47" s="1040"/>
      <c r="AJ47" s="1041"/>
      <c r="AK47" s="28"/>
      <c r="AL47" s="28"/>
      <c r="AM47" s="28"/>
      <c r="AN47" s="28"/>
      <c r="AO47" s="28"/>
      <c r="AP47" s="28"/>
      <c r="AQ47" s="28"/>
      <c r="AR47" s="28"/>
      <c r="AT47" s="24"/>
      <c r="AU47" s="25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</row>
    <row r="48" spans="1:59" ht="21.75" customHeight="1">
      <c r="J48" s="441"/>
      <c r="K48" s="441">
        <v>22</v>
      </c>
      <c r="L48" s="441" t="s">
        <v>183</v>
      </c>
      <c r="M48" s="470">
        <v>20</v>
      </c>
      <c r="N48" s="430">
        <v>0</v>
      </c>
      <c r="O48" s="430">
        <v>0</v>
      </c>
      <c r="P48" s="430">
        <v>0</v>
      </c>
      <c r="Q48" s="430">
        <v>0</v>
      </c>
      <c r="R48" s="430">
        <v>0</v>
      </c>
      <c r="S48" s="446">
        <f t="shared" si="28"/>
        <v>20</v>
      </c>
      <c r="T48" s="446">
        <v>20</v>
      </c>
      <c r="U48" s="466"/>
      <c r="V48" s="586" t="s">
        <v>183</v>
      </c>
      <c r="W48" s="430">
        <v>0</v>
      </c>
      <c r="X48" s="430">
        <v>0</v>
      </c>
      <c r="Y48" s="430">
        <v>0</v>
      </c>
      <c r="Z48" s="430">
        <v>0</v>
      </c>
      <c r="AA48" s="430">
        <v>0</v>
      </c>
      <c r="AB48" s="655">
        <v>0</v>
      </c>
      <c r="AC48" s="430"/>
      <c r="AD48" s="568">
        <f t="shared" si="29"/>
        <v>0</v>
      </c>
      <c r="AE48" s="1034">
        <f>P27+P28+P29</f>
        <v>0</v>
      </c>
      <c r="AF48" s="1036">
        <v>21.95</v>
      </c>
      <c r="AG48" s="1035"/>
      <c r="AH48" s="1035"/>
      <c r="AI48" s="1035"/>
      <c r="AJ48" s="587">
        <v>8.25</v>
      </c>
      <c r="AL48" s="24"/>
      <c r="AM48" s="25"/>
      <c r="AP48" s="24"/>
      <c r="AQ48" s="25"/>
      <c r="AT48" s="24"/>
      <c r="AU48" s="25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</row>
    <row r="49" spans="4:59" ht="21.75" customHeight="1">
      <c r="J49" s="441"/>
      <c r="K49" s="441"/>
      <c r="L49" s="441" t="s">
        <v>184</v>
      </c>
      <c r="M49" s="470">
        <v>6</v>
      </c>
      <c r="N49" s="430">
        <v>0</v>
      </c>
      <c r="O49" s="430">
        <v>0</v>
      </c>
      <c r="P49" s="430">
        <v>0</v>
      </c>
      <c r="Q49" s="430">
        <v>0</v>
      </c>
      <c r="R49" s="430">
        <v>0</v>
      </c>
      <c r="S49" s="446">
        <f t="shared" si="28"/>
        <v>6</v>
      </c>
      <c r="T49" s="446"/>
      <c r="U49" s="466"/>
      <c r="V49" s="586" t="s">
        <v>184</v>
      </c>
      <c r="W49" s="430">
        <v>1.6</v>
      </c>
      <c r="X49" s="430">
        <v>0</v>
      </c>
      <c r="Y49" s="430">
        <v>0</v>
      </c>
      <c r="Z49" s="430">
        <v>4</v>
      </c>
      <c r="AA49" s="430">
        <v>0</v>
      </c>
      <c r="AB49" s="655">
        <v>0</v>
      </c>
      <c r="AC49" s="430"/>
      <c r="AD49" s="568">
        <f t="shared" si="29"/>
        <v>5.6</v>
      </c>
      <c r="AE49" s="1034">
        <f>T27+T28+T29</f>
        <v>0</v>
      </c>
      <c r="AF49" s="1036"/>
      <c r="AG49" s="1035"/>
      <c r="AH49" s="1035"/>
      <c r="AI49" s="1035"/>
      <c r="AJ49" s="587"/>
      <c r="AL49" s="24"/>
      <c r="AM49" s="25"/>
      <c r="AP49" s="24"/>
      <c r="AQ49" s="25"/>
      <c r="AT49" s="24"/>
      <c r="AU49" s="25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</row>
    <row r="50" spans="4:59" ht="21.75" customHeight="1">
      <c r="J50" s="441">
        <v>31.17</v>
      </c>
      <c r="K50" s="441"/>
      <c r="L50" s="441" t="s">
        <v>170</v>
      </c>
      <c r="M50" s="470">
        <v>5</v>
      </c>
      <c r="N50" s="430">
        <v>5</v>
      </c>
      <c r="O50" s="430">
        <v>0</v>
      </c>
      <c r="P50" s="430">
        <v>0</v>
      </c>
      <c r="Q50" s="430">
        <v>0</v>
      </c>
      <c r="R50" s="430">
        <v>0</v>
      </c>
      <c r="S50" s="446">
        <f t="shared" si="28"/>
        <v>10</v>
      </c>
      <c r="T50" s="446">
        <v>6</v>
      </c>
      <c r="U50" s="466"/>
      <c r="V50" s="586" t="s">
        <v>170</v>
      </c>
      <c r="W50" s="430">
        <v>0</v>
      </c>
      <c r="X50" s="430">
        <v>0</v>
      </c>
      <c r="Y50" s="430">
        <v>0</v>
      </c>
      <c r="Z50" s="430">
        <v>0</v>
      </c>
      <c r="AA50" s="430">
        <v>0</v>
      </c>
      <c r="AB50" s="655">
        <v>0</v>
      </c>
      <c r="AC50" s="430"/>
      <c r="AD50" s="568">
        <f t="shared" si="29"/>
        <v>0</v>
      </c>
      <c r="AE50" s="1034">
        <f>X27+X28+X29</f>
        <v>0</v>
      </c>
      <c r="AF50" s="1036">
        <v>37.17</v>
      </c>
      <c r="AG50" s="1035"/>
      <c r="AH50" s="1035"/>
      <c r="AI50" s="1035"/>
      <c r="AJ50" s="587"/>
      <c r="AL50" s="24"/>
      <c r="AM50" s="25"/>
      <c r="AP50" s="24"/>
      <c r="AQ50" s="25"/>
      <c r="AT50" s="24"/>
      <c r="AU50" s="25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</row>
    <row r="51" spans="4:59" ht="21.75" customHeight="1">
      <c r="J51" s="441"/>
      <c r="K51" s="441"/>
      <c r="L51" s="441" t="s">
        <v>171</v>
      </c>
      <c r="M51" s="470">
        <v>0</v>
      </c>
      <c r="N51" s="430">
        <v>2</v>
      </c>
      <c r="O51" s="430">
        <v>0</v>
      </c>
      <c r="P51" s="430">
        <v>35</v>
      </c>
      <c r="Q51" s="430">
        <v>0</v>
      </c>
      <c r="R51" s="430">
        <v>0</v>
      </c>
      <c r="S51" s="446">
        <f t="shared" si="28"/>
        <v>37</v>
      </c>
      <c r="T51" s="446"/>
      <c r="U51" s="466"/>
      <c r="V51" s="586" t="s">
        <v>171</v>
      </c>
      <c r="W51" s="430">
        <v>0</v>
      </c>
      <c r="X51" s="430">
        <v>0</v>
      </c>
      <c r="Y51" s="430">
        <v>0</v>
      </c>
      <c r="Z51" s="430">
        <v>0</v>
      </c>
      <c r="AA51" s="430">
        <v>0</v>
      </c>
      <c r="AB51" s="655">
        <v>0</v>
      </c>
      <c r="AC51" s="430"/>
      <c r="AD51" s="568">
        <f t="shared" si="29"/>
        <v>0</v>
      </c>
      <c r="AE51" s="1034">
        <f>AB27+AB28+AB29</f>
        <v>0</v>
      </c>
      <c r="AF51" s="1036"/>
      <c r="AG51" s="1035"/>
      <c r="AH51" s="1035"/>
      <c r="AI51" s="1035"/>
      <c r="AJ51" s="587"/>
      <c r="AL51" s="24"/>
      <c r="AM51" s="25"/>
      <c r="AP51" s="24"/>
      <c r="AQ51" s="25"/>
      <c r="AT51" s="24"/>
      <c r="AU51" s="25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</row>
    <row r="52" spans="4:59" ht="21.75" customHeight="1">
      <c r="J52" s="441">
        <v>18</v>
      </c>
      <c r="K52" s="441">
        <f>18+20</f>
        <v>38</v>
      </c>
      <c r="L52" s="441" t="s">
        <v>190</v>
      </c>
      <c r="M52" s="492">
        <v>15</v>
      </c>
      <c r="N52" s="471">
        <v>0</v>
      </c>
      <c r="O52" s="471">
        <v>0</v>
      </c>
      <c r="P52" s="471">
        <v>15</v>
      </c>
      <c r="Q52" s="430">
        <v>0</v>
      </c>
      <c r="R52" s="471">
        <v>0</v>
      </c>
      <c r="S52" s="446">
        <f t="shared" si="28"/>
        <v>30</v>
      </c>
      <c r="T52" s="446"/>
      <c r="U52" s="466"/>
      <c r="V52" s="586" t="s">
        <v>190</v>
      </c>
      <c r="W52" s="430">
        <v>0</v>
      </c>
      <c r="X52" s="430">
        <v>0</v>
      </c>
      <c r="Y52" s="430">
        <v>0</v>
      </c>
      <c r="Z52" s="430">
        <v>0</v>
      </c>
      <c r="AA52" s="430">
        <v>0</v>
      </c>
      <c r="AB52" s="655">
        <v>0</v>
      </c>
      <c r="AC52" s="430"/>
      <c r="AD52" s="568">
        <f t="shared" si="29"/>
        <v>0</v>
      </c>
      <c r="AE52" s="1034">
        <f>AF27+AF28+AF29</f>
        <v>0</v>
      </c>
      <c r="AF52" s="1036">
        <v>16.3</v>
      </c>
      <c r="AG52" s="1035"/>
      <c r="AH52" s="1035"/>
      <c r="AI52" s="1035"/>
      <c r="AJ52" s="587"/>
      <c r="AL52" s="24"/>
      <c r="AM52" s="25"/>
      <c r="AP52" s="24"/>
      <c r="AQ52" s="25"/>
      <c r="AT52" s="24"/>
      <c r="AU52" s="25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</row>
    <row r="53" spans="4:59" ht="21.75" customHeight="1">
      <c r="J53" s="441">
        <v>19.2</v>
      </c>
      <c r="K53" s="441"/>
      <c r="L53" s="441" t="s">
        <v>185</v>
      </c>
      <c r="M53" s="470">
        <v>0</v>
      </c>
      <c r="N53" s="430">
        <v>0</v>
      </c>
      <c r="O53" s="430">
        <v>0</v>
      </c>
      <c r="P53" s="430">
        <v>23</v>
      </c>
      <c r="Q53" s="430">
        <v>0</v>
      </c>
      <c r="R53" s="430">
        <v>0</v>
      </c>
      <c r="S53" s="446">
        <f t="shared" si="28"/>
        <v>23</v>
      </c>
      <c r="T53" s="446"/>
      <c r="U53" s="466"/>
      <c r="V53" s="586" t="s">
        <v>185</v>
      </c>
      <c r="W53" s="430">
        <v>16</v>
      </c>
      <c r="X53" s="430">
        <v>0</v>
      </c>
      <c r="Y53" s="430">
        <v>0</v>
      </c>
      <c r="Z53" s="430">
        <v>0</v>
      </c>
      <c r="AA53" s="430">
        <v>0</v>
      </c>
      <c r="AB53" s="655">
        <v>0</v>
      </c>
      <c r="AC53" s="430"/>
      <c r="AD53" s="568">
        <f t="shared" si="29"/>
        <v>16</v>
      </c>
      <c r="AE53" s="1034">
        <f>AN27+AN28+AN29</f>
        <v>0</v>
      </c>
      <c r="AF53" s="1036"/>
      <c r="AG53" s="1035"/>
      <c r="AH53" s="1035"/>
      <c r="AI53" s="1035"/>
      <c r="AJ53" s="587"/>
      <c r="AL53" s="24"/>
      <c r="AM53" s="25"/>
      <c r="AP53" s="24"/>
      <c r="AQ53" s="25"/>
      <c r="AT53" s="24"/>
      <c r="AU53" s="25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</row>
    <row r="54" spans="4:59" ht="21.75" customHeight="1">
      <c r="J54" s="441"/>
      <c r="K54" s="441"/>
      <c r="L54" s="441" t="s">
        <v>202</v>
      </c>
      <c r="M54" s="470">
        <v>7</v>
      </c>
      <c r="N54" s="430">
        <v>0</v>
      </c>
      <c r="O54" s="430">
        <v>0</v>
      </c>
      <c r="P54" s="430">
        <v>0</v>
      </c>
      <c r="Q54" s="430">
        <v>0</v>
      </c>
      <c r="R54" s="430">
        <v>0</v>
      </c>
      <c r="S54" s="446">
        <f t="shared" si="28"/>
        <v>7</v>
      </c>
      <c r="T54" s="446"/>
      <c r="U54" s="466"/>
      <c r="V54" s="586" t="s">
        <v>202</v>
      </c>
      <c r="W54" s="430">
        <v>0</v>
      </c>
      <c r="X54" s="430">
        <v>0</v>
      </c>
      <c r="Y54" s="430">
        <v>0</v>
      </c>
      <c r="Z54" s="430">
        <v>0</v>
      </c>
      <c r="AA54" s="430">
        <v>0</v>
      </c>
      <c r="AB54" s="655">
        <v>0</v>
      </c>
      <c r="AC54" s="430"/>
      <c r="AD54" s="568">
        <f t="shared" si="29"/>
        <v>0</v>
      </c>
      <c r="AE54" s="1034">
        <f>AR27+AR28+AR29</f>
        <v>0</v>
      </c>
      <c r="AF54" s="1036"/>
      <c r="AG54" s="1035"/>
      <c r="AH54" s="1035"/>
      <c r="AI54" s="1035"/>
      <c r="AJ54" s="587"/>
      <c r="AL54" s="24"/>
      <c r="AM54" s="25"/>
      <c r="AP54" s="24"/>
      <c r="AQ54" s="25"/>
      <c r="AT54" s="24"/>
      <c r="AU54" s="25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</row>
    <row r="55" spans="4:59" ht="21.75" customHeight="1">
      <c r="J55" s="441">
        <f>9.91+6.91</f>
        <v>16.82</v>
      </c>
      <c r="K55" s="441">
        <v>7</v>
      </c>
      <c r="L55" s="441" t="s">
        <v>186</v>
      </c>
      <c r="M55" s="470">
        <v>7</v>
      </c>
      <c r="N55" s="430">
        <v>0</v>
      </c>
      <c r="O55" s="430">
        <v>0</v>
      </c>
      <c r="P55" s="430">
        <v>4</v>
      </c>
      <c r="Q55" s="430">
        <v>0</v>
      </c>
      <c r="R55" s="430">
        <v>0</v>
      </c>
      <c r="S55" s="446">
        <f t="shared" si="28"/>
        <v>11</v>
      </c>
      <c r="T55" s="446"/>
      <c r="U55" s="466"/>
      <c r="V55" s="586" t="s">
        <v>186</v>
      </c>
      <c r="W55" s="430">
        <v>0</v>
      </c>
      <c r="X55" s="430">
        <v>0</v>
      </c>
      <c r="Y55" s="430">
        <v>0</v>
      </c>
      <c r="Z55" s="430">
        <v>0</v>
      </c>
      <c r="AA55" s="430">
        <v>0</v>
      </c>
      <c r="AB55" s="655">
        <v>0</v>
      </c>
      <c r="AC55" s="430"/>
      <c r="AD55" s="568">
        <f t="shared" si="29"/>
        <v>0</v>
      </c>
      <c r="AE55" s="1034">
        <f>AV27+AV28+AV29</f>
        <v>0</v>
      </c>
      <c r="AF55" s="1036"/>
      <c r="AG55" s="1035"/>
      <c r="AH55" s="1035"/>
      <c r="AI55" s="1035"/>
      <c r="AJ55" s="587"/>
      <c r="AL55" s="24"/>
      <c r="AM55" s="25"/>
      <c r="AP55" s="24"/>
      <c r="AQ55" s="25"/>
      <c r="AT55" s="24"/>
      <c r="AU55" s="25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</row>
    <row r="56" spans="4:59" ht="21.75" customHeight="1" thickBot="1">
      <c r="J56" s="441"/>
      <c r="K56" s="441"/>
      <c r="L56" s="441" t="s">
        <v>203</v>
      </c>
      <c r="M56" s="470">
        <v>9</v>
      </c>
      <c r="N56" s="430">
        <v>0</v>
      </c>
      <c r="O56" s="430">
        <v>0</v>
      </c>
      <c r="P56" s="430">
        <v>0</v>
      </c>
      <c r="Q56" s="430">
        <v>8</v>
      </c>
      <c r="R56" s="430">
        <v>0</v>
      </c>
      <c r="S56" s="446">
        <f t="shared" si="28"/>
        <v>17</v>
      </c>
      <c r="T56" s="446"/>
      <c r="U56" s="466"/>
      <c r="V56" s="586" t="s">
        <v>203</v>
      </c>
      <c r="W56" s="430">
        <v>0</v>
      </c>
      <c r="X56" s="430">
        <v>0</v>
      </c>
      <c r="Y56" s="430">
        <v>0</v>
      </c>
      <c r="Z56" s="430">
        <v>0</v>
      </c>
      <c r="AA56" s="430">
        <v>0</v>
      </c>
      <c r="AB56" s="655">
        <v>0</v>
      </c>
      <c r="AC56" s="430"/>
      <c r="AD56" s="568">
        <f t="shared" si="29"/>
        <v>0</v>
      </c>
      <c r="AE56" s="1034">
        <f>AZ27+AZ28+AZ29</f>
        <v>3.94</v>
      </c>
      <c r="AF56" s="1037"/>
      <c r="AG56" s="1035"/>
      <c r="AH56" s="1035"/>
      <c r="AI56" s="1035"/>
      <c r="AJ56" s="587"/>
      <c r="AL56" s="24"/>
      <c r="AM56" s="25"/>
      <c r="AP56" s="24"/>
      <c r="AQ56" s="25"/>
      <c r="AT56" s="24"/>
      <c r="AU56" s="25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</row>
    <row r="57" spans="4:59" ht="21.75" customHeight="1" thickBot="1">
      <c r="J57" s="442">
        <f t="shared" ref="J57:K57" si="30">SUM(J47:J56)</f>
        <v>114.98000000000002</v>
      </c>
      <c r="K57" s="442">
        <f t="shared" si="30"/>
        <v>67</v>
      </c>
      <c r="L57" s="442" t="s">
        <v>191</v>
      </c>
      <c r="M57" s="443">
        <f t="shared" ref="M57" si="31">SUM(M47:M56)</f>
        <v>99</v>
      </c>
      <c r="N57" s="444">
        <f>SUM(N47:N56)</f>
        <v>7</v>
      </c>
      <c r="O57" s="443">
        <f t="shared" ref="O57" si="32">SUM(O47:O56)</f>
        <v>0</v>
      </c>
      <c r="P57" s="444">
        <f>SUM(P47:P56)</f>
        <v>77</v>
      </c>
      <c r="Q57" s="444">
        <f>SUM(Q47:Q56)</f>
        <v>28</v>
      </c>
      <c r="R57" s="445">
        <f>SUM(R47:R56)</f>
        <v>0</v>
      </c>
      <c r="S57" s="451">
        <f>SUM(S47:S56)</f>
        <v>211</v>
      </c>
      <c r="T57" s="451">
        <f>SUM(T47:T56)</f>
        <v>50</v>
      </c>
      <c r="U57" s="466"/>
      <c r="V57" s="588" t="s">
        <v>191</v>
      </c>
      <c r="W57" s="589">
        <f t="shared" ref="W57" si="33">SUM(W47:W56)</f>
        <v>17.600000000000001</v>
      </c>
      <c r="X57" s="444">
        <f>SUM(X47:X56)</f>
        <v>0</v>
      </c>
      <c r="Y57" s="444">
        <f t="shared" ref="Y57" si="34">SUM(Y47:Y56)</f>
        <v>0</v>
      </c>
      <c r="Z57" s="444">
        <f>SUM(Z47:Z56)</f>
        <v>4</v>
      </c>
      <c r="AA57" s="444">
        <f>SUM(AA47:AA56)</f>
        <v>0</v>
      </c>
      <c r="AB57" s="444"/>
      <c r="AC57" s="444">
        <f t="shared" ref="AC57" si="35">SUM(AC47:AC56)</f>
        <v>0</v>
      </c>
      <c r="AD57" s="630">
        <f>SUM(AD47:AD56)</f>
        <v>21.6</v>
      </c>
      <c r="AE57" s="631">
        <f>SUM(AE47:AE56)</f>
        <v>3.94</v>
      </c>
      <c r="AF57" s="1038">
        <f t="shared" ref="AF57:AJ57" si="36">SUM(AF47:AF56)</f>
        <v>75.42</v>
      </c>
      <c r="AG57" s="589">
        <f t="shared" si="36"/>
        <v>0</v>
      </c>
      <c r="AH57" s="589">
        <f t="shared" si="36"/>
        <v>29.79</v>
      </c>
      <c r="AI57" s="589">
        <f t="shared" si="36"/>
        <v>0</v>
      </c>
      <c r="AJ57" s="631">
        <f t="shared" si="36"/>
        <v>8.25</v>
      </c>
      <c r="AL57" s="24"/>
      <c r="AM57" s="25"/>
      <c r="AP57" s="24"/>
      <c r="AQ57" s="25"/>
      <c r="AT57" s="24"/>
      <c r="AU57" s="25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</row>
    <row r="58" spans="4:59" ht="35.25" customHeight="1" thickBot="1">
      <c r="N58" s="24"/>
      <c r="O58" s="1924" t="s">
        <v>254</v>
      </c>
      <c r="P58" s="1925"/>
      <c r="Q58" s="1925"/>
      <c r="R58" s="1926"/>
      <c r="S58" s="1927">
        <f>S57+T57</f>
        <v>261</v>
      </c>
      <c r="T58" s="1928"/>
      <c r="U58" s="466"/>
      <c r="V58" s="1932" t="s">
        <v>221</v>
      </c>
      <c r="W58" s="1932"/>
      <c r="X58" s="1932"/>
      <c r="Y58" s="1932"/>
      <c r="Z58" s="1932"/>
      <c r="AA58" s="1932"/>
      <c r="AB58" s="1932"/>
      <c r="AC58" s="1932"/>
      <c r="AD58" s="1933">
        <f>AD57+AE57</f>
        <v>25.540000000000003</v>
      </c>
      <c r="AE58" s="1934"/>
      <c r="AF58" s="466"/>
      <c r="AH58" s="24"/>
      <c r="AI58" s="25"/>
      <c r="AL58" s="24"/>
      <c r="AM58" s="25"/>
      <c r="AP58" s="24"/>
      <c r="AQ58" s="25"/>
      <c r="AT58" s="24"/>
      <c r="AU58" s="25"/>
      <c r="AX58" s="24"/>
      <c r="AY58" s="24"/>
      <c r="AZ58" s="25"/>
      <c r="BA58" s="24"/>
      <c r="BB58" s="24"/>
      <c r="BC58" s="23"/>
      <c r="BD58" s="23"/>
      <c r="BE58" s="23"/>
      <c r="BF58" s="23"/>
      <c r="BG58" s="23"/>
    </row>
    <row r="59" spans="4:59" ht="27" thickBot="1">
      <c r="J59" s="24"/>
      <c r="N59" s="24"/>
      <c r="R59" s="24"/>
      <c r="T59" s="26"/>
      <c r="U59" s="26"/>
      <c r="V59" s="966"/>
      <c r="W59" s="966"/>
      <c r="X59" s="966"/>
      <c r="Y59" s="1922" t="s">
        <v>235</v>
      </c>
      <c r="Z59" s="1922"/>
      <c r="AA59" s="1922"/>
      <c r="AB59" s="1922"/>
      <c r="AC59" s="1922"/>
      <c r="AD59" s="1920">
        <f>BH6+BI6+BD20+BE20+BH9</f>
        <v>119.85</v>
      </c>
      <c r="AE59" s="1921"/>
      <c r="AF59" s="466"/>
      <c r="AH59" s="24"/>
      <c r="AI59" s="25"/>
      <c r="AL59" s="24"/>
      <c r="AP59" s="25"/>
      <c r="AT59" s="25"/>
      <c r="AX59" s="25"/>
      <c r="AY59" s="24"/>
      <c r="AZ59" s="24"/>
      <c r="BA59" s="24"/>
      <c r="BB59" s="25"/>
      <c r="BE59" s="23"/>
      <c r="BF59" s="23"/>
      <c r="BG59" s="23"/>
    </row>
    <row r="60" spans="4:59" s="28" customFormat="1" ht="27" thickBot="1">
      <c r="D60" s="29"/>
      <c r="E60" s="29"/>
      <c r="F60" s="29"/>
      <c r="I60" s="29"/>
      <c r="J60" s="24"/>
      <c r="K60" s="24"/>
      <c r="L60" s="1923" t="s">
        <v>380</v>
      </c>
      <c r="M60" s="1937"/>
      <c r="N60" s="1937"/>
      <c r="O60" s="1937"/>
      <c r="P60" s="1937"/>
      <c r="Q60" s="1937"/>
      <c r="R60" s="1937"/>
      <c r="S60" s="1937"/>
      <c r="T60" s="1937"/>
      <c r="U60" s="1938"/>
      <c r="V60" s="966"/>
      <c r="W60" s="966"/>
      <c r="X60" s="966"/>
      <c r="Y60" s="1013"/>
      <c r="Z60" s="966"/>
      <c r="AA60" s="966"/>
      <c r="AB60" s="966"/>
      <c r="AC60" s="1013"/>
      <c r="AD60" s="966"/>
      <c r="AE60" s="964"/>
      <c r="AF60" s="966"/>
      <c r="AG60" s="964"/>
      <c r="AH60" s="964"/>
      <c r="AI60" s="967"/>
      <c r="AJ60" s="964"/>
      <c r="AK60" s="964"/>
      <c r="AL60" s="964"/>
      <c r="AM60" s="964"/>
      <c r="AN60" s="964"/>
      <c r="AO60" s="964"/>
      <c r="AP60" s="967"/>
      <c r="AQ60" s="964"/>
      <c r="AR60" s="964"/>
      <c r="AS60" s="964"/>
      <c r="AT60" s="967"/>
      <c r="AU60" s="964"/>
      <c r="AV60" s="964"/>
      <c r="AW60" s="964"/>
      <c r="AX60" s="967"/>
      <c r="AY60" s="965"/>
      <c r="AZ60" s="965"/>
      <c r="BA60" s="964"/>
      <c r="BB60" s="964"/>
      <c r="BC60" s="967"/>
      <c r="BD60" s="967"/>
      <c r="BE60" s="964"/>
    </row>
    <row r="61" spans="4:59" ht="32.25" thickBot="1">
      <c r="J61" s="24"/>
      <c r="L61" s="596" t="s">
        <v>0</v>
      </c>
      <c r="M61" s="436" t="s">
        <v>200</v>
      </c>
      <c r="N61" s="454" t="s">
        <v>205</v>
      </c>
      <c r="O61" s="572" t="s">
        <v>31</v>
      </c>
      <c r="P61" s="448" t="s">
        <v>201</v>
      </c>
      <c r="Q61" s="453" t="s">
        <v>206</v>
      </c>
      <c r="R61" s="453" t="s">
        <v>210</v>
      </c>
      <c r="S61" s="436" t="s">
        <v>22</v>
      </c>
      <c r="T61" s="437" t="s">
        <v>191</v>
      </c>
      <c r="U61" s="438" t="s">
        <v>244</v>
      </c>
      <c r="V61" s="466"/>
      <c r="W61" s="466"/>
      <c r="X61" s="466"/>
      <c r="Y61" s="465"/>
      <c r="Z61" s="466"/>
      <c r="AA61" s="466"/>
      <c r="AB61" s="466"/>
      <c r="AC61" s="465"/>
      <c r="AD61" s="466"/>
      <c r="AF61" s="466"/>
      <c r="AH61" s="24"/>
      <c r="AI61" s="25"/>
      <c r="AL61" s="24"/>
      <c r="AM61" s="26"/>
      <c r="AN61" s="26"/>
      <c r="AP61" s="24"/>
      <c r="AQ61" s="26"/>
      <c r="AR61" s="26"/>
      <c r="AT61" s="24"/>
      <c r="AU61" s="26"/>
      <c r="AV61" s="26"/>
      <c r="AX61" s="24"/>
      <c r="AY61" s="26"/>
      <c r="AZ61" s="26"/>
      <c r="BA61" s="24"/>
      <c r="BB61" s="24"/>
      <c r="BC61" s="25"/>
      <c r="BD61" s="25"/>
      <c r="BF61" s="23"/>
      <c r="BG61" s="23"/>
    </row>
    <row r="62" spans="4:59" ht="23.25">
      <c r="J62" s="24"/>
      <c r="L62" s="586" t="s">
        <v>189</v>
      </c>
      <c r="M62" s="430">
        <v>0</v>
      </c>
      <c r="N62" s="430">
        <v>0.1</v>
      </c>
      <c r="O62" s="430">
        <v>0</v>
      </c>
      <c r="P62" s="430">
        <v>9</v>
      </c>
      <c r="Q62" s="430">
        <v>0</v>
      </c>
      <c r="R62" s="655">
        <v>0</v>
      </c>
      <c r="S62" s="430"/>
      <c r="T62" s="568">
        <f t="shared" ref="T62:T71" si="37">SUM(M62:S62)</f>
        <v>9.1</v>
      </c>
      <c r="U62" s="587">
        <v>5.96</v>
      </c>
      <c r="V62" s="466"/>
      <c r="W62" s="466"/>
      <c r="X62" s="466"/>
      <c r="Y62" s="465" t="s">
        <v>304</v>
      </c>
      <c r="Z62" s="466"/>
      <c r="AA62" s="466"/>
      <c r="AB62" s="466"/>
      <c r="AC62" s="465"/>
      <c r="AD62" s="466"/>
      <c r="AF62" s="466"/>
      <c r="AH62" s="24"/>
      <c r="AI62" s="25"/>
      <c r="AL62" s="24"/>
      <c r="AM62" s="26"/>
      <c r="AN62" s="26"/>
      <c r="AP62" s="24"/>
      <c r="AQ62" s="26"/>
      <c r="AR62" s="26"/>
      <c r="AT62" s="24"/>
      <c r="AU62" s="26"/>
      <c r="AV62" s="26"/>
      <c r="AX62" s="24"/>
      <c r="AY62" s="26"/>
      <c r="AZ62" s="26"/>
      <c r="BA62" s="24"/>
      <c r="BB62" s="24"/>
      <c r="BC62" s="25"/>
      <c r="BD62" s="25"/>
      <c r="BF62" s="23"/>
      <c r="BG62" s="23"/>
    </row>
    <row r="63" spans="4:59" ht="23.25">
      <c r="J63" s="24"/>
      <c r="L63" s="586" t="s">
        <v>183</v>
      </c>
      <c r="M63" s="430">
        <v>22</v>
      </c>
      <c r="N63" s="430">
        <v>0</v>
      </c>
      <c r="O63" s="430">
        <v>0</v>
      </c>
      <c r="P63" s="430">
        <v>0</v>
      </c>
      <c r="Q63" s="430">
        <v>0</v>
      </c>
      <c r="R63" s="655">
        <v>0</v>
      </c>
      <c r="S63" s="430"/>
      <c r="T63" s="568">
        <f t="shared" si="37"/>
        <v>22</v>
      </c>
      <c r="U63" s="587">
        <v>20</v>
      </c>
      <c r="V63" s="466"/>
      <c r="W63" s="466"/>
      <c r="X63" s="466"/>
      <c r="Y63" s="465"/>
      <c r="Z63" s="466"/>
      <c r="AA63" s="466"/>
      <c r="AB63" s="466"/>
      <c r="AC63" s="465"/>
      <c r="AD63" s="466"/>
      <c r="AG63" s="26"/>
      <c r="AH63" s="24"/>
      <c r="AK63" s="49"/>
      <c r="AL63" s="24"/>
      <c r="AM63" s="26"/>
      <c r="AN63" s="26"/>
      <c r="AP63" s="24"/>
      <c r="AQ63" s="26"/>
      <c r="AR63" s="26"/>
      <c r="AT63" s="24"/>
      <c r="AU63" s="26"/>
      <c r="AV63" s="26"/>
      <c r="AX63" s="24"/>
      <c r="AY63" s="26"/>
      <c r="AZ63" s="26"/>
      <c r="BA63" s="24"/>
      <c r="BB63" s="24"/>
      <c r="BC63" s="25"/>
      <c r="BD63" s="25"/>
      <c r="BF63" s="23"/>
      <c r="BG63" s="23"/>
    </row>
    <row r="64" spans="4:59" ht="23.25">
      <c r="J64" s="24"/>
      <c r="L64" s="586" t="s">
        <v>184</v>
      </c>
      <c r="M64" s="430">
        <v>0</v>
      </c>
      <c r="N64" s="430">
        <v>0</v>
      </c>
      <c r="O64" s="430">
        <v>0</v>
      </c>
      <c r="P64" s="430">
        <v>0</v>
      </c>
      <c r="Q64" s="430">
        <v>0</v>
      </c>
      <c r="R64" s="655">
        <v>0</v>
      </c>
      <c r="S64" s="430"/>
      <c r="T64" s="568">
        <f t="shared" si="37"/>
        <v>0</v>
      </c>
      <c r="U64" s="587">
        <v>0</v>
      </c>
      <c r="V64" s="466"/>
      <c r="W64" s="466"/>
      <c r="X64" s="466"/>
      <c r="Y64" s="465"/>
      <c r="Z64" s="466"/>
      <c r="AA64" s="466"/>
      <c r="AB64" s="466"/>
      <c r="AC64" s="465"/>
      <c r="AD64" s="466"/>
      <c r="AG64" s="26"/>
      <c r="AH64" s="24"/>
      <c r="AK64" s="49"/>
      <c r="AL64" s="24"/>
      <c r="AO64" s="26"/>
      <c r="AP64" s="24"/>
      <c r="AQ64" s="26"/>
      <c r="AR64" s="26"/>
      <c r="AT64" s="24"/>
      <c r="AU64" s="26"/>
      <c r="AV64" s="26"/>
      <c r="AX64" s="24"/>
      <c r="AY64" s="26"/>
      <c r="AZ64" s="26"/>
      <c r="BA64" s="24"/>
      <c r="BB64" s="24"/>
      <c r="BE64" s="25"/>
      <c r="BF64" s="24"/>
      <c r="BG64" s="23"/>
    </row>
    <row r="65" spans="10:59" ht="23.25">
      <c r="J65" s="24"/>
      <c r="L65" s="586" t="s">
        <v>170</v>
      </c>
      <c r="M65" s="430">
        <v>5</v>
      </c>
      <c r="N65" s="430">
        <v>1</v>
      </c>
      <c r="O65" s="430">
        <v>0</v>
      </c>
      <c r="P65" s="430">
        <v>1.5</v>
      </c>
      <c r="Q65" s="430">
        <v>0</v>
      </c>
      <c r="R65" s="655">
        <v>0</v>
      </c>
      <c r="S65" s="430"/>
      <c r="T65" s="568">
        <f t="shared" si="37"/>
        <v>7.5</v>
      </c>
      <c r="U65" s="587">
        <v>0</v>
      </c>
      <c r="V65" s="466"/>
      <c r="W65" s="466"/>
      <c r="X65" s="466"/>
      <c r="Y65" s="465"/>
      <c r="Z65" s="466"/>
      <c r="AA65" s="466"/>
      <c r="AB65" s="466"/>
      <c r="AC65" s="465"/>
      <c r="AD65" s="466"/>
      <c r="AG65" s="26"/>
      <c r="AH65" s="24"/>
      <c r="AK65" s="49"/>
      <c r="AL65" s="24"/>
      <c r="AO65" s="26"/>
      <c r="AP65" s="24"/>
      <c r="AQ65" s="26"/>
      <c r="AR65" s="26"/>
      <c r="AT65" s="24"/>
      <c r="AU65" s="26"/>
      <c r="AV65" s="26"/>
      <c r="AX65" s="24"/>
      <c r="AY65" s="26"/>
      <c r="AZ65" s="26"/>
      <c r="BA65" s="24"/>
      <c r="BB65" s="24"/>
      <c r="BE65" s="25"/>
      <c r="BF65" s="24"/>
      <c r="BG65" s="23"/>
    </row>
    <row r="66" spans="10:59" ht="23.25">
      <c r="J66" s="24"/>
      <c r="L66" s="586" t="s">
        <v>171</v>
      </c>
      <c r="M66" s="430">
        <v>0</v>
      </c>
      <c r="N66" s="430">
        <v>0</v>
      </c>
      <c r="O66" s="430">
        <v>0</v>
      </c>
      <c r="P66" s="430">
        <v>0</v>
      </c>
      <c r="Q66" s="430">
        <v>0</v>
      </c>
      <c r="R66" s="655">
        <v>0</v>
      </c>
      <c r="S66" s="430"/>
      <c r="T66" s="568">
        <f t="shared" si="37"/>
        <v>0</v>
      </c>
      <c r="U66" s="587">
        <v>0</v>
      </c>
      <c r="V66" s="466"/>
      <c r="W66" s="466"/>
      <c r="X66" s="466"/>
      <c r="Y66" s="465">
        <v>42</v>
      </c>
      <c r="Z66" s="466"/>
      <c r="AA66" s="466"/>
      <c r="AB66" s="466"/>
      <c r="AC66" s="465"/>
      <c r="AD66" s="466"/>
      <c r="AG66" s="26"/>
      <c r="AH66" s="24"/>
      <c r="AK66" s="49"/>
      <c r="AL66" s="24"/>
      <c r="AO66" s="26"/>
      <c r="AP66" s="24"/>
      <c r="AQ66" s="26"/>
      <c r="AR66" s="26"/>
      <c r="AT66" s="24"/>
      <c r="AU66" s="26"/>
      <c r="AV66" s="26"/>
      <c r="AX66" s="24"/>
      <c r="AY66" s="26"/>
      <c r="AZ66" s="26"/>
      <c r="BA66" s="24"/>
      <c r="BB66" s="24"/>
      <c r="BE66" s="25"/>
      <c r="BF66" s="24"/>
      <c r="BG66" s="23"/>
    </row>
    <row r="67" spans="10:59" ht="23.25">
      <c r="J67" s="24"/>
      <c r="L67" s="586" t="s">
        <v>190</v>
      </c>
      <c r="M67" s="430">
        <v>9.52</v>
      </c>
      <c r="N67" s="430">
        <v>0</v>
      </c>
      <c r="O67" s="430">
        <v>0</v>
      </c>
      <c r="P67" s="430">
        <v>0</v>
      </c>
      <c r="Q67" s="430">
        <v>0</v>
      </c>
      <c r="R67" s="655">
        <v>0</v>
      </c>
      <c r="S67" s="430"/>
      <c r="T67" s="568">
        <f t="shared" si="37"/>
        <v>9.52</v>
      </c>
      <c r="U67" s="587">
        <v>0</v>
      </c>
      <c r="V67" s="466"/>
      <c r="W67" s="466"/>
      <c r="X67" s="466"/>
      <c r="Y67" s="465">
        <v>24</v>
      </c>
      <c r="Z67" s="466"/>
      <c r="AA67" s="466"/>
      <c r="AB67" s="466"/>
      <c r="AC67" s="465"/>
      <c r="AD67" s="466"/>
      <c r="AG67" s="26"/>
      <c r="AH67" s="24"/>
      <c r="AK67" s="49"/>
      <c r="AL67" s="24"/>
      <c r="AO67" s="26"/>
      <c r="AP67" s="24"/>
      <c r="AQ67" s="26"/>
      <c r="AR67" s="26"/>
      <c r="AT67" s="24"/>
      <c r="AU67" s="26"/>
      <c r="AV67" s="26"/>
      <c r="AX67" s="24"/>
      <c r="AY67" s="26"/>
      <c r="AZ67" s="26"/>
      <c r="BA67" s="24"/>
      <c r="BB67" s="24"/>
      <c r="BE67" s="25"/>
      <c r="BF67" s="24"/>
      <c r="BG67" s="23"/>
    </row>
    <row r="68" spans="10:59" ht="23.25">
      <c r="J68" s="24"/>
      <c r="L68" s="586" t="s">
        <v>185</v>
      </c>
      <c r="M68" s="430">
        <v>7.51</v>
      </c>
      <c r="N68" s="430">
        <v>0</v>
      </c>
      <c r="O68" s="430">
        <v>0</v>
      </c>
      <c r="P68" s="430">
        <v>3</v>
      </c>
      <c r="Q68" s="430">
        <v>0</v>
      </c>
      <c r="R68" s="655">
        <v>0</v>
      </c>
      <c r="S68" s="430"/>
      <c r="T68" s="568">
        <f t="shared" si="37"/>
        <v>10.51</v>
      </c>
      <c r="U68" s="587">
        <v>0</v>
      </c>
      <c r="V68" s="466"/>
      <c r="W68" s="466"/>
      <c r="X68" s="466"/>
      <c r="Y68" s="465"/>
      <c r="Z68" s="466"/>
      <c r="AA68" s="466"/>
      <c r="AB68" s="466"/>
      <c r="AC68" s="465"/>
      <c r="AD68" s="466"/>
      <c r="AG68" s="26"/>
      <c r="AH68" s="24"/>
      <c r="AK68" s="49"/>
      <c r="AL68" s="24"/>
      <c r="AO68" s="26"/>
      <c r="AP68" s="24"/>
      <c r="AQ68" s="26"/>
      <c r="AR68" s="26"/>
      <c r="AT68" s="24"/>
      <c r="AU68" s="26"/>
      <c r="AV68" s="26"/>
      <c r="AX68" s="24"/>
      <c r="AY68" s="26"/>
      <c r="AZ68" s="26"/>
      <c r="BA68" s="24"/>
      <c r="BB68" s="24"/>
      <c r="BE68" s="25"/>
      <c r="BF68" s="24"/>
      <c r="BG68" s="23"/>
    </row>
    <row r="69" spans="10:59" ht="23.25">
      <c r="L69" s="586" t="s">
        <v>202</v>
      </c>
      <c r="M69" s="430">
        <v>4</v>
      </c>
      <c r="N69" s="430">
        <v>1</v>
      </c>
      <c r="O69" s="430">
        <v>0</v>
      </c>
      <c r="P69" s="430">
        <v>0</v>
      </c>
      <c r="Q69" s="430">
        <v>0</v>
      </c>
      <c r="R69" s="655">
        <v>0</v>
      </c>
      <c r="S69" s="430"/>
      <c r="T69" s="568">
        <f t="shared" si="37"/>
        <v>5</v>
      </c>
      <c r="U69" s="587">
        <v>0</v>
      </c>
      <c r="V69" s="466"/>
      <c r="W69" s="466"/>
      <c r="X69" s="466"/>
      <c r="Y69" s="465"/>
      <c r="Z69" s="466"/>
      <c r="AA69" s="466"/>
      <c r="AB69" s="466"/>
      <c r="AC69" s="465"/>
      <c r="AD69" s="466"/>
      <c r="AG69" s="26"/>
      <c r="AH69" s="24"/>
      <c r="AK69" s="49"/>
      <c r="AL69" s="24"/>
      <c r="AO69" s="26"/>
      <c r="AP69" s="24"/>
      <c r="AQ69" s="26"/>
      <c r="AR69" s="26"/>
      <c r="AT69" s="24"/>
      <c r="AU69" s="26"/>
      <c r="AV69" s="26"/>
      <c r="AX69" s="24"/>
      <c r="AY69" s="26"/>
      <c r="AZ69" s="26"/>
      <c r="BA69" s="24"/>
      <c r="BB69" s="24"/>
      <c r="BE69" s="25"/>
      <c r="BF69" s="24"/>
      <c r="BG69" s="23"/>
    </row>
    <row r="70" spans="10:59" ht="23.25">
      <c r="L70" s="586" t="s">
        <v>186</v>
      </c>
      <c r="M70" s="430">
        <v>17.38</v>
      </c>
      <c r="N70" s="430">
        <v>0</v>
      </c>
      <c r="O70" s="430">
        <v>0</v>
      </c>
      <c r="P70" s="430">
        <v>0</v>
      </c>
      <c r="Q70" s="430">
        <v>0</v>
      </c>
      <c r="R70" s="655">
        <v>0</v>
      </c>
      <c r="S70" s="430"/>
      <c r="T70" s="568">
        <f t="shared" si="37"/>
        <v>17.38</v>
      </c>
      <c r="U70" s="587">
        <v>18.5</v>
      </c>
      <c r="V70" s="466"/>
      <c r="W70" s="466"/>
      <c r="X70" s="466"/>
      <c r="Y70" s="465"/>
      <c r="Z70" s="466"/>
      <c r="AA70" s="466"/>
      <c r="AB70" s="466"/>
      <c r="AC70" s="465"/>
      <c r="AD70" s="466">
        <v>80</v>
      </c>
      <c r="AG70" s="26"/>
      <c r="AH70" s="24"/>
      <c r="AK70" s="49"/>
      <c r="AL70" s="24"/>
      <c r="AM70" s="26"/>
      <c r="AN70" s="26"/>
      <c r="AY70" s="24"/>
      <c r="AZ70" s="24"/>
      <c r="BA70" s="24"/>
      <c r="BB70" s="24"/>
      <c r="BC70" s="25"/>
      <c r="BD70" s="25"/>
      <c r="BF70" s="23"/>
      <c r="BG70" s="23"/>
    </row>
    <row r="71" spans="10:59" ht="23.25">
      <c r="L71" s="586" t="s">
        <v>203</v>
      </c>
      <c r="M71" s="430">
        <v>9.9</v>
      </c>
      <c r="N71" s="430">
        <v>0</v>
      </c>
      <c r="O71" s="430">
        <v>0</v>
      </c>
      <c r="P71" s="430">
        <v>5</v>
      </c>
      <c r="Q71" s="430">
        <v>0</v>
      </c>
      <c r="R71" s="655">
        <v>0</v>
      </c>
      <c r="S71" s="430"/>
      <c r="T71" s="568">
        <f t="shared" si="37"/>
        <v>14.9</v>
      </c>
      <c r="U71" s="587">
        <v>0</v>
      </c>
      <c r="V71" s="466"/>
      <c r="W71" s="466"/>
      <c r="X71" s="466"/>
      <c r="Y71" s="465"/>
      <c r="Z71" s="466"/>
      <c r="AA71" s="466"/>
      <c r="AB71" s="466"/>
      <c r="AC71" s="465"/>
      <c r="AD71" s="466">
        <v>63</v>
      </c>
      <c r="AG71" s="26"/>
      <c r="AH71" s="24"/>
      <c r="AK71" s="49"/>
      <c r="AL71" s="24"/>
      <c r="AM71" s="26"/>
      <c r="AN71" s="26"/>
      <c r="AY71" s="24"/>
      <c r="AZ71" s="24"/>
      <c r="BA71" s="24"/>
      <c r="BB71" s="24"/>
      <c r="BC71" s="25"/>
      <c r="BD71" s="25"/>
      <c r="BF71" s="23"/>
      <c r="BG71" s="23"/>
    </row>
    <row r="72" spans="10:59" ht="24" thickBot="1">
      <c r="L72" s="588" t="s">
        <v>191</v>
      </c>
      <c r="M72" s="589">
        <f t="shared" ref="M72" si="38">SUM(M62:M71)</f>
        <v>75.31</v>
      </c>
      <c r="N72" s="444">
        <f>SUM(N62:N71)</f>
        <v>2.1</v>
      </c>
      <c r="O72" s="444">
        <f t="shared" ref="O72" si="39">SUM(O62:O71)</f>
        <v>0</v>
      </c>
      <c r="P72" s="444">
        <f>SUM(P62:P71)</f>
        <v>18.5</v>
      </c>
      <c r="Q72" s="444">
        <f>SUM(Q62:Q71)</f>
        <v>0</v>
      </c>
      <c r="R72" s="444"/>
      <c r="S72" s="444">
        <f t="shared" ref="S72" si="40">SUM(S62:S71)</f>
        <v>0</v>
      </c>
      <c r="T72" s="630">
        <f>SUM(T62:T71)</f>
        <v>95.910000000000011</v>
      </c>
      <c r="U72" s="631">
        <f>SUM(U62:U71)</f>
        <v>44.46</v>
      </c>
      <c r="V72" s="466"/>
      <c r="W72" s="466"/>
      <c r="X72" s="466"/>
      <c r="Y72" s="465"/>
      <c r="Z72" s="466"/>
      <c r="AA72" s="466"/>
      <c r="AB72" s="466"/>
      <c r="AC72" s="465"/>
      <c r="AD72" s="466">
        <v>23</v>
      </c>
      <c r="AG72" s="26"/>
      <c r="AH72" s="24"/>
      <c r="AK72" s="49"/>
      <c r="AL72" s="24"/>
      <c r="AM72" s="26"/>
      <c r="AN72" s="26"/>
      <c r="AY72" s="24"/>
      <c r="AZ72" s="24"/>
      <c r="BA72" s="24"/>
      <c r="BB72" s="24"/>
      <c r="BC72" s="25"/>
      <c r="BD72" s="25"/>
      <c r="BF72" s="23"/>
      <c r="BG72" s="23"/>
    </row>
    <row r="73" spans="10:59" ht="27" thickBot="1">
      <c r="L73" s="1932" t="s">
        <v>221</v>
      </c>
      <c r="M73" s="1932"/>
      <c r="N73" s="1932"/>
      <c r="O73" s="1932"/>
      <c r="P73" s="1932"/>
      <c r="Q73" s="1932"/>
      <c r="R73" s="1932"/>
      <c r="S73" s="1932"/>
      <c r="T73" s="1933">
        <f>T72+U72</f>
        <v>140.37</v>
      </c>
      <c r="U73" s="1934"/>
      <c r="V73" s="466"/>
      <c r="W73" s="466"/>
      <c r="X73" s="466"/>
      <c r="Y73" s="465"/>
      <c r="Z73" s="466"/>
      <c r="AA73" s="466"/>
      <c r="AB73" s="466"/>
      <c r="AC73" s="465"/>
      <c r="AD73" s="466"/>
      <c r="AG73" s="26"/>
      <c r="AH73" s="24"/>
      <c r="AK73" s="49"/>
      <c r="AL73" s="24"/>
      <c r="AM73" s="26"/>
      <c r="AN73" s="26"/>
      <c r="AY73" s="24"/>
      <c r="AZ73" s="24"/>
      <c r="BA73" s="24"/>
      <c r="BB73" s="24"/>
      <c r="BC73" s="25"/>
      <c r="BD73" s="25"/>
      <c r="BF73" s="23"/>
      <c r="BG73" s="23"/>
    </row>
    <row r="74" spans="10:59" ht="26.25">
      <c r="L74" s="966"/>
      <c r="M74" s="966"/>
      <c r="N74" s="966"/>
      <c r="O74" s="1922" t="s">
        <v>235</v>
      </c>
      <c r="P74" s="1922"/>
      <c r="Q74" s="1922"/>
      <c r="R74" s="1922"/>
      <c r="S74" s="1922"/>
      <c r="T74" s="1920">
        <f>M72+U63</f>
        <v>95.31</v>
      </c>
      <c r="U74" s="1921"/>
      <c r="V74" s="466"/>
      <c r="W74" s="466"/>
      <c r="X74" s="466"/>
      <c r="Y74" s="465"/>
      <c r="Z74" s="466"/>
      <c r="AA74" s="466"/>
      <c r="AB74" s="466"/>
      <c r="AC74" s="465"/>
      <c r="AD74" s="466"/>
      <c r="AG74" s="26"/>
      <c r="AH74" s="24"/>
      <c r="AK74" s="49"/>
      <c r="AL74" s="24"/>
      <c r="AM74" s="26"/>
      <c r="AN74" s="26"/>
      <c r="AP74" s="24"/>
      <c r="AQ74" s="26"/>
      <c r="AR74" s="26"/>
      <c r="AT74" s="24"/>
      <c r="AU74" s="26"/>
      <c r="AV74" s="26"/>
      <c r="AW74" s="50"/>
      <c r="AX74" s="50"/>
      <c r="AY74" s="26"/>
      <c r="AZ74" s="26"/>
      <c r="BA74" s="24"/>
      <c r="BB74" s="24"/>
      <c r="BC74" s="25"/>
      <c r="BD74" s="25"/>
      <c r="BF74" s="23"/>
      <c r="BG74" s="23"/>
    </row>
    <row r="75" spans="10:59">
      <c r="L75" s="26"/>
      <c r="M75" s="26"/>
      <c r="N75" s="24"/>
      <c r="P75" s="26"/>
      <c r="Q75" s="26"/>
      <c r="R75" s="24"/>
      <c r="T75" s="26"/>
      <c r="U75" s="26"/>
      <c r="V75" s="24"/>
      <c r="W75" s="466"/>
      <c r="X75" s="466"/>
      <c r="Y75" s="466"/>
      <c r="Z75" s="465"/>
      <c r="AA75" s="466"/>
      <c r="AB75" s="466"/>
      <c r="AC75" s="466"/>
      <c r="AD75" s="465"/>
      <c r="AE75" s="466"/>
      <c r="AN75" s="26"/>
      <c r="AO75" s="26"/>
      <c r="AP75" s="24"/>
      <c r="AR75" s="26"/>
      <c r="AS75" s="26"/>
      <c r="AT75" s="24"/>
      <c r="AV75" s="26"/>
      <c r="AW75" s="26"/>
      <c r="AX75" s="50"/>
      <c r="AZ75" s="26"/>
      <c r="BA75" s="26"/>
      <c r="BB75" s="24"/>
      <c r="BD75" s="25"/>
      <c r="BE75" s="25"/>
      <c r="BF75" s="24"/>
      <c r="BG75" s="23"/>
    </row>
    <row r="76" spans="10:59" ht="33" customHeight="1">
      <c r="L76" s="26"/>
      <c r="M76" s="26"/>
      <c r="N76" s="24"/>
      <c r="P76" s="26"/>
      <c r="Q76" s="26"/>
      <c r="R76" s="24"/>
      <c r="T76" s="26"/>
      <c r="U76" s="26"/>
      <c r="V76" s="24"/>
      <c r="W76" s="466"/>
      <c r="X76" s="466"/>
      <c r="Y76" s="466"/>
      <c r="Z76" s="465"/>
      <c r="AA76" s="466"/>
      <c r="AB76" s="466"/>
      <c r="AC76" s="466"/>
      <c r="AD76" s="465"/>
      <c r="AE76" s="466"/>
      <c r="AN76" s="26"/>
      <c r="AO76" s="26"/>
      <c r="AP76" s="24"/>
      <c r="AR76" s="26"/>
      <c r="AS76" s="26"/>
      <c r="AT76" s="24"/>
      <c r="AV76" s="26"/>
      <c r="AW76" s="26"/>
      <c r="AX76" s="50"/>
      <c r="AZ76" s="26"/>
      <c r="BA76" s="26"/>
      <c r="BB76" s="24"/>
      <c r="BD76" s="25"/>
      <c r="BE76" s="25"/>
      <c r="BF76" s="24"/>
      <c r="BG76" s="23"/>
    </row>
    <row r="77" spans="10:59">
      <c r="L77" s="26"/>
      <c r="M77" s="26"/>
      <c r="N77" s="24"/>
      <c r="P77" s="26"/>
      <c r="Q77" s="26"/>
      <c r="R77" s="24"/>
      <c r="T77" s="26"/>
      <c r="U77" s="26"/>
      <c r="V77" s="24"/>
      <c r="W77" s="466"/>
      <c r="X77" s="466"/>
      <c r="Y77" s="466"/>
      <c r="Z77" s="465"/>
      <c r="AA77" s="466"/>
      <c r="AB77" s="466"/>
      <c r="AC77" s="466"/>
      <c r="AD77" s="465"/>
      <c r="AE77" s="466"/>
      <c r="AN77" s="26"/>
      <c r="AO77" s="26"/>
      <c r="AP77" s="24"/>
      <c r="AR77" s="26"/>
      <c r="AS77" s="26"/>
      <c r="AT77" s="24"/>
      <c r="AV77" s="26"/>
      <c r="AW77" s="26"/>
      <c r="AX77" s="50"/>
      <c r="AZ77" s="26"/>
      <c r="BA77" s="26"/>
      <c r="BB77" s="24"/>
      <c r="BD77" s="25"/>
      <c r="BE77" s="25"/>
      <c r="BF77" s="24"/>
      <c r="BG77" s="23"/>
    </row>
    <row r="78" spans="10:59">
      <c r="L78" s="26"/>
      <c r="M78" s="26"/>
      <c r="N78" s="24"/>
      <c r="P78" s="26"/>
      <c r="Q78" s="26"/>
      <c r="R78" s="24"/>
      <c r="T78" s="26"/>
      <c r="U78" s="26"/>
      <c r="V78" s="24"/>
      <c r="W78" s="466"/>
      <c r="X78" s="466"/>
      <c r="Y78" s="466"/>
      <c r="Z78" s="465"/>
      <c r="AA78" s="466"/>
      <c r="AB78" s="466"/>
      <c r="AC78" s="466"/>
      <c r="AD78" s="465"/>
      <c r="AE78" s="466"/>
      <c r="AN78" s="26"/>
      <c r="AO78" s="26"/>
      <c r="AP78" s="24"/>
      <c r="AR78" s="26"/>
      <c r="AS78" s="26"/>
      <c r="AT78" s="24"/>
      <c r="AV78" s="26"/>
      <c r="AW78" s="26"/>
      <c r="AX78" s="50"/>
      <c r="AZ78" s="26"/>
      <c r="BA78" s="26"/>
      <c r="BB78" s="24"/>
      <c r="BD78" s="25"/>
      <c r="BE78" s="25"/>
      <c r="BF78" s="24"/>
      <c r="BG78" s="23"/>
    </row>
    <row r="79" spans="10:59">
      <c r="L79" s="26"/>
      <c r="M79" s="26"/>
      <c r="N79" s="24"/>
      <c r="P79" s="26"/>
      <c r="Q79" s="26"/>
      <c r="R79" s="24"/>
      <c r="T79" s="26"/>
      <c r="U79" s="26"/>
      <c r="V79" s="24"/>
      <c r="X79" s="26"/>
      <c r="Y79" s="26"/>
      <c r="Z79" s="24"/>
      <c r="AB79" s="26"/>
      <c r="AC79" s="26"/>
      <c r="AD79" s="24"/>
      <c r="AF79" s="26"/>
      <c r="AG79" s="26"/>
      <c r="AH79" s="24"/>
      <c r="AJ79" s="49"/>
      <c r="AK79" s="49"/>
      <c r="AL79" s="24"/>
      <c r="AN79" s="26"/>
      <c r="AO79" s="26"/>
      <c r="AP79" s="24"/>
      <c r="AR79" s="26"/>
      <c r="AS79" s="26"/>
      <c r="AT79" s="24"/>
      <c r="AV79" s="26"/>
      <c r="AW79" s="26"/>
      <c r="AX79" s="50"/>
      <c r="AZ79" s="26"/>
      <c r="BA79" s="26"/>
      <c r="BB79" s="24"/>
      <c r="BD79" s="25"/>
      <c r="BE79" s="25"/>
      <c r="BF79" s="24"/>
      <c r="BG79" s="23"/>
    </row>
    <row r="80" spans="10:59">
      <c r="L80" s="26"/>
      <c r="M80" s="26"/>
      <c r="N80" s="24"/>
      <c r="P80" s="26"/>
      <c r="Q80" s="26"/>
      <c r="R80" s="24"/>
      <c r="T80" s="26"/>
      <c r="U80" s="26"/>
      <c r="V80" s="24"/>
      <c r="X80" s="26"/>
      <c r="Y80" s="26"/>
      <c r="Z80" s="24"/>
      <c r="AB80" s="26"/>
      <c r="AC80" s="26"/>
      <c r="AD80" s="24"/>
      <c r="AF80" s="26"/>
      <c r="AG80" s="26"/>
      <c r="AH80" s="24"/>
      <c r="AJ80" s="49"/>
      <c r="AK80" s="49"/>
      <c r="AL80" s="24"/>
      <c r="AN80" s="26"/>
      <c r="AO80" s="26"/>
      <c r="AP80" s="24"/>
      <c r="AR80" s="26"/>
      <c r="AS80" s="26"/>
      <c r="AT80" s="24"/>
      <c r="AV80" s="26"/>
      <c r="AW80" s="26"/>
      <c r="AX80" s="50"/>
      <c r="AZ80" s="26"/>
      <c r="BA80" s="26"/>
      <c r="BB80" s="24"/>
      <c r="BD80" s="25"/>
      <c r="BE80" s="25"/>
      <c r="BF80" s="24"/>
      <c r="BG80" s="23"/>
    </row>
  </sheetData>
  <mergeCells count="62">
    <mergeCell ref="C2:F2"/>
    <mergeCell ref="H2:K2"/>
    <mergeCell ref="N2:AZ2"/>
    <mergeCell ref="BB2:BI2"/>
    <mergeCell ref="H3:BI3"/>
    <mergeCell ref="D4:F4"/>
    <mergeCell ref="H4:I5"/>
    <mergeCell ref="J4:M4"/>
    <mergeCell ref="N4:Q4"/>
    <mergeCell ref="R4:U4"/>
    <mergeCell ref="C5:D5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C6:C9"/>
    <mergeCell ref="H6:H9"/>
    <mergeCell ref="H10:I10"/>
    <mergeCell ref="H12:BI12"/>
    <mergeCell ref="D13:F13"/>
    <mergeCell ref="H13:I14"/>
    <mergeCell ref="J13:M13"/>
    <mergeCell ref="N13:Q13"/>
    <mergeCell ref="R13:U13"/>
    <mergeCell ref="V13:Y13"/>
    <mergeCell ref="Z13:AC13"/>
    <mergeCell ref="AD13:AG13"/>
    <mergeCell ref="AH13:AK13"/>
    <mergeCell ref="AL13:AO13"/>
    <mergeCell ref="AP13:AS13"/>
    <mergeCell ref="AT13:AW13"/>
    <mergeCell ref="AX13:BA13"/>
    <mergeCell ref="BB13:BE13"/>
    <mergeCell ref="BF13:BI13"/>
    <mergeCell ref="C14:D14"/>
    <mergeCell ref="C15:C24"/>
    <mergeCell ref="H15:H23"/>
    <mergeCell ref="H24:I24"/>
    <mergeCell ref="H26:I26"/>
    <mergeCell ref="BH27:BI27"/>
    <mergeCell ref="L31:S31"/>
    <mergeCell ref="V31:AD31"/>
    <mergeCell ref="BC27:BC28"/>
    <mergeCell ref="Y59:AC59"/>
    <mergeCell ref="AD59:AE59"/>
    <mergeCell ref="L45:T45"/>
    <mergeCell ref="V45:AE45"/>
    <mergeCell ref="O58:R58"/>
    <mergeCell ref="S58:T58"/>
    <mergeCell ref="V58:AC58"/>
    <mergeCell ref="AD58:AE58"/>
    <mergeCell ref="L60:U60"/>
    <mergeCell ref="L73:S73"/>
    <mergeCell ref="T73:U73"/>
    <mergeCell ref="O74:S74"/>
    <mergeCell ref="T74:U74"/>
  </mergeCells>
  <conditionalFormatting sqref="M47:R56">
    <cfRule type="cellIs" dxfId="57" priority="2" operator="equal">
      <formula>0</formula>
    </cfRule>
  </conditionalFormatting>
  <conditionalFormatting sqref="M62:R71">
    <cfRule type="cellIs" dxfId="56" priority="1" operator="equal">
      <formula>0</formula>
    </cfRule>
  </conditionalFormatting>
  <printOptions horizontalCentered="1" verticalCentered="1"/>
  <pageMargins left="0.13" right="0.11811023622047245" top="0.35433070866141736" bottom="0.26" header="0.31496062992125984" footer="0.31496062992125984"/>
  <pageSetup scale="58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I80"/>
  <sheetViews>
    <sheetView showGridLines="0" topLeftCell="I1" zoomScale="57" zoomScaleNormal="57" workbookViewId="0">
      <pane xSplit="1" topLeftCell="AG1" activePane="topRight" state="frozen"/>
      <selection activeCell="I1" sqref="I1"/>
      <selection pane="topRight" activeCell="AX34" sqref="AX34"/>
    </sheetView>
  </sheetViews>
  <sheetFormatPr defaultColWidth="9.140625" defaultRowHeight="15"/>
  <cols>
    <col min="1" max="2" width="9.140625" style="23" hidden="1" customWidth="1"/>
    <col min="3" max="3" width="14.5703125" style="23" hidden="1" customWidth="1"/>
    <col min="4" max="4" width="11.42578125" style="27" hidden="1" customWidth="1"/>
    <col min="5" max="5" width="6.85546875" style="27" hidden="1" customWidth="1"/>
    <col min="6" max="6" width="9.140625" style="27" hidden="1" customWidth="1"/>
    <col min="7" max="7" width="3.42578125" style="23" hidden="1" customWidth="1"/>
    <col min="8" max="8" width="6.140625" style="23" customWidth="1"/>
    <col min="9" max="9" width="15.28515625" style="27" bestFit="1" customWidth="1"/>
    <col min="10" max="10" width="11.5703125" style="26" customWidth="1"/>
    <col min="11" max="11" width="9.140625" style="24" customWidth="1"/>
    <col min="12" max="13" width="12.85546875" style="24" customWidth="1"/>
    <col min="14" max="14" width="10.5703125" style="26" customWidth="1"/>
    <col min="15" max="15" width="10.28515625" style="24" customWidth="1"/>
    <col min="16" max="17" width="10.5703125" style="24" customWidth="1"/>
    <col min="18" max="18" width="8.5703125" style="26" customWidth="1"/>
    <col min="19" max="19" width="11.5703125" style="24" customWidth="1"/>
    <col min="20" max="20" width="14" style="24" bestFit="1" customWidth="1"/>
    <col min="21" max="21" width="12.28515625" style="24" bestFit="1" customWidth="1"/>
    <col min="22" max="22" width="13.7109375" style="26" bestFit="1" customWidth="1"/>
    <col min="23" max="23" width="11" style="24" bestFit="1" customWidth="1"/>
    <col min="24" max="25" width="9.7109375" style="24" customWidth="1"/>
    <col min="26" max="26" width="11" style="26" customWidth="1"/>
    <col min="27" max="27" width="12.42578125" style="24" customWidth="1"/>
    <col min="28" max="29" width="11.85546875" style="24" customWidth="1"/>
    <col min="30" max="30" width="11" style="26" bestFit="1" customWidth="1"/>
    <col min="31" max="31" width="11.7109375" style="24" bestFit="1" customWidth="1"/>
    <col min="32" max="32" width="10.5703125" style="24" bestFit="1" customWidth="1"/>
    <col min="33" max="33" width="10.5703125" style="24" customWidth="1"/>
    <col min="34" max="34" width="11.5703125" style="26" bestFit="1" customWidth="1"/>
    <col min="35" max="35" width="13.5703125" style="24" customWidth="1"/>
    <col min="36" max="37" width="11.5703125" style="24" customWidth="1"/>
    <col min="38" max="38" width="10.5703125" style="49" customWidth="1"/>
    <col min="39" max="39" width="9" style="24" customWidth="1"/>
    <col min="40" max="40" width="12" style="24" bestFit="1" customWidth="1"/>
    <col min="41" max="41" width="12" style="24" customWidth="1"/>
    <col min="42" max="42" width="8.42578125" style="26" customWidth="1"/>
    <col min="43" max="43" width="18" style="24" bestFit="1" customWidth="1"/>
    <col min="44" max="44" width="13.85546875" style="24" bestFit="1" customWidth="1"/>
    <col min="45" max="45" width="13.85546875" style="24" customWidth="1"/>
    <col min="46" max="46" width="11.7109375" style="26" customWidth="1"/>
    <col min="47" max="47" width="11.7109375" style="24" customWidth="1"/>
    <col min="48" max="48" width="10.5703125" style="24" bestFit="1" customWidth="1"/>
    <col min="49" max="49" width="10.5703125" style="24" customWidth="1"/>
    <col min="50" max="50" width="9.140625" style="26" bestFit="1" customWidth="1"/>
    <col min="51" max="51" width="9.140625" style="50" bestFit="1" customWidth="1"/>
    <col min="52" max="52" width="10.5703125" style="50" bestFit="1" customWidth="1"/>
    <col min="53" max="53" width="10.5703125" style="50" customWidth="1"/>
    <col min="54" max="54" width="10.7109375" style="26" bestFit="1" customWidth="1"/>
    <col min="55" max="55" width="12.85546875" style="24" bestFit="1" customWidth="1"/>
    <col min="56" max="56" width="10.5703125" style="24" bestFit="1" customWidth="1"/>
    <col min="57" max="57" width="10.5703125" style="24" customWidth="1"/>
    <col min="58" max="58" width="16" style="25" bestFit="1" customWidth="1"/>
    <col min="59" max="59" width="10.7109375" style="24" bestFit="1" customWidth="1"/>
    <col min="60" max="60" width="13" style="23" bestFit="1" customWidth="1"/>
    <col min="61" max="16384" width="9.140625" style="23"/>
  </cols>
  <sheetData>
    <row r="1" spans="3:61" ht="15" customHeight="1" thickBot="1"/>
    <row r="2" spans="3:61" ht="21.75" thickBot="1">
      <c r="C2" s="1899" t="s">
        <v>45</v>
      </c>
      <c r="D2" s="1900"/>
      <c r="E2" s="1900"/>
      <c r="F2" s="1901"/>
      <c r="H2" s="1915"/>
      <c r="I2" s="1567"/>
      <c r="J2" s="1567"/>
      <c r="K2" s="1567"/>
      <c r="L2" s="1020"/>
      <c r="M2" s="1020"/>
      <c r="N2" s="1916" t="s">
        <v>249</v>
      </c>
      <c r="O2" s="1916"/>
      <c r="P2" s="1916"/>
      <c r="Q2" s="1916"/>
      <c r="R2" s="1916"/>
      <c r="S2" s="1916"/>
      <c r="T2" s="1916"/>
      <c r="U2" s="1916"/>
      <c r="V2" s="1916"/>
      <c r="W2" s="1916"/>
      <c r="X2" s="1916"/>
      <c r="Y2" s="1916"/>
      <c r="Z2" s="1916"/>
      <c r="AA2" s="1916"/>
      <c r="AB2" s="1916"/>
      <c r="AC2" s="1916"/>
      <c r="AD2" s="1916"/>
      <c r="AE2" s="1916"/>
      <c r="AF2" s="1916"/>
      <c r="AG2" s="1916"/>
      <c r="AH2" s="1916"/>
      <c r="AI2" s="1916"/>
      <c r="AJ2" s="1916"/>
      <c r="AK2" s="1916"/>
      <c r="AL2" s="1916"/>
      <c r="AM2" s="1916"/>
      <c r="AN2" s="1916"/>
      <c r="AO2" s="1916"/>
      <c r="AP2" s="1916"/>
      <c r="AQ2" s="1916"/>
      <c r="AR2" s="1916"/>
      <c r="AS2" s="1916"/>
      <c r="AT2" s="1916"/>
      <c r="AU2" s="1916"/>
      <c r="AV2" s="1916"/>
      <c r="AW2" s="1916"/>
      <c r="AX2" s="1916"/>
      <c r="AY2" s="1916"/>
      <c r="AZ2" s="1916"/>
      <c r="BA2" s="1020"/>
      <c r="BB2" s="1902" t="s">
        <v>118</v>
      </c>
      <c r="BC2" s="1903"/>
      <c r="BD2" s="1903"/>
      <c r="BE2" s="1903"/>
      <c r="BF2" s="1903"/>
      <c r="BG2" s="1903"/>
      <c r="BH2" s="1903"/>
      <c r="BI2" s="1904"/>
    </row>
    <row r="3" spans="3:61" ht="19.5" thickBot="1">
      <c r="C3" s="1019"/>
      <c r="D3" s="1017"/>
      <c r="E3" s="1017"/>
      <c r="F3" s="1023"/>
      <c r="H3" s="1905" t="s">
        <v>115</v>
      </c>
      <c r="I3" s="1906"/>
      <c r="J3" s="1906"/>
      <c r="K3" s="1906"/>
      <c r="L3" s="1906"/>
      <c r="M3" s="1906"/>
      <c r="N3" s="1906"/>
      <c r="O3" s="1906"/>
      <c r="P3" s="1906"/>
      <c r="Q3" s="1906"/>
      <c r="R3" s="1906"/>
      <c r="S3" s="1906"/>
      <c r="T3" s="1906"/>
      <c r="U3" s="1906"/>
      <c r="V3" s="1906"/>
      <c r="W3" s="1906"/>
      <c r="X3" s="1906"/>
      <c r="Y3" s="1906"/>
      <c r="Z3" s="1906"/>
      <c r="AA3" s="1906"/>
      <c r="AB3" s="1906"/>
      <c r="AC3" s="1906"/>
      <c r="AD3" s="1906"/>
      <c r="AE3" s="1906"/>
      <c r="AF3" s="1906"/>
      <c r="AG3" s="1906"/>
      <c r="AH3" s="1906"/>
      <c r="AI3" s="1906"/>
      <c r="AJ3" s="1906"/>
      <c r="AK3" s="1906"/>
      <c r="AL3" s="1906"/>
      <c r="AM3" s="1906"/>
      <c r="AN3" s="1906"/>
      <c r="AO3" s="1906"/>
      <c r="AP3" s="1906"/>
      <c r="AQ3" s="1906"/>
      <c r="AR3" s="1906"/>
      <c r="AS3" s="1906"/>
      <c r="AT3" s="1906"/>
      <c r="AU3" s="1906"/>
      <c r="AV3" s="1906"/>
      <c r="AW3" s="1906"/>
      <c r="AX3" s="1906"/>
      <c r="AY3" s="1906"/>
      <c r="AZ3" s="1906"/>
      <c r="BA3" s="1906"/>
      <c r="BB3" s="1906"/>
      <c r="BC3" s="1906"/>
      <c r="BD3" s="1906"/>
      <c r="BE3" s="1906"/>
      <c r="BF3" s="1906"/>
      <c r="BG3" s="1906"/>
      <c r="BH3" s="1906"/>
      <c r="BI3" s="1907"/>
    </row>
    <row r="4" spans="3:61" ht="18.75">
      <c r="C4" s="37" t="s">
        <v>44</v>
      </c>
      <c r="D4" s="1869"/>
      <c r="E4" s="1869"/>
      <c r="F4" s="1870"/>
      <c r="H4" s="1908" t="s">
        <v>33</v>
      </c>
      <c r="I4" s="1909"/>
      <c r="J4" s="1871" t="s">
        <v>43</v>
      </c>
      <c r="K4" s="1872"/>
      <c r="L4" s="1872"/>
      <c r="M4" s="1873"/>
      <c r="N4" s="1871" t="s">
        <v>42</v>
      </c>
      <c r="O4" s="1872"/>
      <c r="P4" s="1872"/>
      <c r="Q4" s="1873"/>
      <c r="R4" s="1871" t="s">
        <v>41</v>
      </c>
      <c r="S4" s="1872"/>
      <c r="T4" s="1872"/>
      <c r="U4" s="1873"/>
      <c r="V4" s="1871" t="s">
        <v>40</v>
      </c>
      <c r="W4" s="1872"/>
      <c r="X4" s="1872"/>
      <c r="Y4" s="1873"/>
      <c r="Z4" s="1871" t="s">
        <v>39</v>
      </c>
      <c r="AA4" s="1872"/>
      <c r="AB4" s="1872"/>
      <c r="AC4" s="1873"/>
      <c r="AD4" s="1871" t="s">
        <v>38</v>
      </c>
      <c r="AE4" s="1872"/>
      <c r="AF4" s="1872"/>
      <c r="AG4" s="1873"/>
      <c r="AH4" s="1874" t="s">
        <v>122</v>
      </c>
      <c r="AI4" s="1875"/>
      <c r="AJ4" s="1875"/>
      <c r="AK4" s="1876"/>
      <c r="AL4" s="1871" t="s">
        <v>37</v>
      </c>
      <c r="AM4" s="1872"/>
      <c r="AN4" s="1872"/>
      <c r="AO4" s="1873"/>
      <c r="AP4" s="1871" t="s">
        <v>36</v>
      </c>
      <c r="AQ4" s="1872"/>
      <c r="AR4" s="1872"/>
      <c r="AS4" s="1873"/>
      <c r="AT4" s="1871" t="s">
        <v>35</v>
      </c>
      <c r="AU4" s="1872"/>
      <c r="AV4" s="1872"/>
      <c r="AW4" s="1873"/>
      <c r="AX4" s="1871" t="s">
        <v>34</v>
      </c>
      <c r="AY4" s="1872"/>
      <c r="AZ4" s="1872"/>
      <c r="BA4" s="1873"/>
      <c r="BB4" s="1874" t="s">
        <v>123</v>
      </c>
      <c r="BC4" s="1875"/>
      <c r="BD4" s="1875"/>
      <c r="BE4" s="1876"/>
      <c r="BF4" s="1877" t="s">
        <v>17</v>
      </c>
      <c r="BG4" s="1878"/>
      <c r="BH4" s="1878"/>
      <c r="BI4" s="1878"/>
    </row>
    <row r="5" spans="3:61" ht="15.75" customHeight="1">
      <c r="C5" s="1879" t="s">
        <v>33</v>
      </c>
      <c r="D5" s="1869"/>
      <c r="E5" s="1017" t="s">
        <v>1</v>
      </c>
      <c r="F5" s="1023" t="s">
        <v>2</v>
      </c>
      <c r="H5" s="1910"/>
      <c r="I5" s="1911"/>
      <c r="J5" s="36" t="s">
        <v>1</v>
      </c>
      <c r="K5" s="271" t="s">
        <v>2</v>
      </c>
      <c r="L5" s="693" t="s">
        <v>182</v>
      </c>
      <c r="M5" s="35" t="s">
        <v>247</v>
      </c>
      <c r="N5" s="36" t="s">
        <v>1</v>
      </c>
      <c r="O5" s="271" t="s">
        <v>2</v>
      </c>
      <c r="P5" s="693" t="s">
        <v>182</v>
      </c>
      <c r="Q5" s="35" t="s">
        <v>247</v>
      </c>
      <c r="R5" s="36" t="s">
        <v>1</v>
      </c>
      <c r="S5" s="271" t="s">
        <v>2</v>
      </c>
      <c r="T5" s="693" t="s">
        <v>182</v>
      </c>
      <c r="U5" s="35" t="s">
        <v>247</v>
      </c>
      <c r="V5" s="36" t="s">
        <v>1</v>
      </c>
      <c r="W5" s="271" t="s">
        <v>2</v>
      </c>
      <c r="X5" s="693" t="s">
        <v>182</v>
      </c>
      <c r="Y5" s="35" t="s">
        <v>247</v>
      </c>
      <c r="Z5" s="36" t="s">
        <v>1</v>
      </c>
      <c r="AA5" s="271" t="s">
        <v>2</v>
      </c>
      <c r="AB5" s="693" t="s">
        <v>182</v>
      </c>
      <c r="AC5" s="35" t="s">
        <v>247</v>
      </c>
      <c r="AD5" s="36" t="s">
        <v>1</v>
      </c>
      <c r="AE5" s="271" t="s">
        <v>2</v>
      </c>
      <c r="AF5" s="693" t="s">
        <v>182</v>
      </c>
      <c r="AG5" s="35" t="s">
        <v>247</v>
      </c>
      <c r="AH5" s="36" t="s">
        <v>1</v>
      </c>
      <c r="AI5" s="271" t="s">
        <v>2</v>
      </c>
      <c r="AJ5" s="271" t="s">
        <v>182</v>
      </c>
      <c r="AK5" s="690" t="s">
        <v>196</v>
      </c>
      <c r="AL5" s="36" t="s">
        <v>1</v>
      </c>
      <c r="AM5" s="271" t="s">
        <v>2</v>
      </c>
      <c r="AN5" s="693" t="s">
        <v>182</v>
      </c>
      <c r="AO5" s="35" t="s">
        <v>247</v>
      </c>
      <c r="AP5" s="36" t="s">
        <v>1</v>
      </c>
      <c r="AQ5" s="271" t="s">
        <v>2</v>
      </c>
      <c r="AR5" s="693" t="s">
        <v>182</v>
      </c>
      <c r="AS5" s="35" t="s">
        <v>247</v>
      </c>
      <c r="AT5" s="36" t="s">
        <v>1</v>
      </c>
      <c r="AU5" s="271" t="s">
        <v>2</v>
      </c>
      <c r="AV5" s="693" t="s">
        <v>182</v>
      </c>
      <c r="AW5" s="35" t="s">
        <v>247</v>
      </c>
      <c r="AX5" s="36" t="s">
        <v>1</v>
      </c>
      <c r="AY5" s="271" t="s">
        <v>2</v>
      </c>
      <c r="AZ5" s="693" t="s">
        <v>182</v>
      </c>
      <c r="BA5" s="35" t="s">
        <v>247</v>
      </c>
      <c r="BB5" s="36" t="s">
        <v>1</v>
      </c>
      <c r="BC5" s="271" t="s">
        <v>2</v>
      </c>
      <c r="BD5" s="271" t="s">
        <v>182</v>
      </c>
      <c r="BE5" s="690" t="s">
        <v>196</v>
      </c>
      <c r="BF5" s="274" t="s">
        <v>1</v>
      </c>
      <c r="BG5" s="275" t="s">
        <v>2</v>
      </c>
      <c r="BH5" s="275" t="s">
        <v>182</v>
      </c>
      <c r="BI5" s="698" t="s">
        <v>196</v>
      </c>
    </row>
    <row r="6" spans="3:61" s="28" customFormat="1" ht="20.100000000000001" customHeight="1">
      <c r="C6" s="1879" t="s">
        <v>19</v>
      </c>
      <c r="D6" s="1017" t="s">
        <v>32</v>
      </c>
      <c r="E6" s="1017"/>
      <c r="F6" s="1018"/>
      <c r="H6" s="1886" t="s">
        <v>32</v>
      </c>
      <c r="I6" s="33" t="s">
        <v>32</v>
      </c>
      <c r="J6" s="462">
        <v>35</v>
      </c>
      <c r="K6" s="463">
        <v>17</v>
      </c>
      <c r="L6" s="463">
        <v>2</v>
      </c>
      <c r="M6" s="691">
        <v>53</v>
      </c>
      <c r="N6" s="462">
        <v>13</v>
      </c>
      <c r="O6" s="463"/>
      <c r="P6" s="463"/>
      <c r="Q6" s="691"/>
      <c r="R6" s="462">
        <v>23</v>
      </c>
      <c r="S6" s="463">
        <f>23+8</f>
        <v>31</v>
      </c>
      <c r="T6" s="463"/>
      <c r="U6" s="691">
        <v>5</v>
      </c>
      <c r="V6" s="462">
        <v>4</v>
      </c>
      <c r="W6" s="463">
        <v>2</v>
      </c>
      <c r="X6" s="463">
        <v>2</v>
      </c>
      <c r="Y6" s="691"/>
      <c r="Z6" s="462"/>
      <c r="AA6" s="463"/>
      <c r="AB6" s="463"/>
      <c r="AC6" s="691"/>
      <c r="AD6" s="462">
        <v>20</v>
      </c>
      <c r="AE6" s="463">
        <v>33.26</v>
      </c>
      <c r="AF6" s="463">
        <v>33.26</v>
      </c>
      <c r="AG6" s="691">
        <v>5</v>
      </c>
      <c r="AH6" s="128">
        <f>J6+N6+R6+V6+Z6+AD6</f>
        <v>95</v>
      </c>
      <c r="AI6" s="273">
        <f>K6+O6+S6+W6+AA6+AE6</f>
        <v>83.259999999999991</v>
      </c>
      <c r="AJ6" s="273">
        <f>L6+P6+T6+X6+AB6+AF6</f>
        <v>37.26</v>
      </c>
      <c r="AK6" s="694">
        <f>M6+Q6+U6+Y6+AC6+AG6</f>
        <v>63</v>
      </c>
      <c r="AL6" s="462">
        <v>35</v>
      </c>
      <c r="AM6" s="463">
        <v>1</v>
      </c>
      <c r="AN6" s="463">
        <v>1</v>
      </c>
      <c r="AO6" s="691"/>
      <c r="AP6" s="462">
        <v>3</v>
      </c>
      <c r="AQ6" s="463">
        <v>1.7</v>
      </c>
      <c r="AR6" s="463">
        <v>1.7</v>
      </c>
      <c r="AS6" s="691"/>
      <c r="AT6" s="462">
        <v>7</v>
      </c>
      <c r="AU6" s="463">
        <v>27.74</v>
      </c>
      <c r="AV6" s="463">
        <v>27.74</v>
      </c>
      <c r="AW6" s="691"/>
      <c r="AX6" s="462">
        <f>9+12</f>
        <v>21</v>
      </c>
      <c r="AY6" s="463">
        <v>7</v>
      </c>
      <c r="AZ6" s="463">
        <v>7</v>
      </c>
      <c r="BA6" s="691">
        <v>6</v>
      </c>
      <c r="BB6" s="128">
        <f>AL6+AP6+AT6+AX6</f>
        <v>66</v>
      </c>
      <c r="BC6" s="273">
        <f>AM6+AQ6+AU6+AY6</f>
        <v>37.44</v>
      </c>
      <c r="BD6" s="273">
        <f>AN6+AR6+AV6+AZ6</f>
        <v>37.44</v>
      </c>
      <c r="BE6" s="273">
        <f>AO6+AS6+AW6+BA6</f>
        <v>6</v>
      </c>
      <c r="BF6" s="276">
        <f>AH6+BB6</f>
        <v>161</v>
      </c>
      <c r="BG6" s="277">
        <f>AI6+BC6</f>
        <v>120.69999999999999</v>
      </c>
      <c r="BH6" s="701">
        <f>AJ6+BD6</f>
        <v>74.699999999999989</v>
      </c>
      <c r="BI6" s="699">
        <f>AK6+BE6</f>
        <v>69</v>
      </c>
    </row>
    <row r="7" spans="3:61" s="28" customFormat="1" ht="20.100000000000001" customHeight="1">
      <c r="C7" s="1879"/>
      <c r="D7" s="1017" t="s">
        <v>31</v>
      </c>
      <c r="E7" s="1017"/>
      <c r="F7" s="1018"/>
      <c r="H7" s="1887"/>
      <c r="I7" s="33" t="s">
        <v>31</v>
      </c>
      <c r="J7" s="462"/>
      <c r="K7" s="463"/>
      <c r="L7" s="463"/>
      <c r="M7" s="691"/>
      <c r="N7" s="462"/>
      <c r="O7" s="463"/>
      <c r="P7" s="463"/>
      <c r="Q7" s="691"/>
      <c r="R7" s="462"/>
      <c r="S7" s="463"/>
      <c r="T7" s="463"/>
      <c r="U7" s="691"/>
      <c r="V7" s="462"/>
      <c r="W7" s="463"/>
      <c r="X7" s="463"/>
      <c r="Y7" s="691"/>
      <c r="Z7" s="462"/>
      <c r="AA7" s="463"/>
      <c r="AB7" s="463"/>
      <c r="AC7" s="691"/>
      <c r="AD7" s="462"/>
      <c r="AE7" s="463"/>
      <c r="AF7" s="463"/>
      <c r="AG7" s="691"/>
      <c r="AH7" s="128">
        <f t="shared" ref="AH7:AK9" si="0">J7+N7+R7+V7+Z7+AD7</f>
        <v>0</v>
      </c>
      <c r="AI7" s="273">
        <f t="shared" si="0"/>
        <v>0</v>
      </c>
      <c r="AJ7" s="273">
        <f t="shared" si="0"/>
        <v>0</v>
      </c>
      <c r="AK7" s="694">
        <f t="shared" si="0"/>
        <v>0</v>
      </c>
      <c r="AL7" s="462"/>
      <c r="AM7" s="463"/>
      <c r="AN7" s="463"/>
      <c r="AO7" s="691"/>
      <c r="AP7" s="462"/>
      <c r="AQ7" s="463"/>
      <c r="AR7" s="463"/>
      <c r="AS7" s="691"/>
      <c r="AT7" s="462"/>
      <c r="AU7" s="463"/>
      <c r="AV7" s="463"/>
      <c r="AW7" s="691"/>
      <c r="AX7" s="462"/>
      <c r="AY7" s="463"/>
      <c r="AZ7" s="463"/>
      <c r="BA7" s="691"/>
      <c r="BB7" s="128">
        <f t="shared" ref="BB7:BE9" si="1">AL7+AP7+AT7+AX7</f>
        <v>0</v>
      </c>
      <c r="BC7" s="273">
        <f t="shared" si="1"/>
        <v>0</v>
      </c>
      <c r="BD7" s="273">
        <f t="shared" si="1"/>
        <v>0</v>
      </c>
      <c r="BE7" s="273">
        <f t="shared" si="1"/>
        <v>0</v>
      </c>
      <c r="BF7" s="276">
        <f t="shared" ref="BF7:BI9" si="2">AH7+BB7</f>
        <v>0</v>
      </c>
      <c r="BG7" s="277">
        <f t="shared" si="2"/>
        <v>0</v>
      </c>
      <c r="BH7" s="277">
        <f t="shared" si="2"/>
        <v>0</v>
      </c>
      <c r="BI7" s="699">
        <f t="shared" si="2"/>
        <v>0</v>
      </c>
    </row>
    <row r="8" spans="3:61" s="28" customFormat="1" ht="20.100000000000001" customHeight="1">
      <c r="C8" s="1879"/>
      <c r="D8" s="1017" t="s">
        <v>30</v>
      </c>
      <c r="E8" s="1017"/>
      <c r="F8" s="1018"/>
      <c r="H8" s="1887"/>
      <c r="I8" s="33" t="s">
        <v>30</v>
      </c>
      <c r="J8" s="462">
        <v>5</v>
      </c>
      <c r="K8" s="463"/>
      <c r="L8" s="463"/>
      <c r="M8" s="691"/>
      <c r="N8" s="462"/>
      <c r="O8" s="463"/>
      <c r="P8" s="463"/>
      <c r="Q8" s="691"/>
      <c r="R8" s="462"/>
      <c r="S8" s="463"/>
      <c r="T8" s="463"/>
      <c r="U8" s="691"/>
      <c r="V8" s="462">
        <v>5</v>
      </c>
      <c r="W8" s="463"/>
      <c r="X8" s="463"/>
      <c r="Y8" s="691"/>
      <c r="Z8" s="462"/>
      <c r="AA8" s="463"/>
      <c r="AB8" s="463"/>
      <c r="AC8" s="691"/>
      <c r="AD8" s="462">
        <v>10</v>
      </c>
      <c r="AE8" s="463"/>
      <c r="AF8" s="463"/>
      <c r="AG8" s="691"/>
      <c r="AH8" s="128">
        <f t="shared" si="0"/>
        <v>20</v>
      </c>
      <c r="AI8" s="273">
        <f t="shared" si="0"/>
        <v>0</v>
      </c>
      <c r="AJ8" s="273">
        <f t="shared" si="0"/>
        <v>0</v>
      </c>
      <c r="AK8" s="694">
        <f t="shared" si="0"/>
        <v>0</v>
      </c>
      <c r="AL8" s="462"/>
      <c r="AM8" s="463">
        <v>20</v>
      </c>
      <c r="AN8" s="463">
        <v>20</v>
      </c>
      <c r="AO8" s="691"/>
      <c r="AP8" s="462"/>
      <c r="AQ8" s="463"/>
      <c r="AR8" s="463"/>
      <c r="AS8" s="691"/>
      <c r="AT8" s="462">
        <v>8</v>
      </c>
      <c r="AU8" s="463"/>
      <c r="AV8" s="463"/>
      <c r="AW8" s="691"/>
      <c r="AX8" s="462">
        <v>5</v>
      </c>
      <c r="AY8" s="463">
        <v>16</v>
      </c>
      <c r="AZ8" s="463">
        <v>16</v>
      </c>
      <c r="BA8" s="691"/>
      <c r="BB8" s="128">
        <f t="shared" si="1"/>
        <v>13</v>
      </c>
      <c r="BC8" s="273">
        <f t="shared" si="1"/>
        <v>36</v>
      </c>
      <c r="BD8" s="273">
        <f t="shared" si="1"/>
        <v>36</v>
      </c>
      <c r="BE8" s="273">
        <f t="shared" si="1"/>
        <v>0</v>
      </c>
      <c r="BF8" s="276">
        <f t="shared" si="2"/>
        <v>33</v>
      </c>
      <c r="BG8" s="277">
        <f t="shared" si="2"/>
        <v>36</v>
      </c>
      <c r="BH8" s="277">
        <f t="shared" si="2"/>
        <v>36</v>
      </c>
      <c r="BI8" s="699">
        <f t="shared" si="2"/>
        <v>0</v>
      </c>
    </row>
    <row r="9" spans="3:61" s="28" customFormat="1" ht="20.100000000000001" customHeight="1">
      <c r="C9" s="1885"/>
      <c r="D9" s="1017" t="s">
        <v>29</v>
      </c>
      <c r="E9" s="1017"/>
      <c r="F9" s="1018"/>
      <c r="H9" s="1887"/>
      <c r="I9" s="33" t="s">
        <v>109</v>
      </c>
      <c r="J9" s="462"/>
      <c r="K9" s="463"/>
      <c r="L9" s="463"/>
      <c r="M9" s="691"/>
      <c r="N9" s="462"/>
      <c r="O9" s="463"/>
      <c r="P9" s="463"/>
      <c r="Q9" s="691"/>
      <c r="R9" s="462"/>
      <c r="S9" s="463"/>
      <c r="T9" s="463"/>
      <c r="U9" s="691"/>
      <c r="V9" s="462">
        <v>1</v>
      </c>
      <c r="W9" s="463">
        <v>1</v>
      </c>
      <c r="X9" s="463">
        <v>1</v>
      </c>
      <c r="Y9" s="691"/>
      <c r="Z9" s="462"/>
      <c r="AA9" s="463">
        <v>0.5</v>
      </c>
      <c r="AB9" s="463">
        <v>0.5</v>
      </c>
      <c r="AC9" s="691"/>
      <c r="AD9" s="462"/>
      <c r="AE9" s="463"/>
      <c r="AF9" s="463"/>
      <c r="AG9" s="691"/>
      <c r="AH9" s="128">
        <f t="shared" si="0"/>
        <v>1</v>
      </c>
      <c r="AI9" s="273">
        <f t="shared" si="0"/>
        <v>1.5</v>
      </c>
      <c r="AJ9" s="273">
        <f t="shared" si="0"/>
        <v>1.5</v>
      </c>
      <c r="AK9" s="694">
        <f t="shared" si="0"/>
        <v>0</v>
      </c>
      <c r="AL9" s="462"/>
      <c r="AM9" s="463"/>
      <c r="AN9" s="463"/>
      <c r="AO9" s="691"/>
      <c r="AP9" s="462"/>
      <c r="AQ9" s="463"/>
      <c r="AR9" s="463"/>
      <c r="AS9" s="691"/>
      <c r="AT9" s="462"/>
      <c r="AU9" s="463"/>
      <c r="AV9" s="463"/>
      <c r="AW9" s="691"/>
      <c r="AX9" s="462"/>
      <c r="AY9" s="463"/>
      <c r="AZ9" s="463"/>
      <c r="BA9" s="691"/>
      <c r="BB9" s="128">
        <f t="shared" si="1"/>
        <v>0</v>
      </c>
      <c r="BC9" s="273">
        <f t="shared" si="1"/>
        <v>0</v>
      </c>
      <c r="BD9" s="273">
        <f t="shared" si="1"/>
        <v>0</v>
      </c>
      <c r="BE9" s="273">
        <f t="shared" si="1"/>
        <v>0</v>
      </c>
      <c r="BF9" s="276">
        <f t="shared" si="2"/>
        <v>1</v>
      </c>
      <c r="BG9" s="277">
        <f t="shared" si="2"/>
        <v>1.5</v>
      </c>
      <c r="BH9" s="277">
        <f t="shared" si="2"/>
        <v>1.5</v>
      </c>
      <c r="BI9" s="699">
        <f t="shared" si="2"/>
        <v>0</v>
      </c>
    </row>
    <row r="10" spans="3:61" s="28" customFormat="1" ht="19.5" customHeight="1" thickBot="1">
      <c r="C10" s="32"/>
      <c r="D10" s="31" t="s">
        <v>18</v>
      </c>
      <c r="E10" s="31"/>
      <c r="F10" s="30"/>
      <c r="H10" s="1865" t="s">
        <v>47</v>
      </c>
      <c r="I10" s="1866"/>
      <c r="J10" s="118">
        <f t="shared" ref="J10:BG10" si="3">SUM(J6:J9)</f>
        <v>40</v>
      </c>
      <c r="K10" s="272">
        <f t="shared" si="3"/>
        <v>17</v>
      </c>
      <c r="L10" s="272">
        <f t="shared" si="3"/>
        <v>2</v>
      </c>
      <c r="M10" s="272">
        <f t="shared" si="3"/>
        <v>53</v>
      </c>
      <c r="N10" s="118">
        <f t="shared" si="3"/>
        <v>13</v>
      </c>
      <c r="O10" s="272">
        <f t="shared" si="3"/>
        <v>0</v>
      </c>
      <c r="P10" s="272">
        <f t="shared" si="3"/>
        <v>0</v>
      </c>
      <c r="Q10" s="272">
        <f t="shared" si="3"/>
        <v>0</v>
      </c>
      <c r="R10" s="118">
        <f t="shared" si="3"/>
        <v>23</v>
      </c>
      <c r="S10" s="272">
        <f t="shared" si="3"/>
        <v>31</v>
      </c>
      <c r="T10" s="272">
        <f t="shared" si="3"/>
        <v>0</v>
      </c>
      <c r="U10" s="272">
        <f t="shared" si="3"/>
        <v>5</v>
      </c>
      <c r="V10" s="118">
        <f t="shared" si="3"/>
        <v>10</v>
      </c>
      <c r="W10" s="272">
        <f t="shared" si="3"/>
        <v>3</v>
      </c>
      <c r="X10" s="272">
        <f t="shared" si="3"/>
        <v>3</v>
      </c>
      <c r="Y10" s="272">
        <f t="shared" si="3"/>
        <v>0</v>
      </c>
      <c r="Z10" s="118">
        <f t="shared" si="3"/>
        <v>0</v>
      </c>
      <c r="AA10" s="272">
        <f t="shared" si="3"/>
        <v>0.5</v>
      </c>
      <c r="AB10" s="272">
        <f t="shared" si="3"/>
        <v>0.5</v>
      </c>
      <c r="AC10" s="272">
        <f t="shared" si="3"/>
        <v>0</v>
      </c>
      <c r="AD10" s="118">
        <f t="shared" si="3"/>
        <v>30</v>
      </c>
      <c r="AE10" s="272">
        <f t="shared" si="3"/>
        <v>33.26</v>
      </c>
      <c r="AF10" s="272">
        <f t="shared" si="3"/>
        <v>33.26</v>
      </c>
      <c r="AG10" s="272">
        <f t="shared" si="3"/>
        <v>5</v>
      </c>
      <c r="AH10" s="118">
        <f t="shared" si="3"/>
        <v>116</v>
      </c>
      <c r="AI10" s="272">
        <f t="shared" si="3"/>
        <v>84.759999999999991</v>
      </c>
      <c r="AJ10" s="272">
        <f>SUM(AJ6:AJ9)</f>
        <v>38.76</v>
      </c>
      <c r="AK10" s="695">
        <f>SUM(AK6:AK9)</f>
        <v>63</v>
      </c>
      <c r="AL10" s="118">
        <f t="shared" si="3"/>
        <v>35</v>
      </c>
      <c r="AM10" s="272">
        <f t="shared" si="3"/>
        <v>21</v>
      </c>
      <c r="AN10" s="272">
        <f t="shared" si="3"/>
        <v>21</v>
      </c>
      <c r="AO10" s="272">
        <f t="shared" si="3"/>
        <v>0</v>
      </c>
      <c r="AP10" s="118">
        <f t="shared" si="3"/>
        <v>3</v>
      </c>
      <c r="AQ10" s="272">
        <f t="shared" si="3"/>
        <v>1.7</v>
      </c>
      <c r="AR10" s="272">
        <f t="shared" si="3"/>
        <v>1.7</v>
      </c>
      <c r="AS10" s="272">
        <f t="shared" si="3"/>
        <v>0</v>
      </c>
      <c r="AT10" s="118">
        <f t="shared" si="3"/>
        <v>15</v>
      </c>
      <c r="AU10" s="272">
        <f t="shared" si="3"/>
        <v>27.74</v>
      </c>
      <c r="AV10" s="272">
        <f t="shared" si="3"/>
        <v>27.74</v>
      </c>
      <c r="AW10" s="272">
        <f t="shared" si="3"/>
        <v>0</v>
      </c>
      <c r="AX10" s="118">
        <f t="shared" si="3"/>
        <v>26</v>
      </c>
      <c r="AY10" s="272">
        <f t="shared" si="3"/>
        <v>23</v>
      </c>
      <c r="AZ10" s="272">
        <f t="shared" si="3"/>
        <v>23</v>
      </c>
      <c r="BA10" s="272">
        <f t="shared" si="3"/>
        <v>6</v>
      </c>
      <c r="BB10" s="118">
        <f t="shared" si="3"/>
        <v>79</v>
      </c>
      <c r="BC10" s="272">
        <f t="shared" si="3"/>
        <v>73.44</v>
      </c>
      <c r="BD10" s="272">
        <f t="shared" si="3"/>
        <v>73.44</v>
      </c>
      <c r="BE10" s="272">
        <f t="shared" si="3"/>
        <v>6</v>
      </c>
      <c r="BF10" s="278">
        <f t="shared" si="3"/>
        <v>195</v>
      </c>
      <c r="BG10" s="279">
        <f t="shared" si="3"/>
        <v>158.19999999999999</v>
      </c>
      <c r="BH10" s="702">
        <f>AJ10+BD10</f>
        <v>112.19999999999999</v>
      </c>
      <c r="BI10" s="700">
        <f>AK10+BE10</f>
        <v>69</v>
      </c>
    </row>
    <row r="11" spans="3:61" s="119" customFormat="1" ht="5.25" customHeight="1">
      <c r="D11" s="120"/>
      <c r="E11" s="120"/>
      <c r="F11" s="120"/>
      <c r="H11" s="122"/>
      <c r="I11" s="122"/>
      <c r="J11" s="125"/>
      <c r="K11" s="126"/>
      <c r="L11" s="126"/>
      <c r="M11" s="126"/>
      <c r="N11" s="125"/>
      <c r="O11" s="126"/>
      <c r="P11" s="126"/>
      <c r="Q11" s="126"/>
      <c r="R11" s="125"/>
      <c r="S11" s="126"/>
      <c r="T11" s="126"/>
      <c r="U11" s="126"/>
      <c r="V11" s="125"/>
      <c r="W11" s="126"/>
      <c r="X11" s="126"/>
      <c r="Y11" s="126"/>
      <c r="Z11" s="125"/>
      <c r="AA11" s="126"/>
      <c r="AB11" s="126"/>
      <c r="AC11" s="126"/>
      <c r="AD11" s="125"/>
      <c r="AE11" s="126"/>
      <c r="AF11" s="126"/>
      <c r="AG11" s="126"/>
      <c r="AH11" s="125"/>
      <c r="AI11" s="126"/>
      <c r="AJ11" s="126"/>
      <c r="AK11" s="126"/>
      <c r="AL11" s="125"/>
      <c r="AM11" s="126"/>
      <c r="AN11" s="126"/>
      <c r="AO11" s="126"/>
      <c r="AP11" s="125"/>
      <c r="AQ11" s="126"/>
      <c r="AR11" s="126"/>
      <c r="AS11" s="126"/>
      <c r="AT11" s="125"/>
      <c r="AU11" s="126"/>
      <c r="AV11" s="126"/>
      <c r="AW11" s="126"/>
      <c r="AX11" s="125"/>
      <c r="AY11" s="126"/>
      <c r="AZ11" s="126"/>
      <c r="BA11" s="126"/>
      <c r="BB11" s="125"/>
      <c r="BC11" s="126"/>
      <c r="BD11" s="126"/>
      <c r="BE11" s="126"/>
      <c r="BF11" s="125"/>
      <c r="BG11" s="126"/>
    </row>
    <row r="12" spans="3:61" ht="19.5" thickBot="1">
      <c r="C12" s="1019"/>
      <c r="D12" s="1017"/>
      <c r="E12" s="1017"/>
      <c r="F12" s="1023"/>
      <c r="H12" s="1867" t="s">
        <v>114</v>
      </c>
      <c r="I12" s="1868"/>
      <c r="J12" s="1868"/>
      <c r="K12" s="1868"/>
      <c r="L12" s="1868"/>
      <c r="M12" s="1868"/>
      <c r="N12" s="1868"/>
      <c r="O12" s="1868"/>
      <c r="P12" s="1868"/>
      <c r="Q12" s="1868"/>
      <c r="R12" s="1868"/>
      <c r="S12" s="1868"/>
      <c r="T12" s="1868"/>
      <c r="U12" s="1868"/>
      <c r="V12" s="1868"/>
      <c r="W12" s="1868"/>
      <c r="X12" s="1868"/>
      <c r="Y12" s="1868"/>
      <c r="Z12" s="1868"/>
      <c r="AA12" s="1868"/>
      <c r="AB12" s="1868"/>
      <c r="AC12" s="1868"/>
      <c r="AD12" s="1868"/>
      <c r="AE12" s="1868"/>
      <c r="AF12" s="1868"/>
      <c r="AG12" s="1868"/>
      <c r="AH12" s="1868"/>
      <c r="AI12" s="1868"/>
      <c r="AJ12" s="1868"/>
      <c r="AK12" s="1868"/>
      <c r="AL12" s="1868"/>
      <c r="AM12" s="1868"/>
      <c r="AN12" s="1868"/>
      <c r="AO12" s="1868"/>
      <c r="AP12" s="1868"/>
      <c r="AQ12" s="1868"/>
      <c r="AR12" s="1868"/>
      <c r="AS12" s="1868"/>
      <c r="AT12" s="1868"/>
      <c r="AU12" s="1868"/>
      <c r="AV12" s="1868"/>
      <c r="AW12" s="1868"/>
      <c r="AX12" s="1868"/>
      <c r="AY12" s="1868"/>
      <c r="AZ12" s="1868"/>
      <c r="BA12" s="1868"/>
      <c r="BB12" s="1868"/>
      <c r="BC12" s="1868"/>
      <c r="BD12" s="1868"/>
      <c r="BE12" s="1868"/>
      <c r="BF12" s="1868"/>
      <c r="BG12" s="1868"/>
      <c r="BH12" s="1868"/>
      <c r="BI12" s="1868"/>
    </row>
    <row r="13" spans="3:61" ht="18.75" customHeight="1">
      <c r="C13" s="37" t="s">
        <v>44</v>
      </c>
      <c r="D13" s="1869"/>
      <c r="E13" s="1869"/>
      <c r="F13" s="1870"/>
      <c r="H13" s="1895" t="s">
        <v>117</v>
      </c>
      <c r="I13" s="1896"/>
      <c r="J13" s="1890" t="s">
        <v>43</v>
      </c>
      <c r="K13" s="1891"/>
      <c r="L13" s="1891"/>
      <c r="M13" s="1892"/>
      <c r="N13" s="1890" t="s">
        <v>42</v>
      </c>
      <c r="O13" s="1891"/>
      <c r="P13" s="1891"/>
      <c r="Q13" s="1892"/>
      <c r="R13" s="1890" t="s">
        <v>41</v>
      </c>
      <c r="S13" s="1891"/>
      <c r="T13" s="1891"/>
      <c r="U13" s="1892"/>
      <c r="V13" s="1890" t="s">
        <v>40</v>
      </c>
      <c r="W13" s="1891"/>
      <c r="X13" s="1891"/>
      <c r="Y13" s="1892"/>
      <c r="Z13" s="1890" t="s">
        <v>39</v>
      </c>
      <c r="AA13" s="1891"/>
      <c r="AB13" s="1891"/>
      <c r="AC13" s="1892"/>
      <c r="AD13" s="1890" t="s">
        <v>38</v>
      </c>
      <c r="AE13" s="1891"/>
      <c r="AF13" s="1891"/>
      <c r="AG13" s="1892"/>
      <c r="AH13" s="1882" t="s">
        <v>122</v>
      </c>
      <c r="AI13" s="1883"/>
      <c r="AJ13" s="1883"/>
      <c r="AK13" s="1884"/>
      <c r="AL13" s="1890" t="s">
        <v>37</v>
      </c>
      <c r="AM13" s="1891"/>
      <c r="AN13" s="1891"/>
      <c r="AO13" s="1892"/>
      <c r="AP13" s="1890" t="s">
        <v>36</v>
      </c>
      <c r="AQ13" s="1891"/>
      <c r="AR13" s="1891"/>
      <c r="AS13" s="1892"/>
      <c r="AT13" s="1890" t="s">
        <v>35</v>
      </c>
      <c r="AU13" s="1891"/>
      <c r="AV13" s="1891"/>
      <c r="AW13" s="1892"/>
      <c r="AX13" s="1890" t="s">
        <v>34</v>
      </c>
      <c r="AY13" s="1891"/>
      <c r="AZ13" s="1891"/>
      <c r="BA13" s="1892"/>
      <c r="BB13" s="1882" t="s">
        <v>123</v>
      </c>
      <c r="BC13" s="1883"/>
      <c r="BD13" s="1883"/>
      <c r="BE13" s="1884"/>
      <c r="BF13" s="1880" t="s">
        <v>17</v>
      </c>
      <c r="BG13" s="1881"/>
      <c r="BH13" s="1881"/>
      <c r="BI13" s="1881"/>
    </row>
    <row r="14" spans="3:61" ht="27" customHeight="1">
      <c r="C14" s="1879" t="s">
        <v>33</v>
      </c>
      <c r="D14" s="1869"/>
      <c r="E14" s="1017" t="s">
        <v>1</v>
      </c>
      <c r="F14" s="1023" t="s">
        <v>2</v>
      </c>
      <c r="H14" s="1897"/>
      <c r="I14" s="1898"/>
      <c r="J14" s="36" t="s">
        <v>1</v>
      </c>
      <c r="K14" s="271" t="s">
        <v>2</v>
      </c>
      <c r="L14" s="271" t="s">
        <v>182</v>
      </c>
      <c r="M14" s="35" t="s">
        <v>247</v>
      </c>
      <c r="N14" s="36" t="s">
        <v>1</v>
      </c>
      <c r="O14" s="271" t="s">
        <v>2</v>
      </c>
      <c r="P14" s="271" t="s">
        <v>182</v>
      </c>
      <c r="Q14" s="35" t="s">
        <v>247</v>
      </c>
      <c r="R14" s="36" t="s">
        <v>1</v>
      </c>
      <c r="S14" s="271" t="s">
        <v>2</v>
      </c>
      <c r="T14" s="271" t="s">
        <v>182</v>
      </c>
      <c r="U14" s="35" t="s">
        <v>247</v>
      </c>
      <c r="V14" s="36" t="s">
        <v>1</v>
      </c>
      <c r="W14" s="271" t="s">
        <v>2</v>
      </c>
      <c r="X14" s="271" t="s">
        <v>182</v>
      </c>
      <c r="Y14" s="35" t="s">
        <v>247</v>
      </c>
      <c r="Z14" s="36" t="s">
        <v>1</v>
      </c>
      <c r="AA14" s="271" t="s">
        <v>2</v>
      </c>
      <c r="AB14" s="271" t="s">
        <v>182</v>
      </c>
      <c r="AC14" s="35" t="s">
        <v>247</v>
      </c>
      <c r="AD14" s="36" t="s">
        <v>1</v>
      </c>
      <c r="AE14" s="271" t="s">
        <v>2</v>
      </c>
      <c r="AF14" s="271" t="s">
        <v>182</v>
      </c>
      <c r="AG14" s="35" t="s">
        <v>247</v>
      </c>
      <c r="AH14" s="36" t="s">
        <v>1</v>
      </c>
      <c r="AI14" s="271" t="s">
        <v>2</v>
      </c>
      <c r="AJ14" s="271" t="s">
        <v>182</v>
      </c>
      <c r="AK14" s="690" t="s">
        <v>196</v>
      </c>
      <c r="AL14" s="36" t="s">
        <v>1</v>
      </c>
      <c r="AM14" s="271" t="s">
        <v>2</v>
      </c>
      <c r="AN14" s="271" t="s">
        <v>182</v>
      </c>
      <c r="AO14" s="35" t="s">
        <v>247</v>
      </c>
      <c r="AP14" s="36" t="s">
        <v>1</v>
      </c>
      <c r="AQ14" s="271" t="s">
        <v>2</v>
      </c>
      <c r="AR14" s="271" t="s">
        <v>182</v>
      </c>
      <c r="AS14" s="35" t="s">
        <v>247</v>
      </c>
      <c r="AT14" s="36" t="s">
        <v>1</v>
      </c>
      <c r="AU14" s="271" t="s">
        <v>2</v>
      </c>
      <c r="AV14" s="271" t="s">
        <v>182</v>
      </c>
      <c r="AW14" s="35" t="s">
        <v>247</v>
      </c>
      <c r="AX14" s="36" t="s">
        <v>1</v>
      </c>
      <c r="AY14" s="271" t="s">
        <v>2</v>
      </c>
      <c r="AZ14" s="271" t="s">
        <v>182</v>
      </c>
      <c r="BA14" s="35" t="s">
        <v>247</v>
      </c>
      <c r="BB14" s="36" t="s">
        <v>1</v>
      </c>
      <c r="BC14" s="271" t="s">
        <v>2</v>
      </c>
      <c r="BD14" s="271" t="s">
        <v>182</v>
      </c>
      <c r="BE14" s="690" t="s">
        <v>196</v>
      </c>
      <c r="BF14" s="274" t="s">
        <v>1</v>
      </c>
      <c r="BG14" s="275" t="s">
        <v>2</v>
      </c>
      <c r="BH14" s="275" t="s">
        <v>182</v>
      </c>
      <c r="BI14" s="703" t="s">
        <v>196</v>
      </c>
    </row>
    <row r="15" spans="3:61" s="28" customFormat="1" ht="20.100000000000001" customHeight="1">
      <c r="C15" s="1879" t="s">
        <v>28</v>
      </c>
      <c r="D15" s="1017" t="s">
        <v>27</v>
      </c>
      <c r="E15" s="1021"/>
      <c r="F15" s="34"/>
      <c r="H15" s="1888" t="s">
        <v>112</v>
      </c>
      <c r="I15" s="33" t="s">
        <v>27</v>
      </c>
      <c r="J15" s="462"/>
      <c r="K15" s="463"/>
      <c r="L15" s="463"/>
      <c r="M15" s="692"/>
      <c r="N15" s="462"/>
      <c r="O15" s="463"/>
      <c r="P15" s="463"/>
      <c r="Q15" s="692"/>
      <c r="R15" s="462"/>
      <c r="S15" s="463"/>
      <c r="T15" s="463"/>
      <c r="U15" s="692"/>
      <c r="V15" s="462"/>
      <c r="W15" s="463"/>
      <c r="X15" s="463"/>
      <c r="Y15" s="692"/>
      <c r="Z15" s="462"/>
      <c r="AA15" s="463"/>
      <c r="AB15" s="463"/>
      <c r="AC15" s="692"/>
      <c r="AD15" s="462"/>
      <c r="AE15" s="463"/>
      <c r="AF15" s="463"/>
      <c r="AG15" s="692"/>
      <c r="AH15" s="128">
        <f>J15+N15+R15+V15+Z15+AD15</f>
        <v>0</v>
      </c>
      <c r="AI15" s="273">
        <f>K15+O15+S15+W15+AA15+AE15</f>
        <v>0</v>
      </c>
      <c r="AJ15" s="273">
        <f>L15+P15+T15+X15+AB15+AF15</f>
        <v>0</v>
      </c>
      <c r="AK15" s="694">
        <f>M15+Q15+U15+Y15+AC15+AG15</f>
        <v>0</v>
      </c>
      <c r="AL15" s="462"/>
      <c r="AM15" s="463"/>
      <c r="AN15" s="463"/>
      <c r="AO15" s="692"/>
      <c r="AP15" s="462">
        <v>7</v>
      </c>
      <c r="AQ15" s="463"/>
      <c r="AR15" s="463"/>
      <c r="AS15" s="692"/>
      <c r="AT15" s="462"/>
      <c r="AU15" s="463"/>
      <c r="AV15" s="463"/>
      <c r="AW15" s="692"/>
      <c r="AX15" s="462"/>
      <c r="AY15" s="463"/>
      <c r="AZ15" s="463"/>
      <c r="BA15" s="692"/>
      <c r="BB15" s="128">
        <f>AL15+AP15+AT15+AX15</f>
        <v>7</v>
      </c>
      <c r="BC15" s="273">
        <f>AM15+AQ15+AU15+AY15</f>
        <v>0</v>
      </c>
      <c r="BD15" s="273">
        <f>AN15+AR15+AV15+AZ15</f>
        <v>0</v>
      </c>
      <c r="BE15" s="273">
        <f>AO15+AS15+AW15+BA15</f>
        <v>0</v>
      </c>
      <c r="BF15" s="276">
        <f t="shared" ref="BF15:BI23" si="4">AH15+BB15</f>
        <v>7</v>
      </c>
      <c r="BG15" s="277">
        <f t="shared" si="4"/>
        <v>0</v>
      </c>
      <c r="BH15" s="277">
        <f t="shared" si="4"/>
        <v>0</v>
      </c>
      <c r="BI15" s="704">
        <f t="shared" si="4"/>
        <v>0</v>
      </c>
    </row>
    <row r="16" spans="3:61" s="28" customFormat="1" ht="20.100000000000001" customHeight="1">
      <c r="C16" s="1879"/>
      <c r="D16" s="1017" t="s">
        <v>26</v>
      </c>
      <c r="E16" s="1017"/>
      <c r="F16" s="1018"/>
      <c r="H16" s="1889"/>
      <c r="I16" s="33" t="s">
        <v>26</v>
      </c>
      <c r="J16" s="462"/>
      <c r="K16" s="463"/>
      <c r="L16" s="463"/>
      <c r="M16" s="692"/>
      <c r="N16" s="462"/>
      <c r="O16" s="463">
        <v>15</v>
      </c>
      <c r="P16" s="463"/>
      <c r="Q16" s="692"/>
      <c r="R16" s="462"/>
      <c r="S16" s="463"/>
      <c r="T16" s="463"/>
      <c r="U16" s="692"/>
      <c r="V16" s="462"/>
      <c r="W16" s="463"/>
      <c r="X16" s="463"/>
      <c r="Y16" s="692"/>
      <c r="Z16" s="462"/>
      <c r="AA16" s="463"/>
      <c r="AB16" s="463"/>
      <c r="AC16" s="692"/>
      <c r="AD16" s="462"/>
      <c r="AE16" s="463"/>
      <c r="AF16" s="463"/>
      <c r="AG16" s="692"/>
      <c r="AH16" s="128">
        <f t="shared" ref="AH16:AK23" si="5">J16+N16+R16+V16+Z16+AD16</f>
        <v>0</v>
      </c>
      <c r="AI16" s="273">
        <f t="shared" si="5"/>
        <v>15</v>
      </c>
      <c r="AJ16" s="273">
        <f t="shared" si="5"/>
        <v>0</v>
      </c>
      <c r="AK16" s="694">
        <f t="shared" si="5"/>
        <v>0</v>
      </c>
      <c r="AL16" s="462"/>
      <c r="AM16" s="463"/>
      <c r="AN16" s="463"/>
      <c r="AO16" s="692"/>
      <c r="AP16" s="462"/>
      <c r="AQ16" s="463"/>
      <c r="AR16" s="463"/>
      <c r="AS16" s="692"/>
      <c r="AT16" s="462"/>
      <c r="AU16" s="463"/>
      <c r="AV16" s="463"/>
      <c r="AW16" s="692"/>
      <c r="AX16" s="462"/>
      <c r="AY16" s="463"/>
      <c r="AZ16" s="463"/>
      <c r="BA16" s="692"/>
      <c r="BB16" s="128">
        <f t="shared" ref="BB16:BE23" si="6">AL16+AP16+AT16+AX16</f>
        <v>0</v>
      </c>
      <c r="BC16" s="273">
        <f t="shared" si="6"/>
        <v>0</v>
      </c>
      <c r="BD16" s="273">
        <f t="shared" si="6"/>
        <v>0</v>
      </c>
      <c r="BE16" s="273">
        <f t="shared" si="6"/>
        <v>0</v>
      </c>
      <c r="BF16" s="276">
        <f t="shared" si="4"/>
        <v>0</v>
      </c>
      <c r="BG16" s="277">
        <f t="shared" si="4"/>
        <v>15</v>
      </c>
      <c r="BH16" s="277">
        <f t="shared" si="4"/>
        <v>0</v>
      </c>
      <c r="BI16" s="704">
        <f t="shared" si="4"/>
        <v>0</v>
      </c>
    </row>
    <row r="17" spans="3:61" s="28" customFormat="1" ht="23.25" customHeight="1">
      <c r="C17" s="1879"/>
      <c r="D17" s="1017" t="s">
        <v>25</v>
      </c>
      <c r="E17" s="1017"/>
      <c r="F17" s="1018"/>
      <c r="H17" s="1889"/>
      <c r="I17" s="33" t="s">
        <v>25</v>
      </c>
      <c r="J17" s="462"/>
      <c r="K17" s="463"/>
      <c r="L17" s="463"/>
      <c r="M17" s="692"/>
      <c r="N17" s="462"/>
      <c r="O17" s="463"/>
      <c r="P17" s="463"/>
      <c r="Q17" s="692"/>
      <c r="R17" s="462"/>
      <c r="S17" s="463"/>
      <c r="T17" s="463"/>
      <c r="U17" s="692"/>
      <c r="V17" s="462"/>
      <c r="W17" s="463"/>
      <c r="X17" s="463"/>
      <c r="Y17" s="692"/>
      <c r="Z17" s="462"/>
      <c r="AA17" s="463"/>
      <c r="AB17" s="463"/>
      <c r="AC17" s="692"/>
      <c r="AD17" s="462"/>
      <c r="AE17" s="463"/>
      <c r="AF17" s="463"/>
      <c r="AG17" s="692"/>
      <c r="AH17" s="128">
        <f t="shared" si="5"/>
        <v>0</v>
      </c>
      <c r="AI17" s="273">
        <f t="shared" si="5"/>
        <v>0</v>
      </c>
      <c r="AJ17" s="273">
        <f t="shared" si="5"/>
        <v>0</v>
      </c>
      <c r="AK17" s="694">
        <f t="shared" si="5"/>
        <v>0</v>
      </c>
      <c r="AL17" s="462"/>
      <c r="AM17" s="463">
        <v>30</v>
      </c>
      <c r="AN17" s="463"/>
      <c r="AO17" s="692"/>
      <c r="AP17" s="462"/>
      <c r="AQ17" s="463"/>
      <c r="AR17" s="463"/>
      <c r="AS17" s="692"/>
      <c r="AT17" s="462"/>
      <c r="AU17" s="463"/>
      <c r="AV17" s="463"/>
      <c r="AW17" s="692"/>
      <c r="AX17" s="462"/>
      <c r="AY17" s="463">
        <v>9</v>
      </c>
      <c r="AZ17" s="463"/>
      <c r="BA17" s="692"/>
      <c r="BB17" s="128">
        <f t="shared" si="6"/>
        <v>0</v>
      </c>
      <c r="BC17" s="273">
        <f t="shared" si="6"/>
        <v>39</v>
      </c>
      <c r="BD17" s="273">
        <f t="shared" si="6"/>
        <v>0</v>
      </c>
      <c r="BE17" s="273">
        <f t="shared" si="6"/>
        <v>0</v>
      </c>
      <c r="BF17" s="276">
        <f t="shared" si="4"/>
        <v>0</v>
      </c>
      <c r="BG17" s="277">
        <f t="shared" si="4"/>
        <v>39</v>
      </c>
      <c r="BH17" s="277">
        <f t="shared" si="4"/>
        <v>0</v>
      </c>
      <c r="BI17" s="704">
        <f t="shared" si="4"/>
        <v>0</v>
      </c>
    </row>
    <row r="18" spans="3:61" s="28" customFormat="1" ht="21">
      <c r="C18" s="1879"/>
      <c r="D18" s="1017" t="s">
        <v>24</v>
      </c>
      <c r="E18" s="1017"/>
      <c r="F18" s="1018"/>
      <c r="H18" s="1889"/>
      <c r="I18" s="33" t="s">
        <v>24</v>
      </c>
      <c r="J18" s="462"/>
      <c r="K18" s="463"/>
      <c r="L18" s="463"/>
      <c r="M18" s="692"/>
      <c r="N18" s="462"/>
      <c r="O18" s="463"/>
      <c r="P18" s="463"/>
      <c r="Q18" s="692"/>
      <c r="R18" s="462"/>
      <c r="S18" s="463"/>
      <c r="T18" s="463"/>
      <c r="U18" s="692"/>
      <c r="V18" s="462"/>
      <c r="W18" s="463"/>
      <c r="X18" s="463"/>
      <c r="Y18" s="692"/>
      <c r="Z18" s="462"/>
      <c r="AA18" s="463"/>
      <c r="AB18" s="463"/>
      <c r="AC18" s="692"/>
      <c r="AD18" s="462"/>
      <c r="AE18" s="463"/>
      <c r="AF18" s="463"/>
      <c r="AG18" s="692"/>
      <c r="AH18" s="128">
        <f t="shared" si="5"/>
        <v>0</v>
      </c>
      <c r="AI18" s="273">
        <f t="shared" si="5"/>
        <v>0</v>
      </c>
      <c r="AJ18" s="273">
        <f t="shared" si="5"/>
        <v>0</v>
      </c>
      <c r="AK18" s="694">
        <f t="shared" si="5"/>
        <v>0</v>
      </c>
      <c r="AL18" s="462"/>
      <c r="AM18" s="463"/>
      <c r="AN18" s="463"/>
      <c r="AO18" s="692"/>
      <c r="AP18" s="462"/>
      <c r="AQ18" s="463"/>
      <c r="AR18" s="463"/>
      <c r="AS18" s="692"/>
      <c r="AT18" s="462"/>
      <c r="AU18" s="463"/>
      <c r="AV18" s="463"/>
      <c r="AW18" s="692"/>
      <c r="AX18" s="462"/>
      <c r="AY18" s="463"/>
      <c r="AZ18" s="463"/>
      <c r="BA18" s="692"/>
      <c r="BB18" s="128">
        <f t="shared" si="6"/>
        <v>0</v>
      </c>
      <c r="BC18" s="273">
        <f t="shared" si="6"/>
        <v>0</v>
      </c>
      <c r="BD18" s="273">
        <f t="shared" si="6"/>
        <v>0</v>
      </c>
      <c r="BE18" s="273">
        <f t="shared" si="6"/>
        <v>0</v>
      </c>
      <c r="BF18" s="276">
        <f t="shared" si="4"/>
        <v>0</v>
      </c>
      <c r="BG18" s="277">
        <f t="shared" si="4"/>
        <v>0</v>
      </c>
      <c r="BH18" s="277">
        <f t="shared" si="4"/>
        <v>0</v>
      </c>
      <c r="BI18" s="704">
        <f t="shared" si="4"/>
        <v>0</v>
      </c>
    </row>
    <row r="19" spans="3:61" s="28" customFormat="1" ht="20.100000000000001" customHeight="1">
      <c r="C19" s="1879"/>
      <c r="D19" s="1017" t="s">
        <v>23</v>
      </c>
      <c r="E19" s="1017"/>
      <c r="F19" s="1018"/>
      <c r="H19" s="1889"/>
      <c r="I19" s="33" t="s">
        <v>23</v>
      </c>
      <c r="J19" s="462"/>
      <c r="K19" s="463"/>
      <c r="L19" s="463"/>
      <c r="M19" s="692"/>
      <c r="N19" s="462"/>
      <c r="O19" s="463"/>
      <c r="P19" s="463"/>
      <c r="Q19" s="692"/>
      <c r="R19" s="462"/>
      <c r="S19" s="463"/>
      <c r="T19" s="463"/>
      <c r="U19" s="692"/>
      <c r="V19" s="462"/>
      <c r="W19" s="463"/>
      <c r="X19" s="463"/>
      <c r="Y19" s="692"/>
      <c r="Z19" s="462"/>
      <c r="AA19" s="463"/>
      <c r="AB19" s="463"/>
      <c r="AC19" s="692"/>
      <c r="AD19" s="462"/>
      <c r="AE19" s="463"/>
      <c r="AF19" s="463"/>
      <c r="AG19" s="692"/>
      <c r="AH19" s="128">
        <f t="shared" si="5"/>
        <v>0</v>
      </c>
      <c r="AI19" s="273">
        <f t="shared" si="5"/>
        <v>0</v>
      </c>
      <c r="AJ19" s="273">
        <f t="shared" si="5"/>
        <v>0</v>
      </c>
      <c r="AK19" s="694">
        <f t="shared" si="5"/>
        <v>0</v>
      </c>
      <c r="AL19" s="1012">
        <v>20</v>
      </c>
      <c r="AM19" s="463"/>
      <c r="AN19" s="463"/>
      <c r="AO19" s="692"/>
      <c r="AP19" s="462"/>
      <c r="AQ19" s="463">
        <v>7</v>
      </c>
      <c r="AR19" s="463"/>
      <c r="AS19" s="692"/>
      <c r="AT19" s="462"/>
      <c r="AU19" s="463"/>
      <c r="AV19" s="463"/>
      <c r="AW19" s="692"/>
      <c r="AX19" s="462"/>
      <c r="AY19" s="463"/>
      <c r="AZ19" s="463"/>
      <c r="BA19" s="692"/>
      <c r="BB19" s="128">
        <f t="shared" si="6"/>
        <v>20</v>
      </c>
      <c r="BC19" s="273">
        <f t="shared" si="6"/>
        <v>7</v>
      </c>
      <c r="BD19" s="273">
        <f t="shared" si="6"/>
        <v>0</v>
      </c>
      <c r="BE19" s="273">
        <f t="shared" si="6"/>
        <v>0</v>
      </c>
      <c r="BF19" s="276">
        <f t="shared" si="4"/>
        <v>20</v>
      </c>
      <c r="BG19" s="277">
        <f t="shared" si="4"/>
        <v>7</v>
      </c>
      <c r="BH19" s="277">
        <f t="shared" si="4"/>
        <v>0</v>
      </c>
      <c r="BI19" s="704">
        <f t="shared" si="4"/>
        <v>0</v>
      </c>
    </row>
    <row r="20" spans="3:61" s="28" customFormat="1" ht="20.100000000000001" customHeight="1">
      <c r="C20" s="1879"/>
      <c r="D20" s="1017" t="s">
        <v>22</v>
      </c>
      <c r="E20" s="1017"/>
      <c r="F20" s="1018"/>
      <c r="H20" s="1889"/>
      <c r="I20" s="33" t="s">
        <v>22</v>
      </c>
      <c r="J20" s="462"/>
      <c r="K20" s="463"/>
      <c r="L20" s="463"/>
      <c r="M20" s="692">
        <v>6</v>
      </c>
      <c r="N20" s="462"/>
      <c r="O20" s="463"/>
      <c r="P20" s="463"/>
      <c r="Q20" s="692">
        <v>4</v>
      </c>
      <c r="R20" s="462"/>
      <c r="S20" s="463"/>
      <c r="T20" s="463"/>
      <c r="U20" s="692"/>
      <c r="V20" s="462"/>
      <c r="W20" s="463"/>
      <c r="X20" s="463"/>
      <c r="Y20" s="692"/>
      <c r="Z20" s="462"/>
      <c r="AA20" s="463"/>
      <c r="AB20" s="463"/>
      <c r="AC20" s="692"/>
      <c r="AD20" s="462"/>
      <c r="AE20" s="463"/>
      <c r="AF20" s="463"/>
      <c r="AG20" s="692"/>
      <c r="AH20" s="128">
        <f t="shared" si="5"/>
        <v>0</v>
      </c>
      <c r="AI20" s="273">
        <f t="shared" si="5"/>
        <v>0</v>
      </c>
      <c r="AJ20" s="273">
        <f t="shared" si="5"/>
        <v>0</v>
      </c>
      <c r="AK20" s="694">
        <f t="shared" si="5"/>
        <v>10</v>
      </c>
      <c r="AL20" s="462"/>
      <c r="AM20" s="463"/>
      <c r="AN20" s="463"/>
      <c r="AO20" s="692"/>
      <c r="AP20" s="462"/>
      <c r="AQ20" s="463"/>
      <c r="AR20" s="463"/>
      <c r="AS20" s="692"/>
      <c r="AT20" s="462"/>
      <c r="AU20" s="463"/>
      <c r="AV20" s="463"/>
      <c r="AW20" s="692"/>
      <c r="AX20" s="462"/>
      <c r="AY20" s="463"/>
      <c r="AZ20" s="463"/>
      <c r="BA20" s="692"/>
      <c r="BB20" s="128">
        <f t="shared" si="6"/>
        <v>0</v>
      </c>
      <c r="BC20" s="273">
        <f t="shared" si="6"/>
        <v>0</v>
      </c>
      <c r="BD20" s="273">
        <f t="shared" si="6"/>
        <v>0</v>
      </c>
      <c r="BE20" s="273">
        <f t="shared" si="6"/>
        <v>0</v>
      </c>
      <c r="BF20" s="276">
        <f t="shared" si="4"/>
        <v>0</v>
      </c>
      <c r="BG20" s="277">
        <f t="shared" si="4"/>
        <v>0</v>
      </c>
      <c r="BH20" s="277">
        <f t="shared" si="4"/>
        <v>0</v>
      </c>
      <c r="BI20" s="704">
        <f t="shared" si="4"/>
        <v>10</v>
      </c>
    </row>
    <row r="21" spans="3:61" s="28" customFormat="1" ht="20.100000000000001" customHeight="1">
      <c r="C21" s="1885"/>
      <c r="D21" s="1017"/>
      <c r="E21" s="1017"/>
      <c r="F21" s="1018"/>
      <c r="H21" s="1889"/>
      <c r="I21" s="33" t="s">
        <v>21</v>
      </c>
      <c r="J21" s="462"/>
      <c r="K21" s="463"/>
      <c r="L21" s="463"/>
      <c r="M21" s="692"/>
      <c r="N21" s="462"/>
      <c r="O21" s="463"/>
      <c r="P21" s="463"/>
      <c r="Q21" s="692"/>
      <c r="R21" s="462"/>
      <c r="S21" s="463"/>
      <c r="T21" s="463"/>
      <c r="U21" s="692"/>
      <c r="V21" s="462"/>
      <c r="W21" s="463"/>
      <c r="X21" s="463"/>
      <c r="Y21" s="692"/>
      <c r="Z21" s="462"/>
      <c r="AA21" s="463"/>
      <c r="AB21" s="463"/>
      <c r="AC21" s="692"/>
      <c r="AD21" s="462"/>
      <c r="AE21" s="463"/>
      <c r="AF21" s="463"/>
      <c r="AG21" s="692"/>
      <c r="AH21" s="128">
        <f t="shared" si="5"/>
        <v>0</v>
      </c>
      <c r="AI21" s="273">
        <f t="shared" si="5"/>
        <v>0</v>
      </c>
      <c r="AJ21" s="273">
        <f t="shared" si="5"/>
        <v>0</v>
      </c>
      <c r="AK21" s="694">
        <f t="shared" si="5"/>
        <v>0</v>
      </c>
      <c r="AL21" s="462"/>
      <c r="AM21" s="463"/>
      <c r="AN21" s="463"/>
      <c r="AO21" s="692"/>
      <c r="AP21" s="462"/>
      <c r="AQ21" s="463"/>
      <c r="AR21" s="463"/>
      <c r="AS21" s="692"/>
      <c r="AT21" s="462"/>
      <c r="AU21" s="463"/>
      <c r="AV21" s="463"/>
      <c r="AW21" s="692"/>
      <c r="AX21" s="462"/>
      <c r="AY21" s="463"/>
      <c r="AZ21" s="463"/>
      <c r="BA21" s="692"/>
      <c r="BB21" s="128">
        <f t="shared" si="6"/>
        <v>0</v>
      </c>
      <c r="BC21" s="273">
        <f t="shared" si="6"/>
        <v>0</v>
      </c>
      <c r="BD21" s="273">
        <f t="shared" si="6"/>
        <v>0</v>
      </c>
      <c r="BE21" s="273">
        <f t="shared" si="6"/>
        <v>0</v>
      </c>
      <c r="BF21" s="276">
        <f t="shared" si="4"/>
        <v>0</v>
      </c>
      <c r="BG21" s="277">
        <f t="shared" si="4"/>
        <v>0</v>
      </c>
      <c r="BH21" s="277">
        <f t="shared" si="4"/>
        <v>0</v>
      </c>
      <c r="BI21" s="704">
        <f t="shared" si="4"/>
        <v>0</v>
      </c>
    </row>
    <row r="22" spans="3:61" s="28" customFormat="1" ht="20.100000000000001" customHeight="1">
      <c r="C22" s="1885"/>
      <c r="D22" s="1017"/>
      <c r="E22" s="1017"/>
      <c r="F22" s="1018"/>
      <c r="H22" s="1889"/>
      <c r="I22" s="33" t="s">
        <v>20</v>
      </c>
      <c r="J22" s="462"/>
      <c r="K22" s="463"/>
      <c r="L22" s="463"/>
      <c r="M22" s="692"/>
      <c r="N22" s="462"/>
      <c r="O22" s="463"/>
      <c r="P22" s="463"/>
      <c r="Q22" s="692"/>
      <c r="R22" s="462"/>
      <c r="S22" s="463"/>
      <c r="T22" s="463"/>
      <c r="U22" s="692"/>
      <c r="V22" s="462"/>
      <c r="W22" s="463"/>
      <c r="X22" s="463"/>
      <c r="Y22" s="692"/>
      <c r="Z22" s="462"/>
      <c r="AA22" s="463"/>
      <c r="AB22" s="463"/>
      <c r="AC22" s="692"/>
      <c r="AD22" s="462"/>
      <c r="AE22" s="463"/>
      <c r="AF22" s="463"/>
      <c r="AG22" s="692"/>
      <c r="AH22" s="128">
        <f t="shared" si="5"/>
        <v>0</v>
      </c>
      <c r="AI22" s="273">
        <f t="shared" si="5"/>
        <v>0</v>
      </c>
      <c r="AJ22" s="273">
        <f t="shared" si="5"/>
        <v>0</v>
      </c>
      <c r="AK22" s="694">
        <f t="shared" si="5"/>
        <v>0</v>
      </c>
      <c r="AL22" s="462"/>
      <c r="AM22" s="463"/>
      <c r="AN22" s="463"/>
      <c r="AO22" s="692"/>
      <c r="AP22" s="462"/>
      <c r="AQ22" s="463"/>
      <c r="AR22" s="463"/>
      <c r="AS22" s="692"/>
      <c r="AT22" s="462"/>
      <c r="AU22" s="463"/>
      <c r="AV22" s="463"/>
      <c r="AW22" s="692"/>
      <c r="AX22" s="462"/>
      <c r="AY22" s="463"/>
      <c r="AZ22" s="463"/>
      <c r="BA22" s="692"/>
      <c r="BB22" s="128">
        <f t="shared" si="6"/>
        <v>0</v>
      </c>
      <c r="BC22" s="273">
        <f t="shared" si="6"/>
        <v>0</v>
      </c>
      <c r="BD22" s="273">
        <f t="shared" si="6"/>
        <v>0</v>
      </c>
      <c r="BE22" s="273">
        <f t="shared" si="6"/>
        <v>0</v>
      </c>
      <c r="BF22" s="276">
        <f t="shared" si="4"/>
        <v>0</v>
      </c>
      <c r="BG22" s="277">
        <f t="shared" si="4"/>
        <v>0</v>
      </c>
      <c r="BH22" s="277">
        <f t="shared" si="4"/>
        <v>0</v>
      </c>
      <c r="BI22" s="704">
        <f t="shared" si="4"/>
        <v>0</v>
      </c>
    </row>
    <row r="23" spans="3:61" s="28" customFormat="1" ht="20.100000000000001" customHeight="1">
      <c r="C23" s="1885"/>
      <c r="D23" s="1017"/>
      <c r="E23" s="1017"/>
      <c r="F23" s="1018"/>
      <c r="H23" s="1889"/>
      <c r="I23" s="33" t="s">
        <v>19</v>
      </c>
      <c r="J23" s="462"/>
      <c r="K23" s="463"/>
      <c r="L23" s="463"/>
      <c r="M23" s="692"/>
      <c r="N23" s="462"/>
      <c r="O23" s="463"/>
      <c r="P23" s="463"/>
      <c r="Q23" s="692"/>
      <c r="R23" s="462"/>
      <c r="S23" s="463"/>
      <c r="T23" s="463"/>
      <c r="U23" s="692"/>
      <c r="V23" s="462"/>
      <c r="W23" s="463"/>
      <c r="X23" s="463"/>
      <c r="Y23" s="692"/>
      <c r="Z23" s="462"/>
      <c r="AA23" s="463"/>
      <c r="AB23" s="463"/>
      <c r="AC23" s="692"/>
      <c r="AD23" s="462"/>
      <c r="AE23" s="463"/>
      <c r="AF23" s="463"/>
      <c r="AG23" s="692"/>
      <c r="AH23" s="128">
        <f t="shared" si="5"/>
        <v>0</v>
      </c>
      <c r="AI23" s="273">
        <f t="shared" si="5"/>
        <v>0</v>
      </c>
      <c r="AJ23" s="273">
        <f t="shared" si="5"/>
        <v>0</v>
      </c>
      <c r="AK23" s="694">
        <f t="shared" si="5"/>
        <v>0</v>
      </c>
      <c r="AL23" s="462"/>
      <c r="AM23" s="463"/>
      <c r="AN23" s="463"/>
      <c r="AO23" s="692"/>
      <c r="AP23" s="462"/>
      <c r="AQ23" s="463"/>
      <c r="AR23" s="463"/>
      <c r="AS23" s="692"/>
      <c r="AT23" s="462"/>
      <c r="AU23" s="463"/>
      <c r="AV23" s="463"/>
      <c r="AW23" s="692"/>
      <c r="AX23" s="462"/>
      <c r="AY23" s="463"/>
      <c r="AZ23" s="463"/>
      <c r="BA23" s="692"/>
      <c r="BB23" s="128">
        <f t="shared" si="6"/>
        <v>0</v>
      </c>
      <c r="BC23" s="273">
        <f t="shared" si="6"/>
        <v>0</v>
      </c>
      <c r="BD23" s="273">
        <f t="shared" si="6"/>
        <v>0</v>
      </c>
      <c r="BE23" s="273">
        <f t="shared" si="6"/>
        <v>0</v>
      </c>
      <c r="BF23" s="276">
        <f t="shared" si="4"/>
        <v>0</v>
      </c>
      <c r="BG23" s="277">
        <f t="shared" si="4"/>
        <v>0</v>
      </c>
      <c r="BH23" s="277">
        <f t="shared" si="4"/>
        <v>0</v>
      </c>
      <c r="BI23" s="704">
        <f t="shared" si="4"/>
        <v>0</v>
      </c>
    </row>
    <row r="24" spans="3:61" s="28" customFormat="1" ht="20.100000000000001" customHeight="1" thickBot="1">
      <c r="C24" s="1885"/>
      <c r="D24" s="1017"/>
      <c r="E24" s="1017"/>
      <c r="F24" s="1018"/>
      <c r="H24" s="1865" t="s">
        <v>116</v>
      </c>
      <c r="I24" s="1866"/>
      <c r="J24" s="118">
        <f t="shared" ref="J24:BI24" si="7">SUM(J15:J23)</f>
        <v>0</v>
      </c>
      <c r="K24" s="272">
        <f t="shared" si="7"/>
        <v>0</v>
      </c>
      <c r="L24" s="272">
        <f>SUM(L15:L23)</f>
        <v>0</v>
      </c>
      <c r="M24" s="272">
        <f>SUM(M15:M23)</f>
        <v>6</v>
      </c>
      <c r="N24" s="118">
        <f t="shared" ref="N24:AI24" si="8">SUM(N15:N23)</f>
        <v>0</v>
      </c>
      <c r="O24" s="272">
        <f t="shared" si="8"/>
        <v>15</v>
      </c>
      <c r="P24" s="272">
        <f t="shared" si="8"/>
        <v>0</v>
      </c>
      <c r="Q24" s="272">
        <f t="shared" si="8"/>
        <v>4</v>
      </c>
      <c r="R24" s="118">
        <f t="shared" si="8"/>
        <v>0</v>
      </c>
      <c r="S24" s="272">
        <f t="shared" si="8"/>
        <v>0</v>
      </c>
      <c r="T24" s="272">
        <f t="shared" si="8"/>
        <v>0</v>
      </c>
      <c r="U24" s="272">
        <f t="shared" si="8"/>
        <v>0</v>
      </c>
      <c r="V24" s="118">
        <f t="shared" si="8"/>
        <v>0</v>
      </c>
      <c r="W24" s="272">
        <f t="shared" si="8"/>
        <v>0</v>
      </c>
      <c r="X24" s="272">
        <f t="shared" si="8"/>
        <v>0</v>
      </c>
      <c r="Y24" s="272">
        <f t="shared" si="8"/>
        <v>0</v>
      </c>
      <c r="Z24" s="118">
        <f t="shared" si="8"/>
        <v>0</v>
      </c>
      <c r="AA24" s="272">
        <f t="shared" si="8"/>
        <v>0</v>
      </c>
      <c r="AB24" s="272">
        <f t="shared" si="8"/>
        <v>0</v>
      </c>
      <c r="AC24" s="272">
        <f t="shared" si="8"/>
        <v>0</v>
      </c>
      <c r="AD24" s="118">
        <f t="shared" si="8"/>
        <v>0</v>
      </c>
      <c r="AE24" s="272">
        <f t="shared" si="8"/>
        <v>0</v>
      </c>
      <c r="AF24" s="272">
        <f t="shared" si="8"/>
        <v>0</v>
      </c>
      <c r="AG24" s="272">
        <f t="shared" si="8"/>
        <v>0</v>
      </c>
      <c r="AH24" s="118">
        <f t="shared" si="8"/>
        <v>0</v>
      </c>
      <c r="AI24" s="272">
        <f t="shared" si="8"/>
        <v>15</v>
      </c>
      <c r="AJ24" s="272">
        <f>SUM(AJ15:AJ23)</f>
        <v>0</v>
      </c>
      <c r="AK24" s="695">
        <f>SUM(AK15:AK23)</f>
        <v>10</v>
      </c>
      <c r="AL24" s="118">
        <f t="shared" ref="AL24:BC24" si="9">SUM(AL15:AL23)</f>
        <v>20</v>
      </c>
      <c r="AM24" s="272">
        <f t="shared" si="9"/>
        <v>30</v>
      </c>
      <c r="AN24" s="272">
        <f t="shared" si="9"/>
        <v>0</v>
      </c>
      <c r="AO24" s="272">
        <f t="shared" si="9"/>
        <v>0</v>
      </c>
      <c r="AP24" s="118">
        <f t="shared" si="9"/>
        <v>7</v>
      </c>
      <c r="AQ24" s="272">
        <f t="shared" si="9"/>
        <v>7</v>
      </c>
      <c r="AR24" s="272">
        <f t="shared" si="9"/>
        <v>0</v>
      </c>
      <c r="AS24" s="272">
        <f t="shared" si="9"/>
        <v>0</v>
      </c>
      <c r="AT24" s="118">
        <f t="shared" si="9"/>
        <v>0</v>
      </c>
      <c r="AU24" s="272">
        <f t="shared" si="9"/>
        <v>0</v>
      </c>
      <c r="AV24" s="272">
        <f t="shared" si="9"/>
        <v>0</v>
      </c>
      <c r="AW24" s="272">
        <f t="shared" si="9"/>
        <v>0</v>
      </c>
      <c r="AX24" s="118">
        <f t="shared" si="9"/>
        <v>0</v>
      </c>
      <c r="AY24" s="272">
        <f t="shared" si="9"/>
        <v>9</v>
      </c>
      <c r="AZ24" s="272">
        <f t="shared" si="9"/>
        <v>0</v>
      </c>
      <c r="BA24" s="272">
        <f t="shared" si="9"/>
        <v>0</v>
      </c>
      <c r="BB24" s="118">
        <f t="shared" si="9"/>
        <v>27</v>
      </c>
      <c r="BC24" s="272">
        <f t="shared" si="9"/>
        <v>46</v>
      </c>
      <c r="BD24" s="272">
        <f>SUM(BD15:BD23)</f>
        <v>0</v>
      </c>
      <c r="BE24" s="272">
        <f>SUM(BE15:BE23)</f>
        <v>0</v>
      </c>
      <c r="BF24" s="278">
        <f t="shared" si="7"/>
        <v>27</v>
      </c>
      <c r="BG24" s="279">
        <f t="shared" si="7"/>
        <v>61</v>
      </c>
      <c r="BH24" s="279">
        <f t="shared" si="7"/>
        <v>0</v>
      </c>
      <c r="BI24" s="705">
        <f t="shared" si="7"/>
        <v>10</v>
      </c>
    </row>
    <row r="25" spans="3:61" s="119" customFormat="1" ht="9" customHeight="1" thickBot="1">
      <c r="C25" s="121"/>
      <c r="D25" s="121"/>
      <c r="E25" s="121"/>
      <c r="F25" s="121"/>
      <c r="H25" s="122"/>
      <c r="I25" s="122"/>
      <c r="J25" s="125"/>
      <c r="K25" s="126"/>
      <c r="L25" s="126"/>
      <c r="M25" s="126"/>
      <c r="N25" s="125"/>
      <c r="O25" s="126"/>
      <c r="P25" s="126"/>
      <c r="Q25" s="126"/>
      <c r="R25" s="125"/>
      <c r="S25" s="126"/>
      <c r="T25" s="126"/>
      <c r="U25" s="126"/>
      <c r="V25" s="125"/>
      <c r="W25" s="126"/>
      <c r="X25" s="126"/>
      <c r="Y25" s="126"/>
      <c r="Z25" s="125"/>
      <c r="AA25" s="126"/>
      <c r="AB25" s="126"/>
      <c r="AC25" s="126"/>
      <c r="AD25" s="125"/>
      <c r="AE25" s="126"/>
      <c r="AF25" s="126"/>
      <c r="AG25" s="126"/>
      <c r="AH25" s="125"/>
      <c r="AI25" s="126"/>
      <c r="AJ25" s="126"/>
      <c r="AK25" s="126"/>
      <c r="AL25" s="125"/>
      <c r="AM25" s="126"/>
      <c r="AN25" s="126"/>
      <c r="AO25" s="126"/>
      <c r="AP25" s="125"/>
      <c r="AQ25" s="126"/>
      <c r="AR25" s="126"/>
      <c r="AS25" s="126"/>
      <c r="AT25" s="125"/>
      <c r="AU25" s="126"/>
      <c r="AV25" s="126"/>
      <c r="AW25" s="126"/>
      <c r="AX25" s="125"/>
      <c r="AY25" s="126"/>
      <c r="AZ25" s="126"/>
      <c r="BA25" s="126"/>
      <c r="BB25" s="125"/>
      <c r="BC25" s="126"/>
      <c r="BD25" s="126"/>
      <c r="BE25" s="126"/>
      <c r="BF25" s="125"/>
      <c r="BG25" s="126"/>
    </row>
    <row r="26" spans="3:61" s="28" customFormat="1" ht="26.25" customHeight="1" thickBot="1">
      <c r="D26" s="29"/>
      <c r="E26" s="29"/>
      <c r="F26" s="29"/>
      <c r="H26" s="1893" t="s">
        <v>49</v>
      </c>
      <c r="I26" s="1894"/>
      <c r="J26" s="123">
        <f t="shared" ref="J26:BI26" si="10">J10+J24</f>
        <v>40</v>
      </c>
      <c r="K26" s="280">
        <f t="shared" si="10"/>
        <v>17</v>
      </c>
      <c r="L26" s="280">
        <f>L10+L24</f>
        <v>2</v>
      </c>
      <c r="M26" s="280">
        <f>M10+M24</f>
        <v>59</v>
      </c>
      <c r="N26" s="123">
        <f t="shared" ref="N26:O26" si="11">N10+N24</f>
        <v>13</v>
      </c>
      <c r="O26" s="280">
        <f t="shared" si="11"/>
        <v>15</v>
      </c>
      <c r="P26" s="280">
        <f>P10+P24</f>
        <v>0</v>
      </c>
      <c r="Q26" s="280">
        <f>Q10+Q24</f>
        <v>4</v>
      </c>
      <c r="R26" s="123">
        <f>R10+R24</f>
        <v>23</v>
      </c>
      <c r="S26" s="280">
        <f t="shared" ref="S26" si="12">S10+S24</f>
        <v>31</v>
      </c>
      <c r="T26" s="280">
        <f>T10+T24</f>
        <v>0</v>
      </c>
      <c r="U26" s="280">
        <f>U10+U24</f>
        <v>5</v>
      </c>
      <c r="V26" s="123">
        <f t="shared" ref="V26:W26" si="13">V10+V24</f>
        <v>10</v>
      </c>
      <c r="W26" s="280">
        <f t="shared" si="13"/>
        <v>3</v>
      </c>
      <c r="X26" s="280">
        <f>X10+X24</f>
        <v>3</v>
      </c>
      <c r="Y26" s="280">
        <f>Y10+Y24</f>
        <v>0</v>
      </c>
      <c r="Z26" s="123">
        <f t="shared" ref="Z26:AA26" si="14">Z10+Z24</f>
        <v>0</v>
      </c>
      <c r="AA26" s="280">
        <f t="shared" si="14"/>
        <v>0.5</v>
      </c>
      <c r="AB26" s="280">
        <f>AB10+AB24</f>
        <v>0.5</v>
      </c>
      <c r="AC26" s="280">
        <f>AC10+AC24</f>
        <v>0</v>
      </c>
      <c r="AD26" s="123">
        <f t="shared" ref="AD26:AE26" si="15">AD10+AD24</f>
        <v>30</v>
      </c>
      <c r="AE26" s="280">
        <f t="shared" si="15"/>
        <v>33.26</v>
      </c>
      <c r="AF26" s="280">
        <f>AF10+AF24</f>
        <v>33.26</v>
      </c>
      <c r="AG26" s="280">
        <f>AG10+AG24</f>
        <v>5</v>
      </c>
      <c r="AH26" s="127">
        <f t="shared" ref="AH26:AI26" si="16">AH10+AH24</f>
        <v>116</v>
      </c>
      <c r="AI26" s="280">
        <f t="shared" si="16"/>
        <v>99.759999999999991</v>
      </c>
      <c r="AJ26" s="697">
        <f>AJ10+AJ24</f>
        <v>38.76</v>
      </c>
      <c r="AK26" s="696">
        <f>AK10+AK24</f>
        <v>73</v>
      </c>
      <c r="AL26" s="123">
        <f t="shared" ref="AL26:AM26" si="17">AL10+AL24</f>
        <v>55</v>
      </c>
      <c r="AM26" s="280">
        <f t="shared" si="17"/>
        <v>51</v>
      </c>
      <c r="AN26" s="280">
        <f>AN10+AN24</f>
        <v>21</v>
      </c>
      <c r="AO26" s="280">
        <f>AO10+AO24</f>
        <v>0</v>
      </c>
      <c r="AP26" s="123">
        <f t="shared" ref="AP26:AQ26" si="18">AP10+AP24</f>
        <v>10</v>
      </c>
      <c r="AQ26" s="280">
        <f t="shared" si="18"/>
        <v>8.6999999999999993</v>
      </c>
      <c r="AR26" s="280">
        <f>AR10+AR24</f>
        <v>1.7</v>
      </c>
      <c r="AS26" s="280">
        <f>AS10+AS24</f>
        <v>0</v>
      </c>
      <c r="AT26" s="123">
        <f t="shared" ref="AT26:AU26" si="19">AT10+AT24</f>
        <v>15</v>
      </c>
      <c r="AU26" s="280">
        <f t="shared" si="19"/>
        <v>27.74</v>
      </c>
      <c r="AV26" s="280">
        <f>AV10+AV24</f>
        <v>27.74</v>
      </c>
      <c r="AW26" s="280">
        <f>AW10+AW24</f>
        <v>0</v>
      </c>
      <c r="AX26" s="123">
        <f t="shared" ref="AX26:AY26" si="20">AX10+AX24</f>
        <v>26</v>
      </c>
      <c r="AY26" s="280">
        <f t="shared" si="20"/>
        <v>32</v>
      </c>
      <c r="AZ26" s="280">
        <f>AZ10+AZ24</f>
        <v>23</v>
      </c>
      <c r="BA26" s="280">
        <f>BA10+BA24</f>
        <v>6</v>
      </c>
      <c r="BB26" s="127">
        <f t="shared" ref="BB26:BC26" si="21">BB10+BB24</f>
        <v>106</v>
      </c>
      <c r="BC26" s="280">
        <f t="shared" si="21"/>
        <v>119.44</v>
      </c>
      <c r="BD26" s="697">
        <f>BD10+BD24</f>
        <v>73.44</v>
      </c>
      <c r="BE26" s="697">
        <f>BE10+BE24</f>
        <v>6</v>
      </c>
      <c r="BF26" s="124">
        <f>BF10+BF24</f>
        <v>222</v>
      </c>
      <c r="BG26" s="707">
        <f t="shared" si="10"/>
        <v>219.2</v>
      </c>
      <c r="BH26" s="706">
        <f t="shared" si="10"/>
        <v>112.19999999999999</v>
      </c>
      <c r="BI26" s="284">
        <f t="shared" si="10"/>
        <v>79</v>
      </c>
    </row>
    <row r="27" spans="3:61" ht="21" customHeight="1">
      <c r="H27" s="320"/>
      <c r="I27" s="320"/>
      <c r="J27" s="321"/>
      <c r="K27" s="321"/>
      <c r="L27" s="321">
        <v>53</v>
      </c>
      <c r="M27" s="321" t="s">
        <v>32</v>
      </c>
      <c r="N27" s="321"/>
      <c r="O27" s="321"/>
      <c r="P27" s="321"/>
      <c r="Q27" s="321"/>
      <c r="R27" s="321"/>
      <c r="S27" s="321"/>
      <c r="T27" s="321">
        <v>5</v>
      </c>
      <c r="U27" s="321" t="s">
        <v>32</v>
      </c>
      <c r="V27" s="321"/>
      <c r="W27" s="321"/>
      <c r="X27" s="323"/>
      <c r="Y27" s="323"/>
      <c r="Z27" s="321"/>
      <c r="AA27" s="321"/>
      <c r="AB27" s="323"/>
      <c r="AC27" s="323"/>
      <c r="AD27" s="321"/>
      <c r="AE27" s="321"/>
      <c r="AF27" s="321">
        <v>5</v>
      </c>
      <c r="AG27" s="321" t="s">
        <v>381</v>
      </c>
      <c r="AH27" s="321"/>
      <c r="AI27" s="321"/>
      <c r="AJ27" s="321"/>
      <c r="AK27" s="321"/>
      <c r="AL27" s="321"/>
      <c r="AM27" s="321"/>
      <c r="AN27" s="321"/>
      <c r="AO27" s="321"/>
      <c r="AP27" s="321"/>
      <c r="AQ27" s="321"/>
      <c r="AR27" s="321"/>
      <c r="AS27" s="321"/>
      <c r="AT27" s="321"/>
      <c r="AU27" s="321"/>
      <c r="AV27" s="321"/>
      <c r="AW27" s="321"/>
      <c r="AX27" s="321"/>
      <c r="AY27" s="321"/>
      <c r="AZ27" s="321">
        <v>6</v>
      </c>
      <c r="BA27" s="321" t="s">
        <v>32</v>
      </c>
      <c r="BB27" s="335"/>
      <c r="BC27" s="1918">
        <f>SUM(I27:AZ29)</f>
        <v>69</v>
      </c>
      <c r="BD27" s="335"/>
      <c r="BE27" s="335"/>
      <c r="BF27" s="335"/>
      <c r="BG27" s="335"/>
      <c r="BH27" s="1917">
        <f>BH26+BI26</f>
        <v>191.2</v>
      </c>
      <c r="BI27" s="1917"/>
    </row>
    <row r="28" spans="3:61" ht="21" customHeight="1">
      <c r="H28" s="320"/>
      <c r="I28" s="320"/>
      <c r="J28" s="322"/>
      <c r="K28" s="323"/>
      <c r="L28" s="323"/>
      <c r="M28" s="323"/>
      <c r="N28" s="322"/>
      <c r="O28" s="323"/>
      <c r="P28" s="323"/>
      <c r="Q28" s="323"/>
      <c r="R28" s="322"/>
      <c r="S28" s="323"/>
      <c r="T28" s="323"/>
      <c r="U28" s="323"/>
      <c r="V28" s="321"/>
      <c r="W28" s="323"/>
      <c r="X28" s="323"/>
      <c r="Y28" s="323"/>
      <c r="Z28" s="322"/>
      <c r="AA28" s="323"/>
      <c r="AB28" s="323"/>
      <c r="AC28" s="323"/>
      <c r="AD28" s="322"/>
      <c r="AE28" s="323"/>
      <c r="AF28" s="323"/>
      <c r="AG28" s="322"/>
      <c r="AH28" s="322"/>
      <c r="AI28" s="323"/>
      <c r="AJ28" s="323"/>
      <c r="AK28" s="323"/>
      <c r="AL28" s="321"/>
      <c r="AM28" s="323"/>
      <c r="AN28" s="622"/>
      <c r="AO28" s="622"/>
      <c r="AP28" s="321"/>
      <c r="AQ28" s="323"/>
      <c r="AR28" s="323"/>
      <c r="AS28" s="323"/>
      <c r="AT28" s="322"/>
      <c r="AU28" s="323"/>
      <c r="AV28" s="323"/>
      <c r="AW28" s="323"/>
      <c r="AX28" s="322"/>
      <c r="AY28" s="468"/>
      <c r="AZ28" s="468"/>
      <c r="BA28" s="468"/>
      <c r="BB28" s="392"/>
      <c r="BC28" s="1919"/>
      <c r="BD28" s="434"/>
      <c r="BE28" s="434"/>
      <c r="BF28" s="435"/>
      <c r="BG28" s="434"/>
      <c r="BH28" s="726"/>
      <c r="BI28" s="434"/>
    </row>
    <row r="29" spans="3:61" ht="23.25">
      <c r="H29" s="320"/>
      <c r="I29" s="320"/>
      <c r="J29" s="322"/>
      <c r="K29" s="323"/>
      <c r="L29" s="323"/>
      <c r="M29" s="323"/>
      <c r="N29" s="322"/>
      <c r="O29" s="323"/>
      <c r="P29" s="323"/>
      <c r="Q29" s="323"/>
      <c r="R29" s="322"/>
      <c r="S29" s="323"/>
      <c r="T29" s="323"/>
      <c r="U29" s="323"/>
      <c r="V29" s="322"/>
      <c r="W29" s="323"/>
      <c r="X29" s="323"/>
      <c r="Y29" s="323"/>
      <c r="Z29" s="322"/>
      <c r="AA29" s="323"/>
      <c r="AB29" s="323"/>
      <c r="AC29" s="323"/>
      <c r="AD29" s="322"/>
      <c r="AE29" s="323"/>
      <c r="AF29" s="688"/>
      <c r="AG29" s="688"/>
      <c r="AH29" s="322"/>
      <c r="AI29" s="322"/>
      <c r="AJ29" s="323"/>
      <c r="AK29" s="323"/>
      <c r="AL29" s="321"/>
      <c r="AM29" s="323"/>
      <c r="AN29" s="321"/>
      <c r="AO29" s="321"/>
      <c r="AP29" s="322"/>
      <c r="AQ29" s="323"/>
      <c r="AR29" s="323"/>
      <c r="AS29" s="323"/>
      <c r="AT29" s="322"/>
      <c r="AU29" s="323"/>
      <c r="AV29" s="323"/>
      <c r="AW29" s="323"/>
      <c r="AX29" s="322"/>
      <c r="AY29" s="468"/>
      <c r="AZ29" s="468"/>
      <c r="BA29" s="468"/>
      <c r="BB29" s="392"/>
      <c r="BC29" s="434"/>
      <c r="BD29" s="434"/>
      <c r="BE29" s="434"/>
      <c r="BF29" s="435"/>
      <c r="BG29" s="434"/>
      <c r="BH29" s="682"/>
      <c r="BI29" s="434"/>
    </row>
    <row r="30" spans="3:61" s="464" customFormat="1" ht="21.75" thickBot="1">
      <c r="D30" s="576"/>
      <c r="E30" s="576"/>
      <c r="F30" s="576"/>
      <c r="I30" s="577"/>
      <c r="J30" s="578"/>
      <c r="K30" s="579"/>
      <c r="L30" s="579"/>
      <c r="M30" s="579"/>
      <c r="N30" s="578"/>
      <c r="O30" s="579"/>
      <c r="P30" s="579"/>
      <c r="Q30" s="579"/>
      <c r="R30" s="578"/>
      <c r="S30" s="579"/>
      <c r="T30" s="579"/>
      <c r="U30" s="579"/>
      <c r="V30" s="578"/>
      <c r="W30" s="578"/>
      <c r="X30" s="579"/>
      <c r="Y30" s="579"/>
      <c r="Z30" s="579"/>
      <c r="AA30" s="578"/>
      <c r="AB30" s="579"/>
      <c r="AC30" s="579"/>
      <c r="AD30" s="579"/>
      <c r="AE30" s="578"/>
      <c r="AF30" s="579"/>
      <c r="AG30" s="579"/>
      <c r="AH30" s="621"/>
      <c r="AI30" s="578"/>
      <c r="AJ30" s="579"/>
      <c r="AK30" s="579"/>
      <c r="AM30" s="580"/>
      <c r="AN30" s="579"/>
      <c r="AO30" s="579"/>
      <c r="AP30" s="579"/>
      <c r="AQ30" s="578"/>
      <c r="AR30" s="579"/>
      <c r="AS30" s="579"/>
      <c r="AT30" s="579"/>
      <c r="AU30" s="578"/>
      <c r="AV30" s="579"/>
      <c r="AW30" s="579"/>
      <c r="AZ30" s="581"/>
      <c r="BA30" s="581"/>
      <c r="BB30" s="581"/>
      <c r="BC30" s="582"/>
      <c r="BD30" s="583"/>
      <c r="BE30" s="583"/>
      <c r="BF30" s="583"/>
      <c r="BG30" s="584"/>
      <c r="BH30" s="583"/>
      <c r="BI30" s="585"/>
    </row>
    <row r="31" spans="3:61" ht="35.25" customHeight="1" thickBot="1">
      <c r="L31" s="1929" t="s">
        <v>382</v>
      </c>
      <c r="M31" s="1930"/>
      <c r="N31" s="1930"/>
      <c r="O31" s="1930"/>
      <c r="P31" s="1930"/>
      <c r="Q31" s="1930"/>
      <c r="R31" s="1930"/>
      <c r="S31" s="1931"/>
      <c r="T31" s="579"/>
      <c r="U31" s="579"/>
      <c r="V31" s="1929" t="s">
        <v>204</v>
      </c>
      <c r="W31" s="1930"/>
      <c r="X31" s="1930"/>
      <c r="Y31" s="1930"/>
      <c r="Z31" s="1930"/>
      <c r="AA31" s="1930"/>
      <c r="AB31" s="1930"/>
      <c r="AC31" s="1935"/>
      <c r="AD31" s="1936"/>
      <c r="AE31" s="579"/>
      <c r="AF31" s="579"/>
      <c r="AG31" s="26"/>
      <c r="AH31" s="24"/>
      <c r="AJ31" s="685"/>
      <c r="AL31" s="24"/>
      <c r="AM31" s="599"/>
      <c r="AN31" s="1014"/>
      <c r="AP31" s="24"/>
      <c r="AS31" s="26"/>
      <c r="AT31" s="24"/>
      <c r="AX31" s="24"/>
      <c r="AY31" s="25"/>
      <c r="AZ31" s="25"/>
      <c r="BA31" s="24"/>
      <c r="BB31" s="24"/>
      <c r="BE31" s="23">
        <f>211-112</f>
        <v>99</v>
      </c>
      <c r="BF31" s="23"/>
      <c r="BG31" s="23"/>
    </row>
    <row r="32" spans="3:61" s="24" customFormat="1" ht="28.5" customHeight="1" thickBot="1">
      <c r="C32" s="23"/>
      <c r="D32" s="27"/>
      <c r="E32" s="27"/>
      <c r="F32" s="27"/>
      <c r="G32" s="23"/>
      <c r="H32" s="23"/>
      <c r="I32" s="27"/>
      <c r="L32" s="450" t="s">
        <v>0</v>
      </c>
      <c r="M32" s="439" t="s">
        <v>200</v>
      </c>
      <c r="N32" s="454" t="s">
        <v>205</v>
      </c>
      <c r="O32" s="439" t="s">
        <v>31</v>
      </c>
      <c r="P32" s="448" t="s">
        <v>201</v>
      </c>
      <c r="Q32" s="455" t="s">
        <v>206</v>
      </c>
      <c r="R32" s="436" t="s">
        <v>22</v>
      </c>
      <c r="S32" s="438" t="s">
        <v>191</v>
      </c>
      <c r="T32" s="579"/>
      <c r="U32" s="579"/>
      <c r="V32" s="571" t="s">
        <v>0</v>
      </c>
      <c r="W32" s="572" t="s">
        <v>200</v>
      </c>
      <c r="X32" s="623" t="s">
        <v>205</v>
      </c>
      <c r="Y32" s="572" t="s">
        <v>31</v>
      </c>
      <c r="Z32" s="573" t="s">
        <v>201</v>
      </c>
      <c r="AA32" s="574" t="s">
        <v>206</v>
      </c>
      <c r="AB32" s="717" t="s">
        <v>22</v>
      </c>
      <c r="AC32" s="721" t="s">
        <v>191</v>
      </c>
      <c r="AD32" s="722" t="s">
        <v>226</v>
      </c>
      <c r="AE32" s="579"/>
      <c r="AF32" s="579"/>
      <c r="AG32" s="599"/>
      <c r="AH32" s="599"/>
      <c r="AI32" s="599"/>
      <c r="AN32" s="26"/>
      <c r="AT32" s="25"/>
      <c r="AU32" s="25"/>
      <c r="AW32" s="23"/>
      <c r="AX32" s="23"/>
    </row>
    <row r="33" spans="1:60" ht="23.25">
      <c r="L33" s="441" t="s">
        <v>189</v>
      </c>
      <c r="M33" s="470">
        <f>$J$6</f>
        <v>35</v>
      </c>
      <c r="N33" s="430">
        <f>$J9</f>
        <v>0</v>
      </c>
      <c r="O33" s="430">
        <f>$J7</f>
        <v>0</v>
      </c>
      <c r="P33" s="430">
        <f>$J8</f>
        <v>5</v>
      </c>
      <c r="Q33" s="430">
        <f>J15+J16+J17+J18+J19+J21+J22+J23</f>
        <v>0</v>
      </c>
      <c r="R33" s="430">
        <f>$J20</f>
        <v>0</v>
      </c>
      <c r="S33" s="446">
        <f t="shared" ref="S33:S42" si="22">SUM(M33:R33)</f>
        <v>40</v>
      </c>
      <c r="T33" s="579"/>
      <c r="U33" s="579"/>
      <c r="V33" s="447" t="s">
        <v>189</v>
      </c>
      <c r="W33" s="569">
        <f>L$6</f>
        <v>2</v>
      </c>
      <c r="X33" s="570">
        <f>$L9</f>
        <v>0</v>
      </c>
      <c r="Y33" s="570">
        <f>$L7</f>
        <v>0</v>
      </c>
      <c r="Z33" s="570">
        <f>$L8</f>
        <v>0</v>
      </c>
      <c r="AA33" s="570">
        <f>L$15+L$16+L$17+L$18+L$19+L$21+L$22+L$23</f>
        <v>0</v>
      </c>
      <c r="AB33" s="718">
        <f>$L20</f>
        <v>0</v>
      </c>
      <c r="AC33" s="723">
        <f t="shared" ref="AC33:AC42" si="23">SUM(W33:AB33)</f>
        <v>2</v>
      </c>
      <c r="AD33" s="587">
        <f>M6+M7+M8++M9+M15+M16+M17+M18+M19+M21+M20+M22+M23</f>
        <v>59</v>
      </c>
      <c r="AE33" s="579">
        <f>AC33+AD33</f>
        <v>61</v>
      </c>
      <c r="AF33" s="579"/>
      <c r="AG33" s="599"/>
      <c r="AH33" s="599"/>
      <c r="AI33" s="599"/>
      <c r="AL33" s="24"/>
      <c r="AN33" s="26"/>
      <c r="AP33" s="24"/>
      <c r="AT33" s="25"/>
      <c r="AU33" s="25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</row>
    <row r="34" spans="1:60" s="24" customFormat="1" ht="23.25">
      <c r="A34" s="23"/>
      <c r="B34" s="23"/>
      <c r="C34" s="23"/>
      <c r="D34" s="27"/>
      <c r="E34" s="27"/>
      <c r="F34" s="27"/>
      <c r="G34" s="23"/>
      <c r="H34" s="23"/>
      <c r="I34" s="27"/>
      <c r="L34" s="441" t="s">
        <v>183</v>
      </c>
      <c r="M34" s="470">
        <f>$N$6</f>
        <v>13</v>
      </c>
      <c r="N34" s="430">
        <f>$N9</f>
        <v>0</v>
      </c>
      <c r="O34" s="430">
        <f>$N7</f>
        <v>0</v>
      </c>
      <c r="P34" s="430">
        <f>$N8</f>
        <v>0</v>
      </c>
      <c r="Q34" s="430">
        <f>N15+N16+N17+N18+N19+N21+N22+N23</f>
        <v>0</v>
      </c>
      <c r="R34" s="430">
        <f>$N20</f>
        <v>0</v>
      </c>
      <c r="S34" s="446">
        <f t="shared" si="22"/>
        <v>13</v>
      </c>
      <c r="T34" s="686"/>
      <c r="U34" s="26"/>
      <c r="V34" s="441" t="s">
        <v>183</v>
      </c>
      <c r="W34" s="440">
        <f>P$6</f>
        <v>0</v>
      </c>
      <c r="X34" s="430">
        <f>$P9</f>
        <v>0</v>
      </c>
      <c r="Y34" s="430">
        <f>$P7</f>
        <v>0</v>
      </c>
      <c r="Z34" s="430">
        <f>$P8</f>
        <v>0</v>
      </c>
      <c r="AA34" s="430">
        <f>P$15+P$16+P$17+P$18+P$19+P$21+P$22+P$23</f>
        <v>0</v>
      </c>
      <c r="AB34" s="719">
        <f>$P20</f>
        <v>0</v>
      </c>
      <c r="AC34" s="723">
        <f t="shared" si="23"/>
        <v>0</v>
      </c>
      <c r="AD34" s="587">
        <f>Q6+Q7+Q8+Q9+Q15+Q16+Q17+Q18+Q19+Q20+Q21+Q22+Q23</f>
        <v>4</v>
      </c>
      <c r="AE34" s="579">
        <f t="shared" ref="AE34:AE43" si="24">AC34+AD34</f>
        <v>4</v>
      </c>
      <c r="AG34" s="599"/>
      <c r="AH34" s="599"/>
      <c r="AI34" s="599"/>
      <c r="AN34" s="26"/>
      <c r="AT34" s="25"/>
      <c r="AU34" s="25"/>
    </row>
    <row r="35" spans="1:60" ht="23.25">
      <c r="L35" s="441" t="s">
        <v>184</v>
      </c>
      <c r="M35" s="470">
        <f>$R$6</f>
        <v>23</v>
      </c>
      <c r="N35" s="430">
        <f>$R9</f>
        <v>0</v>
      </c>
      <c r="O35" s="430">
        <f>$R7</f>
        <v>0</v>
      </c>
      <c r="P35" s="430">
        <f>$R8</f>
        <v>0</v>
      </c>
      <c r="Q35" s="430">
        <f>R15+R16+R17+R18+R19+R21+R22+R23</f>
        <v>0</v>
      </c>
      <c r="R35" s="430">
        <f>$R20</f>
        <v>0</v>
      </c>
      <c r="S35" s="446">
        <f t="shared" si="22"/>
        <v>23</v>
      </c>
      <c r="T35" s="686"/>
      <c r="U35" s="26"/>
      <c r="V35" s="441" t="s">
        <v>184</v>
      </c>
      <c r="W35" s="440">
        <f>T$6</f>
        <v>0</v>
      </c>
      <c r="X35" s="430">
        <f>$T9</f>
        <v>0</v>
      </c>
      <c r="Y35" s="430">
        <f>$T7</f>
        <v>0</v>
      </c>
      <c r="Z35" s="430">
        <f>$T8</f>
        <v>0</v>
      </c>
      <c r="AA35" s="430">
        <f>T$15+T$16+T$17+T$18+T$19+T$21+T$22+T$23</f>
        <v>0</v>
      </c>
      <c r="AB35" s="719">
        <f>$T20</f>
        <v>0</v>
      </c>
      <c r="AC35" s="723">
        <f t="shared" si="23"/>
        <v>0</v>
      </c>
      <c r="AD35" s="587">
        <f>U6+U7+U8+U9+U15+U16+U17+U18+U19+U20+U21+U22+U23</f>
        <v>5</v>
      </c>
      <c r="AE35" s="579">
        <f t="shared" si="24"/>
        <v>5</v>
      </c>
      <c r="AF35" s="26"/>
      <c r="AG35" s="599"/>
      <c r="AH35" s="599"/>
      <c r="AI35" s="599"/>
      <c r="AL35" s="24"/>
      <c r="AN35" s="26"/>
      <c r="AP35" s="24"/>
      <c r="AT35" s="25"/>
      <c r="AU35" s="25"/>
      <c r="AX35" s="23"/>
      <c r="AY35" s="23"/>
      <c r="AZ35" s="23"/>
      <c r="BA35" s="23"/>
      <c r="BB35" s="23"/>
      <c r="BC35" s="23"/>
      <c r="BD35" s="23"/>
      <c r="BE35" s="23"/>
      <c r="BF35" s="24"/>
      <c r="BG35" s="23"/>
      <c r="BH35" s="23">
        <v>15</v>
      </c>
    </row>
    <row r="36" spans="1:60" ht="23.25">
      <c r="L36" s="441" t="s">
        <v>170</v>
      </c>
      <c r="M36" s="470">
        <f>$V$6</f>
        <v>4</v>
      </c>
      <c r="N36" s="430">
        <f>$V9</f>
        <v>1</v>
      </c>
      <c r="O36" s="430">
        <f>$V7</f>
        <v>0</v>
      </c>
      <c r="P36" s="430">
        <f>$V8</f>
        <v>5</v>
      </c>
      <c r="Q36" s="430">
        <f>V15+V16+V17+V18+V19+V21++V22+V23</f>
        <v>0</v>
      </c>
      <c r="R36" s="430">
        <f>$V20</f>
        <v>0</v>
      </c>
      <c r="S36" s="446">
        <f t="shared" si="22"/>
        <v>10</v>
      </c>
      <c r="T36" s="686"/>
      <c r="U36" s="26"/>
      <c r="V36" s="441" t="s">
        <v>170</v>
      </c>
      <c r="W36" s="440">
        <f>X$6</f>
        <v>2</v>
      </c>
      <c r="X36" s="430">
        <f>$X9</f>
        <v>1</v>
      </c>
      <c r="Y36" s="430">
        <f>$X7</f>
        <v>0</v>
      </c>
      <c r="Z36" s="430">
        <f>$X8</f>
        <v>0</v>
      </c>
      <c r="AA36" s="430">
        <f>X$15+X$16+X$17+X$18+X$19+X$21+X$22+X$23</f>
        <v>0</v>
      </c>
      <c r="AB36" s="719">
        <f>$X20</f>
        <v>0</v>
      </c>
      <c r="AC36" s="723">
        <f t="shared" si="23"/>
        <v>3</v>
      </c>
      <c r="AD36" s="587">
        <f>Y6+Y7+Y8+Y9+Y15+Y16+Y17+Y18+Y19+Y20+Y21+Y22+Y23</f>
        <v>0</v>
      </c>
      <c r="AE36" s="579">
        <f t="shared" si="24"/>
        <v>3</v>
      </c>
      <c r="AF36" s="26"/>
      <c r="AG36" s="599"/>
      <c r="AH36" s="599"/>
      <c r="AI36" s="599"/>
      <c r="AL36" s="24"/>
      <c r="AN36" s="26"/>
      <c r="AP36" s="24"/>
      <c r="AT36" s="25"/>
      <c r="AU36" s="25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>
        <v>15</v>
      </c>
    </row>
    <row r="37" spans="1:60" ht="23.25">
      <c r="L37" s="441" t="s">
        <v>171</v>
      </c>
      <c r="M37" s="470">
        <f>$Z$6</f>
        <v>0</v>
      </c>
      <c r="N37" s="430">
        <f>$Z9</f>
        <v>0</v>
      </c>
      <c r="O37" s="430">
        <f>$Z7</f>
        <v>0</v>
      </c>
      <c r="P37" s="430">
        <f>$Z8</f>
        <v>0</v>
      </c>
      <c r="Q37" s="430">
        <f>Z15+Z16+Z17+Z18+Z19+Z21+Z22+Z23</f>
        <v>0</v>
      </c>
      <c r="R37" s="430">
        <f>$Z20</f>
        <v>0</v>
      </c>
      <c r="S37" s="446">
        <f t="shared" si="22"/>
        <v>0</v>
      </c>
      <c r="T37" s="686"/>
      <c r="U37" s="26"/>
      <c r="V37" s="441" t="s">
        <v>171</v>
      </c>
      <c r="W37" s="440">
        <f>AB$6</f>
        <v>0</v>
      </c>
      <c r="X37" s="430">
        <f>$AB9</f>
        <v>0.5</v>
      </c>
      <c r="Y37" s="430">
        <f>$AB7</f>
        <v>0</v>
      </c>
      <c r="Z37" s="430">
        <f>$AB8</f>
        <v>0</v>
      </c>
      <c r="AA37" s="430">
        <f>AB$15+AB$16+AB$17+AB$18+AB$19+AB$21+AB$22+AB$23</f>
        <v>0</v>
      </c>
      <c r="AB37" s="719">
        <f>$AB20</f>
        <v>0</v>
      </c>
      <c r="AC37" s="723">
        <f t="shared" si="23"/>
        <v>0.5</v>
      </c>
      <c r="AD37" s="587">
        <f>AC6+AC7+AC8+AC9+AC15+AC17+AC16+AC18+AC19+AC20+AC21+AC22+AC23</f>
        <v>0</v>
      </c>
      <c r="AE37" s="579">
        <f t="shared" si="24"/>
        <v>0.5</v>
      </c>
      <c r="AF37" s="26"/>
      <c r="AG37" s="26"/>
      <c r="AI37" s="26"/>
      <c r="AJ37" s="26"/>
      <c r="AK37" s="26"/>
      <c r="AL37" s="24"/>
      <c r="AN37" s="26"/>
      <c r="AP37" s="24"/>
      <c r="AT37" s="24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>
        <v>23</v>
      </c>
    </row>
    <row r="38" spans="1:60" ht="23.25">
      <c r="L38" s="441" t="s">
        <v>190</v>
      </c>
      <c r="M38" s="492">
        <f>$AD$6</f>
        <v>20</v>
      </c>
      <c r="N38" s="471">
        <f>$AD9</f>
        <v>0</v>
      </c>
      <c r="O38" s="471">
        <f>$AD7</f>
        <v>0</v>
      </c>
      <c r="P38" s="471">
        <f>$AD8</f>
        <v>10</v>
      </c>
      <c r="Q38" s="430">
        <f>AD15+AD16+AD17+AD18+AD19+AD21+AD22+AD23</f>
        <v>0</v>
      </c>
      <c r="R38" s="471">
        <f>$AD20</f>
        <v>0</v>
      </c>
      <c r="S38" s="446">
        <f t="shared" si="22"/>
        <v>30</v>
      </c>
      <c r="T38" s="686"/>
      <c r="U38" s="26"/>
      <c r="V38" s="441" t="s">
        <v>190</v>
      </c>
      <c r="W38" s="440">
        <f>AF$6</f>
        <v>33.26</v>
      </c>
      <c r="X38" s="430">
        <f>$AF9</f>
        <v>0</v>
      </c>
      <c r="Y38" s="430">
        <f>$AF7</f>
        <v>0</v>
      </c>
      <c r="Z38" s="430">
        <f>$AF8</f>
        <v>0</v>
      </c>
      <c r="AA38" s="430">
        <f>AF$15+AF$16+AF$17+AF$18+AF$19+AF$21+AF$22+AF$23</f>
        <v>0</v>
      </c>
      <c r="AB38" s="719">
        <f>$AF20</f>
        <v>0</v>
      </c>
      <c r="AC38" s="723">
        <f t="shared" si="23"/>
        <v>33.26</v>
      </c>
      <c r="AD38" s="587">
        <f>AG6+AG7+AG8+AG9+AG15+AG16+AG17+AG18+AG19+AG20+AG21+AG22+AG23</f>
        <v>5</v>
      </c>
      <c r="AE38" s="579">
        <f t="shared" si="24"/>
        <v>38.26</v>
      </c>
      <c r="AF38" s="26"/>
      <c r="AG38" s="26"/>
      <c r="AI38" s="26"/>
      <c r="AJ38" s="26"/>
      <c r="AK38" s="26"/>
      <c r="AL38" s="24"/>
      <c r="AP38" s="24"/>
      <c r="AT38" s="24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>
        <v>30</v>
      </c>
    </row>
    <row r="39" spans="1:60" ht="23.25">
      <c r="L39" s="441" t="s">
        <v>185</v>
      </c>
      <c r="M39" s="470">
        <f>$AL$6</f>
        <v>35</v>
      </c>
      <c r="N39" s="430">
        <f>$AL9</f>
        <v>0</v>
      </c>
      <c r="O39" s="430">
        <f>$AL7</f>
        <v>0</v>
      </c>
      <c r="P39" s="430">
        <f>$AL8</f>
        <v>0</v>
      </c>
      <c r="Q39" s="430">
        <f>AL15+AL16+AL17+AL18+AL19+AL21+AL22+AL23</f>
        <v>20</v>
      </c>
      <c r="R39" s="430">
        <f>$AL20</f>
        <v>0</v>
      </c>
      <c r="S39" s="446">
        <f t="shared" si="22"/>
        <v>55</v>
      </c>
      <c r="T39" s="686"/>
      <c r="U39" s="26"/>
      <c r="V39" s="441" t="s">
        <v>185</v>
      </c>
      <c r="W39" s="469">
        <f>AN$6</f>
        <v>1</v>
      </c>
      <c r="X39" s="430">
        <f>$AN9</f>
        <v>0</v>
      </c>
      <c r="Y39" s="430">
        <f>$AN7</f>
        <v>0</v>
      </c>
      <c r="Z39" s="430">
        <f>$AN8</f>
        <v>20</v>
      </c>
      <c r="AA39" s="430">
        <f>AN$15+AN$16+AN$17+AN$18+AN$19+AN$21+AN$22+AN$23</f>
        <v>0</v>
      </c>
      <c r="AB39" s="719">
        <f>$AN20</f>
        <v>0</v>
      </c>
      <c r="AC39" s="723">
        <f t="shared" si="23"/>
        <v>21</v>
      </c>
      <c r="AD39" s="587">
        <f>AO6+AO7+AO8+AO9+AO15+AO16+AO17+AO18+AO19+AO20+AO21+AO22+AO23</f>
        <v>0</v>
      </c>
      <c r="AE39" s="579">
        <f t="shared" si="24"/>
        <v>21</v>
      </c>
      <c r="AF39" s="23"/>
      <c r="AG39" s="26"/>
      <c r="AI39" s="26"/>
      <c r="AJ39" s="26"/>
      <c r="AK39" s="26"/>
      <c r="AL39" s="24"/>
      <c r="AN39" s="26"/>
      <c r="AP39" s="24"/>
      <c r="AT39" s="24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>
        <v>7</v>
      </c>
    </row>
    <row r="40" spans="1:60" ht="23.25">
      <c r="L40" s="441" t="s">
        <v>202</v>
      </c>
      <c r="M40" s="470">
        <f>$AP$6</f>
        <v>3</v>
      </c>
      <c r="N40" s="430">
        <f>$AP9</f>
        <v>0</v>
      </c>
      <c r="O40" s="430">
        <f>$AP7</f>
        <v>0</v>
      </c>
      <c r="P40" s="430">
        <f>$AP8</f>
        <v>0</v>
      </c>
      <c r="Q40" s="430">
        <f>AP15+AP16+AP17+AP18+AP19+AP21+AP22+AP23</f>
        <v>7</v>
      </c>
      <c r="R40" s="430">
        <f>$AP20</f>
        <v>0</v>
      </c>
      <c r="S40" s="446">
        <f t="shared" si="22"/>
        <v>10</v>
      </c>
      <c r="T40" s="686"/>
      <c r="U40" s="26"/>
      <c r="V40" s="441" t="s">
        <v>202</v>
      </c>
      <c r="W40" s="440">
        <f>AR$6</f>
        <v>1.7</v>
      </c>
      <c r="X40" s="430">
        <f>$AR9</f>
        <v>0</v>
      </c>
      <c r="Y40" s="430">
        <f>$AR7</f>
        <v>0</v>
      </c>
      <c r="Z40" s="430">
        <f>$AR8</f>
        <v>0</v>
      </c>
      <c r="AA40" s="430">
        <f>AR$15+AR$16+AR$17+AR$18+AR$19+AR$21+AR$22+AR$23</f>
        <v>0</v>
      </c>
      <c r="AB40" s="719">
        <f>$AR20</f>
        <v>0</v>
      </c>
      <c r="AC40" s="723">
        <f t="shared" si="23"/>
        <v>1.7</v>
      </c>
      <c r="AD40" s="587">
        <f>AS6+AS7+AS8+AS9+AS15+AS16+AS17+AS18+AS19+AS20+AS21+AS22+AS23</f>
        <v>0</v>
      </c>
      <c r="AE40" s="579">
        <f t="shared" si="24"/>
        <v>1.7</v>
      </c>
      <c r="AF40" s="28"/>
      <c r="AG40" s="26"/>
      <c r="AI40" s="26"/>
      <c r="AJ40" s="26"/>
      <c r="AK40" s="26"/>
      <c r="AL40" s="24"/>
      <c r="AN40" s="26"/>
      <c r="AP40" s="24"/>
      <c r="AS40" s="23"/>
      <c r="AT40" s="24"/>
      <c r="AX40" s="23"/>
      <c r="AY40" s="23"/>
      <c r="AZ40" s="23"/>
      <c r="BA40" s="23"/>
      <c r="BB40" s="23"/>
      <c r="BC40" s="23"/>
      <c r="BD40" s="23"/>
      <c r="BE40" s="23"/>
      <c r="BF40" s="23"/>
      <c r="BG40" s="23"/>
    </row>
    <row r="41" spans="1:60" ht="23.25">
      <c r="L41" s="441" t="s">
        <v>186</v>
      </c>
      <c r="M41" s="470">
        <f>$AT$6</f>
        <v>7</v>
      </c>
      <c r="N41" s="430">
        <f>$AT9</f>
        <v>0</v>
      </c>
      <c r="O41" s="430">
        <f>$AT7</f>
        <v>0</v>
      </c>
      <c r="P41" s="430">
        <f>$AT8</f>
        <v>8</v>
      </c>
      <c r="Q41" s="430">
        <f>AT15+AT16+AT17+AT18+AT19+AT21+AT22+AT23</f>
        <v>0</v>
      </c>
      <c r="R41" s="430">
        <f>$AT20</f>
        <v>0</v>
      </c>
      <c r="S41" s="446">
        <f t="shared" si="22"/>
        <v>15</v>
      </c>
      <c r="T41" s="686"/>
      <c r="U41" s="26"/>
      <c r="V41" s="441" t="s">
        <v>186</v>
      </c>
      <c r="W41" s="440">
        <f>AV$6</f>
        <v>27.74</v>
      </c>
      <c r="X41" s="430">
        <f>$AV9</f>
        <v>0</v>
      </c>
      <c r="Y41" s="430">
        <f>$AV7</f>
        <v>0</v>
      </c>
      <c r="Z41" s="430">
        <f>$AV8</f>
        <v>0</v>
      </c>
      <c r="AA41" s="430">
        <f>AV$15+AV$16+AV$17+AV$18+AV$19+AV$21+AV$22+AV$23</f>
        <v>0</v>
      </c>
      <c r="AB41" s="719">
        <f>$AV20</f>
        <v>0</v>
      </c>
      <c r="AC41" s="723">
        <f t="shared" si="23"/>
        <v>27.74</v>
      </c>
      <c r="AD41" s="587">
        <f>AW6+AW7+AW8+AW9+AW15+AW16+AW17+AW18+AW20+AW19+AW21+AW22+AW23</f>
        <v>0</v>
      </c>
      <c r="AE41" s="579">
        <f t="shared" si="24"/>
        <v>27.74</v>
      </c>
      <c r="AH41" s="24"/>
      <c r="AJ41" s="25"/>
      <c r="AL41" s="24"/>
      <c r="AN41" s="25"/>
      <c r="AP41" s="24"/>
      <c r="AR41" s="25"/>
      <c r="AT41" s="24"/>
      <c r="AX41" s="23"/>
      <c r="AY41" s="23"/>
      <c r="AZ41" s="23"/>
      <c r="BA41" s="23"/>
      <c r="BB41" s="23"/>
      <c r="BC41" s="23"/>
      <c r="BD41" s="23"/>
      <c r="BE41" s="23"/>
      <c r="BF41" s="23"/>
      <c r="BG41" s="23"/>
    </row>
    <row r="42" spans="1:60" ht="23.25">
      <c r="L42" s="441" t="s">
        <v>203</v>
      </c>
      <c r="M42" s="470">
        <f>$AX$6</f>
        <v>21</v>
      </c>
      <c r="N42" s="430">
        <f>$AX9</f>
        <v>0</v>
      </c>
      <c r="O42" s="430">
        <f>$AX7</f>
        <v>0</v>
      </c>
      <c r="P42" s="430">
        <f>$AX8</f>
        <v>5</v>
      </c>
      <c r="Q42" s="430">
        <f>AX15+AX16+AX17+AX18+AX19+AX21+AX22+AX23</f>
        <v>0</v>
      </c>
      <c r="R42" s="430">
        <f>$AX20</f>
        <v>0</v>
      </c>
      <c r="S42" s="446">
        <f t="shared" si="22"/>
        <v>26</v>
      </c>
      <c r="T42" s="686"/>
      <c r="U42" s="26"/>
      <c r="V42" s="441" t="s">
        <v>203</v>
      </c>
      <c r="W42" s="440">
        <f>AZ$6</f>
        <v>7</v>
      </c>
      <c r="X42" s="430">
        <f>$AZ9</f>
        <v>0</v>
      </c>
      <c r="Y42" s="430">
        <f>$AZ7</f>
        <v>0</v>
      </c>
      <c r="Z42" s="430">
        <f>$AZ8</f>
        <v>16</v>
      </c>
      <c r="AA42" s="430">
        <f>AZ$15+AZ$16+AZ$17+AZ$18+AZ$19+AZ$21+AZ$22+AZ$23</f>
        <v>0</v>
      </c>
      <c r="AB42" s="719">
        <f>$AZ20</f>
        <v>0</v>
      </c>
      <c r="AC42" s="723">
        <f t="shared" si="23"/>
        <v>23</v>
      </c>
      <c r="AD42" s="587">
        <f>BA6+BA7+BA8+BA9+BA15+BA16+BA17+BA18+BA19+BA20+BA21+BA22+BA23</f>
        <v>6</v>
      </c>
      <c r="AE42" s="579">
        <f t="shared" si="24"/>
        <v>29</v>
      </c>
      <c r="AH42" s="24"/>
      <c r="AJ42" s="25"/>
      <c r="AL42" s="24"/>
      <c r="AN42" s="25"/>
      <c r="AP42" s="24"/>
      <c r="AR42" s="25"/>
      <c r="AT42" s="24"/>
      <c r="AV42" s="25"/>
      <c r="AX42" s="23"/>
      <c r="AY42" s="23"/>
      <c r="AZ42" s="23"/>
      <c r="BA42" s="23"/>
      <c r="BB42" s="23"/>
      <c r="BC42" s="23"/>
      <c r="BD42" s="23"/>
      <c r="BE42" s="23"/>
      <c r="BF42" s="23"/>
      <c r="BG42" s="23"/>
    </row>
    <row r="43" spans="1:60" ht="24" thickBot="1">
      <c r="L43" s="442" t="s">
        <v>191</v>
      </c>
      <c r="M43" s="443">
        <f t="shared" ref="M43" si="25">SUM(M33:M42)</f>
        <v>161</v>
      </c>
      <c r="N43" s="444">
        <f>SUM(N33:N42)</f>
        <v>1</v>
      </c>
      <c r="O43" s="443">
        <f t="shared" ref="O43" si="26">SUM(O33:O42)</f>
        <v>0</v>
      </c>
      <c r="P43" s="444">
        <f>SUM(P33:P42)</f>
        <v>33</v>
      </c>
      <c r="Q43" s="444">
        <f>SUM(Q33:Q42)</f>
        <v>27</v>
      </c>
      <c r="R43" s="445">
        <f>SUM(R33:R42)</f>
        <v>0</v>
      </c>
      <c r="S43" s="451">
        <f>SUM(S33:S42)</f>
        <v>222</v>
      </c>
      <c r="T43" s="687"/>
      <c r="U43" s="26"/>
      <c r="V43" s="442" t="s">
        <v>191</v>
      </c>
      <c r="W43" s="443">
        <f t="shared" ref="W43:Y43" si="27">SUM(W33:W42)</f>
        <v>74.7</v>
      </c>
      <c r="X43" s="444">
        <f>SUM(X33:X42)</f>
        <v>1.5</v>
      </c>
      <c r="Y43" s="443">
        <f t="shared" si="27"/>
        <v>0</v>
      </c>
      <c r="Z43" s="444">
        <f>SUM(Z33:Z42)</f>
        <v>36</v>
      </c>
      <c r="AA43" s="444">
        <f>SUM(AA33:AA42)</f>
        <v>0</v>
      </c>
      <c r="AB43" s="720">
        <f>SUM(AB33:AB42)</f>
        <v>0</v>
      </c>
      <c r="AC43" s="724">
        <f>SUM(AC33:AC42)</f>
        <v>112.2</v>
      </c>
      <c r="AD43" s="725">
        <f>SUM(AD33:AD42)</f>
        <v>79</v>
      </c>
      <c r="AE43" s="579">
        <f t="shared" si="24"/>
        <v>191.2</v>
      </c>
      <c r="AH43" s="24"/>
      <c r="AJ43" s="25"/>
      <c r="AL43" s="24"/>
      <c r="AN43" s="25"/>
      <c r="AP43" s="24"/>
      <c r="AR43" s="25"/>
      <c r="AT43" s="24"/>
      <c r="AV43" s="25"/>
      <c r="AX43" s="23"/>
      <c r="AY43" s="23"/>
      <c r="AZ43" s="23"/>
      <c r="BA43" s="23"/>
      <c r="BB43" s="23"/>
      <c r="BC43" s="23"/>
      <c r="BD43" s="23"/>
      <c r="BE43" s="23"/>
      <c r="BF43" s="23"/>
      <c r="BG43" s="23"/>
    </row>
    <row r="44" spans="1:60" ht="15" customHeight="1" thickBot="1">
      <c r="L44" s="26"/>
      <c r="M44" s="26"/>
      <c r="N44" s="24"/>
      <c r="P44" s="26"/>
      <c r="Q44" s="26"/>
      <c r="R44" s="24"/>
      <c r="T44" s="26"/>
      <c r="U44" s="26"/>
      <c r="V44" s="24"/>
      <c r="Z44" s="24"/>
      <c r="AD44" s="24"/>
      <c r="AE44" s="26"/>
      <c r="AF44" s="466"/>
      <c r="AG44" s="466"/>
      <c r="AH44" s="466"/>
      <c r="AI44" s="467"/>
      <c r="AL44" s="24"/>
      <c r="AM44" s="25"/>
      <c r="AP44" s="24"/>
      <c r="AQ44" s="25"/>
      <c r="AT44" s="24"/>
      <c r="AU44" s="25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</row>
    <row r="45" spans="1:60" ht="31.5" customHeight="1" thickBot="1">
      <c r="L45" s="1929" t="str">
        <f>L31</f>
        <v>Mode wise Collection Plan-7-01-2022</v>
      </c>
      <c r="M45" s="1930"/>
      <c r="N45" s="1930"/>
      <c r="O45" s="1930"/>
      <c r="P45" s="1930"/>
      <c r="Q45" s="1930"/>
      <c r="R45" s="1930"/>
      <c r="S45" s="1930"/>
      <c r="T45" s="1931"/>
      <c r="U45" s="26"/>
      <c r="V45" s="1923" t="s">
        <v>295</v>
      </c>
      <c r="W45" s="1937"/>
      <c r="X45" s="1937"/>
      <c r="Y45" s="1937"/>
      <c r="Z45" s="1937"/>
      <c r="AA45" s="1937"/>
      <c r="AB45" s="1937"/>
      <c r="AC45" s="1937"/>
      <c r="AD45" s="1937"/>
      <c r="AE45" s="1938"/>
      <c r="AF45" s="466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</row>
    <row r="46" spans="1:60" s="28" customFormat="1" ht="31.5">
      <c r="D46" s="29"/>
      <c r="E46" s="29"/>
      <c r="F46" s="29"/>
      <c r="I46" s="29"/>
      <c r="J46" s="1011" t="s">
        <v>270</v>
      </c>
      <c r="K46" s="1011" t="s">
        <v>196</v>
      </c>
      <c r="L46" s="450" t="s">
        <v>0</v>
      </c>
      <c r="M46" s="439" t="s">
        <v>200</v>
      </c>
      <c r="N46" s="454" t="s">
        <v>205</v>
      </c>
      <c r="O46" s="439" t="s">
        <v>31</v>
      </c>
      <c r="P46" s="448" t="s">
        <v>201</v>
      </c>
      <c r="Q46" s="455" t="s">
        <v>206</v>
      </c>
      <c r="R46" s="436" t="s">
        <v>22</v>
      </c>
      <c r="S46" s="438" t="s">
        <v>191</v>
      </c>
      <c r="T46" s="438" t="s">
        <v>244</v>
      </c>
      <c r="U46" s="26"/>
      <c r="V46" s="596" t="s">
        <v>0</v>
      </c>
      <c r="W46" s="436" t="s">
        <v>200</v>
      </c>
      <c r="X46" s="454" t="s">
        <v>205</v>
      </c>
      <c r="Y46" s="436" t="s">
        <v>31</v>
      </c>
      <c r="Z46" s="448" t="s">
        <v>201</v>
      </c>
      <c r="AA46" s="453" t="s">
        <v>206</v>
      </c>
      <c r="AB46" s="453" t="s">
        <v>210</v>
      </c>
      <c r="AC46" s="436" t="s">
        <v>22</v>
      </c>
      <c r="AD46" s="437" t="s">
        <v>191</v>
      </c>
      <c r="AE46" s="438" t="s">
        <v>244</v>
      </c>
      <c r="AF46" s="952" t="s">
        <v>32</v>
      </c>
      <c r="AG46" s="1022" t="s">
        <v>25</v>
      </c>
      <c r="AH46" s="1022" t="s">
        <v>23</v>
      </c>
      <c r="AI46" s="1022" t="s">
        <v>271</v>
      </c>
      <c r="AJ46" s="23"/>
      <c r="AK46" s="23"/>
      <c r="AL46" s="23"/>
      <c r="AM46" s="23"/>
      <c r="AN46" s="23"/>
      <c r="AO46" s="23"/>
      <c r="AP46" s="23"/>
      <c r="AQ46" s="23"/>
      <c r="AR46" s="23"/>
    </row>
    <row r="47" spans="1:60" ht="23.25">
      <c r="J47" s="441"/>
      <c r="K47" s="441"/>
      <c r="L47" s="441" t="s">
        <v>189</v>
      </c>
      <c r="M47" s="470">
        <v>35</v>
      </c>
      <c r="N47" s="430">
        <v>0</v>
      </c>
      <c r="O47" s="430">
        <v>0</v>
      </c>
      <c r="P47" s="430">
        <v>5</v>
      </c>
      <c r="Q47" s="430">
        <v>0</v>
      </c>
      <c r="R47" s="430">
        <v>0</v>
      </c>
      <c r="S47" s="446">
        <f t="shared" ref="S47:S56" si="28">SUM(M47:R47)</f>
        <v>40</v>
      </c>
      <c r="T47" s="446">
        <v>53</v>
      </c>
      <c r="U47" s="26"/>
      <c r="V47" s="586" t="s">
        <v>189</v>
      </c>
      <c r="W47" s="430">
        <v>0.25</v>
      </c>
      <c r="X47" s="430">
        <v>0</v>
      </c>
      <c r="Y47" s="430">
        <v>0</v>
      </c>
      <c r="Z47" s="430">
        <v>0</v>
      </c>
      <c r="AA47" s="430">
        <v>0</v>
      </c>
      <c r="AB47" s="655">
        <v>0</v>
      </c>
      <c r="AC47" s="430"/>
      <c r="AD47" s="568">
        <f t="shared" ref="AD47:AD56" si="29">SUM(W47:AC47)</f>
        <v>0.25</v>
      </c>
      <c r="AE47" s="587">
        <v>0</v>
      </c>
      <c r="AF47" s="953"/>
      <c r="AG47" s="1017"/>
      <c r="AH47" s="1017"/>
      <c r="AI47" s="1017"/>
      <c r="AJ47" s="28"/>
      <c r="AK47" s="28"/>
      <c r="AL47" s="28"/>
      <c r="AM47" s="28"/>
      <c r="AN47" s="28"/>
      <c r="AO47" s="28"/>
      <c r="AP47" s="28"/>
      <c r="AQ47" s="28"/>
      <c r="AR47" s="28"/>
      <c r="AT47" s="24"/>
      <c r="AU47" s="25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</row>
    <row r="48" spans="1:60" ht="23.25">
      <c r="J48" s="441"/>
      <c r="K48" s="441"/>
      <c r="L48" s="441" t="s">
        <v>183</v>
      </c>
      <c r="M48" s="470">
        <v>13</v>
      </c>
      <c r="N48" s="430">
        <v>0</v>
      </c>
      <c r="O48" s="430">
        <v>0</v>
      </c>
      <c r="P48" s="430">
        <v>0</v>
      </c>
      <c r="Q48" s="430">
        <v>0</v>
      </c>
      <c r="R48" s="430">
        <v>0</v>
      </c>
      <c r="S48" s="446">
        <f t="shared" si="28"/>
        <v>13</v>
      </c>
      <c r="T48" s="446"/>
      <c r="U48" s="466"/>
      <c r="V48" s="586" t="s">
        <v>183</v>
      </c>
      <c r="W48" s="430">
        <v>0</v>
      </c>
      <c r="X48" s="430">
        <v>0</v>
      </c>
      <c r="Y48" s="430">
        <v>0</v>
      </c>
      <c r="Z48" s="430">
        <v>0</v>
      </c>
      <c r="AA48" s="430">
        <v>0</v>
      </c>
      <c r="AB48" s="655">
        <v>0</v>
      </c>
      <c r="AC48" s="430"/>
      <c r="AD48" s="568">
        <f t="shared" si="29"/>
        <v>0</v>
      </c>
      <c r="AE48" s="587">
        <v>0</v>
      </c>
      <c r="AF48" s="953"/>
      <c r="AG48" s="951"/>
      <c r="AH48" s="951"/>
      <c r="AI48" s="655"/>
      <c r="AL48" s="24"/>
      <c r="AM48" s="25"/>
      <c r="AP48" s="24"/>
      <c r="AQ48" s="25"/>
      <c r="AT48" s="24"/>
      <c r="AU48" s="25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</row>
    <row r="49" spans="4:59" ht="23.25">
      <c r="J49" s="441"/>
      <c r="K49" s="441"/>
      <c r="L49" s="441" t="s">
        <v>184</v>
      </c>
      <c r="M49" s="470">
        <v>23</v>
      </c>
      <c r="N49" s="430">
        <v>0</v>
      </c>
      <c r="O49" s="430">
        <v>0</v>
      </c>
      <c r="P49" s="430">
        <v>0</v>
      </c>
      <c r="Q49" s="430">
        <v>0</v>
      </c>
      <c r="R49" s="430">
        <v>0</v>
      </c>
      <c r="S49" s="446">
        <f t="shared" si="28"/>
        <v>23</v>
      </c>
      <c r="T49" s="446">
        <v>5</v>
      </c>
      <c r="U49" s="466"/>
      <c r="V49" s="586" t="s">
        <v>184</v>
      </c>
      <c r="W49" s="430">
        <v>0</v>
      </c>
      <c r="X49" s="430">
        <v>0</v>
      </c>
      <c r="Y49" s="430">
        <v>0</v>
      </c>
      <c r="Z49" s="430">
        <v>0</v>
      </c>
      <c r="AA49" s="430">
        <v>0</v>
      </c>
      <c r="AB49" s="655">
        <v>0</v>
      </c>
      <c r="AC49" s="430"/>
      <c r="AD49" s="568">
        <f t="shared" si="29"/>
        <v>0</v>
      </c>
      <c r="AE49" s="587">
        <v>0</v>
      </c>
      <c r="AF49" s="953"/>
      <c r="AG49" s="951"/>
      <c r="AH49" s="951"/>
      <c r="AI49" s="655"/>
      <c r="AL49" s="24"/>
      <c r="AM49" s="25"/>
      <c r="AP49" s="24"/>
      <c r="AQ49" s="25"/>
      <c r="AT49" s="24"/>
      <c r="AU49" s="25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</row>
    <row r="50" spans="4:59" ht="23.25">
      <c r="J50" s="441"/>
      <c r="K50" s="441"/>
      <c r="L50" s="441" t="s">
        <v>170</v>
      </c>
      <c r="M50" s="470">
        <v>4</v>
      </c>
      <c r="N50" s="430">
        <v>1</v>
      </c>
      <c r="O50" s="430">
        <v>0</v>
      </c>
      <c r="P50" s="430">
        <v>5</v>
      </c>
      <c r="Q50" s="430">
        <v>0</v>
      </c>
      <c r="R50" s="430">
        <v>0</v>
      </c>
      <c r="S50" s="446">
        <f t="shared" si="28"/>
        <v>10</v>
      </c>
      <c r="T50" s="446"/>
      <c r="U50" s="466"/>
      <c r="V50" s="586" t="s">
        <v>170</v>
      </c>
      <c r="W50" s="430">
        <v>0</v>
      </c>
      <c r="X50" s="430">
        <v>0</v>
      </c>
      <c r="Y50" s="430">
        <v>0</v>
      </c>
      <c r="Z50" s="430">
        <v>0</v>
      </c>
      <c r="AA50" s="430">
        <v>0</v>
      </c>
      <c r="AB50" s="655">
        <v>0</v>
      </c>
      <c r="AC50" s="430"/>
      <c r="AD50" s="568">
        <f t="shared" si="29"/>
        <v>0</v>
      </c>
      <c r="AE50" s="587">
        <v>0</v>
      </c>
      <c r="AF50" s="953"/>
      <c r="AG50" s="951"/>
      <c r="AH50" s="951"/>
      <c r="AI50" s="655"/>
      <c r="AL50" s="24"/>
      <c r="AM50" s="25"/>
      <c r="AP50" s="24"/>
      <c r="AQ50" s="25"/>
      <c r="AT50" s="24"/>
      <c r="AU50" s="25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</row>
    <row r="51" spans="4:59" ht="23.25">
      <c r="J51" s="441"/>
      <c r="K51" s="441"/>
      <c r="L51" s="441" t="s">
        <v>171</v>
      </c>
      <c r="M51" s="470">
        <v>0</v>
      </c>
      <c r="N51" s="430">
        <v>0</v>
      </c>
      <c r="O51" s="430">
        <v>0</v>
      </c>
      <c r="P51" s="430">
        <v>0</v>
      </c>
      <c r="Q51" s="430">
        <v>0</v>
      </c>
      <c r="R51" s="430">
        <v>0</v>
      </c>
      <c r="S51" s="446">
        <f t="shared" si="28"/>
        <v>0</v>
      </c>
      <c r="T51" s="446"/>
      <c r="U51" s="466"/>
      <c r="V51" s="586" t="s">
        <v>171</v>
      </c>
      <c r="W51" s="430">
        <v>0</v>
      </c>
      <c r="X51" s="430">
        <v>0</v>
      </c>
      <c r="Y51" s="430">
        <v>0</v>
      </c>
      <c r="Z51" s="430">
        <v>0</v>
      </c>
      <c r="AA51" s="430">
        <v>0</v>
      </c>
      <c r="AB51" s="655">
        <v>0</v>
      </c>
      <c r="AC51" s="430"/>
      <c r="AD51" s="568">
        <f t="shared" si="29"/>
        <v>0</v>
      </c>
      <c r="AE51" s="587">
        <v>0</v>
      </c>
      <c r="AF51" s="953"/>
      <c r="AG51" s="951"/>
      <c r="AH51" s="951"/>
      <c r="AI51" s="655"/>
      <c r="AL51" s="24"/>
      <c r="AM51" s="25"/>
      <c r="AP51" s="24"/>
      <c r="AQ51" s="25"/>
      <c r="AT51" s="24"/>
      <c r="AU51" s="25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</row>
    <row r="52" spans="4:59" ht="23.25">
      <c r="J52" s="441"/>
      <c r="K52" s="441"/>
      <c r="L52" s="441" t="s">
        <v>190</v>
      </c>
      <c r="M52" s="492">
        <v>20</v>
      </c>
      <c r="N52" s="471">
        <v>0</v>
      </c>
      <c r="O52" s="471">
        <v>0</v>
      </c>
      <c r="P52" s="471">
        <v>10</v>
      </c>
      <c r="Q52" s="430">
        <v>0</v>
      </c>
      <c r="R52" s="471">
        <v>0</v>
      </c>
      <c r="S52" s="446">
        <f t="shared" si="28"/>
        <v>30</v>
      </c>
      <c r="T52" s="446">
        <v>5</v>
      </c>
      <c r="U52" s="466"/>
      <c r="V52" s="586" t="s">
        <v>190</v>
      </c>
      <c r="W52" s="430">
        <v>0</v>
      </c>
      <c r="X52" s="430">
        <v>0</v>
      </c>
      <c r="Y52" s="430">
        <v>0</v>
      </c>
      <c r="Z52" s="430">
        <v>0</v>
      </c>
      <c r="AA52" s="430">
        <v>0</v>
      </c>
      <c r="AB52" s="655">
        <v>0</v>
      </c>
      <c r="AC52" s="430"/>
      <c r="AD52" s="568">
        <f t="shared" si="29"/>
        <v>0</v>
      </c>
      <c r="AE52" s="587">
        <v>0</v>
      </c>
      <c r="AF52" s="954"/>
      <c r="AG52" s="951"/>
      <c r="AH52" s="951"/>
      <c r="AI52" s="655"/>
      <c r="AL52" s="24"/>
      <c r="AM52" s="25"/>
      <c r="AP52" s="24"/>
      <c r="AQ52" s="25"/>
      <c r="AT52" s="24"/>
      <c r="AU52" s="25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</row>
    <row r="53" spans="4:59" ht="23.25">
      <c r="J53" s="441"/>
      <c r="K53" s="441"/>
      <c r="L53" s="441" t="s">
        <v>185</v>
      </c>
      <c r="M53" s="470">
        <v>35</v>
      </c>
      <c r="N53" s="430">
        <v>0</v>
      </c>
      <c r="O53" s="430">
        <v>0</v>
      </c>
      <c r="P53" s="430">
        <v>0</v>
      </c>
      <c r="Q53" s="430">
        <v>20</v>
      </c>
      <c r="R53" s="430">
        <v>0</v>
      </c>
      <c r="S53" s="446">
        <f t="shared" si="28"/>
        <v>55</v>
      </c>
      <c r="T53" s="446"/>
      <c r="U53" s="466"/>
      <c r="V53" s="586" t="s">
        <v>185</v>
      </c>
      <c r="W53" s="430">
        <v>11</v>
      </c>
      <c r="X53" s="430">
        <v>0</v>
      </c>
      <c r="Y53" s="430">
        <v>0</v>
      </c>
      <c r="Z53" s="430">
        <v>0</v>
      </c>
      <c r="AA53" s="430">
        <v>0</v>
      </c>
      <c r="AB53" s="655">
        <v>0</v>
      </c>
      <c r="AC53" s="430"/>
      <c r="AD53" s="568">
        <f t="shared" si="29"/>
        <v>11</v>
      </c>
      <c r="AE53" s="587">
        <v>0</v>
      </c>
      <c r="AF53" s="954"/>
      <c r="AG53" s="951"/>
      <c r="AH53" s="951"/>
      <c r="AI53" s="655"/>
      <c r="AL53" s="24"/>
      <c r="AM53" s="25"/>
      <c r="AP53" s="24"/>
      <c r="AQ53" s="25"/>
      <c r="AT53" s="24"/>
      <c r="AU53" s="25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</row>
    <row r="54" spans="4:59" ht="23.25">
      <c r="J54" s="441"/>
      <c r="K54" s="441"/>
      <c r="L54" s="441" t="s">
        <v>202</v>
      </c>
      <c r="M54" s="470">
        <v>3</v>
      </c>
      <c r="N54" s="430">
        <v>0</v>
      </c>
      <c r="O54" s="430">
        <v>0</v>
      </c>
      <c r="P54" s="430">
        <v>0</v>
      </c>
      <c r="Q54" s="430">
        <v>7</v>
      </c>
      <c r="R54" s="430">
        <v>0</v>
      </c>
      <c r="S54" s="446">
        <f t="shared" si="28"/>
        <v>10</v>
      </c>
      <c r="T54" s="446"/>
      <c r="U54" s="466"/>
      <c r="V54" s="586" t="s">
        <v>202</v>
      </c>
      <c r="W54" s="430">
        <v>1.1000000000000001</v>
      </c>
      <c r="X54" s="430">
        <v>0</v>
      </c>
      <c r="Y54" s="430">
        <v>0</v>
      </c>
      <c r="Z54" s="430">
        <v>0</v>
      </c>
      <c r="AA54" s="430">
        <v>0</v>
      </c>
      <c r="AB54" s="655">
        <v>0</v>
      </c>
      <c r="AC54" s="430"/>
      <c r="AD54" s="568">
        <f t="shared" si="29"/>
        <v>1.1000000000000001</v>
      </c>
      <c r="AE54" s="587">
        <v>0</v>
      </c>
      <c r="AF54" s="952"/>
      <c r="AG54" s="951"/>
      <c r="AH54" s="951"/>
      <c r="AI54" s="655"/>
      <c r="AL54" s="24"/>
      <c r="AM54" s="25"/>
      <c r="AP54" s="24"/>
      <c r="AQ54" s="25"/>
      <c r="AT54" s="24"/>
      <c r="AU54" s="25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</row>
    <row r="55" spans="4:59" ht="23.25">
      <c r="J55" s="441"/>
      <c r="K55" s="441"/>
      <c r="L55" s="441" t="s">
        <v>186</v>
      </c>
      <c r="M55" s="470">
        <v>7</v>
      </c>
      <c r="N55" s="430">
        <v>0</v>
      </c>
      <c r="O55" s="430">
        <v>0</v>
      </c>
      <c r="P55" s="430">
        <v>8</v>
      </c>
      <c r="Q55" s="430">
        <v>0</v>
      </c>
      <c r="R55" s="430">
        <v>0</v>
      </c>
      <c r="S55" s="446">
        <f t="shared" si="28"/>
        <v>15</v>
      </c>
      <c r="T55" s="446"/>
      <c r="U55" s="466"/>
      <c r="V55" s="586" t="s">
        <v>186</v>
      </c>
      <c r="W55" s="430">
        <v>0</v>
      </c>
      <c r="X55" s="430">
        <v>0</v>
      </c>
      <c r="Y55" s="430">
        <v>0</v>
      </c>
      <c r="Z55" s="430">
        <v>0</v>
      </c>
      <c r="AA55" s="430">
        <v>0</v>
      </c>
      <c r="AB55" s="655">
        <v>0</v>
      </c>
      <c r="AC55" s="430"/>
      <c r="AD55" s="568">
        <f t="shared" si="29"/>
        <v>0</v>
      </c>
      <c r="AE55" s="587">
        <f>AD41</f>
        <v>0</v>
      </c>
      <c r="AF55" s="952"/>
      <c r="AG55" s="951"/>
      <c r="AH55" s="951"/>
      <c r="AI55" s="655"/>
      <c r="AL55" s="24"/>
      <c r="AM55" s="25"/>
      <c r="AP55" s="24"/>
      <c r="AQ55" s="25"/>
      <c r="AT55" s="24"/>
      <c r="AU55" s="25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</row>
    <row r="56" spans="4:59" ht="23.25">
      <c r="J56" s="441"/>
      <c r="K56" s="441"/>
      <c r="L56" s="441" t="s">
        <v>203</v>
      </c>
      <c r="M56" s="470">
        <v>21</v>
      </c>
      <c r="N56" s="430">
        <v>0</v>
      </c>
      <c r="O56" s="430">
        <v>0</v>
      </c>
      <c r="P56" s="430">
        <v>5</v>
      </c>
      <c r="Q56" s="430">
        <v>0</v>
      </c>
      <c r="R56" s="430">
        <v>0</v>
      </c>
      <c r="S56" s="446">
        <f t="shared" si="28"/>
        <v>26</v>
      </c>
      <c r="T56" s="446">
        <v>6</v>
      </c>
      <c r="U56" s="466"/>
      <c r="V56" s="586" t="s">
        <v>203</v>
      </c>
      <c r="W56" s="430">
        <v>0</v>
      </c>
      <c r="X56" s="430">
        <v>0</v>
      </c>
      <c r="Y56" s="430">
        <v>0</v>
      </c>
      <c r="Z56" s="430">
        <v>0</v>
      </c>
      <c r="AA56" s="430">
        <v>0</v>
      </c>
      <c r="AB56" s="655">
        <v>0</v>
      </c>
      <c r="AC56" s="430"/>
      <c r="AD56" s="568">
        <f t="shared" si="29"/>
        <v>0</v>
      </c>
      <c r="AE56" s="587">
        <f>AD42</f>
        <v>6</v>
      </c>
      <c r="AF56" s="952"/>
      <c r="AG56" s="951"/>
      <c r="AH56" s="951"/>
      <c r="AI56" s="655"/>
      <c r="AL56" s="24"/>
      <c r="AM56" s="25"/>
      <c r="AP56" s="24"/>
      <c r="AQ56" s="25"/>
      <c r="AT56" s="24"/>
      <c r="AU56" s="25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</row>
    <row r="57" spans="4:59" ht="24" thickBot="1">
      <c r="J57" s="442">
        <f t="shared" ref="J57:K57" si="30">SUM(J47:J56)</f>
        <v>0</v>
      </c>
      <c r="K57" s="442">
        <f t="shared" si="30"/>
        <v>0</v>
      </c>
      <c r="L57" s="442" t="s">
        <v>191</v>
      </c>
      <c r="M57" s="443">
        <f t="shared" ref="M57" si="31">SUM(M47:M56)</f>
        <v>161</v>
      </c>
      <c r="N57" s="444">
        <f>SUM(N47:N56)</f>
        <v>1</v>
      </c>
      <c r="O57" s="443">
        <f t="shared" ref="O57" si="32">SUM(O47:O56)</f>
        <v>0</v>
      </c>
      <c r="P57" s="444">
        <f>SUM(P47:P56)</f>
        <v>33</v>
      </c>
      <c r="Q57" s="444">
        <f>SUM(Q47:Q56)</f>
        <v>27</v>
      </c>
      <c r="R57" s="445">
        <f>SUM(R47:R56)</f>
        <v>0</v>
      </c>
      <c r="S57" s="451">
        <f>SUM(S47:S56)</f>
        <v>222</v>
      </c>
      <c r="T57" s="451">
        <f>SUM(T47:T56)</f>
        <v>69</v>
      </c>
      <c r="U57" s="466"/>
      <c r="V57" s="588" t="s">
        <v>191</v>
      </c>
      <c r="W57" s="589">
        <f t="shared" ref="W57" si="33">SUM(W47:W56)</f>
        <v>12.35</v>
      </c>
      <c r="X57" s="444">
        <f>SUM(X47:X56)</f>
        <v>0</v>
      </c>
      <c r="Y57" s="444">
        <f t="shared" ref="Y57" si="34">SUM(Y47:Y56)</f>
        <v>0</v>
      </c>
      <c r="Z57" s="444">
        <f>SUM(Z47:Z56)</f>
        <v>0</v>
      </c>
      <c r="AA57" s="444">
        <f>SUM(AA47:AA56)</f>
        <v>0</v>
      </c>
      <c r="AB57" s="444"/>
      <c r="AC57" s="444">
        <f t="shared" ref="AC57" si="35">SUM(AC47:AC56)</f>
        <v>0</v>
      </c>
      <c r="AD57" s="630">
        <f>SUM(AD47:AD56)</f>
        <v>12.35</v>
      </c>
      <c r="AE57" s="631">
        <f>SUM(AE47:AE56)</f>
        <v>6</v>
      </c>
      <c r="AF57" s="1016">
        <f t="shared" ref="AF57:AI57" si="36">SUM(AF47:AF56)</f>
        <v>0</v>
      </c>
      <c r="AG57" s="1015">
        <f t="shared" si="36"/>
        <v>0</v>
      </c>
      <c r="AH57" s="1015">
        <f t="shared" si="36"/>
        <v>0</v>
      </c>
      <c r="AI57" s="1015">
        <f t="shared" si="36"/>
        <v>0</v>
      </c>
      <c r="AL57" s="24"/>
      <c r="AM57" s="25"/>
      <c r="AP57" s="24"/>
      <c r="AQ57" s="25"/>
      <c r="AT57" s="24"/>
      <c r="AU57" s="25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</row>
    <row r="58" spans="4:59" ht="32.25" customHeight="1" thickBot="1">
      <c r="N58" s="24"/>
      <c r="O58" s="1924" t="s">
        <v>254</v>
      </c>
      <c r="P58" s="1925"/>
      <c r="Q58" s="1925"/>
      <c r="R58" s="1926"/>
      <c r="S58" s="1927">
        <f>S57+T57</f>
        <v>291</v>
      </c>
      <c r="T58" s="1928"/>
      <c r="U58" s="466"/>
      <c r="V58" s="1932" t="s">
        <v>221</v>
      </c>
      <c r="W58" s="1932"/>
      <c r="X58" s="1932"/>
      <c r="Y58" s="1932"/>
      <c r="Z58" s="1932"/>
      <c r="AA58" s="1932"/>
      <c r="AB58" s="1932"/>
      <c r="AC58" s="1932"/>
      <c r="AD58" s="1933">
        <f>AD57+AE57</f>
        <v>18.350000000000001</v>
      </c>
      <c r="AE58" s="1934"/>
      <c r="AF58" s="466"/>
      <c r="AH58" s="24"/>
      <c r="AI58" s="25"/>
      <c r="AL58" s="24"/>
      <c r="AM58" s="25"/>
      <c r="AP58" s="24"/>
      <c r="AQ58" s="25"/>
      <c r="AT58" s="24"/>
      <c r="AU58" s="25"/>
      <c r="AX58" s="24"/>
      <c r="AY58" s="24"/>
      <c r="AZ58" s="25"/>
      <c r="BA58" s="24"/>
      <c r="BB58" s="24"/>
      <c r="BC58" s="23"/>
      <c r="BD58" s="23"/>
      <c r="BE58" s="23"/>
      <c r="BF58" s="23"/>
      <c r="BG58" s="23"/>
    </row>
    <row r="59" spans="4:59" ht="33.75" customHeight="1">
      <c r="J59" s="24"/>
      <c r="N59" s="24"/>
      <c r="R59" s="24"/>
      <c r="T59" s="26"/>
      <c r="U59" s="26"/>
      <c r="V59" s="966"/>
      <c r="W59" s="966"/>
      <c r="X59" s="966"/>
      <c r="Y59" s="1922" t="s">
        <v>235</v>
      </c>
      <c r="Z59" s="1922"/>
      <c r="AA59" s="1922"/>
      <c r="AB59" s="1922"/>
      <c r="AC59" s="1922"/>
      <c r="AD59" s="1920">
        <f>BH6+BI6+BD20+BE20</f>
        <v>143.69999999999999</v>
      </c>
      <c r="AE59" s="1921"/>
      <c r="AF59" s="466"/>
      <c r="AH59" s="24"/>
      <c r="AI59" s="25"/>
      <c r="AL59" s="24"/>
      <c r="AP59" s="25"/>
      <c r="AT59" s="25"/>
      <c r="AX59" s="25"/>
      <c r="AY59" s="24"/>
      <c r="AZ59" s="24"/>
      <c r="BA59" s="24"/>
      <c r="BB59" s="25"/>
      <c r="BE59" s="23"/>
      <c r="BF59" s="23"/>
      <c r="BG59" s="23"/>
    </row>
    <row r="60" spans="4:59" s="28" customFormat="1" ht="7.5" customHeight="1" thickBot="1">
      <c r="D60" s="29"/>
      <c r="E60" s="29"/>
      <c r="F60" s="29"/>
      <c r="I60" s="29"/>
      <c r="J60" s="24"/>
      <c r="K60" s="24"/>
      <c r="L60" s="24"/>
      <c r="M60" s="24"/>
      <c r="N60" s="964"/>
      <c r="O60" s="964"/>
      <c r="P60" s="964"/>
      <c r="Q60" s="964"/>
      <c r="R60" s="964"/>
      <c r="S60" s="964"/>
      <c r="T60" s="965"/>
      <c r="U60" s="965"/>
      <c r="V60" s="966"/>
      <c r="W60" s="966"/>
      <c r="X60" s="966"/>
      <c r="Y60" s="1013"/>
      <c r="Z60" s="966"/>
      <c r="AA60" s="966"/>
      <c r="AB60" s="966"/>
      <c r="AC60" s="1013"/>
      <c r="AD60" s="966"/>
      <c r="AE60" s="964"/>
      <c r="AF60" s="966"/>
      <c r="AG60" s="964"/>
      <c r="AH60" s="964"/>
      <c r="AI60" s="967"/>
      <c r="AJ60" s="964"/>
      <c r="AK60" s="964"/>
      <c r="AL60" s="964"/>
      <c r="AM60" s="964"/>
      <c r="AN60" s="964"/>
      <c r="AO60" s="964"/>
      <c r="AP60" s="967"/>
      <c r="AQ60" s="964"/>
      <c r="AR60" s="964"/>
      <c r="AS60" s="964"/>
      <c r="AT60" s="967"/>
      <c r="AU60" s="964"/>
      <c r="AV60" s="964"/>
      <c r="AW60" s="964"/>
      <c r="AX60" s="967"/>
      <c r="AY60" s="965"/>
      <c r="AZ60" s="965"/>
      <c r="BA60" s="964"/>
      <c r="BB60" s="964"/>
      <c r="BC60" s="967"/>
      <c r="BD60" s="967"/>
      <c r="BE60" s="964"/>
    </row>
    <row r="61" spans="4:59" ht="42.75" customHeight="1" thickBot="1">
      <c r="J61" s="24"/>
      <c r="L61" s="1923" t="s">
        <v>344</v>
      </c>
      <c r="M61" s="1937"/>
      <c r="N61" s="1937"/>
      <c r="O61" s="1937"/>
      <c r="P61" s="1937"/>
      <c r="Q61" s="1937"/>
      <c r="R61" s="1937"/>
      <c r="S61" s="1937"/>
      <c r="T61" s="1937"/>
      <c r="U61" s="1938"/>
      <c r="V61" s="466"/>
      <c r="W61" s="466"/>
      <c r="X61" s="466"/>
      <c r="Y61" s="465"/>
      <c r="Z61" s="466"/>
      <c r="AA61" s="466"/>
      <c r="AB61" s="466"/>
      <c r="AC61" s="465"/>
      <c r="AD61" s="466"/>
      <c r="AF61" s="466"/>
      <c r="AH61" s="24"/>
      <c r="AI61" s="25"/>
      <c r="AL61" s="24"/>
      <c r="AM61" s="26"/>
      <c r="AN61" s="26"/>
      <c r="AP61" s="24"/>
      <c r="AQ61" s="26"/>
      <c r="AR61" s="26"/>
      <c r="AT61" s="24"/>
      <c r="AU61" s="26"/>
      <c r="AV61" s="26"/>
      <c r="AX61" s="24"/>
      <c r="AY61" s="26"/>
      <c r="AZ61" s="26"/>
      <c r="BA61" s="24"/>
      <c r="BB61" s="24"/>
      <c r="BC61" s="25"/>
      <c r="BD61" s="25"/>
      <c r="BF61" s="23"/>
      <c r="BG61" s="23"/>
    </row>
    <row r="62" spans="4:59" ht="40.5" customHeight="1">
      <c r="J62" s="24"/>
      <c r="L62" s="596" t="s">
        <v>0</v>
      </c>
      <c r="M62" s="436" t="s">
        <v>200</v>
      </c>
      <c r="N62" s="454" t="s">
        <v>205</v>
      </c>
      <c r="O62" s="436" t="s">
        <v>31</v>
      </c>
      <c r="P62" s="448" t="s">
        <v>201</v>
      </c>
      <c r="Q62" s="453" t="s">
        <v>206</v>
      </c>
      <c r="R62" s="453" t="s">
        <v>210</v>
      </c>
      <c r="S62" s="436" t="s">
        <v>22</v>
      </c>
      <c r="T62" s="437" t="s">
        <v>191</v>
      </c>
      <c r="U62" s="438" t="s">
        <v>244</v>
      </c>
      <c r="V62" s="466"/>
      <c r="W62" s="466"/>
      <c r="X62" s="466"/>
      <c r="Y62" s="465"/>
      <c r="Z62" s="466"/>
      <c r="AA62" s="466"/>
      <c r="AB62" s="466"/>
      <c r="AC62" s="465"/>
      <c r="AD62" s="466"/>
      <c r="AF62" s="466"/>
      <c r="AH62" s="24"/>
      <c r="AI62" s="25"/>
      <c r="AL62" s="24"/>
      <c r="AM62" s="26"/>
      <c r="AN62" s="26"/>
      <c r="AP62" s="24"/>
      <c r="AQ62" s="26"/>
      <c r="AR62" s="26"/>
      <c r="AT62" s="24"/>
      <c r="AU62" s="26"/>
      <c r="AV62" s="26"/>
      <c r="AX62" s="24"/>
      <c r="AY62" s="26"/>
      <c r="AZ62" s="26"/>
      <c r="BA62" s="24"/>
      <c r="BB62" s="24"/>
      <c r="BC62" s="25"/>
      <c r="BD62" s="25"/>
      <c r="BF62" s="23"/>
      <c r="BG62" s="23"/>
    </row>
    <row r="63" spans="4:59" ht="23.25">
      <c r="J63" s="24"/>
      <c r="L63" s="586" t="s">
        <v>189</v>
      </c>
      <c r="M63" s="430">
        <v>2</v>
      </c>
      <c r="N63" s="430">
        <v>0</v>
      </c>
      <c r="O63" s="430">
        <v>0</v>
      </c>
      <c r="P63" s="430">
        <v>0</v>
      </c>
      <c r="Q63" s="430"/>
      <c r="R63" s="655"/>
      <c r="S63" s="430"/>
      <c r="T63" s="568">
        <f t="shared" ref="T63:T72" si="37">SUM(M63:S63)</f>
        <v>2</v>
      </c>
      <c r="U63" s="587">
        <f>53+6</f>
        <v>59</v>
      </c>
      <c r="V63" s="466"/>
      <c r="W63" s="466"/>
      <c r="X63" s="466"/>
      <c r="Y63" s="465"/>
      <c r="Z63" s="466"/>
      <c r="AA63" s="466"/>
      <c r="AB63" s="466"/>
      <c r="AC63" s="465"/>
      <c r="AD63" s="466"/>
      <c r="AG63" s="26"/>
      <c r="AH63" s="24"/>
      <c r="AK63" s="49"/>
      <c r="AL63" s="24"/>
      <c r="AM63" s="26"/>
      <c r="AN63" s="26"/>
      <c r="AP63" s="24"/>
      <c r="AQ63" s="26"/>
      <c r="AR63" s="26"/>
      <c r="AT63" s="24"/>
      <c r="AU63" s="26"/>
      <c r="AV63" s="26"/>
      <c r="AX63" s="24"/>
      <c r="AY63" s="26"/>
      <c r="AZ63" s="26"/>
      <c r="BA63" s="24"/>
      <c r="BB63" s="24"/>
      <c r="BC63" s="25"/>
      <c r="BD63" s="25"/>
      <c r="BF63" s="23"/>
      <c r="BG63" s="23"/>
    </row>
    <row r="64" spans="4:59" ht="23.25">
      <c r="J64" s="24"/>
      <c r="L64" s="586" t="s">
        <v>183</v>
      </c>
      <c r="M64" s="430">
        <v>0</v>
      </c>
      <c r="N64" s="430">
        <v>0</v>
      </c>
      <c r="O64" s="430">
        <v>0</v>
      </c>
      <c r="P64" s="430">
        <v>0</v>
      </c>
      <c r="Q64" s="430">
        <v>0</v>
      </c>
      <c r="R64" s="655"/>
      <c r="S64" s="430"/>
      <c r="T64" s="568">
        <f t="shared" si="37"/>
        <v>0</v>
      </c>
      <c r="U64" s="587">
        <v>4</v>
      </c>
      <c r="V64" s="466"/>
      <c r="W64" s="466"/>
      <c r="X64" s="466"/>
      <c r="Y64" s="465"/>
      <c r="Z64" s="466"/>
      <c r="AA64" s="466"/>
      <c r="AB64" s="466"/>
      <c r="AC64" s="465"/>
      <c r="AD64" s="466"/>
      <c r="AG64" s="26"/>
      <c r="AH64" s="24"/>
      <c r="AK64" s="49"/>
      <c r="AL64" s="24"/>
      <c r="AO64" s="26"/>
      <c r="AP64" s="24"/>
      <c r="AQ64" s="26"/>
      <c r="AR64" s="26"/>
      <c r="AT64" s="24"/>
      <c r="AU64" s="26"/>
      <c r="AV64" s="26"/>
      <c r="AX64" s="24"/>
      <c r="AY64" s="26"/>
      <c r="AZ64" s="26"/>
      <c r="BA64" s="24"/>
      <c r="BB64" s="24"/>
      <c r="BE64" s="25"/>
      <c r="BF64" s="24"/>
      <c r="BG64" s="23"/>
    </row>
    <row r="65" spans="10:59" ht="23.25">
      <c r="J65" s="24"/>
      <c r="L65" s="586" t="s">
        <v>184</v>
      </c>
      <c r="M65" s="430">
        <v>0</v>
      </c>
      <c r="N65" s="430">
        <v>0</v>
      </c>
      <c r="O65" s="430">
        <v>0</v>
      </c>
      <c r="P65" s="430">
        <v>0</v>
      </c>
      <c r="Q65" s="430">
        <v>0</v>
      </c>
      <c r="R65" s="655"/>
      <c r="S65" s="430"/>
      <c r="T65" s="568">
        <f t="shared" si="37"/>
        <v>0</v>
      </c>
      <c r="U65" s="587">
        <f>5</f>
        <v>5</v>
      </c>
      <c r="V65" s="466"/>
      <c r="W65" s="466"/>
      <c r="X65" s="466"/>
      <c r="Y65" s="465"/>
      <c r="Z65" s="466"/>
      <c r="AA65" s="466"/>
      <c r="AB65" s="466"/>
      <c r="AC65" s="465">
        <v>158</v>
      </c>
      <c r="AD65" s="466"/>
      <c r="AG65" s="26"/>
      <c r="AH65" s="24"/>
      <c r="AK65" s="49"/>
      <c r="AL65" s="24"/>
      <c r="AO65" s="26"/>
      <c r="AP65" s="24"/>
      <c r="AQ65" s="26"/>
      <c r="AR65" s="26"/>
      <c r="AT65" s="24"/>
      <c r="AU65" s="26"/>
      <c r="AV65" s="26"/>
      <c r="AX65" s="24"/>
      <c r="AY65" s="26"/>
      <c r="AZ65" s="26"/>
      <c r="BA65" s="24"/>
      <c r="BB65" s="24"/>
      <c r="BE65" s="25"/>
      <c r="BF65" s="24"/>
      <c r="BG65" s="23"/>
    </row>
    <row r="66" spans="10:59" ht="23.25">
      <c r="J66" s="24"/>
      <c r="L66" s="586" t="s">
        <v>170</v>
      </c>
      <c r="M66" s="430">
        <v>2</v>
      </c>
      <c r="N66" s="430">
        <v>1</v>
      </c>
      <c r="O66" s="430">
        <v>0</v>
      </c>
      <c r="P66" s="430">
        <v>0</v>
      </c>
      <c r="Q66" s="430">
        <v>0</v>
      </c>
      <c r="R66" s="655"/>
      <c r="S66" s="430"/>
      <c r="T66" s="568">
        <f t="shared" si="37"/>
        <v>3</v>
      </c>
      <c r="U66" s="587">
        <v>0</v>
      </c>
      <c r="V66" s="466"/>
      <c r="W66" s="466"/>
      <c r="X66" s="466"/>
      <c r="Y66" s="465"/>
      <c r="Z66" s="466"/>
      <c r="AA66" s="466"/>
      <c r="AB66" s="466"/>
      <c r="AC66" s="465">
        <v>25</v>
      </c>
      <c r="AD66" s="466"/>
      <c r="AG66" s="26"/>
      <c r="AH66" s="24"/>
      <c r="AK66" s="49"/>
      <c r="AL66" s="24"/>
      <c r="AO66" s="26"/>
      <c r="AP66" s="24"/>
      <c r="AQ66" s="26"/>
      <c r="AR66" s="26"/>
      <c r="AT66" s="24"/>
      <c r="AU66" s="26"/>
      <c r="AV66" s="26"/>
      <c r="AX66" s="24"/>
      <c r="AY66" s="26"/>
      <c r="AZ66" s="26"/>
      <c r="BA66" s="24"/>
      <c r="BB66" s="24"/>
      <c r="BE66" s="25"/>
      <c r="BF66" s="24"/>
      <c r="BG66" s="23"/>
    </row>
    <row r="67" spans="10:59" ht="23.25">
      <c r="J67" s="24"/>
      <c r="L67" s="586" t="s">
        <v>171</v>
      </c>
      <c r="M67" s="430">
        <v>0</v>
      </c>
      <c r="N67" s="430">
        <v>0.5</v>
      </c>
      <c r="O67" s="430">
        <v>0</v>
      </c>
      <c r="P67" s="430">
        <v>0</v>
      </c>
      <c r="Q67" s="430">
        <v>0</v>
      </c>
      <c r="R67" s="655"/>
      <c r="S67" s="430"/>
      <c r="T67" s="568">
        <f t="shared" si="37"/>
        <v>0.5</v>
      </c>
      <c r="U67" s="587">
        <v>0</v>
      </c>
      <c r="V67" s="466"/>
      <c r="W67" s="466"/>
      <c r="X67" s="466"/>
      <c r="Y67" s="465"/>
      <c r="Z67" s="466"/>
      <c r="AA67" s="466"/>
      <c r="AB67" s="466"/>
      <c r="AC67" s="465"/>
      <c r="AD67" s="466"/>
      <c r="AG67" s="26"/>
      <c r="AH67" s="24"/>
      <c r="AK67" s="49"/>
      <c r="AL67" s="24"/>
      <c r="AO67" s="26"/>
      <c r="AP67" s="24"/>
      <c r="AQ67" s="26"/>
      <c r="AR67" s="26"/>
      <c r="AT67" s="24"/>
      <c r="AU67" s="26"/>
      <c r="AV67" s="26"/>
      <c r="AX67" s="24"/>
      <c r="AY67" s="26"/>
      <c r="AZ67" s="26"/>
      <c r="BA67" s="24"/>
      <c r="BB67" s="24"/>
      <c r="BE67" s="25"/>
      <c r="BF67" s="24"/>
      <c r="BG67" s="23"/>
    </row>
    <row r="68" spans="10:59" ht="23.25">
      <c r="J68" s="24"/>
      <c r="L68" s="586" t="s">
        <v>190</v>
      </c>
      <c r="M68" s="430">
        <v>33.26</v>
      </c>
      <c r="N68" s="430">
        <v>0</v>
      </c>
      <c r="O68" s="430">
        <v>0</v>
      </c>
      <c r="P68" s="430">
        <v>0</v>
      </c>
      <c r="Q68" s="430">
        <v>0</v>
      </c>
      <c r="R68" s="655"/>
      <c r="S68" s="430"/>
      <c r="T68" s="568">
        <f t="shared" si="37"/>
        <v>33.26</v>
      </c>
      <c r="U68" s="587">
        <v>5</v>
      </c>
      <c r="V68" s="466"/>
      <c r="W68" s="466"/>
      <c r="X68" s="466"/>
      <c r="Y68" s="465"/>
      <c r="Z68" s="466"/>
      <c r="AA68" s="466"/>
      <c r="AB68" s="466"/>
      <c r="AC68" s="465"/>
      <c r="AD68" s="466"/>
      <c r="AG68" s="26"/>
      <c r="AH68" s="24"/>
      <c r="AK68" s="49"/>
      <c r="AL68" s="24"/>
      <c r="AO68" s="26"/>
      <c r="AP68" s="24"/>
      <c r="AQ68" s="26"/>
      <c r="AR68" s="26"/>
      <c r="AT68" s="24"/>
      <c r="AU68" s="26"/>
      <c r="AV68" s="26"/>
      <c r="AX68" s="24"/>
      <c r="AY68" s="26"/>
      <c r="AZ68" s="26"/>
      <c r="BA68" s="24"/>
      <c r="BB68" s="24"/>
      <c r="BE68" s="25"/>
      <c r="BF68" s="24"/>
      <c r="BG68" s="23"/>
    </row>
    <row r="69" spans="10:59" ht="23.25">
      <c r="L69" s="586" t="s">
        <v>185</v>
      </c>
      <c r="M69" s="430">
        <v>1</v>
      </c>
      <c r="N69" s="430">
        <v>0</v>
      </c>
      <c r="O69" s="430">
        <v>0</v>
      </c>
      <c r="P69" s="430">
        <v>20</v>
      </c>
      <c r="Q69" s="430">
        <v>0</v>
      </c>
      <c r="R69" s="655"/>
      <c r="S69" s="430"/>
      <c r="T69" s="568">
        <f t="shared" si="37"/>
        <v>21</v>
      </c>
      <c r="U69" s="587">
        <v>0</v>
      </c>
      <c r="V69" s="466"/>
      <c r="W69" s="466"/>
      <c r="X69" s="466"/>
      <c r="Y69" s="465"/>
      <c r="Z69" s="466"/>
      <c r="AA69" s="466"/>
      <c r="AB69" s="466"/>
      <c r="AC69" s="465"/>
      <c r="AD69" s="466"/>
      <c r="AG69" s="26"/>
      <c r="AH69" s="24"/>
      <c r="AK69" s="49"/>
      <c r="AL69" s="24"/>
      <c r="AO69" s="26"/>
      <c r="AP69" s="24"/>
      <c r="AQ69" s="26"/>
      <c r="AR69" s="26"/>
      <c r="AT69" s="24"/>
      <c r="AU69" s="26"/>
      <c r="AV69" s="26"/>
      <c r="AX69" s="24"/>
      <c r="AY69" s="26"/>
      <c r="AZ69" s="26"/>
      <c r="BA69" s="24"/>
      <c r="BB69" s="24"/>
      <c r="BE69" s="25"/>
      <c r="BF69" s="24"/>
      <c r="BG69" s="23"/>
    </row>
    <row r="70" spans="10:59" ht="23.25">
      <c r="L70" s="586" t="s">
        <v>202</v>
      </c>
      <c r="M70" s="430">
        <v>1.7</v>
      </c>
      <c r="N70" s="430">
        <v>0</v>
      </c>
      <c r="O70" s="430">
        <v>0</v>
      </c>
      <c r="P70" s="430">
        <v>0</v>
      </c>
      <c r="Q70" s="430">
        <v>0</v>
      </c>
      <c r="R70" s="655"/>
      <c r="S70" s="430"/>
      <c r="T70" s="568">
        <f t="shared" si="37"/>
        <v>1.7</v>
      </c>
      <c r="U70" s="587">
        <v>0</v>
      </c>
      <c r="V70" s="466"/>
      <c r="W70" s="466"/>
      <c r="X70" s="466"/>
      <c r="Y70" s="465"/>
      <c r="Z70" s="466"/>
      <c r="AA70" s="466"/>
      <c r="AB70" s="466"/>
      <c r="AC70" s="465">
        <f>99758-99920</f>
        <v>-162</v>
      </c>
      <c r="AD70" s="466"/>
      <c r="AG70" s="26"/>
      <c r="AH70" s="24"/>
      <c r="AK70" s="49"/>
      <c r="AL70" s="24"/>
      <c r="AM70" s="26"/>
      <c r="AN70" s="26"/>
      <c r="AY70" s="24"/>
      <c r="AZ70" s="24"/>
      <c r="BA70" s="24"/>
      <c r="BB70" s="24"/>
      <c r="BC70" s="25"/>
      <c r="BD70" s="25"/>
      <c r="BF70" s="23"/>
      <c r="BG70" s="23"/>
    </row>
    <row r="71" spans="10:59" ht="23.25">
      <c r="L71" s="586" t="s">
        <v>186</v>
      </c>
      <c r="M71" s="430">
        <v>27.74</v>
      </c>
      <c r="N71" s="430">
        <v>0</v>
      </c>
      <c r="O71" s="430">
        <v>0</v>
      </c>
      <c r="P71" s="430">
        <v>0</v>
      </c>
      <c r="Q71" s="430">
        <v>0</v>
      </c>
      <c r="R71" s="655"/>
      <c r="S71" s="430"/>
      <c r="T71" s="568">
        <f t="shared" si="37"/>
        <v>27.74</v>
      </c>
      <c r="U71" s="587">
        <v>0</v>
      </c>
      <c r="V71" s="466"/>
      <c r="W71" s="466"/>
      <c r="X71" s="466"/>
      <c r="Y71" s="465"/>
      <c r="Z71" s="466"/>
      <c r="AA71" s="466"/>
      <c r="AB71" s="466"/>
      <c r="AC71" s="465">
        <f>AC70/20</f>
        <v>-8.1</v>
      </c>
      <c r="AD71" s="466"/>
      <c r="AG71" s="26"/>
      <c r="AH71" s="24"/>
      <c r="AK71" s="49"/>
      <c r="AL71" s="24"/>
      <c r="AM71" s="26"/>
      <c r="AN71" s="26"/>
      <c r="AY71" s="24"/>
      <c r="AZ71" s="24"/>
      <c r="BA71" s="24"/>
      <c r="BB71" s="24"/>
      <c r="BC71" s="25"/>
      <c r="BD71" s="25"/>
      <c r="BF71" s="23"/>
      <c r="BG71" s="23"/>
    </row>
    <row r="72" spans="10:59" ht="23.25">
      <c r="L72" s="586" t="s">
        <v>203</v>
      </c>
      <c r="M72" s="430">
        <v>7</v>
      </c>
      <c r="N72" s="430">
        <v>0</v>
      </c>
      <c r="O72" s="430">
        <v>0</v>
      </c>
      <c r="P72" s="430">
        <v>16</v>
      </c>
      <c r="Q72" s="430">
        <v>0</v>
      </c>
      <c r="R72" s="655"/>
      <c r="S72" s="430"/>
      <c r="T72" s="568">
        <f t="shared" si="37"/>
        <v>23</v>
      </c>
      <c r="U72" s="587">
        <v>6</v>
      </c>
      <c r="V72" s="466"/>
      <c r="W72" s="466"/>
      <c r="X72" s="466"/>
      <c r="Y72" s="465"/>
      <c r="Z72" s="466"/>
      <c r="AA72" s="466"/>
      <c r="AB72" s="466"/>
      <c r="AC72" s="465"/>
      <c r="AD72" s="466"/>
      <c r="AG72" s="26"/>
      <c r="AH72" s="24"/>
      <c r="AK72" s="49"/>
      <c r="AL72" s="24"/>
      <c r="AM72" s="26"/>
      <c r="AN72" s="26"/>
      <c r="AY72" s="24"/>
      <c r="AZ72" s="24"/>
      <c r="BA72" s="24"/>
      <c r="BB72" s="24"/>
      <c r="BC72" s="25"/>
      <c r="BD72" s="25"/>
      <c r="BF72" s="23"/>
      <c r="BG72" s="23"/>
    </row>
    <row r="73" spans="10:59" ht="24" thickBot="1">
      <c r="L73" s="588" t="s">
        <v>191</v>
      </c>
      <c r="M73" s="589">
        <f t="shared" ref="M73" si="38">SUM(M63:M72)</f>
        <v>74.7</v>
      </c>
      <c r="N73" s="444">
        <f>SUM(N63:N72)</f>
        <v>1.5</v>
      </c>
      <c r="O73" s="444">
        <f t="shared" ref="O73" si="39">SUM(O63:O72)</f>
        <v>0</v>
      </c>
      <c r="P73" s="444">
        <f>SUM(P63:P72)</f>
        <v>36</v>
      </c>
      <c r="Q73" s="444">
        <f>SUM(Q63:Q72)</f>
        <v>0</v>
      </c>
      <c r="R73" s="444"/>
      <c r="S73" s="444">
        <f t="shared" ref="S73" si="40">SUM(S63:S72)</f>
        <v>0</v>
      </c>
      <c r="T73" s="630">
        <f>SUM(T63:T72)</f>
        <v>112.2</v>
      </c>
      <c r="U73" s="631">
        <f>SUM(U63:U72)</f>
        <v>79</v>
      </c>
      <c r="V73" s="466"/>
      <c r="W73" s="466"/>
      <c r="X73" s="466"/>
      <c r="Y73" s="465"/>
      <c r="Z73" s="466"/>
      <c r="AA73" s="466"/>
      <c r="AB73" s="466"/>
      <c r="AC73" s="465"/>
      <c r="AD73" s="466"/>
      <c r="AG73" s="26"/>
      <c r="AH73" s="24"/>
      <c r="AK73" s="49"/>
      <c r="AL73" s="24"/>
      <c r="AM73" s="26"/>
      <c r="AN73" s="26"/>
      <c r="AY73" s="24"/>
      <c r="AZ73" s="24"/>
      <c r="BA73" s="24"/>
      <c r="BB73" s="24"/>
      <c r="BC73" s="25"/>
      <c r="BD73" s="25"/>
      <c r="BF73" s="23"/>
      <c r="BG73" s="23"/>
    </row>
    <row r="74" spans="10:59" ht="29.25" customHeight="1" thickBot="1">
      <c r="L74" s="1932" t="s">
        <v>221</v>
      </c>
      <c r="M74" s="1932"/>
      <c r="N74" s="1932"/>
      <c r="O74" s="1932"/>
      <c r="P74" s="1932"/>
      <c r="Q74" s="1932"/>
      <c r="R74" s="1932"/>
      <c r="S74" s="1932"/>
      <c r="T74" s="1933">
        <f>T73+U73</f>
        <v>191.2</v>
      </c>
      <c r="U74" s="1934"/>
      <c r="V74" s="466"/>
      <c r="W74" s="466"/>
      <c r="X74" s="466"/>
      <c r="Y74" s="465"/>
      <c r="Z74" s="466"/>
      <c r="AA74" s="466"/>
      <c r="AB74" s="466"/>
      <c r="AC74" s="465"/>
      <c r="AD74" s="466"/>
      <c r="AG74" s="26"/>
      <c r="AH74" s="24"/>
      <c r="AK74" s="49"/>
      <c r="AL74" s="24"/>
      <c r="AM74" s="26"/>
      <c r="AN74" s="26"/>
      <c r="AP74" s="24"/>
      <c r="AQ74" s="26"/>
      <c r="AR74" s="26"/>
      <c r="AT74" s="24"/>
      <c r="AU74" s="26"/>
      <c r="AV74" s="26"/>
      <c r="AW74" s="50"/>
      <c r="AX74" s="50"/>
      <c r="AY74" s="26"/>
      <c r="AZ74" s="26"/>
      <c r="BA74" s="24"/>
      <c r="BB74" s="24"/>
      <c r="BC74" s="25"/>
      <c r="BD74" s="25"/>
      <c r="BF74" s="23"/>
      <c r="BG74" s="23"/>
    </row>
    <row r="75" spans="10:59" ht="25.5" customHeight="1">
      <c r="L75" s="966"/>
      <c r="M75" s="966"/>
      <c r="N75" s="966"/>
      <c r="O75" s="1922" t="s">
        <v>235</v>
      </c>
      <c r="P75" s="1922"/>
      <c r="Q75" s="1922"/>
      <c r="R75" s="1922"/>
      <c r="S75" s="1922"/>
      <c r="T75" s="1920">
        <v>145</v>
      </c>
      <c r="U75" s="1921"/>
      <c r="V75" s="24" t="s">
        <v>308</v>
      </c>
      <c r="W75" s="466"/>
      <c r="X75" s="466"/>
      <c r="Y75" s="466"/>
      <c r="Z75" s="465"/>
      <c r="AA75" s="466"/>
      <c r="AB75" s="466"/>
      <c r="AC75" s="466"/>
      <c r="AD75" s="465"/>
      <c r="AE75" s="466"/>
      <c r="AN75" s="26"/>
      <c r="AO75" s="26"/>
      <c r="AP75" s="24"/>
      <c r="AR75" s="26"/>
      <c r="AS75" s="26"/>
      <c r="AT75" s="24"/>
      <c r="AV75" s="26"/>
      <c r="AW75" s="26"/>
      <c r="AX75" s="50"/>
      <c r="AZ75" s="26"/>
      <c r="BA75" s="26"/>
      <c r="BB75" s="24"/>
      <c r="BD75" s="25"/>
      <c r="BE75" s="25"/>
      <c r="BF75" s="24"/>
      <c r="BG75" s="23"/>
    </row>
    <row r="76" spans="10:59" ht="27" customHeight="1">
      <c r="L76" s="26"/>
      <c r="M76" s="26"/>
      <c r="N76" s="24"/>
      <c r="P76" s="26"/>
      <c r="Q76" s="26"/>
      <c r="R76" s="24"/>
      <c r="T76" s="26"/>
      <c r="U76" s="26"/>
      <c r="V76" s="24"/>
      <c r="W76" s="466"/>
      <c r="X76" s="466"/>
      <c r="Y76" s="466"/>
      <c r="Z76" s="465"/>
      <c r="AA76" s="466"/>
      <c r="AB76" s="466"/>
      <c r="AC76" s="466"/>
      <c r="AD76" s="465"/>
      <c r="AE76" s="466"/>
      <c r="AN76" s="26"/>
      <c r="AO76" s="26"/>
      <c r="AP76" s="24"/>
      <c r="AR76" s="26"/>
      <c r="AS76" s="26"/>
      <c r="AT76" s="24"/>
      <c r="AV76" s="26"/>
      <c r="AW76" s="26"/>
      <c r="AX76" s="50"/>
      <c r="AZ76" s="26"/>
      <c r="BA76" s="26"/>
      <c r="BB76" s="24"/>
      <c r="BD76" s="25"/>
      <c r="BE76" s="25"/>
      <c r="BF76" s="24"/>
      <c r="BG76" s="23"/>
    </row>
    <row r="77" spans="10:59">
      <c r="L77" s="26"/>
      <c r="M77" s="26"/>
      <c r="N77" s="24"/>
      <c r="P77" s="26"/>
      <c r="Q77" s="26"/>
      <c r="R77" s="24"/>
      <c r="T77" s="26"/>
      <c r="U77" s="26"/>
      <c r="V77" s="24"/>
      <c r="W77" s="466"/>
      <c r="X77" s="466"/>
      <c r="Y77" s="466"/>
      <c r="Z77" s="465"/>
      <c r="AA77" s="466"/>
      <c r="AB77" s="466"/>
      <c r="AC77" s="466"/>
      <c r="AD77" s="465"/>
      <c r="AE77" s="466"/>
      <c r="AN77" s="26"/>
      <c r="AO77" s="26"/>
      <c r="AP77" s="24"/>
      <c r="AR77" s="26"/>
      <c r="AS77" s="26"/>
      <c r="AT77" s="24"/>
      <c r="AV77" s="26"/>
      <c r="AW77" s="26"/>
      <c r="AX77" s="50"/>
      <c r="AZ77" s="26"/>
      <c r="BA77" s="26"/>
      <c r="BB77" s="24"/>
      <c r="BD77" s="25"/>
      <c r="BE77" s="25"/>
      <c r="BF77" s="24"/>
      <c r="BG77" s="23"/>
    </row>
    <row r="78" spans="10:59">
      <c r="L78" s="26"/>
      <c r="M78" s="26"/>
      <c r="N78" s="24"/>
      <c r="P78" s="26"/>
      <c r="Q78" s="26"/>
      <c r="R78" s="24"/>
      <c r="T78" s="26"/>
      <c r="U78" s="26"/>
      <c r="V78" s="24"/>
      <c r="W78" s="466"/>
      <c r="X78" s="466"/>
      <c r="Y78" s="466"/>
      <c r="Z78" s="465"/>
      <c r="AA78" s="466"/>
      <c r="AB78" s="466"/>
      <c r="AC78" s="466"/>
      <c r="AD78" s="465"/>
      <c r="AE78" s="466"/>
      <c r="AN78" s="26"/>
      <c r="AO78" s="26"/>
      <c r="AP78" s="24"/>
      <c r="AR78" s="26"/>
      <c r="AS78" s="26"/>
      <c r="AT78" s="24"/>
      <c r="AV78" s="26"/>
      <c r="AW78" s="26"/>
      <c r="AX78" s="50"/>
      <c r="AZ78" s="26"/>
      <c r="BA78" s="26"/>
      <c r="BB78" s="24"/>
      <c r="BD78" s="25"/>
      <c r="BE78" s="25"/>
      <c r="BF78" s="24"/>
      <c r="BG78" s="23"/>
    </row>
    <row r="79" spans="10:59">
      <c r="L79" s="26"/>
      <c r="M79" s="26"/>
      <c r="N79" s="24"/>
      <c r="P79" s="26"/>
      <c r="Q79" s="26"/>
      <c r="R79" s="24"/>
      <c r="T79" s="26"/>
      <c r="U79" s="26"/>
      <c r="V79" s="24"/>
      <c r="X79" s="26"/>
      <c r="Y79" s="26"/>
      <c r="Z79" s="24"/>
      <c r="AB79" s="26"/>
      <c r="AC79" s="26"/>
      <c r="AD79" s="24"/>
      <c r="AF79" s="26"/>
      <c r="AG79" s="26"/>
      <c r="AH79" s="24"/>
      <c r="AJ79" s="49"/>
      <c r="AK79" s="49"/>
      <c r="AL79" s="24"/>
      <c r="AN79" s="26"/>
      <c r="AO79" s="26"/>
      <c r="AP79" s="24"/>
      <c r="AR79" s="26"/>
      <c r="AS79" s="26"/>
      <c r="AT79" s="24"/>
      <c r="AV79" s="26"/>
      <c r="AW79" s="26"/>
      <c r="AX79" s="50"/>
      <c r="AZ79" s="26"/>
      <c r="BA79" s="26"/>
      <c r="BB79" s="24"/>
      <c r="BD79" s="25"/>
      <c r="BE79" s="25"/>
      <c r="BF79" s="24"/>
      <c r="BG79" s="23"/>
    </row>
    <row r="80" spans="10:59">
      <c r="L80" s="26"/>
      <c r="M80" s="26"/>
      <c r="N80" s="24"/>
      <c r="P80" s="26"/>
      <c r="Q80" s="26"/>
      <c r="R80" s="24"/>
      <c r="T80" s="26"/>
      <c r="U80" s="26"/>
      <c r="V80" s="24"/>
      <c r="X80" s="26"/>
      <c r="Y80" s="26"/>
      <c r="Z80" s="24"/>
      <c r="AB80" s="26"/>
      <c r="AC80" s="26"/>
      <c r="AD80" s="24"/>
      <c r="AF80" s="26"/>
      <c r="AG80" s="26"/>
      <c r="AH80" s="24"/>
      <c r="AJ80" s="49"/>
      <c r="AK80" s="49"/>
      <c r="AL80" s="24"/>
      <c r="AN80" s="26"/>
      <c r="AO80" s="26"/>
      <c r="AP80" s="24"/>
      <c r="AR80" s="26"/>
      <c r="AS80" s="26"/>
      <c r="AT80" s="24"/>
      <c r="AV80" s="26"/>
      <c r="AW80" s="26"/>
      <c r="AX80" s="50"/>
      <c r="AZ80" s="26"/>
      <c r="BA80" s="26"/>
      <c r="BB80" s="24"/>
      <c r="BD80" s="25"/>
      <c r="BE80" s="25"/>
      <c r="BF80" s="24"/>
      <c r="BG80" s="23"/>
    </row>
  </sheetData>
  <mergeCells count="62">
    <mergeCell ref="L74:S74"/>
    <mergeCell ref="T74:U74"/>
    <mergeCell ref="O75:S75"/>
    <mergeCell ref="T75:U75"/>
    <mergeCell ref="L61:U61"/>
    <mergeCell ref="H26:I26"/>
    <mergeCell ref="V31:AD31"/>
    <mergeCell ref="AD59:AE59"/>
    <mergeCell ref="H10:I10"/>
    <mergeCell ref="C15:C24"/>
    <mergeCell ref="H15:H23"/>
    <mergeCell ref="H24:I24"/>
    <mergeCell ref="D13:F13"/>
    <mergeCell ref="H13:I14"/>
    <mergeCell ref="C14:D14"/>
    <mergeCell ref="L31:S31"/>
    <mergeCell ref="L45:T45"/>
    <mergeCell ref="V45:AE45"/>
    <mergeCell ref="H12:BI12"/>
    <mergeCell ref="J13:M13"/>
    <mergeCell ref="N13:Q13"/>
    <mergeCell ref="N2:AZ2"/>
    <mergeCell ref="C2:F2"/>
    <mergeCell ref="H2:K2"/>
    <mergeCell ref="C6:C9"/>
    <mergeCell ref="H6:H9"/>
    <mergeCell ref="D4:F4"/>
    <mergeCell ref="H4:I5"/>
    <mergeCell ref="C5:D5"/>
    <mergeCell ref="BF13:BI13"/>
    <mergeCell ref="BB2:BI2"/>
    <mergeCell ref="H3:BI3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R13:U13"/>
    <mergeCell ref="V13:Y13"/>
    <mergeCell ref="Z13:AC13"/>
    <mergeCell ref="AD13:AG13"/>
    <mergeCell ref="AH13:AK13"/>
    <mergeCell ref="AL13:AO13"/>
    <mergeCell ref="AP13:AS13"/>
    <mergeCell ref="AT13:AW13"/>
    <mergeCell ref="AX13:BA13"/>
    <mergeCell ref="BB13:BE13"/>
    <mergeCell ref="O58:R58"/>
    <mergeCell ref="S58:T58"/>
    <mergeCell ref="AD58:AE58"/>
    <mergeCell ref="Y59:AC59"/>
    <mergeCell ref="BH27:BI27"/>
    <mergeCell ref="BC27:BC28"/>
    <mergeCell ref="V58:AC58"/>
  </mergeCells>
  <conditionalFormatting sqref="M47:R56">
    <cfRule type="cellIs" dxfId="55" priority="2" operator="equal">
      <formula>0</formula>
    </cfRule>
  </conditionalFormatting>
  <conditionalFormatting sqref="M63:Q72">
    <cfRule type="cellIs" dxfId="54" priority="1" operator="equal">
      <formula>0</formula>
    </cfRule>
  </conditionalFormatting>
  <printOptions horizontalCentered="1"/>
  <pageMargins left="0.23" right="0.28000000000000003" top="0.74803149606299213" bottom="0.74803149606299213" header="0.31496062992125984" footer="0.31496062992125984"/>
  <pageSetup paperSize="9" scale="92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BI80"/>
  <sheetViews>
    <sheetView showGridLines="0" topLeftCell="I1" zoomScale="55" zoomScaleNormal="55" workbookViewId="0">
      <pane xSplit="1" topLeftCell="J1" activePane="topRight" state="frozen"/>
      <selection activeCell="I1" sqref="I1"/>
      <selection pane="topRight" activeCell="P27" sqref="P27:AA27"/>
    </sheetView>
  </sheetViews>
  <sheetFormatPr defaultColWidth="9.140625" defaultRowHeight="15"/>
  <cols>
    <col min="1" max="2" width="9.140625" style="23" hidden="1" customWidth="1"/>
    <col min="3" max="3" width="14.5703125" style="23" hidden="1" customWidth="1"/>
    <col min="4" max="4" width="11.42578125" style="27" hidden="1" customWidth="1"/>
    <col min="5" max="5" width="6.85546875" style="27" hidden="1" customWidth="1"/>
    <col min="6" max="6" width="9.140625" style="27" hidden="1" customWidth="1"/>
    <col min="7" max="7" width="3.42578125" style="23" hidden="1" customWidth="1"/>
    <col min="8" max="8" width="6.140625" style="23" customWidth="1"/>
    <col min="9" max="9" width="15.28515625" style="27" bestFit="1" customWidth="1"/>
    <col min="10" max="10" width="11.5703125" style="26" customWidth="1"/>
    <col min="11" max="11" width="9.140625" style="24" customWidth="1"/>
    <col min="12" max="12" width="15" style="24" customWidth="1"/>
    <col min="13" max="13" width="12.85546875" style="24" customWidth="1"/>
    <col min="14" max="14" width="10.5703125" style="26" customWidth="1"/>
    <col min="15" max="15" width="10.28515625" style="24" customWidth="1"/>
    <col min="16" max="17" width="10.5703125" style="24" customWidth="1"/>
    <col min="18" max="18" width="8.5703125" style="26" customWidth="1"/>
    <col min="19" max="19" width="11.5703125" style="24" customWidth="1"/>
    <col min="20" max="20" width="14" style="24" bestFit="1" customWidth="1"/>
    <col min="21" max="21" width="13.7109375" style="24" customWidth="1"/>
    <col min="22" max="22" width="13.7109375" style="26" bestFit="1" customWidth="1"/>
    <col min="23" max="23" width="11" style="24" bestFit="1" customWidth="1"/>
    <col min="24" max="25" width="9.7109375" style="24" customWidth="1"/>
    <col min="26" max="26" width="11" style="26" customWidth="1"/>
    <col min="27" max="27" width="12.42578125" style="24" customWidth="1"/>
    <col min="28" max="29" width="11.85546875" style="24" customWidth="1"/>
    <col min="30" max="30" width="11" style="26" bestFit="1" customWidth="1"/>
    <col min="31" max="31" width="11.7109375" style="24" bestFit="1" customWidth="1"/>
    <col min="32" max="32" width="10.5703125" style="24" bestFit="1" customWidth="1"/>
    <col min="33" max="33" width="10.5703125" style="24" customWidth="1"/>
    <col min="34" max="34" width="11.5703125" style="26" bestFit="1" customWidth="1"/>
    <col min="35" max="35" width="13.5703125" style="24" customWidth="1"/>
    <col min="36" max="37" width="11.5703125" style="24" customWidth="1"/>
    <col min="38" max="38" width="10.5703125" style="49" customWidth="1"/>
    <col min="39" max="39" width="9" style="24" customWidth="1"/>
    <col min="40" max="40" width="12" style="24" bestFit="1" customWidth="1"/>
    <col min="41" max="41" width="12" style="24" customWidth="1"/>
    <col min="42" max="42" width="8.42578125" style="26" customWidth="1"/>
    <col min="43" max="43" width="10" style="24" bestFit="1" customWidth="1"/>
    <col min="44" max="44" width="13.85546875" style="24" bestFit="1" customWidth="1"/>
    <col min="45" max="45" width="13.85546875" style="24" customWidth="1"/>
    <col min="46" max="46" width="11.7109375" style="26" customWidth="1"/>
    <col min="47" max="47" width="11.7109375" style="24" customWidth="1"/>
    <col min="48" max="48" width="10.5703125" style="24" bestFit="1" customWidth="1"/>
    <col min="49" max="49" width="10.5703125" style="24" customWidth="1"/>
    <col min="50" max="50" width="9.140625" style="26" bestFit="1" customWidth="1"/>
    <col min="51" max="51" width="9.140625" style="50" bestFit="1" customWidth="1"/>
    <col min="52" max="52" width="10.5703125" style="50" bestFit="1" customWidth="1"/>
    <col min="53" max="53" width="10.5703125" style="50" customWidth="1"/>
    <col min="54" max="54" width="10.7109375" style="26" bestFit="1" customWidth="1"/>
    <col min="55" max="55" width="12.85546875" style="24" bestFit="1" customWidth="1"/>
    <col min="56" max="56" width="10.5703125" style="24" bestFit="1" customWidth="1"/>
    <col min="57" max="57" width="10.5703125" style="24" customWidth="1"/>
    <col min="58" max="58" width="16" style="25" bestFit="1" customWidth="1"/>
    <col min="59" max="59" width="10.7109375" style="24" bestFit="1" customWidth="1"/>
    <col min="60" max="60" width="13" style="23" bestFit="1" customWidth="1"/>
    <col min="61" max="16384" width="9.140625" style="23"/>
  </cols>
  <sheetData>
    <row r="1" spans="3:61" ht="15" customHeight="1" thickBot="1"/>
    <row r="2" spans="3:61" ht="21.75" thickBot="1">
      <c r="C2" s="1899" t="s">
        <v>45</v>
      </c>
      <c r="D2" s="1900"/>
      <c r="E2" s="1900"/>
      <c r="F2" s="1901"/>
      <c r="H2" s="1915"/>
      <c r="I2" s="1567"/>
      <c r="J2" s="1567"/>
      <c r="K2" s="1567"/>
      <c r="L2" s="1020"/>
      <c r="M2" s="1020"/>
      <c r="N2" s="1916" t="s">
        <v>249</v>
      </c>
      <c r="O2" s="1916"/>
      <c r="P2" s="1916"/>
      <c r="Q2" s="1916"/>
      <c r="R2" s="1916"/>
      <c r="S2" s="1916"/>
      <c r="T2" s="1916"/>
      <c r="U2" s="1916"/>
      <c r="V2" s="1916"/>
      <c r="W2" s="1916"/>
      <c r="X2" s="1916"/>
      <c r="Y2" s="1916"/>
      <c r="Z2" s="1916"/>
      <c r="AA2" s="1916"/>
      <c r="AB2" s="1916"/>
      <c r="AC2" s="1916"/>
      <c r="AD2" s="1916"/>
      <c r="AE2" s="1916"/>
      <c r="AF2" s="1916"/>
      <c r="AG2" s="1916"/>
      <c r="AH2" s="1916"/>
      <c r="AI2" s="1916"/>
      <c r="AJ2" s="1916"/>
      <c r="AK2" s="1916"/>
      <c r="AL2" s="1916"/>
      <c r="AM2" s="1916"/>
      <c r="AN2" s="1916"/>
      <c r="AO2" s="1916"/>
      <c r="AP2" s="1916"/>
      <c r="AQ2" s="1916"/>
      <c r="AR2" s="1916"/>
      <c r="AS2" s="1916"/>
      <c r="AT2" s="1916"/>
      <c r="AU2" s="1916"/>
      <c r="AV2" s="1916"/>
      <c r="AW2" s="1916"/>
      <c r="AX2" s="1916"/>
      <c r="AY2" s="1916"/>
      <c r="AZ2" s="1916"/>
      <c r="BA2" s="1020"/>
      <c r="BB2" s="1902" t="s">
        <v>118</v>
      </c>
      <c r="BC2" s="1903"/>
      <c r="BD2" s="1903"/>
      <c r="BE2" s="1903"/>
      <c r="BF2" s="1903"/>
      <c r="BG2" s="1903"/>
      <c r="BH2" s="1903"/>
      <c r="BI2" s="1904"/>
    </row>
    <row r="3" spans="3:61" ht="19.5" thickBot="1">
      <c r="C3" s="1019"/>
      <c r="D3" s="1017"/>
      <c r="E3" s="1017"/>
      <c r="F3" s="1023"/>
      <c r="H3" s="1905" t="s">
        <v>115</v>
      </c>
      <c r="I3" s="1906"/>
      <c r="J3" s="1906"/>
      <c r="K3" s="1906"/>
      <c r="L3" s="1906"/>
      <c r="M3" s="1906"/>
      <c r="N3" s="1906"/>
      <c r="O3" s="1906"/>
      <c r="P3" s="1906"/>
      <c r="Q3" s="1906"/>
      <c r="R3" s="1906"/>
      <c r="S3" s="1906"/>
      <c r="T3" s="1906"/>
      <c r="U3" s="1906"/>
      <c r="V3" s="1906"/>
      <c r="W3" s="1906"/>
      <c r="X3" s="1906"/>
      <c r="Y3" s="1906"/>
      <c r="Z3" s="1906"/>
      <c r="AA3" s="1906"/>
      <c r="AB3" s="1906"/>
      <c r="AC3" s="1906"/>
      <c r="AD3" s="1906"/>
      <c r="AE3" s="1906"/>
      <c r="AF3" s="1906"/>
      <c r="AG3" s="1906"/>
      <c r="AH3" s="1906"/>
      <c r="AI3" s="1906"/>
      <c r="AJ3" s="1906"/>
      <c r="AK3" s="1906"/>
      <c r="AL3" s="1906"/>
      <c r="AM3" s="1906"/>
      <c r="AN3" s="1906"/>
      <c r="AO3" s="1906"/>
      <c r="AP3" s="1906"/>
      <c r="AQ3" s="1906"/>
      <c r="AR3" s="1906"/>
      <c r="AS3" s="1906"/>
      <c r="AT3" s="1906"/>
      <c r="AU3" s="1906"/>
      <c r="AV3" s="1906"/>
      <c r="AW3" s="1906"/>
      <c r="AX3" s="1906"/>
      <c r="AY3" s="1906"/>
      <c r="AZ3" s="1906"/>
      <c r="BA3" s="1906"/>
      <c r="BB3" s="1906"/>
      <c r="BC3" s="1906"/>
      <c r="BD3" s="1906"/>
      <c r="BE3" s="1906"/>
      <c r="BF3" s="1906"/>
      <c r="BG3" s="1906"/>
      <c r="BH3" s="1906"/>
      <c r="BI3" s="1907"/>
    </row>
    <row r="4" spans="3:61" ht="18.75">
      <c r="C4" s="37" t="s">
        <v>44</v>
      </c>
      <c r="D4" s="1869"/>
      <c r="E4" s="1869"/>
      <c r="F4" s="1870"/>
      <c r="H4" s="1908" t="s">
        <v>33</v>
      </c>
      <c r="I4" s="1909"/>
      <c r="J4" s="1871" t="s">
        <v>43</v>
      </c>
      <c r="K4" s="1872"/>
      <c r="L4" s="1872"/>
      <c r="M4" s="1873"/>
      <c r="N4" s="1871" t="s">
        <v>42</v>
      </c>
      <c r="O4" s="1872"/>
      <c r="P4" s="1872"/>
      <c r="Q4" s="1873"/>
      <c r="R4" s="1871" t="s">
        <v>41</v>
      </c>
      <c r="S4" s="1872"/>
      <c r="T4" s="1872"/>
      <c r="U4" s="1873"/>
      <c r="V4" s="1871" t="s">
        <v>40</v>
      </c>
      <c r="W4" s="1872"/>
      <c r="X4" s="1872"/>
      <c r="Y4" s="1873"/>
      <c r="Z4" s="1871" t="s">
        <v>39</v>
      </c>
      <c r="AA4" s="1872"/>
      <c r="AB4" s="1872"/>
      <c r="AC4" s="1873"/>
      <c r="AD4" s="1871" t="s">
        <v>38</v>
      </c>
      <c r="AE4" s="1872"/>
      <c r="AF4" s="1872"/>
      <c r="AG4" s="1873"/>
      <c r="AH4" s="1874" t="s">
        <v>122</v>
      </c>
      <c r="AI4" s="1875"/>
      <c r="AJ4" s="1875"/>
      <c r="AK4" s="1876"/>
      <c r="AL4" s="1871" t="s">
        <v>37</v>
      </c>
      <c r="AM4" s="1872"/>
      <c r="AN4" s="1872"/>
      <c r="AO4" s="1873"/>
      <c r="AP4" s="1871" t="s">
        <v>36</v>
      </c>
      <c r="AQ4" s="1872"/>
      <c r="AR4" s="1872"/>
      <c r="AS4" s="1873"/>
      <c r="AT4" s="1871" t="s">
        <v>35</v>
      </c>
      <c r="AU4" s="1872"/>
      <c r="AV4" s="1872"/>
      <c r="AW4" s="1873"/>
      <c r="AX4" s="1871" t="s">
        <v>34</v>
      </c>
      <c r="AY4" s="1872"/>
      <c r="AZ4" s="1872"/>
      <c r="BA4" s="1873"/>
      <c r="BB4" s="1874" t="s">
        <v>123</v>
      </c>
      <c r="BC4" s="1875"/>
      <c r="BD4" s="1875"/>
      <c r="BE4" s="1876"/>
      <c r="BF4" s="1877" t="s">
        <v>17</v>
      </c>
      <c r="BG4" s="1878"/>
      <c r="BH4" s="1878"/>
      <c r="BI4" s="1878"/>
    </row>
    <row r="5" spans="3:61" ht="15.75" customHeight="1">
      <c r="C5" s="1879" t="s">
        <v>33</v>
      </c>
      <c r="D5" s="1869"/>
      <c r="E5" s="1017" t="s">
        <v>1</v>
      </c>
      <c r="F5" s="1023" t="s">
        <v>2</v>
      </c>
      <c r="H5" s="1910"/>
      <c r="I5" s="1911"/>
      <c r="J5" s="36" t="s">
        <v>1</v>
      </c>
      <c r="K5" s="271" t="s">
        <v>2</v>
      </c>
      <c r="L5" s="693" t="s">
        <v>182</v>
      </c>
      <c r="M5" s="35" t="s">
        <v>247</v>
      </c>
      <c r="N5" s="36" t="s">
        <v>1</v>
      </c>
      <c r="O5" s="271" t="s">
        <v>2</v>
      </c>
      <c r="P5" s="693" t="s">
        <v>182</v>
      </c>
      <c r="Q5" s="35" t="s">
        <v>247</v>
      </c>
      <c r="R5" s="36" t="s">
        <v>1</v>
      </c>
      <c r="S5" s="271" t="s">
        <v>2</v>
      </c>
      <c r="T5" s="693" t="s">
        <v>182</v>
      </c>
      <c r="U5" s="35" t="s">
        <v>247</v>
      </c>
      <c r="V5" s="36" t="s">
        <v>1</v>
      </c>
      <c r="W5" s="271" t="s">
        <v>2</v>
      </c>
      <c r="X5" s="693" t="s">
        <v>182</v>
      </c>
      <c r="Y5" s="35" t="s">
        <v>247</v>
      </c>
      <c r="Z5" s="36" t="s">
        <v>1</v>
      </c>
      <c r="AA5" s="271" t="s">
        <v>2</v>
      </c>
      <c r="AB5" s="693" t="s">
        <v>182</v>
      </c>
      <c r="AC5" s="35" t="s">
        <v>247</v>
      </c>
      <c r="AD5" s="36" t="s">
        <v>1</v>
      </c>
      <c r="AE5" s="271" t="s">
        <v>2</v>
      </c>
      <c r="AF5" s="693" t="s">
        <v>182</v>
      </c>
      <c r="AG5" s="35" t="s">
        <v>247</v>
      </c>
      <c r="AH5" s="36" t="s">
        <v>1</v>
      </c>
      <c r="AI5" s="271" t="s">
        <v>2</v>
      </c>
      <c r="AJ5" s="271" t="s">
        <v>182</v>
      </c>
      <c r="AK5" s="690" t="s">
        <v>196</v>
      </c>
      <c r="AL5" s="36" t="s">
        <v>1</v>
      </c>
      <c r="AM5" s="271" t="s">
        <v>2</v>
      </c>
      <c r="AN5" s="693" t="s">
        <v>182</v>
      </c>
      <c r="AO5" s="35" t="s">
        <v>247</v>
      </c>
      <c r="AP5" s="36" t="s">
        <v>1</v>
      </c>
      <c r="AQ5" s="271" t="s">
        <v>2</v>
      </c>
      <c r="AR5" s="693" t="s">
        <v>182</v>
      </c>
      <c r="AS5" s="35" t="s">
        <v>247</v>
      </c>
      <c r="AT5" s="36" t="s">
        <v>1</v>
      </c>
      <c r="AU5" s="271" t="s">
        <v>2</v>
      </c>
      <c r="AV5" s="693" t="s">
        <v>182</v>
      </c>
      <c r="AW5" s="35" t="s">
        <v>247</v>
      </c>
      <c r="AX5" s="36" t="s">
        <v>1</v>
      </c>
      <c r="AY5" s="271" t="s">
        <v>2</v>
      </c>
      <c r="AZ5" s="693" t="s">
        <v>182</v>
      </c>
      <c r="BA5" s="35" t="s">
        <v>247</v>
      </c>
      <c r="BB5" s="36" t="s">
        <v>1</v>
      </c>
      <c r="BC5" s="271" t="s">
        <v>2</v>
      </c>
      <c r="BD5" s="271" t="s">
        <v>182</v>
      </c>
      <c r="BE5" s="690" t="s">
        <v>196</v>
      </c>
      <c r="BF5" s="274" t="s">
        <v>1</v>
      </c>
      <c r="BG5" s="275" t="s">
        <v>2</v>
      </c>
      <c r="BH5" s="275" t="s">
        <v>182</v>
      </c>
      <c r="BI5" s="698" t="s">
        <v>196</v>
      </c>
    </row>
    <row r="6" spans="3:61" s="28" customFormat="1" ht="20.100000000000001" customHeight="1">
      <c r="C6" s="1879" t="s">
        <v>19</v>
      </c>
      <c r="D6" s="1017" t="s">
        <v>32</v>
      </c>
      <c r="E6" s="1017"/>
      <c r="F6" s="1018"/>
      <c r="H6" s="1886" t="s">
        <v>32</v>
      </c>
      <c r="I6" s="33" t="s">
        <v>32</v>
      </c>
      <c r="J6" s="462"/>
      <c r="K6" s="463"/>
      <c r="L6" s="463"/>
      <c r="M6" s="691"/>
      <c r="N6" s="462"/>
      <c r="O6" s="463"/>
      <c r="P6" s="463"/>
      <c r="Q6" s="691"/>
      <c r="R6" s="462"/>
      <c r="S6" s="463"/>
      <c r="T6" s="463"/>
      <c r="U6" s="691"/>
      <c r="V6" s="462"/>
      <c r="W6" s="463"/>
      <c r="X6" s="463"/>
      <c r="Y6" s="691"/>
      <c r="Z6" s="462"/>
      <c r="AA6" s="463"/>
      <c r="AB6" s="463"/>
      <c r="AC6" s="691"/>
      <c r="AD6" s="462"/>
      <c r="AE6" s="463"/>
      <c r="AF6" s="463"/>
      <c r="AG6" s="691"/>
      <c r="AH6" s="128">
        <f>J6+N6+R6+V6+Z6+AD6</f>
        <v>0</v>
      </c>
      <c r="AI6" s="273">
        <f>K6+O6+S6+W6+AA6+AE6</f>
        <v>0</v>
      </c>
      <c r="AJ6" s="273">
        <f>L6+P6+T6+X6+AB6+AF6</f>
        <v>0</v>
      </c>
      <c r="AK6" s="694">
        <f>M6+Q6+U6+Y6+AC6+AG6</f>
        <v>0</v>
      </c>
      <c r="AL6" s="462"/>
      <c r="AM6" s="463"/>
      <c r="AN6" s="1175"/>
      <c r="AO6" s="691"/>
      <c r="AP6" s="462"/>
      <c r="AQ6" s="463"/>
      <c r="AR6" s="463"/>
      <c r="AS6" s="691"/>
      <c r="AT6" s="462"/>
      <c r="AU6" s="463"/>
      <c r="AV6" s="463"/>
      <c r="AW6" s="691"/>
      <c r="AX6" s="462"/>
      <c r="AY6" s="463"/>
      <c r="AZ6" s="463"/>
      <c r="BA6" s="691"/>
      <c r="BB6" s="128">
        <f>AL6+AP6+AT6+AX6</f>
        <v>0</v>
      </c>
      <c r="BC6" s="273">
        <f>AM6+AQ6+AU6+AY6</f>
        <v>0</v>
      </c>
      <c r="BD6" s="273">
        <f>AN6+AR6+AV6+AZ6</f>
        <v>0</v>
      </c>
      <c r="BE6" s="273">
        <f>AO6+AS6+AW6+BA6</f>
        <v>0</v>
      </c>
      <c r="BF6" s="276">
        <f>AH6+BB6</f>
        <v>0</v>
      </c>
      <c r="BG6" s="277">
        <f>AI6+BC6</f>
        <v>0</v>
      </c>
      <c r="BH6" s="701">
        <f>AJ6+BD6</f>
        <v>0</v>
      </c>
      <c r="BI6" s="699">
        <f>AK6+BE6</f>
        <v>0</v>
      </c>
    </row>
    <row r="7" spans="3:61" s="28" customFormat="1" ht="20.100000000000001" customHeight="1">
      <c r="C7" s="1879"/>
      <c r="D7" s="1017" t="s">
        <v>31</v>
      </c>
      <c r="E7" s="1017"/>
      <c r="F7" s="1018"/>
      <c r="H7" s="1887"/>
      <c r="I7" s="33" t="s">
        <v>31</v>
      </c>
      <c r="J7" s="462"/>
      <c r="K7" s="463"/>
      <c r="L7" s="463"/>
      <c r="M7" s="691"/>
      <c r="N7" s="462"/>
      <c r="O7" s="463"/>
      <c r="P7" s="463"/>
      <c r="Q7" s="691"/>
      <c r="R7" s="462"/>
      <c r="S7" s="463"/>
      <c r="T7" s="463"/>
      <c r="U7" s="691"/>
      <c r="V7" s="462"/>
      <c r="W7" s="463"/>
      <c r="X7" s="463"/>
      <c r="Y7" s="691"/>
      <c r="Z7" s="462"/>
      <c r="AA7" s="463"/>
      <c r="AB7" s="463"/>
      <c r="AC7" s="691"/>
      <c r="AD7" s="462"/>
      <c r="AE7" s="463"/>
      <c r="AF7" s="463"/>
      <c r="AG7" s="691"/>
      <c r="AH7" s="128">
        <f t="shared" ref="AH7:AK9" si="0">J7+N7+R7+V7+Z7+AD7</f>
        <v>0</v>
      </c>
      <c r="AI7" s="273">
        <f t="shared" si="0"/>
        <v>0</v>
      </c>
      <c r="AJ7" s="273">
        <f t="shared" si="0"/>
        <v>0</v>
      </c>
      <c r="AK7" s="694">
        <f t="shared" si="0"/>
        <v>0</v>
      </c>
      <c r="AL7" s="462"/>
      <c r="AM7" s="463"/>
      <c r="AN7" s="463"/>
      <c r="AO7" s="691"/>
      <c r="AP7" s="462"/>
      <c r="AQ7" s="463"/>
      <c r="AR7" s="463"/>
      <c r="AS7" s="691"/>
      <c r="AT7" s="462"/>
      <c r="AU7" s="463"/>
      <c r="AV7" s="463"/>
      <c r="AW7" s="691"/>
      <c r="AX7" s="462"/>
      <c r="AY7" s="463"/>
      <c r="AZ7" s="463"/>
      <c r="BA7" s="691"/>
      <c r="BB7" s="128">
        <f t="shared" ref="BB7:BE9" si="1">AL7+AP7+AT7+AX7</f>
        <v>0</v>
      </c>
      <c r="BC7" s="273">
        <f t="shared" si="1"/>
        <v>0</v>
      </c>
      <c r="BD7" s="273">
        <f t="shared" si="1"/>
        <v>0</v>
      </c>
      <c r="BE7" s="273">
        <f t="shared" si="1"/>
        <v>0</v>
      </c>
      <c r="BF7" s="276">
        <f t="shared" ref="BF7:BI9" si="2">AH7+BB7</f>
        <v>0</v>
      </c>
      <c r="BG7" s="277">
        <f t="shared" si="2"/>
        <v>0</v>
      </c>
      <c r="BH7" s="277">
        <f t="shared" si="2"/>
        <v>0</v>
      </c>
      <c r="BI7" s="699">
        <f t="shared" si="2"/>
        <v>0</v>
      </c>
    </row>
    <row r="8" spans="3:61" s="28" customFormat="1" ht="20.100000000000001" customHeight="1">
      <c r="C8" s="1879"/>
      <c r="D8" s="1017" t="s">
        <v>30</v>
      </c>
      <c r="E8" s="1017"/>
      <c r="F8" s="1018"/>
      <c r="H8" s="1887"/>
      <c r="I8" s="33" t="s">
        <v>30</v>
      </c>
      <c r="J8" s="462"/>
      <c r="K8" s="463"/>
      <c r="L8" s="463"/>
      <c r="M8" s="691"/>
      <c r="N8" s="462"/>
      <c r="O8" s="463"/>
      <c r="P8" s="463"/>
      <c r="Q8" s="691"/>
      <c r="R8" s="462"/>
      <c r="S8" s="463"/>
      <c r="T8" s="463"/>
      <c r="U8" s="691"/>
      <c r="V8" s="462"/>
      <c r="W8" s="463"/>
      <c r="X8" s="463"/>
      <c r="Y8" s="691"/>
      <c r="Z8" s="462"/>
      <c r="AA8" s="463"/>
      <c r="AB8" s="463"/>
      <c r="AC8" s="691"/>
      <c r="AD8" s="462"/>
      <c r="AE8" s="463"/>
      <c r="AF8" s="463"/>
      <c r="AG8" s="691"/>
      <c r="AH8" s="128">
        <f t="shared" si="0"/>
        <v>0</v>
      </c>
      <c r="AI8" s="273">
        <f t="shared" si="0"/>
        <v>0</v>
      </c>
      <c r="AJ8" s="273">
        <f t="shared" si="0"/>
        <v>0</v>
      </c>
      <c r="AK8" s="694">
        <f t="shared" si="0"/>
        <v>0</v>
      </c>
      <c r="AL8" s="462"/>
      <c r="AM8" s="463"/>
      <c r="AN8" s="463"/>
      <c r="AO8" s="691"/>
      <c r="AP8" s="462"/>
      <c r="AQ8" s="463"/>
      <c r="AR8" s="463"/>
      <c r="AS8" s="691"/>
      <c r="AT8" s="462"/>
      <c r="AU8" s="463"/>
      <c r="AV8" s="463"/>
      <c r="AW8" s="691"/>
      <c r="AX8" s="462"/>
      <c r="AY8" s="463"/>
      <c r="AZ8" s="463"/>
      <c r="BA8" s="691"/>
      <c r="BB8" s="128">
        <f t="shared" si="1"/>
        <v>0</v>
      </c>
      <c r="BC8" s="273">
        <f t="shared" si="1"/>
        <v>0</v>
      </c>
      <c r="BD8" s="273">
        <f t="shared" si="1"/>
        <v>0</v>
      </c>
      <c r="BE8" s="273">
        <f t="shared" si="1"/>
        <v>0</v>
      </c>
      <c r="BF8" s="276">
        <f t="shared" si="2"/>
        <v>0</v>
      </c>
      <c r="BG8" s="277">
        <f t="shared" si="2"/>
        <v>0</v>
      </c>
      <c r="BH8" s="277">
        <f t="shared" si="2"/>
        <v>0</v>
      </c>
      <c r="BI8" s="699">
        <f t="shared" si="2"/>
        <v>0</v>
      </c>
    </row>
    <row r="9" spans="3:61" s="28" customFormat="1" ht="20.100000000000001" customHeight="1">
      <c r="C9" s="1885"/>
      <c r="D9" s="1017" t="s">
        <v>29</v>
      </c>
      <c r="E9" s="1017"/>
      <c r="F9" s="1018"/>
      <c r="H9" s="1887"/>
      <c r="I9" s="33" t="s">
        <v>109</v>
      </c>
      <c r="J9" s="462"/>
      <c r="K9" s="463"/>
      <c r="L9" s="463"/>
      <c r="M9" s="691"/>
      <c r="N9" s="462"/>
      <c r="O9" s="463"/>
      <c r="P9" s="463"/>
      <c r="Q9" s="691"/>
      <c r="R9" s="462"/>
      <c r="S9" s="463"/>
      <c r="T9" s="463"/>
      <c r="U9" s="691"/>
      <c r="V9" s="462"/>
      <c r="W9" s="463"/>
      <c r="X9" s="463"/>
      <c r="Y9" s="691"/>
      <c r="Z9" s="462"/>
      <c r="AA9" s="463"/>
      <c r="AB9" s="463"/>
      <c r="AC9" s="691"/>
      <c r="AD9" s="462"/>
      <c r="AE9" s="463"/>
      <c r="AF9" s="463"/>
      <c r="AG9" s="691"/>
      <c r="AH9" s="128">
        <f t="shared" si="0"/>
        <v>0</v>
      </c>
      <c r="AI9" s="273">
        <f t="shared" si="0"/>
        <v>0</v>
      </c>
      <c r="AJ9" s="273">
        <f t="shared" si="0"/>
        <v>0</v>
      </c>
      <c r="AK9" s="694">
        <f t="shared" si="0"/>
        <v>0</v>
      </c>
      <c r="AL9" s="462"/>
      <c r="AM9" s="463"/>
      <c r="AN9" s="463"/>
      <c r="AO9" s="691"/>
      <c r="AP9" s="462"/>
      <c r="AQ9" s="463"/>
      <c r="AR9" s="463"/>
      <c r="AS9" s="691"/>
      <c r="AT9" s="462"/>
      <c r="AU9" s="463"/>
      <c r="AV9" s="463"/>
      <c r="AW9" s="691"/>
      <c r="AX9" s="462"/>
      <c r="AY9" s="463"/>
      <c r="AZ9" s="463"/>
      <c r="BA9" s="691"/>
      <c r="BB9" s="128">
        <f t="shared" si="1"/>
        <v>0</v>
      </c>
      <c r="BC9" s="273">
        <f t="shared" si="1"/>
        <v>0</v>
      </c>
      <c r="BD9" s="273">
        <f t="shared" si="1"/>
        <v>0</v>
      </c>
      <c r="BE9" s="273">
        <f t="shared" si="1"/>
        <v>0</v>
      </c>
      <c r="BF9" s="276">
        <f t="shared" si="2"/>
        <v>0</v>
      </c>
      <c r="BG9" s="277">
        <f t="shared" si="2"/>
        <v>0</v>
      </c>
      <c r="BH9" s="277">
        <f t="shared" si="2"/>
        <v>0</v>
      </c>
      <c r="BI9" s="699">
        <f t="shared" si="2"/>
        <v>0</v>
      </c>
    </row>
    <row r="10" spans="3:61" s="28" customFormat="1" ht="19.5" customHeight="1" thickBot="1">
      <c r="C10" s="32"/>
      <c r="D10" s="31" t="s">
        <v>18</v>
      </c>
      <c r="E10" s="31"/>
      <c r="F10" s="30"/>
      <c r="H10" s="1865" t="s">
        <v>47</v>
      </c>
      <c r="I10" s="1866"/>
      <c r="J10" s="118">
        <f t="shared" ref="J10:BG10" si="3">SUM(J6:J9)</f>
        <v>0</v>
      </c>
      <c r="K10" s="272">
        <f t="shared" si="3"/>
        <v>0</v>
      </c>
      <c r="L10" s="272">
        <f t="shared" si="3"/>
        <v>0</v>
      </c>
      <c r="M10" s="272">
        <f t="shared" si="3"/>
        <v>0</v>
      </c>
      <c r="N10" s="118">
        <f t="shared" si="3"/>
        <v>0</v>
      </c>
      <c r="O10" s="272">
        <f t="shared" si="3"/>
        <v>0</v>
      </c>
      <c r="P10" s="272">
        <f t="shared" si="3"/>
        <v>0</v>
      </c>
      <c r="Q10" s="272">
        <f t="shared" si="3"/>
        <v>0</v>
      </c>
      <c r="R10" s="118">
        <f t="shared" si="3"/>
        <v>0</v>
      </c>
      <c r="S10" s="272">
        <f t="shared" si="3"/>
        <v>0</v>
      </c>
      <c r="T10" s="272">
        <f t="shared" si="3"/>
        <v>0</v>
      </c>
      <c r="U10" s="272">
        <f t="shared" si="3"/>
        <v>0</v>
      </c>
      <c r="V10" s="118">
        <f t="shared" si="3"/>
        <v>0</v>
      </c>
      <c r="W10" s="272">
        <f t="shared" si="3"/>
        <v>0</v>
      </c>
      <c r="X10" s="272">
        <f t="shared" si="3"/>
        <v>0</v>
      </c>
      <c r="Y10" s="272">
        <f t="shared" si="3"/>
        <v>0</v>
      </c>
      <c r="Z10" s="118">
        <f t="shared" si="3"/>
        <v>0</v>
      </c>
      <c r="AA10" s="272">
        <f t="shared" si="3"/>
        <v>0</v>
      </c>
      <c r="AB10" s="272">
        <f t="shared" si="3"/>
        <v>0</v>
      </c>
      <c r="AC10" s="272">
        <f t="shared" si="3"/>
        <v>0</v>
      </c>
      <c r="AD10" s="118">
        <f t="shared" si="3"/>
        <v>0</v>
      </c>
      <c r="AE10" s="272">
        <f t="shared" si="3"/>
        <v>0</v>
      </c>
      <c r="AF10" s="272">
        <f t="shared" si="3"/>
        <v>0</v>
      </c>
      <c r="AG10" s="272">
        <f t="shared" si="3"/>
        <v>0</v>
      </c>
      <c r="AH10" s="118">
        <f t="shared" si="3"/>
        <v>0</v>
      </c>
      <c r="AI10" s="272">
        <f t="shared" si="3"/>
        <v>0</v>
      </c>
      <c r="AJ10" s="272">
        <f>SUM(AJ6:AJ9)</f>
        <v>0</v>
      </c>
      <c r="AK10" s="695">
        <f>SUM(AK6:AK9)</f>
        <v>0</v>
      </c>
      <c r="AL10" s="118">
        <f t="shared" si="3"/>
        <v>0</v>
      </c>
      <c r="AM10" s="272">
        <f t="shared" si="3"/>
        <v>0</v>
      </c>
      <c r="AN10" s="272">
        <f t="shared" si="3"/>
        <v>0</v>
      </c>
      <c r="AO10" s="272">
        <f t="shared" si="3"/>
        <v>0</v>
      </c>
      <c r="AP10" s="118">
        <f t="shared" si="3"/>
        <v>0</v>
      </c>
      <c r="AQ10" s="272">
        <f t="shared" si="3"/>
        <v>0</v>
      </c>
      <c r="AR10" s="272">
        <f t="shared" si="3"/>
        <v>0</v>
      </c>
      <c r="AS10" s="272">
        <f t="shared" si="3"/>
        <v>0</v>
      </c>
      <c r="AT10" s="118">
        <f t="shared" si="3"/>
        <v>0</v>
      </c>
      <c r="AU10" s="272">
        <f t="shared" si="3"/>
        <v>0</v>
      </c>
      <c r="AV10" s="272">
        <f t="shared" si="3"/>
        <v>0</v>
      </c>
      <c r="AW10" s="272">
        <f t="shared" si="3"/>
        <v>0</v>
      </c>
      <c r="AX10" s="118">
        <f t="shared" si="3"/>
        <v>0</v>
      </c>
      <c r="AY10" s="272">
        <f t="shared" si="3"/>
        <v>0</v>
      </c>
      <c r="AZ10" s="272">
        <f t="shared" si="3"/>
        <v>0</v>
      </c>
      <c r="BA10" s="272">
        <f t="shared" si="3"/>
        <v>0</v>
      </c>
      <c r="BB10" s="118">
        <f t="shared" si="3"/>
        <v>0</v>
      </c>
      <c r="BC10" s="272">
        <f t="shared" si="3"/>
        <v>0</v>
      </c>
      <c r="BD10" s="272">
        <f t="shared" si="3"/>
        <v>0</v>
      </c>
      <c r="BE10" s="272">
        <f t="shared" si="3"/>
        <v>0</v>
      </c>
      <c r="BF10" s="278">
        <f t="shared" si="3"/>
        <v>0</v>
      </c>
      <c r="BG10" s="279">
        <f t="shared" si="3"/>
        <v>0</v>
      </c>
      <c r="BH10" s="702">
        <f>AJ10+BD10</f>
        <v>0</v>
      </c>
      <c r="BI10" s="700">
        <f>AK10+BE10</f>
        <v>0</v>
      </c>
    </row>
    <row r="11" spans="3:61" s="119" customFormat="1" ht="5.25" customHeight="1">
      <c r="D11" s="120"/>
      <c r="E11" s="120"/>
      <c r="F11" s="120"/>
      <c r="H11" s="122"/>
      <c r="I11" s="122"/>
      <c r="J11" s="125"/>
      <c r="K11" s="126"/>
      <c r="L11" s="126"/>
      <c r="M11" s="126"/>
      <c r="N11" s="125"/>
      <c r="O11" s="126"/>
      <c r="P11" s="126"/>
      <c r="Q11" s="126"/>
      <c r="R11" s="125"/>
      <c r="S11" s="126"/>
      <c r="T11" s="126"/>
      <c r="U11" s="126"/>
      <c r="V11" s="125"/>
      <c r="W11" s="126"/>
      <c r="X11" s="126"/>
      <c r="Y11" s="126"/>
      <c r="Z11" s="125"/>
      <c r="AA11" s="126"/>
      <c r="AB11" s="126"/>
      <c r="AC11" s="126"/>
      <c r="AD11" s="125"/>
      <c r="AE11" s="126"/>
      <c r="AF11" s="126"/>
      <c r="AG11" s="126"/>
      <c r="AH11" s="125"/>
      <c r="AI11" s="126"/>
      <c r="AJ11" s="126"/>
      <c r="AK11" s="126"/>
      <c r="AL11" s="125"/>
      <c r="AM11" s="126"/>
      <c r="AN11" s="126"/>
      <c r="AO11" s="126"/>
      <c r="AP11" s="125"/>
      <c r="AQ11" s="126"/>
      <c r="AR11" s="126"/>
      <c r="AS11" s="126"/>
      <c r="AT11" s="125"/>
      <c r="AU11" s="126"/>
      <c r="AV11" s="126"/>
      <c r="AW11" s="126"/>
      <c r="AX11" s="125"/>
      <c r="AY11" s="126"/>
      <c r="AZ11" s="126"/>
      <c r="BA11" s="126"/>
      <c r="BB11" s="125"/>
      <c r="BC11" s="126"/>
      <c r="BD11" s="126"/>
      <c r="BE11" s="126"/>
      <c r="BF11" s="125"/>
      <c r="BG11" s="126"/>
    </row>
    <row r="12" spans="3:61" ht="19.5" thickBot="1">
      <c r="C12" s="1019"/>
      <c r="D12" s="1017"/>
      <c r="E12" s="1017"/>
      <c r="F12" s="1023"/>
      <c r="H12" s="1867" t="s">
        <v>114</v>
      </c>
      <c r="I12" s="1868"/>
      <c r="J12" s="1868"/>
      <c r="K12" s="1868"/>
      <c r="L12" s="1868"/>
      <c r="M12" s="1868"/>
      <c r="N12" s="1868"/>
      <c r="O12" s="1868"/>
      <c r="P12" s="1868"/>
      <c r="Q12" s="1868"/>
      <c r="R12" s="1868"/>
      <c r="S12" s="1868"/>
      <c r="T12" s="1868"/>
      <c r="U12" s="1868"/>
      <c r="V12" s="1868"/>
      <c r="W12" s="1868"/>
      <c r="X12" s="1868"/>
      <c r="Y12" s="1868"/>
      <c r="Z12" s="1868"/>
      <c r="AA12" s="1868"/>
      <c r="AB12" s="1868"/>
      <c r="AC12" s="1868"/>
      <c r="AD12" s="1868"/>
      <c r="AE12" s="1868"/>
      <c r="AF12" s="1868"/>
      <c r="AG12" s="1868"/>
      <c r="AH12" s="1868"/>
      <c r="AI12" s="1868"/>
      <c r="AJ12" s="1868"/>
      <c r="AK12" s="1868"/>
      <c r="AL12" s="1868"/>
      <c r="AM12" s="1868"/>
      <c r="AN12" s="1868"/>
      <c r="AO12" s="1868"/>
      <c r="AP12" s="1868"/>
      <c r="AQ12" s="1868"/>
      <c r="AR12" s="1868"/>
      <c r="AS12" s="1868"/>
      <c r="AT12" s="1868"/>
      <c r="AU12" s="1868"/>
      <c r="AV12" s="1868"/>
      <c r="AW12" s="1868"/>
      <c r="AX12" s="1868"/>
      <c r="AY12" s="1868"/>
      <c r="AZ12" s="1868"/>
      <c r="BA12" s="1868"/>
      <c r="BB12" s="1868"/>
      <c r="BC12" s="1868"/>
      <c r="BD12" s="1868"/>
      <c r="BE12" s="1868"/>
      <c r="BF12" s="1868"/>
      <c r="BG12" s="1868"/>
      <c r="BH12" s="1868"/>
      <c r="BI12" s="1868"/>
    </row>
    <row r="13" spans="3:61" ht="18.75" customHeight="1">
      <c r="C13" s="37" t="s">
        <v>44</v>
      </c>
      <c r="D13" s="1869"/>
      <c r="E13" s="1869"/>
      <c r="F13" s="1870"/>
      <c r="H13" s="1895" t="s">
        <v>117</v>
      </c>
      <c r="I13" s="1896"/>
      <c r="J13" s="1890" t="s">
        <v>43</v>
      </c>
      <c r="K13" s="1891"/>
      <c r="L13" s="1891"/>
      <c r="M13" s="1892"/>
      <c r="N13" s="1890" t="s">
        <v>42</v>
      </c>
      <c r="O13" s="1891"/>
      <c r="P13" s="1891"/>
      <c r="Q13" s="1892"/>
      <c r="R13" s="1890" t="s">
        <v>41</v>
      </c>
      <c r="S13" s="1891"/>
      <c r="T13" s="1891"/>
      <c r="U13" s="1892"/>
      <c r="V13" s="1890" t="s">
        <v>40</v>
      </c>
      <c r="W13" s="1891"/>
      <c r="X13" s="1891"/>
      <c r="Y13" s="1892"/>
      <c r="Z13" s="1890" t="s">
        <v>39</v>
      </c>
      <c r="AA13" s="1891"/>
      <c r="AB13" s="1891"/>
      <c r="AC13" s="1892"/>
      <c r="AD13" s="1890" t="s">
        <v>38</v>
      </c>
      <c r="AE13" s="1891"/>
      <c r="AF13" s="1891"/>
      <c r="AG13" s="1892"/>
      <c r="AH13" s="1882" t="s">
        <v>122</v>
      </c>
      <c r="AI13" s="1883"/>
      <c r="AJ13" s="1883"/>
      <c r="AK13" s="1884"/>
      <c r="AL13" s="1890" t="s">
        <v>37</v>
      </c>
      <c r="AM13" s="1891"/>
      <c r="AN13" s="1891"/>
      <c r="AO13" s="1892"/>
      <c r="AP13" s="1890" t="s">
        <v>36</v>
      </c>
      <c r="AQ13" s="1891"/>
      <c r="AR13" s="1891"/>
      <c r="AS13" s="1892"/>
      <c r="AT13" s="1890" t="s">
        <v>35</v>
      </c>
      <c r="AU13" s="1891"/>
      <c r="AV13" s="1891"/>
      <c r="AW13" s="1892"/>
      <c r="AX13" s="1890" t="s">
        <v>34</v>
      </c>
      <c r="AY13" s="1891"/>
      <c r="AZ13" s="1891"/>
      <c r="BA13" s="1892"/>
      <c r="BB13" s="1882" t="s">
        <v>123</v>
      </c>
      <c r="BC13" s="1883"/>
      <c r="BD13" s="1883"/>
      <c r="BE13" s="1884"/>
      <c r="BF13" s="1880" t="s">
        <v>17</v>
      </c>
      <c r="BG13" s="1881"/>
      <c r="BH13" s="1881"/>
      <c r="BI13" s="1881"/>
    </row>
    <row r="14" spans="3:61" ht="27" customHeight="1">
      <c r="C14" s="1879" t="s">
        <v>33</v>
      </c>
      <c r="D14" s="1869"/>
      <c r="E14" s="1017" t="s">
        <v>1</v>
      </c>
      <c r="F14" s="1023" t="s">
        <v>2</v>
      </c>
      <c r="H14" s="1897"/>
      <c r="I14" s="1898"/>
      <c r="J14" s="36" t="s">
        <v>1</v>
      </c>
      <c r="K14" s="271" t="s">
        <v>2</v>
      </c>
      <c r="L14" s="271" t="s">
        <v>182</v>
      </c>
      <c r="M14" s="35" t="s">
        <v>247</v>
      </c>
      <c r="N14" s="36" t="s">
        <v>1</v>
      </c>
      <c r="O14" s="271" t="s">
        <v>2</v>
      </c>
      <c r="P14" s="271" t="s">
        <v>182</v>
      </c>
      <c r="Q14" s="35" t="s">
        <v>247</v>
      </c>
      <c r="R14" s="36" t="s">
        <v>1</v>
      </c>
      <c r="S14" s="271" t="s">
        <v>2</v>
      </c>
      <c r="T14" s="271" t="s">
        <v>182</v>
      </c>
      <c r="U14" s="35" t="s">
        <v>247</v>
      </c>
      <c r="V14" s="36" t="s">
        <v>1</v>
      </c>
      <c r="W14" s="271" t="s">
        <v>2</v>
      </c>
      <c r="X14" s="271" t="s">
        <v>182</v>
      </c>
      <c r="Y14" s="35" t="s">
        <v>247</v>
      </c>
      <c r="Z14" s="36" t="s">
        <v>1</v>
      </c>
      <c r="AA14" s="271" t="s">
        <v>2</v>
      </c>
      <c r="AB14" s="271" t="s">
        <v>182</v>
      </c>
      <c r="AC14" s="35" t="s">
        <v>247</v>
      </c>
      <c r="AD14" s="36" t="s">
        <v>1</v>
      </c>
      <c r="AE14" s="271" t="s">
        <v>2</v>
      </c>
      <c r="AF14" s="271" t="s">
        <v>182</v>
      </c>
      <c r="AG14" s="35" t="s">
        <v>247</v>
      </c>
      <c r="AH14" s="36" t="s">
        <v>1</v>
      </c>
      <c r="AI14" s="271" t="s">
        <v>2</v>
      </c>
      <c r="AJ14" s="271" t="s">
        <v>182</v>
      </c>
      <c r="AK14" s="690" t="s">
        <v>196</v>
      </c>
      <c r="AL14" s="36" t="s">
        <v>1</v>
      </c>
      <c r="AM14" s="271" t="s">
        <v>2</v>
      </c>
      <c r="AN14" s="271" t="s">
        <v>182</v>
      </c>
      <c r="AO14" s="35" t="s">
        <v>247</v>
      </c>
      <c r="AP14" s="36" t="s">
        <v>1</v>
      </c>
      <c r="AQ14" s="271" t="s">
        <v>2</v>
      </c>
      <c r="AR14" s="271" t="s">
        <v>182</v>
      </c>
      <c r="AS14" s="35" t="s">
        <v>247</v>
      </c>
      <c r="AT14" s="36" t="s">
        <v>1</v>
      </c>
      <c r="AU14" s="271" t="s">
        <v>2</v>
      </c>
      <c r="AV14" s="271" t="s">
        <v>182</v>
      </c>
      <c r="AW14" s="35" t="s">
        <v>247</v>
      </c>
      <c r="AX14" s="36" t="s">
        <v>1</v>
      </c>
      <c r="AY14" s="271" t="s">
        <v>2</v>
      </c>
      <c r="AZ14" s="271" t="s">
        <v>182</v>
      </c>
      <c r="BA14" s="35" t="s">
        <v>247</v>
      </c>
      <c r="BB14" s="36" t="s">
        <v>1</v>
      </c>
      <c r="BC14" s="271" t="s">
        <v>2</v>
      </c>
      <c r="BD14" s="271" t="s">
        <v>182</v>
      </c>
      <c r="BE14" s="690" t="s">
        <v>196</v>
      </c>
      <c r="BF14" s="274" t="s">
        <v>1</v>
      </c>
      <c r="BG14" s="275" t="s">
        <v>2</v>
      </c>
      <c r="BH14" s="275" t="s">
        <v>182</v>
      </c>
      <c r="BI14" s="703" t="s">
        <v>196</v>
      </c>
    </row>
    <row r="15" spans="3:61" s="28" customFormat="1" ht="20.100000000000001" customHeight="1">
      <c r="C15" s="1879" t="s">
        <v>28</v>
      </c>
      <c r="D15" s="1017" t="s">
        <v>27</v>
      </c>
      <c r="E15" s="1021"/>
      <c r="F15" s="34"/>
      <c r="H15" s="1888" t="s">
        <v>112</v>
      </c>
      <c r="I15" s="33" t="s">
        <v>27</v>
      </c>
      <c r="J15" s="462"/>
      <c r="K15" s="463"/>
      <c r="L15" s="463"/>
      <c r="M15" s="692"/>
      <c r="N15" s="462"/>
      <c r="O15" s="463"/>
      <c r="P15" s="463"/>
      <c r="Q15" s="692"/>
      <c r="R15" s="462"/>
      <c r="S15" s="463"/>
      <c r="T15" s="463"/>
      <c r="U15" s="692"/>
      <c r="V15" s="462"/>
      <c r="W15" s="463"/>
      <c r="X15" s="463"/>
      <c r="Y15" s="692"/>
      <c r="Z15" s="462"/>
      <c r="AA15" s="463"/>
      <c r="AB15" s="463"/>
      <c r="AC15" s="692"/>
      <c r="AD15" s="462"/>
      <c r="AE15" s="463"/>
      <c r="AF15" s="463"/>
      <c r="AG15" s="692"/>
      <c r="AH15" s="128">
        <f>J15+N15+R15+V15+Z15+AD15</f>
        <v>0</v>
      </c>
      <c r="AI15" s="273">
        <f>K15+O15+S15+W15+AA15+AE15</f>
        <v>0</v>
      </c>
      <c r="AJ15" s="273">
        <f>L15+P15+T15+X15+AB15+AF15</f>
        <v>0</v>
      </c>
      <c r="AK15" s="694">
        <f>M15+Q15+U15+Y15+AC15+AG15</f>
        <v>0</v>
      </c>
      <c r="AL15" s="462"/>
      <c r="AM15" s="463"/>
      <c r="AN15" s="463"/>
      <c r="AO15" s="692"/>
      <c r="AP15" s="462"/>
      <c r="AQ15" s="463"/>
      <c r="AR15" s="463"/>
      <c r="AS15" s="692"/>
      <c r="AT15" s="462"/>
      <c r="AU15" s="463"/>
      <c r="AV15" s="463"/>
      <c r="AW15" s="692"/>
      <c r="AX15" s="462"/>
      <c r="AY15" s="463"/>
      <c r="AZ15" s="463"/>
      <c r="BA15" s="692"/>
      <c r="BB15" s="128">
        <f>AL15+AP15+AT15+AX15</f>
        <v>0</v>
      </c>
      <c r="BC15" s="273">
        <f>AM15+AQ15+AU15+AY15</f>
        <v>0</v>
      </c>
      <c r="BD15" s="273">
        <f>AN15+AR15+AV15+AZ15</f>
        <v>0</v>
      </c>
      <c r="BE15" s="273">
        <f>AO15+AS15+AW15+BA15</f>
        <v>0</v>
      </c>
      <c r="BF15" s="276">
        <f t="shared" ref="BF15:BI23" si="4">AH15+BB15</f>
        <v>0</v>
      </c>
      <c r="BG15" s="277">
        <f t="shared" si="4"/>
        <v>0</v>
      </c>
      <c r="BH15" s="277">
        <f t="shared" si="4"/>
        <v>0</v>
      </c>
      <c r="BI15" s="704">
        <f t="shared" si="4"/>
        <v>0</v>
      </c>
    </row>
    <row r="16" spans="3:61" s="28" customFormat="1" ht="20.100000000000001" customHeight="1">
      <c r="C16" s="1879"/>
      <c r="D16" s="1017" t="s">
        <v>26</v>
      </c>
      <c r="E16" s="1017"/>
      <c r="F16" s="1018"/>
      <c r="H16" s="1889"/>
      <c r="I16" s="33" t="s">
        <v>26</v>
      </c>
      <c r="J16" s="462"/>
      <c r="K16" s="463"/>
      <c r="L16" s="463"/>
      <c r="M16" s="692"/>
      <c r="N16" s="462"/>
      <c r="O16" s="463"/>
      <c r="P16" s="463"/>
      <c r="Q16" s="692"/>
      <c r="R16" s="462"/>
      <c r="S16" s="463"/>
      <c r="T16" s="463"/>
      <c r="U16" s="692"/>
      <c r="V16" s="462"/>
      <c r="W16" s="463"/>
      <c r="X16" s="463"/>
      <c r="Y16" s="692"/>
      <c r="Z16" s="462"/>
      <c r="AA16" s="463"/>
      <c r="AB16" s="463"/>
      <c r="AC16" s="692"/>
      <c r="AD16" s="462"/>
      <c r="AE16" s="463"/>
      <c r="AF16" s="463"/>
      <c r="AG16" s="692"/>
      <c r="AH16" s="128">
        <f t="shared" ref="AH16:AK23" si="5">J16+N16+R16+V16+Z16+AD16</f>
        <v>0</v>
      </c>
      <c r="AI16" s="273">
        <f t="shared" si="5"/>
        <v>0</v>
      </c>
      <c r="AJ16" s="273">
        <f t="shared" si="5"/>
        <v>0</v>
      </c>
      <c r="AK16" s="694">
        <f t="shared" si="5"/>
        <v>0</v>
      </c>
      <c r="AL16" s="462"/>
      <c r="AM16" s="463"/>
      <c r="AN16" s="463"/>
      <c r="AO16" s="692"/>
      <c r="AP16" s="462"/>
      <c r="AQ16" s="463"/>
      <c r="AR16" s="463"/>
      <c r="AS16" s="692"/>
      <c r="AT16" s="462"/>
      <c r="AU16" s="463"/>
      <c r="AV16" s="463"/>
      <c r="AW16" s="692"/>
      <c r="AX16" s="462"/>
      <c r="AY16" s="463"/>
      <c r="AZ16" s="463"/>
      <c r="BA16" s="692"/>
      <c r="BB16" s="128">
        <f t="shared" ref="BB16:BE23" si="6">AL16+AP16+AT16+AX16</f>
        <v>0</v>
      </c>
      <c r="BC16" s="273">
        <f t="shared" si="6"/>
        <v>0</v>
      </c>
      <c r="BD16" s="273">
        <f t="shared" si="6"/>
        <v>0</v>
      </c>
      <c r="BE16" s="273">
        <f t="shared" si="6"/>
        <v>0</v>
      </c>
      <c r="BF16" s="276">
        <f t="shared" si="4"/>
        <v>0</v>
      </c>
      <c r="BG16" s="277">
        <f t="shared" si="4"/>
        <v>0</v>
      </c>
      <c r="BH16" s="277">
        <f t="shared" si="4"/>
        <v>0</v>
      </c>
      <c r="BI16" s="704">
        <f t="shared" si="4"/>
        <v>0</v>
      </c>
    </row>
    <row r="17" spans="3:61" s="28" customFormat="1" ht="23.25" customHeight="1">
      <c r="C17" s="1879"/>
      <c r="D17" s="1017" t="s">
        <v>25</v>
      </c>
      <c r="E17" s="1017"/>
      <c r="F17" s="1018"/>
      <c r="H17" s="1889"/>
      <c r="I17" s="33" t="s">
        <v>25</v>
      </c>
      <c r="J17" s="462"/>
      <c r="K17" s="463"/>
      <c r="L17" s="463"/>
      <c r="M17" s="692"/>
      <c r="N17" s="462"/>
      <c r="O17" s="463"/>
      <c r="P17" s="463"/>
      <c r="Q17" s="692"/>
      <c r="R17" s="462"/>
      <c r="S17" s="463"/>
      <c r="T17" s="463"/>
      <c r="U17" s="692"/>
      <c r="V17" s="462"/>
      <c r="W17" s="463"/>
      <c r="X17" s="463"/>
      <c r="Y17" s="692"/>
      <c r="Z17" s="462"/>
      <c r="AA17" s="463"/>
      <c r="AB17" s="463"/>
      <c r="AC17" s="692"/>
      <c r="AD17" s="462"/>
      <c r="AE17" s="463"/>
      <c r="AF17" s="463"/>
      <c r="AG17" s="692"/>
      <c r="AH17" s="128">
        <f t="shared" si="5"/>
        <v>0</v>
      </c>
      <c r="AI17" s="273">
        <f t="shared" si="5"/>
        <v>0</v>
      </c>
      <c r="AJ17" s="273">
        <f t="shared" si="5"/>
        <v>0</v>
      </c>
      <c r="AK17" s="694">
        <f t="shared" si="5"/>
        <v>0</v>
      </c>
      <c r="AL17" s="462"/>
      <c r="AM17" s="463"/>
      <c r="AN17" s="463"/>
      <c r="AO17" s="692"/>
      <c r="AP17" s="462"/>
      <c r="AQ17" s="463"/>
      <c r="AR17" s="463"/>
      <c r="AS17" s="692"/>
      <c r="AT17" s="462"/>
      <c r="AU17" s="463"/>
      <c r="AV17" s="463"/>
      <c r="AW17" s="692"/>
      <c r="AX17" s="462"/>
      <c r="AY17" s="463"/>
      <c r="AZ17" s="463"/>
      <c r="BA17" s="692"/>
      <c r="BB17" s="128">
        <f t="shared" si="6"/>
        <v>0</v>
      </c>
      <c r="BC17" s="273">
        <f t="shared" si="6"/>
        <v>0</v>
      </c>
      <c r="BD17" s="273">
        <f t="shared" si="6"/>
        <v>0</v>
      </c>
      <c r="BE17" s="273">
        <f t="shared" si="6"/>
        <v>0</v>
      </c>
      <c r="BF17" s="276">
        <f t="shared" si="4"/>
        <v>0</v>
      </c>
      <c r="BG17" s="277">
        <f t="shared" si="4"/>
        <v>0</v>
      </c>
      <c r="BH17" s="277">
        <f t="shared" si="4"/>
        <v>0</v>
      </c>
      <c r="BI17" s="704">
        <f t="shared" si="4"/>
        <v>0</v>
      </c>
    </row>
    <row r="18" spans="3:61" s="28" customFormat="1" ht="21">
      <c r="C18" s="1879"/>
      <c r="D18" s="1017" t="s">
        <v>24</v>
      </c>
      <c r="E18" s="1017"/>
      <c r="F18" s="1018"/>
      <c r="H18" s="1889"/>
      <c r="I18" s="33" t="s">
        <v>24</v>
      </c>
      <c r="J18" s="462"/>
      <c r="K18" s="463"/>
      <c r="L18" s="463"/>
      <c r="M18" s="692"/>
      <c r="N18" s="462"/>
      <c r="O18" s="463"/>
      <c r="P18" s="463"/>
      <c r="Q18" s="692"/>
      <c r="R18" s="462"/>
      <c r="S18" s="463"/>
      <c r="T18" s="463"/>
      <c r="U18" s="692"/>
      <c r="V18" s="462"/>
      <c r="W18" s="463"/>
      <c r="X18" s="463"/>
      <c r="Y18" s="692"/>
      <c r="Z18" s="462"/>
      <c r="AA18" s="463"/>
      <c r="AB18" s="463"/>
      <c r="AC18" s="692"/>
      <c r="AD18" s="462"/>
      <c r="AE18" s="463"/>
      <c r="AF18" s="463"/>
      <c r="AG18" s="692"/>
      <c r="AH18" s="128">
        <f t="shared" si="5"/>
        <v>0</v>
      </c>
      <c r="AI18" s="273">
        <f t="shared" si="5"/>
        <v>0</v>
      </c>
      <c r="AJ18" s="273">
        <f t="shared" si="5"/>
        <v>0</v>
      </c>
      <c r="AK18" s="694">
        <f t="shared" si="5"/>
        <v>0</v>
      </c>
      <c r="AL18" s="462"/>
      <c r="AM18" s="463"/>
      <c r="AN18" s="463"/>
      <c r="AO18" s="692"/>
      <c r="AP18" s="462"/>
      <c r="AQ18" s="463"/>
      <c r="AR18" s="463"/>
      <c r="AS18" s="692"/>
      <c r="AT18" s="462"/>
      <c r="AU18" s="463"/>
      <c r="AV18" s="463"/>
      <c r="AW18" s="692"/>
      <c r="AX18" s="462"/>
      <c r="AY18" s="463"/>
      <c r="AZ18" s="463"/>
      <c r="BA18" s="692"/>
      <c r="BB18" s="128">
        <f t="shared" si="6"/>
        <v>0</v>
      </c>
      <c r="BC18" s="273">
        <f t="shared" si="6"/>
        <v>0</v>
      </c>
      <c r="BD18" s="273">
        <f t="shared" si="6"/>
        <v>0</v>
      </c>
      <c r="BE18" s="273">
        <f t="shared" si="6"/>
        <v>0</v>
      </c>
      <c r="BF18" s="276">
        <f t="shared" si="4"/>
        <v>0</v>
      </c>
      <c r="BG18" s="277">
        <f t="shared" si="4"/>
        <v>0</v>
      </c>
      <c r="BH18" s="277">
        <f t="shared" si="4"/>
        <v>0</v>
      </c>
      <c r="BI18" s="704">
        <f t="shared" si="4"/>
        <v>0</v>
      </c>
    </row>
    <row r="19" spans="3:61" s="28" customFormat="1" ht="19.5" customHeight="1">
      <c r="C19" s="1879"/>
      <c r="D19" s="1017" t="s">
        <v>23</v>
      </c>
      <c r="E19" s="1017"/>
      <c r="F19" s="1018"/>
      <c r="H19" s="1889"/>
      <c r="I19" s="33" t="s">
        <v>23</v>
      </c>
      <c r="J19" s="462"/>
      <c r="K19" s="463"/>
      <c r="L19" s="463"/>
      <c r="M19" s="692"/>
      <c r="N19" s="462"/>
      <c r="O19" s="463"/>
      <c r="P19" s="463"/>
      <c r="Q19" s="692"/>
      <c r="R19" s="462"/>
      <c r="S19" s="463"/>
      <c r="T19" s="463"/>
      <c r="U19" s="692"/>
      <c r="V19" s="462"/>
      <c r="W19" s="463"/>
      <c r="X19" s="463"/>
      <c r="Y19" s="692"/>
      <c r="Z19" s="462"/>
      <c r="AA19" s="463"/>
      <c r="AB19" s="463"/>
      <c r="AC19" s="692"/>
      <c r="AD19" s="462"/>
      <c r="AE19" s="463"/>
      <c r="AF19" s="463"/>
      <c r="AG19" s="692"/>
      <c r="AH19" s="128">
        <f t="shared" si="5"/>
        <v>0</v>
      </c>
      <c r="AI19" s="273">
        <f t="shared" si="5"/>
        <v>0</v>
      </c>
      <c r="AJ19" s="273">
        <f t="shared" si="5"/>
        <v>0</v>
      </c>
      <c r="AK19" s="694">
        <f t="shared" si="5"/>
        <v>0</v>
      </c>
      <c r="AL19" s="1012"/>
      <c r="AM19" s="463"/>
      <c r="AN19" s="463"/>
      <c r="AO19" s="692"/>
      <c r="AP19" s="462"/>
      <c r="AQ19" s="463"/>
      <c r="AR19" s="463"/>
      <c r="AS19" s="692"/>
      <c r="AT19" s="462"/>
      <c r="AU19" s="463"/>
      <c r="AV19" s="463"/>
      <c r="AW19" s="692"/>
      <c r="AX19" s="462"/>
      <c r="AY19" s="463"/>
      <c r="AZ19" s="463"/>
      <c r="BA19" s="692"/>
      <c r="BB19" s="128">
        <f t="shared" si="6"/>
        <v>0</v>
      </c>
      <c r="BC19" s="273">
        <f t="shared" si="6"/>
        <v>0</v>
      </c>
      <c r="BD19" s="273">
        <f t="shared" si="6"/>
        <v>0</v>
      </c>
      <c r="BE19" s="273">
        <f t="shared" si="6"/>
        <v>0</v>
      </c>
      <c r="BF19" s="276">
        <f t="shared" si="4"/>
        <v>0</v>
      </c>
      <c r="BG19" s="277">
        <f t="shared" si="4"/>
        <v>0</v>
      </c>
      <c r="BH19" s="277">
        <f t="shared" si="4"/>
        <v>0</v>
      </c>
      <c r="BI19" s="704">
        <f t="shared" si="4"/>
        <v>0</v>
      </c>
    </row>
    <row r="20" spans="3:61" s="28" customFormat="1" ht="20.100000000000001" customHeight="1">
      <c r="C20" s="1879"/>
      <c r="D20" s="1017" t="s">
        <v>22</v>
      </c>
      <c r="E20" s="1017"/>
      <c r="F20" s="1018"/>
      <c r="H20" s="1889"/>
      <c r="I20" s="33" t="s">
        <v>22</v>
      </c>
      <c r="J20" s="462"/>
      <c r="K20" s="463"/>
      <c r="L20" s="463"/>
      <c r="M20" s="692"/>
      <c r="N20" s="462"/>
      <c r="O20" s="463"/>
      <c r="P20" s="463"/>
      <c r="Q20" s="692"/>
      <c r="R20" s="462"/>
      <c r="S20" s="463"/>
      <c r="T20" s="463"/>
      <c r="U20" s="692"/>
      <c r="V20" s="462"/>
      <c r="W20" s="463"/>
      <c r="X20" s="463"/>
      <c r="Y20" s="692"/>
      <c r="Z20" s="462"/>
      <c r="AA20" s="463"/>
      <c r="AB20" s="463"/>
      <c r="AC20" s="692"/>
      <c r="AD20" s="462"/>
      <c r="AE20" s="463"/>
      <c r="AF20" s="463"/>
      <c r="AG20" s="692"/>
      <c r="AH20" s="128">
        <f t="shared" si="5"/>
        <v>0</v>
      </c>
      <c r="AI20" s="273">
        <f t="shared" si="5"/>
        <v>0</v>
      </c>
      <c r="AJ20" s="273">
        <f t="shared" si="5"/>
        <v>0</v>
      </c>
      <c r="AK20" s="694">
        <f t="shared" si="5"/>
        <v>0</v>
      </c>
      <c r="AL20" s="462"/>
      <c r="AM20" s="463"/>
      <c r="AN20" s="463"/>
      <c r="AO20" s="692"/>
      <c r="AP20" s="462"/>
      <c r="AQ20" s="463"/>
      <c r="AR20" s="463"/>
      <c r="AS20" s="692"/>
      <c r="AT20" s="462"/>
      <c r="AU20" s="463"/>
      <c r="AV20" s="463"/>
      <c r="AW20" s="692"/>
      <c r="AX20" s="462"/>
      <c r="AY20" s="463"/>
      <c r="AZ20" s="463"/>
      <c r="BA20" s="692"/>
      <c r="BB20" s="128">
        <f t="shared" si="6"/>
        <v>0</v>
      </c>
      <c r="BC20" s="273">
        <f t="shared" si="6"/>
        <v>0</v>
      </c>
      <c r="BD20" s="273">
        <f t="shared" si="6"/>
        <v>0</v>
      </c>
      <c r="BE20" s="273">
        <f t="shared" si="6"/>
        <v>0</v>
      </c>
      <c r="BF20" s="276">
        <f t="shared" si="4"/>
        <v>0</v>
      </c>
      <c r="BG20" s="277">
        <f t="shared" si="4"/>
        <v>0</v>
      </c>
      <c r="BH20" s="277">
        <f t="shared" si="4"/>
        <v>0</v>
      </c>
      <c r="BI20" s="704">
        <f t="shared" si="4"/>
        <v>0</v>
      </c>
    </row>
    <row r="21" spans="3:61" s="28" customFormat="1" ht="20.100000000000001" customHeight="1">
      <c r="C21" s="1885"/>
      <c r="D21" s="1017"/>
      <c r="E21" s="1017"/>
      <c r="F21" s="1018"/>
      <c r="H21" s="1889"/>
      <c r="I21" s="33" t="s">
        <v>21</v>
      </c>
      <c r="J21" s="462"/>
      <c r="K21" s="463"/>
      <c r="L21" s="463"/>
      <c r="M21" s="692"/>
      <c r="N21" s="462"/>
      <c r="O21" s="463"/>
      <c r="P21" s="463"/>
      <c r="Q21" s="692"/>
      <c r="R21" s="462"/>
      <c r="S21" s="463"/>
      <c r="T21" s="463"/>
      <c r="U21" s="692"/>
      <c r="V21" s="462"/>
      <c r="W21" s="463"/>
      <c r="X21" s="463"/>
      <c r="Y21" s="692"/>
      <c r="Z21" s="462"/>
      <c r="AA21" s="463"/>
      <c r="AB21" s="463"/>
      <c r="AC21" s="692"/>
      <c r="AD21" s="462"/>
      <c r="AE21" s="463"/>
      <c r="AF21" s="463"/>
      <c r="AG21" s="692"/>
      <c r="AH21" s="128">
        <f t="shared" si="5"/>
        <v>0</v>
      </c>
      <c r="AI21" s="273">
        <f t="shared" si="5"/>
        <v>0</v>
      </c>
      <c r="AJ21" s="273">
        <f t="shared" si="5"/>
        <v>0</v>
      </c>
      <c r="AK21" s="694">
        <f t="shared" si="5"/>
        <v>0</v>
      </c>
      <c r="AL21" s="462"/>
      <c r="AM21" s="463"/>
      <c r="AN21" s="463"/>
      <c r="AO21" s="692"/>
      <c r="AP21" s="462"/>
      <c r="AQ21" s="463"/>
      <c r="AR21" s="463"/>
      <c r="AS21" s="692"/>
      <c r="AT21" s="462"/>
      <c r="AU21" s="463"/>
      <c r="AV21" s="463"/>
      <c r="AW21" s="692"/>
      <c r="AX21" s="462"/>
      <c r="AY21" s="463"/>
      <c r="AZ21" s="463"/>
      <c r="BA21" s="692"/>
      <c r="BB21" s="128">
        <f t="shared" si="6"/>
        <v>0</v>
      </c>
      <c r="BC21" s="273">
        <f t="shared" si="6"/>
        <v>0</v>
      </c>
      <c r="BD21" s="273">
        <f t="shared" si="6"/>
        <v>0</v>
      </c>
      <c r="BE21" s="273">
        <f t="shared" si="6"/>
        <v>0</v>
      </c>
      <c r="BF21" s="276">
        <f t="shared" si="4"/>
        <v>0</v>
      </c>
      <c r="BG21" s="277">
        <f t="shared" si="4"/>
        <v>0</v>
      </c>
      <c r="BH21" s="277">
        <f t="shared" si="4"/>
        <v>0</v>
      </c>
      <c r="BI21" s="704">
        <f t="shared" si="4"/>
        <v>0</v>
      </c>
    </row>
    <row r="22" spans="3:61" s="28" customFormat="1" ht="20.100000000000001" customHeight="1">
      <c r="C22" s="1885"/>
      <c r="D22" s="1017"/>
      <c r="E22" s="1017"/>
      <c r="F22" s="1018"/>
      <c r="H22" s="1889"/>
      <c r="I22" s="33" t="s">
        <v>20</v>
      </c>
      <c r="J22" s="462"/>
      <c r="K22" s="463"/>
      <c r="L22" s="463"/>
      <c r="M22" s="692"/>
      <c r="N22" s="462"/>
      <c r="O22" s="463"/>
      <c r="P22" s="463"/>
      <c r="Q22" s="692"/>
      <c r="R22" s="462"/>
      <c r="S22" s="463"/>
      <c r="T22" s="463"/>
      <c r="U22" s="692"/>
      <c r="V22" s="462"/>
      <c r="W22" s="463"/>
      <c r="X22" s="463"/>
      <c r="Y22" s="692"/>
      <c r="Z22" s="462"/>
      <c r="AA22" s="463"/>
      <c r="AB22" s="463"/>
      <c r="AC22" s="692"/>
      <c r="AD22" s="462"/>
      <c r="AE22" s="463"/>
      <c r="AF22" s="463"/>
      <c r="AG22" s="692"/>
      <c r="AH22" s="128">
        <f t="shared" si="5"/>
        <v>0</v>
      </c>
      <c r="AI22" s="273">
        <f t="shared" si="5"/>
        <v>0</v>
      </c>
      <c r="AJ22" s="273">
        <f t="shared" si="5"/>
        <v>0</v>
      </c>
      <c r="AK22" s="694">
        <f t="shared" si="5"/>
        <v>0</v>
      </c>
      <c r="AL22" s="462"/>
      <c r="AM22" s="463"/>
      <c r="AN22" s="463"/>
      <c r="AO22" s="692"/>
      <c r="AP22" s="462"/>
      <c r="AQ22" s="463"/>
      <c r="AR22" s="463"/>
      <c r="AS22" s="692"/>
      <c r="AT22" s="462"/>
      <c r="AU22" s="463"/>
      <c r="AV22" s="463"/>
      <c r="AW22" s="692"/>
      <c r="AX22" s="462"/>
      <c r="AY22" s="463"/>
      <c r="AZ22" s="463"/>
      <c r="BA22" s="692"/>
      <c r="BB22" s="128">
        <f t="shared" si="6"/>
        <v>0</v>
      </c>
      <c r="BC22" s="273">
        <f t="shared" si="6"/>
        <v>0</v>
      </c>
      <c r="BD22" s="273">
        <f t="shared" si="6"/>
        <v>0</v>
      </c>
      <c r="BE22" s="273">
        <f t="shared" si="6"/>
        <v>0</v>
      </c>
      <c r="BF22" s="276">
        <f t="shared" si="4"/>
        <v>0</v>
      </c>
      <c r="BG22" s="277">
        <f t="shared" si="4"/>
        <v>0</v>
      </c>
      <c r="BH22" s="277">
        <f t="shared" si="4"/>
        <v>0</v>
      </c>
      <c r="BI22" s="704">
        <f t="shared" si="4"/>
        <v>0</v>
      </c>
    </row>
    <row r="23" spans="3:61" s="28" customFormat="1" ht="20.100000000000001" customHeight="1">
      <c r="C23" s="1885"/>
      <c r="D23" s="1017"/>
      <c r="E23" s="1017"/>
      <c r="F23" s="1018"/>
      <c r="H23" s="1889"/>
      <c r="I23" s="33" t="s">
        <v>19</v>
      </c>
      <c r="J23" s="462"/>
      <c r="K23" s="463"/>
      <c r="L23" s="463"/>
      <c r="M23" s="692"/>
      <c r="N23" s="462"/>
      <c r="O23" s="463"/>
      <c r="P23" s="463"/>
      <c r="Q23" s="692"/>
      <c r="R23" s="462"/>
      <c r="S23" s="463"/>
      <c r="T23" s="463"/>
      <c r="U23" s="692"/>
      <c r="V23" s="462"/>
      <c r="W23" s="463"/>
      <c r="X23" s="463"/>
      <c r="Y23" s="692"/>
      <c r="Z23" s="462"/>
      <c r="AA23" s="463"/>
      <c r="AB23" s="463"/>
      <c r="AC23" s="692"/>
      <c r="AD23" s="462"/>
      <c r="AE23" s="463"/>
      <c r="AF23" s="463"/>
      <c r="AG23" s="692"/>
      <c r="AH23" s="128">
        <f t="shared" si="5"/>
        <v>0</v>
      </c>
      <c r="AI23" s="273">
        <f t="shared" si="5"/>
        <v>0</v>
      </c>
      <c r="AJ23" s="273">
        <f t="shared" si="5"/>
        <v>0</v>
      </c>
      <c r="AK23" s="694">
        <f t="shared" si="5"/>
        <v>0</v>
      </c>
      <c r="AL23" s="462"/>
      <c r="AM23" s="463"/>
      <c r="AN23" s="463"/>
      <c r="AO23" s="692"/>
      <c r="AP23" s="462"/>
      <c r="AQ23" s="463"/>
      <c r="AR23" s="463"/>
      <c r="AS23" s="692"/>
      <c r="AT23" s="462"/>
      <c r="AU23" s="463"/>
      <c r="AV23" s="463"/>
      <c r="AW23" s="692"/>
      <c r="AX23" s="462"/>
      <c r="AY23" s="463"/>
      <c r="AZ23" s="463"/>
      <c r="BA23" s="692"/>
      <c r="BB23" s="128">
        <f t="shared" si="6"/>
        <v>0</v>
      </c>
      <c r="BC23" s="273">
        <f t="shared" si="6"/>
        <v>0</v>
      </c>
      <c r="BD23" s="273">
        <f t="shared" si="6"/>
        <v>0</v>
      </c>
      <c r="BE23" s="273">
        <f t="shared" si="6"/>
        <v>0</v>
      </c>
      <c r="BF23" s="276">
        <f t="shared" si="4"/>
        <v>0</v>
      </c>
      <c r="BG23" s="277">
        <f t="shared" si="4"/>
        <v>0</v>
      </c>
      <c r="BH23" s="277">
        <f t="shared" si="4"/>
        <v>0</v>
      </c>
      <c r="BI23" s="704">
        <f t="shared" si="4"/>
        <v>0</v>
      </c>
    </row>
    <row r="24" spans="3:61" s="28" customFormat="1" ht="20.100000000000001" customHeight="1" thickBot="1">
      <c r="C24" s="1885"/>
      <c r="D24" s="1017"/>
      <c r="E24" s="1017"/>
      <c r="F24" s="1018"/>
      <c r="H24" s="1865" t="s">
        <v>116</v>
      </c>
      <c r="I24" s="1866"/>
      <c r="J24" s="118">
        <f t="shared" ref="J24:BI24" si="7">SUM(J15:J23)</f>
        <v>0</v>
      </c>
      <c r="K24" s="272">
        <f t="shared" si="7"/>
        <v>0</v>
      </c>
      <c r="L24" s="272">
        <f>SUM(L15:L23)</f>
        <v>0</v>
      </c>
      <c r="M24" s="272">
        <f>SUM(M15:M23)</f>
        <v>0</v>
      </c>
      <c r="N24" s="118">
        <f t="shared" ref="N24:AI24" si="8">SUM(N15:N23)</f>
        <v>0</v>
      </c>
      <c r="O24" s="272">
        <f t="shared" si="8"/>
        <v>0</v>
      </c>
      <c r="P24" s="272">
        <f t="shared" si="8"/>
        <v>0</v>
      </c>
      <c r="Q24" s="272">
        <f t="shared" si="8"/>
        <v>0</v>
      </c>
      <c r="R24" s="118">
        <f t="shared" si="8"/>
        <v>0</v>
      </c>
      <c r="S24" s="272">
        <f t="shared" si="8"/>
        <v>0</v>
      </c>
      <c r="T24" s="272">
        <f t="shared" si="8"/>
        <v>0</v>
      </c>
      <c r="U24" s="272">
        <f t="shared" si="8"/>
        <v>0</v>
      </c>
      <c r="V24" s="118">
        <f t="shared" si="8"/>
        <v>0</v>
      </c>
      <c r="W24" s="272">
        <f t="shared" si="8"/>
        <v>0</v>
      </c>
      <c r="X24" s="272">
        <f t="shared" si="8"/>
        <v>0</v>
      </c>
      <c r="Y24" s="272">
        <f t="shared" si="8"/>
        <v>0</v>
      </c>
      <c r="Z24" s="118">
        <f t="shared" si="8"/>
        <v>0</v>
      </c>
      <c r="AA24" s="272">
        <f t="shared" si="8"/>
        <v>0</v>
      </c>
      <c r="AB24" s="272">
        <f t="shared" si="8"/>
        <v>0</v>
      </c>
      <c r="AC24" s="272">
        <f t="shared" si="8"/>
        <v>0</v>
      </c>
      <c r="AD24" s="118">
        <f t="shared" si="8"/>
        <v>0</v>
      </c>
      <c r="AE24" s="272">
        <f t="shared" si="8"/>
        <v>0</v>
      </c>
      <c r="AF24" s="272">
        <f t="shared" si="8"/>
        <v>0</v>
      </c>
      <c r="AG24" s="272">
        <f t="shared" si="8"/>
        <v>0</v>
      </c>
      <c r="AH24" s="118">
        <f t="shared" si="8"/>
        <v>0</v>
      </c>
      <c r="AI24" s="272">
        <f t="shared" si="8"/>
        <v>0</v>
      </c>
      <c r="AJ24" s="272">
        <f>SUM(AJ15:AJ23)</f>
        <v>0</v>
      </c>
      <c r="AK24" s="695">
        <f>SUM(AK15:AK23)</f>
        <v>0</v>
      </c>
      <c r="AL24" s="118">
        <f t="shared" ref="AL24:BC24" si="9">SUM(AL15:AL23)</f>
        <v>0</v>
      </c>
      <c r="AM24" s="272">
        <f t="shared" si="9"/>
        <v>0</v>
      </c>
      <c r="AN24" s="272">
        <f t="shared" si="9"/>
        <v>0</v>
      </c>
      <c r="AO24" s="272">
        <f t="shared" si="9"/>
        <v>0</v>
      </c>
      <c r="AP24" s="118">
        <f t="shared" si="9"/>
        <v>0</v>
      </c>
      <c r="AQ24" s="272">
        <f t="shared" si="9"/>
        <v>0</v>
      </c>
      <c r="AR24" s="272">
        <f t="shared" si="9"/>
        <v>0</v>
      </c>
      <c r="AS24" s="272">
        <f t="shared" si="9"/>
        <v>0</v>
      </c>
      <c r="AT24" s="118">
        <f t="shared" si="9"/>
        <v>0</v>
      </c>
      <c r="AU24" s="272">
        <f t="shared" si="9"/>
        <v>0</v>
      </c>
      <c r="AV24" s="272">
        <f t="shared" si="9"/>
        <v>0</v>
      </c>
      <c r="AW24" s="272">
        <f t="shared" si="9"/>
        <v>0</v>
      </c>
      <c r="AX24" s="118">
        <f t="shared" si="9"/>
        <v>0</v>
      </c>
      <c r="AY24" s="272">
        <f t="shared" si="9"/>
        <v>0</v>
      </c>
      <c r="AZ24" s="272">
        <f t="shared" si="9"/>
        <v>0</v>
      </c>
      <c r="BA24" s="272">
        <f t="shared" si="9"/>
        <v>0</v>
      </c>
      <c r="BB24" s="118">
        <f t="shared" si="9"/>
        <v>0</v>
      </c>
      <c r="BC24" s="272">
        <f t="shared" si="9"/>
        <v>0</v>
      </c>
      <c r="BD24" s="272">
        <f>SUM(BD15:BD23)</f>
        <v>0</v>
      </c>
      <c r="BE24" s="272">
        <f>SUM(BE15:BE23)</f>
        <v>0</v>
      </c>
      <c r="BF24" s="278">
        <f t="shared" si="7"/>
        <v>0</v>
      </c>
      <c r="BG24" s="279">
        <f t="shared" si="7"/>
        <v>0</v>
      </c>
      <c r="BH24" s="279">
        <f t="shared" si="7"/>
        <v>0</v>
      </c>
      <c r="BI24" s="705">
        <f t="shared" si="7"/>
        <v>0</v>
      </c>
    </row>
    <row r="25" spans="3:61" s="119" customFormat="1" ht="9" customHeight="1" thickBot="1">
      <c r="C25" s="121"/>
      <c r="D25" s="121"/>
      <c r="E25" s="121"/>
      <c r="F25" s="121"/>
      <c r="H25" s="122"/>
      <c r="I25" s="122"/>
      <c r="J25" s="125"/>
      <c r="K25" s="126"/>
      <c r="L25" s="126"/>
      <c r="M25" s="126"/>
      <c r="N25" s="125"/>
      <c r="O25" s="126"/>
      <c r="P25" s="126"/>
      <c r="Q25" s="126"/>
      <c r="R25" s="125"/>
      <c r="S25" s="126"/>
      <c r="T25" s="126"/>
      <c r="U25" s="126"/>
      <c r="V25" s="125"/>
      <c r="W25" s="126"/>
      <c r="X25" s="126"/>
      <c r="Y25" s="126"/>
      <c r="Z25" s="125"/>
      <c r="AA25" s="126"/>
      <c r="AB25" s="126"/>
      <c r="AC25" s="126"/>
      <c r="AD25" s="125"/>
      <c r="AE25" s="126"/>
      <c r="AF25" s="126"/>
      <c r="AG25" s="126"/>
      <c r="AH25" s="125"/>
      <c r="AI25" s="126"/>
      <c r="AJ25" s="126"/>
      <c r="AK25" s="126"/>
      <c r="AL25" s="125"/>
      <c r="AM25" s="126"/>
      <c r="AN25" s="126"/>
      <c r="AO25" s="126"/>
      <c r="AP25" s="125"/>
      <c r="AQ25" s="126"/>
      <c r="AR25" s="126"/>
      <c r="AS25" s="126"/>
      <c r="AT25" s="125"/>
      <c r="AU25" s="126"/>
      <c r="AV25" s="126"/>
      <c r="AW25" s="126"/>
      <c r="AX25" s="125"/>
      <c r="AY25" s="126"/>
      <c r="AZ25" s="126"/>
      <c r="BA25" s="126"/>
      <c r="BB25" s="125"/>
      <c r="BC25" s="126"/>
      <c r="BD25" s="126"/>
      <c r="BE25" s="126"/>
      <c r="BF25" s="125"/>
      <c r="BG25" s="126"/>
    </row>
    <row r="26" spans="3:61" s="28" customFormat="1" ht="26.25" customHeight="1" thickBot="1">
      <c r="D26" s="29"/>
      <c r="E26" s="29"/>
      <c r="F26" s="29"/>
      <c r="H26" s="1893" t="s">
        <v>49</v>
      </c>
      <c r="I26" s="1894"/>
      <c r="J26" s="123">
        <f t="shared" ref="J26:BI26" si="10">J10+J24</f>
        <v>0</v>
      </c>
      <c r="K26" s="1395">
        <f t="shared" si="10"/>
        <v>0</v>
      </c>
      <c r="L26" s="280">
        <f>L10+L24</f>
        <v>0</v>
      </c>
      <c r="M26" s="280">
        <f>M10+M24</f>
        <v>0</v>
      </c>
      <c r="N26" s="123">
        <f t="shared" ref="N26:O26" si="11">N10+N24</f>
        <v>0</v>
      </c>
      <c r="O26" s="280">
        <f t="shared" si="11"/>
        <v>0</v>
      </c>
      <c r="P26" s="280">
        <f>P10+P24</f>
        <v>0</v>
      </c>
      <c r="Q26" s="280">
        <f>Q10+Q24</f>
        <v>0</v>
      </c>
      <c r="R26" s="123">
        <f t="shared" ref="R26:S26" si="12">R10+R24</f>
        <v>0</v>
      </c>
      <c r="S26" s="280">
        <f t="shared" si="12"/>
        <v>0</v>
      </c>
      <c r="T26" s="280">
        <f>T10+T24</f>
        <v>0</v>
      </c>
      <c r="U26" s="280">
        <f>U10+U24</f>
        <v>0</v>
      </c>
      <c r="V26" s="123">
        <f t="shared" ref="V26" si="13">V10+V24</f>
        <v>0</v>
      </c>
      <c r="W26" s="280">
        <f t="shared" ref="W26" si="14">W10+W24</f>
        <v>0</v>
      </c>
      <c r="X26" s="280">
        <f>X10+X24</f>
        <v>0</v>
      </c>
      <c r="Y26" s="280">
        <f>Y10+Y24</f>
        <v>0</v>
      </c>
      <c r="Z26" s="123">
        <f t="shared" ref="Z26:AA26" si="15">Z10+Z24</f>
        <v>0</v>
      </c>
      <c r="AA26" s="280">
        <f t="shared" si="15"/>
        <v>0</v>
      </c>
      <c r="AB26" s="280">
        <f>AB10+AB24</f>
        <v>0</v>
      </c>
      <c r="AC26" s="280">
        <f>AC10+AC24</f>
        <v>0</v>
      </c>
      <c r="AD26" s="123">
        <f t="shared" ref="AD26:AE26" si="16">AD10+AD24</f>
        <v>0</v>
      </c>
      <c r="AE26" s="280">
        <f t="shared" si="16"/>
        <v>0</v>
      </c>
      <c r="AF26" s="280">
        <f>AF10+AF24</f>
        <v>0</v>
      </c>
      <c r="AG26" s="280">
        <f>AG10+AG24</f>
        <v>0</v>
      </c>
      <c r="AH26" s="127">
        <f t="shared" ref="AH26:AI26" si="17">AH10+AH24</f>
        <v>0</v>
      </c>
      <c r="AI26" s="280">
        <f t="shared" si="17"/>
        <v>0</v>
      </c>
      <c r="AJ26" s="697">
        <f>AJ10+AJ24</f>
        <v>0</v>
      </c>
      <c r="AK26" s="696">
        <f>AK10+AK24</f>
        <v>0</v>
      </c>
      <c r="AL26" s="123">
        <f t="shared" ref="AL26:AM26" si="18">AL10+AL24</f>
        <v>0</v>
      </c>
      <c r="AM26" s="280">
        <f t="shared" si="18"/>
        <v>0</v>
      </c>
      <c r="AN26" s="280">
        <f>AN10+AN24</f>
        <v>0</v>
      </c>
      <c r="AO26" s="280">
        <f>AO10+AO24</f>
        <v>0</v>
      </c>
      <c r="AP26" s="123">
        <f t="shared" ref="AP26:AQ26" si="19">AP10+AP24</f>
        <v>0</v>
      </c>
      <c r="AQ26" s="280">
        <f t="shared" si="19"/>
        <v>0</v>
      </c>
      <c r="AR26" s="280">
        <f>AR10+AR24</f>
        <v>0</v>
      </c>
      <c r="AS26" s="280">
        <f>AS10+AS24</f>
        <v>0</v>
      </c>
      <c r="AT26" s="123">
        <f t="shared" ref="AT26:AU26" si="20">AT10+AT24</f>
        <v>0</v>
      </c>
      <c r="AU26" s="280">
        <f t="shared" si="20"/>
        <v>0</v>
      </c>
      <c r="AV26" s="280">
        <f>AV10+AV24</f>
        <v>0</v>
      </c>
      <c r="AW26" s="280">
        <f>AW10+AW24</f>
        <v>0</v>
      </c>
      <c r="AX26" s="123">
        <f t="shared" ref="AX26:AY26" si="21">AX10+AX24</f>
        <v>0</v>
      </c>
      <c r="AY26" s="280">
        <f t="shared" si="21"/>
        <v>0</v>
      </c>
      <c r="AZ26" s="280">
        <f>AZ10+AZ24</f>
        <v>0</v>
      </c>
      <c r="BA26" s="280">
        <f>BA10+BA24</f>
        <v>0</v>
      </c>
      <c r="BB26" s="127">
        <f t="shared" ref="BB26:BC26" si="22">BB10+BB24</f>
        <v>0</v>
      </c>
      <c r="BC26" s="280">
        <f t="shared" si="22"/>
        <v>0</v>
      </c>
      <c r="BD26" s="697">
        <f>BD10+BD24</f>
        <v>0</v>
      </c>
      <c r="BE26" s="697">
        <f>BE10+BE24</f>
        <v>0</v>
      </c>
      <c r="BF26" s="124">
        <f>BF10+BF24</f>
        <v>0</v>
      </c>
      <c r="BG26" s="707">
        <f t="shared" si="10"/>
        <v>0</v>
      </c>
      <c r="BH26" s="706">
        <f t="shared" si="10"/>
        <v>0</v>
      </c>
      <c r="BI26" s="284">
        <f t="shared" si="10"/>
        <v>0</v>
      </c>
    </row>
    <row r="27" spans="3:61" ht="21" customHeight="1">
      <c r="H27" s="320"/>
      <c r="I27" s="320"/>
      <c r="J27" s="321"/>
      <c r="K27" s="321"/>
      <c r="L27" s="321"/>
      <c r="M27" s="321"/>
      <c r="N27" s="321"/>
      <c r="O27" s="321"/>
      <c r="P27" s="321"/>
      <c r="Q27" s="321"/>
      <c r="R27" s="321"/>
      <c r="S27" s="321"/>
      <c r="T27" s="321"/>
      <c r="U27" s="321"/>
      <c r="V27" s="321"/>
      <c r="W27" s="321"/>
      <c r="X27" s="323"/>
      <c r="Y27" s="323"/>
      <c r="Z27" s="321"/>
      <c r="AA27" s="321"/>
      <c r="AB27" s="323"/>
      <c r="AC27" s="323"/>
      <c r="AD27" s="321"/>
      <c r="AE27" s="321"/>
      <c r="AF27" s="321"/>
      <c r="AG27" s="321"/>
      <c r="AH27" s="321"/>
      <c r="AI27" s="321"/>
      <c r="AJ27" s="321"/>
      <c r="AK27" s="321"/>
      <c r="AL27" s="321"/>
      <c r="AM27" s="321"/>
      <c r="AN27" s="321"/>
      <c r="AO27" s="321"/>
      <c r="AP27" s="321"/>
      <c r="AQ27" s="321"/>
      <c r="AR27" s="321"/>
      <c r="AS27" s="321"/>
      <c r="AT27" s="321"/>
      <c r="AU27" s="321"/>
      <c r="AV27" s="321"/>
      <c r="AW27" s="321"/>
      <c r="AX27" s="321"/>
      <c r="AY27" s="321"/>
      <c r="AZ27" s="321"/>
      <c r="BA27" s="321"/>
      <c r="BB27" s="335"/>
      <c r="BC27" s="1918">
        <f>SUM(I27:AZ29)</f>
        <v>0</v>
      </c>
      <c r="BD27" s="335"/>
      <c r="BE27" s="335"/>
      <c r="BF27" s="335"/>
      <c r="BG27" s="335"/>
      <c r="BH27" s="1917">
        <f>BH26+BI26</f>
        <v>0</v>
      </c>
      <c r="BI27" s="1917"/>
    </row>
    <row r="28" spans="3:61" ht="21" customHeight="1">
      <c r="H28" s="320"/>
      <c r="I28" s="320"/>
      <c r="J28" s="322"/>
      <c r="K28" s="323"/>
      <c r="L28" s="323"/>
      <c r="M28" s="323"/>
      <c r="N28" s="322"/>
      <c r="O28" s="323"/>
      <c r="P28" s="323"/>
      <c r="Q28" s="323"/>
      <c r="R28" s="322"/>
      <c r="S28" s="323"/>
      <c r="T28" s="323"/>
      <c r="U28" s="323"/>
      <c r="V28" s="321"/>
      <c r="W28" s="323"/>
      <c r="X28" s="323"/>
      <c r="Y28" s="323"/>
      <c r="Z28" s="322"/>
      <c r="AA28" s="323"/>
      <c r="AB28" s="323"/>
      <c r="AC28" s="323"/>
      <c r="AD28" s="322"/>
      <c r="AE28" s="323"/>
      <c r="AF28" s="323"/>
      <c r="AG28" s="322"/>
      <c r="AH28" s="322"/>
      <c r="AI28" s="323"/>
      <c r="AJ28" s="323"/>
      <c r="AK28" s="323"/>
      <c r="AL28" s="321"/>
      <c r="AM28" s="323"/>
      <c r="AN28" s="622"/>
      <c r="AO28" s="622"/>
      <c r="AP28" s="321"/>
      <c r="AQ28" s="323"/>
      <c r="AR28" s="323"/>
      <c r="AS28" s="323"/>
      <c r="AT28" s="322"/>
      <c r="AU28" s="323"/>
      <c r="AV28" s="323"/>
      <c r="AW28" s="323"/>
      <c r="AX28" s="322"/>
      <c r="AY28" s="468"/>
      <c r="AZ28" s="468"/>
      <c r="BA28" s="468"/>
      <c r="BB28" s="392"/>
      <c r="BC28" s="1919"/>
      <c r="BD28" s="434"/>
      <c r="BE28" s="434"/>
      <c r="BF28" s="435"/>
      <c r="BG28" s="434"/>
      <c r="BH28" s="726"/>
      <c r="BI28" s="434"/>
    </row>
    <row r="29" spans="3:61" ht="23.25">
      <c r="H29" s="320"/>
      <c r="I29" s="320"/>
      <c r="J29" s="322"/>
      <c r="K29" s="323"/>
      <c r="L29" s="323"/>
      <c r="M29" s="323"/>
      <c r="N29" s="322"/>
      <c r="O29" s="323"/>
      <c r="P29" s="323"/>
      <c r="Q29" s="323"/>
      <c r="R29" s="322"/>
      <c r="S29" s="323"/>
      <c r="T29" s="323"/>
      <c r="U29" s="323"/>
      <c r="V29" s="322"/>
      <c r="W29" s="323"/>
      <c r="X29" s="323"/>
      <c r="Y29" s="323"/>
      <c r="Z29" s="322"/>
      <c r="AA29" s="323"/>
      <c r="AB29" s="323"/>
      <c r="AC29" s="323"/>
      <c r="AD29" s="322"/>
      <c r="AE29" s="323"/>
      <c r="AF29" s="688"/>
      <c r="AG29" s="688"/>
      <c r="AH29" s="322"/>
      <c r="AI29" s="322"/>
      <c r="AJ29" s="323"/>
      <c r="AK29" s="323"/>
      <c r="AL29" s="321"/>
      <c r="AM29" s="323"/>
      <c r="AN29" s="321"/>
      <c r="AO29" s="321"/>
      <c r="AP29" s="322"/>
      <c r="AQ29" s="323"/>
      <c r="AR29" s="323"/>
      <c r="AS29" s="323"/>
      <c r="AT29" s="322"/>
      <c r="AU29" s="323"/>
      <c r="AV29" s="323"/>
      <c r="AW29" s="323"/>
      <c r="AX29" s="322"/>
      <c r="AY29" s="468"/>
      <c r="AZ29" s="468"/>
      <c r="BA29" s="468"/>
      <c r="BB29" s="392"/>
      <c r="BC29" s="434"/>
      <c r="BD29" s="434"/>
      <c r="BE29" s="434"/>
      <c r="BF29" s="435"/>
      <c r="BG29" s="434"/>
      <c r="BH29" s="682"/>
      <c r="BI29" s="434"/>
    </row>
    <row r="30" spans="3:61" s="464" customFormat="1" ht="21.75" thickBot="1">
      <c r="D30" s="576"/>
      <c r="E30" s="576"/>
      <c r="F30" s="576"/>
      <c r="I30" s="577"/>
      <c r="J30" s="578"/>
      <c r="K30" s="579"/>
      <c r="L30" s="579"/>
      <c r="M30" s="579"/>
      <c r="N30" s="578"/>
      <c r="O30" s="579"/>
      <c r="P30" s="579"/>
      <c r="Q30" s="579"/>
      <c r="R30" s="578"/>
      <c r="S30" s="579"/>
      <c r="T30" s="579"/>
      <c r="U30" s="579"/>
      <c r="V30" s="578"/>
      <c r="W30" s="578"/>
      <c r="X30" s="579"/>
      <c r="Y30" s="579"/>
      <c r="Z30" s="579"/>
      <c r="AA30" s="578"/>
      <c r="AB30" s="579"/>
      <c r="AC30" s="579"/>
      <c r="AD30" s="579"/>
      <c r="AE30" s="578"/>
      <c r="AF30" s="579"/>
      <c r="AG30" s="579"/>
      <c r="AH30" s="621"/>
      <c r="AI30" s="578"/>
      <c r="AJ30" s="579"/>
      <c r="AK30" s="579"/>
      <c r="AM30" s="580"/>
      <c r="AN30" s="579"/>
      <c r="AO30" s="579"/>
      <c r="AP30" s="579"/>
      <c r="AQ30" s="578"/>
      <c r="AR30" s="579"/>
      <c r="AS30" s="579"/>
      <c r="AT30" s="579"/>
      <c r="AU30" s="578"/>
      <c r="AV30" s="579"/>
      <c r="AW30" s="579"/>
      <c r="AZ30" s="581"/>
      <c r="BA30" s="581"/>
      <c r="BB30" s="581"/>
      <c r="BC30" s="582"/>
      <c r="BD30" s="583"/>
      <c r="BE30" s="583"/>
      <c r="BF30" s="583"/>
      <c r="BG30" s="584"/>
      <c r="BH30" s="583"/>
      <c r="BI30" s="585"/>
    </row>
    <row r="31" spans="3:61" ht="35.25" customHeight="1" thickBot="1">
      <c r="L31" s="1929" t="s">
        <v>350</v>
      </c>
      <c r="M31" s="1930"/>
      <c r="N31" s="1930"/>
      <c r="O31" s="1930"/>
      <c r="P31" s="1930"/>
      <c r="Q31" s="1930"/>
      <c r="R31" s="1930"/>
      <c r="S31" s="1931"/>
      <c r="T31" s="579"/>
      <c r="U31" s="579"/>
      <c r="V31" s="1929" t="s">
        <v>204</v>
      </c>
      <c r="W31" s="1930"/>
      <c r="X31" s="1930"/>
      <c r="Y31" s="1930"/>
      <c r="Z31" s="1930"/>
      <c r="AA31" s="1930"/>
      <c r="AB31" s="1930"/>
      <c r="AC31" s="1935"/>
      <c r="AD31" s="1936"/>
      <c r="AE31" s="579"/>
      <c r="AF31" s="579"/>
      <c r="AG31" s="26"/>
      <c r="AH31" s="24"/>
      <c r="AJ31" s="685"/>
      <c r="AL31" s="464"/>
      <c r="AM31" s="580"/>
      <c r="AN31" s="579"/>
      <c r="AP31" s="24"/>
      <c r="AS31" s="26"/>
      <c r="AT31" s="24"/>
      <c r="AX31" s="24"/>
      <c r="AY31" s="25"/>
      <c r="AZ31" s="25"/>
      <c r="BA31" s="24"/>
      <c r="BB31" s="24"/>
      <c r="BE31" s="23"/>
      <c r="BF31" s="23"/>
      <c r="BG31" s="23"/>
    </row>
    <row r="32" spans="3:61" s="24" customFormat="1" ht="28.5" customHeight="1" thickBot="1">
      <c r="C32" s="23"/>
      <c r="D32" s="27"/>
      <c r="E32" s="27"/>
      <c r="F32" s="27"/>
      <c r="G32" s="23"/>
      <c r="H32" s="23"/>
      <c r="I32" s="27"/>
      <c r="L32" s="450" t="s">
        <v>0</v>
      </c>
      <c r="M32" s="439" t="s">
        <v>200</v>
      </c>
      <c r="N32" s="454" t="s">
        <v>205</v>
      </c>
      <c r="O32" s="439" t="s">
        <v>31</v>
      </c>
      <c r="P32" s="448" t="s">
        <v>201</v>
      </c>
      <c r="Q32" s="455" t="s">
        <v>206</v>
      </c>
      <c r="R32" s="436" t="s">
        <v>22</v>
      </c>
      <c r="S32" s="438" t="s">
        <v>191</v>
      </c>
      <c r="T32" s="579"/>
      <c r="U32" s="579"/>
      <c r="V32" s="571" t="s">
        <v>0</v>
      </c>
      <c r="W32" s="572" t="s">
        <v>200</v>
      </c>
      <c r="X32" s="623" t="s">
        <v>205</v>
      </c>
      <c r="Y32" s="572" t="s">
        <v>31</v>
      </c>
      <c r="Z32" s="573" t="s">
        <v>201</v>
      </c>
      <c r="AA32" s="574" t="s">
        <v>206</v>
      </c>
      <c r="AB32" s="717" t="s">
        <v>22</v>
      </c>
      <c r="AC32" s="721" t="s">
        <v>191</v>
      </c>
      <c r="AD32" s="722" t="s">
        <v>226</v>
      </c>
      <c r="AE32" s="579"/>
      <c r="AF32" s="579"/>
      <c r="AG32" s="599"/>
      <c r="AH32" s="599"/>
      <c r="AI32" s="599"/>
      <c r="AL32" s="464"/>
      <c r="AM32" s="580"/>
      <c r="AN32" s="579"/>
      <c r="AT32" s="25"/>
      <c r="AU32" s="25"/>
      <c r="AW32" s="23"/>
      <c r="AX32" s="23"/>
    </row>
    <row r="33" spans="1:59" ht="23.25">
      <c r="L33" s="441" t="s">
        <v>189</v>
      </c>
      <c r="M33" s="470">
        <f>$J$6</f>
        <v>0</v>
      </c>
      <c r="N33" s="430">
        <f>$J9</f>
        <v>0</v>
      </c>
      <c r="O33" s="430">
        <f>$J7</f>
        <v>0</v>
      </c>
      <c r="P33" s="430">
        <f>$J8</f>
        <v>0</v>
      </c>
      <c r="Q33" s="430">
        <f>J15+J16+J17+J18+J19+J21+J22+J23</f>
        <v>0</v>
      </c>
      <c r="R33" s="430">
        <f>$J20</f>
        <v>0</v>
      </c>
      <c r="S33" s="446">
        <f t="shared" ref="S33:S42" si="23">SUM(M33:R33)</f>
        <v>0</v>
      </c>
      <c r="T33" s="579"/>
      <c r="U33" s="579"/>
      <c r="V33" s="447" t="s">
        <v>189</v>
      </c>
      <c r="W33" s="569">
        <f>L$6</f>
        <v>0</v>
      </c>
      <c r="X33" s="570">
        <f>$L9</f>
        <v>0</v>
      </c>
      <c r="Y33" s="570">
        <f>$L7</f>
        <v>0</v>
      </c>
      <c r="Z33" s="570">
        <f>$L8</f>
        <v>0</v>
      </c>
      <c r="AA33" s="570">
        <f>L$15+L$16+L$17+L$18+L$19+L$21+L$22+L$23</f>
        <v>0</v>
      </c>
      <c r="AB33" s="718">
        <f>$L20</f>
        <v>0</v>
      </c>
      <c r="AC33" s="723">
        <f t="shared" ref="AC33:AC42" si="24">SUM(W33:AB33)</f>
        <v>0</v>
      </c>
      <c r="AD33" s="587">
        <f>M6+M7+M8++M9+M15+M16+M17+M18+M19+M21+M20+M22+M23</f>
        <v>0</v>
      </c>
      <c r="AE33" s="579">
        <f>AC33+AD33</f>
        <v>0</v>
      </c>
      <c r="AF33" s="579"/>
      <c r="AG33" s="599"/>
      <c r="AH33" s="599"/>
      <c r="AI33" s="599"/>
      <c r="AL33" s="464"/>
      <c r="AM33" s="580"/>
      <c r="AN33" s="579"/>
      <c r="AP33" s="24"/>
      <c r="AT33" s="25"/>
      <c r="AU33" s="25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</row>
    <row r="34" spans="1:59" s="24" customFormat="1" ht="23.25">
      <c r="A34" s="23"/>
      <c r="B34" s="23"/>
      <c r="C34" s="23"/>
      <c r="D34" s="27"/>
      <c r="E34" s="27"/>
      <c r="F34" s="27"/>
      <c r="G34" s="23"/>
      <c r="H34" s="23"/>
      <c r="I34" s="27"/>
      <c r="L34" s="441" t="s">
        <v>183</v>
      </c>
      <c r="M34" s="470">
        <f>$N$6</f>
        <v>0</v>
      </c>
      <c r="N34" s="430">
        <f>$N9</f>
        <v>0</v>
      </c>
      <c r="O34" s="430">
        <f>$N7</f>
        <v>0</v>
      </c>
      <c r="P34" s="430">
        <f>$N8</f>
        <v>0</v>
      </c>
      <c r="Q34" s="430">
        <f>N15+N16+N17+N18+N19+N21+N22+N23</f>
        <v>0</v>
      </c>
      <c r="R34" s="430">
        <f>$N20</f>
        <v>0</v>
      </c>
      <c r="S34" s="446">
        <f t="shared" si="23"/>
        <v>0</v>
      </c>
      <c r="T34" s="686"/>
      <c r="U34" s="26"/>
      <c r="V34" s="441" t="s">
        <v>183</v>
      </c>
      <c r="W34" s="440">
        <f>P$6</f>
        <v>0</v>
      </c>
      <c r="X34" s="430">
        <f>$P9</f>
        <v>0</v>
      </c>
      <c r="Y34" s="430">
        <f>$P7</f>
        <v>0</v>
      </c>
      <c r="Z34" s="430">
        <f>$P8</f>
        <v>0</v>
      </c>
      <c r="AA34" s="430">
        <f>P$15+P$16+P$17+P$18+P$19+P$21+P$22+P$23</f>
        <v>0</v>
      </c>
      <c r="AB34" s="719">
        <f>$P20</f>
        <v>0</v>
      </c>
      <c r="AC34" s="723">
        <f t="shared" si="24"/>
        <v>0</v>
      </c>
      <c r="AD34" s="587">
        <f>Q6+Q7+Q8+Q9+Q15+Q16+Q17+Q18+Q19+Q20+Q21+Q22+Q23</f>
        <v>0</v>
      </c>
      <c r="AE34" s="579">
        <f t="shared" ref="AE34:AE43" si="25">AC34+AD34</f>
        <v>0</v>
      </c>
      <c r="AG34" s="599"/>
      <c r="AH34" s="599"/>
      <c r="AI34" s="599"/>
      <c r="AN34" s="26"/>
      <c r="AT34" s="25"/>
      <c r="AU34" s="25"/>
    </row>
    <row r="35" spans="1:59" ht="23.25">
      <c r="L35" s="441" t="s">
        <v>184</v>
      </c>
      <c r="M35" s="470">
        <f>$R$6</f>
        <v>0</v>
      </c>
      <c r="N35" s="430">
        <f>$R9</f>
        <v>0</v>
      </c>
      <c r="O35" s="430">
        <f>$R7</f>
        <v>0</v>
      </c>
      <c r="P35" s="430">
        <f>$R8</f>
        <v>0</v>
      </c>
      <c r="Q35" s="430">
        <f>R15+R16+R17+R18+R19+R21+R22+R23</f>
        <v>0</v>
      </c>
      <c r="R35" s="430">
        <f>$R20</f>
        <v>0</v>
      </c>
      <c r="S35" s="446">
        <f t="shared" si="23"/>
        <v>0</v>
      </c>
      <c r="T35" s="686"/>
      <c r="U35" s="26"/>
      <c r="V35" s="441" t="s">
        <v>184</v>
      </c>
      <c r="W35" s="440">
        <f>T$6</f>
        <v>0</v>
      </c>
      <c r="X35" s="430">
        <f>$T9</f>
        <v>0</v>
      </c>
      <c r="Y35" s="430">
        <f>$T7</f>
        <v>0</v>
      </c>
      <c r="Z35" s="430">
        <f>$T8</f>
        <v>0</v>
      </c>
      <c r="AA35" s="430">
        <f>T$15+T$16+T$17+T$18+T$19+T$21+T$22+T$23</f>
        <v>0</v>
      </c>
      <c r="AB35" s="719">
        <f>$T20</f>
        <v>0</v>
      </c>
      <c r="AC35" s="723">
        <f t="shared" si="24"/>
        <v>0</v>
      </c>
      <c r="AD35" s="587">
        <f>U6+U7+U8+U9+U15+U16+U17+U18+U19+U20+U21+U22+U23</f>
        <v>0</v>
      </c>
      <c r="AE35" s="579">
        <f t="shared" si="25"/>
        <v>0</v>
      </c>
      <c r="AF35" s="26"/>
      <c r="AG35" s="599"/>
      <c r="AH35" s="599"/>
      <c r="AI35" s="599"/>
      <c r="AL35" s="24"/>
      <c r="AN35" s="26"/>
      <c r="AP35" s="24"/>
      <c r="AT35" s="25"/>
      <c r="AU35" s="25"/>
      <c r="AX35" s="23"/>
      <c r="AY35" s="23"/>
      <c r="AZ35" s="23"/>
      <c r="BA35" s="23"/>
      <c r="BB35" s="23"/>
      <c r="BC35" s="23"/>
      <c r="BD35" s="23"/>
      <c r="BE35" s="23"/>
      <c r="BF35" s="23"/>
      <c r="BG35" s="23"/>
    </row>
    <row r="36" spans="1:59" ht="23.25">
      <c r="L36" s="441" t="s">
        <v>170</v>
      </c>
      <c r="M36" s="470">
        <f>$V$6</f>
        <v>0</v>
      </c>
      <c r="N36" s="430">
        <f>$V9</f>
        <v>0</v>
      </c>
      <c r="O36" s="430">
        <f>$V7</f>
        <v>0</v>
      </c>
      <c r="P36" s="430">
        <f>$V8</f>
        <v>0</v>
      </c>
      <c r="Q36" s="430">
        <f>V15+V16+V17+V18+V19+V21++V22+V23</f>
        <v>0</v>
      </c>
      <c r="R36" s="430">
        <f>$V20</f>
        <v>0</v>
      </c>
      <c r="S36" s="446">
        <f t="shared" si="23"/>
        <v>0</v>
      </c>
      <c r="T36" s="686"/>
      <c r="U36" s="26"/>
      <c r="V36" s="441" t="s">
        <v>170</v>
      </c>
      <c r="W36" s="440">
        <f>X$6</f>
        <v>0</v>
      </c>
      <c r="X36" s="430">
        <f>$X9</f>
        <v>0</v>
      </c>
      <c r="Y36" s="430">
        <f>$X7</f>
        <v>0</v>
      </c>
      <c r="Z36" s="430">
        <f>$X8</f>
        <v>0</v>
      </c>
      <c r="AA36" s="430">
        <f>X$15+X$16+X$17+X$18+X$19+X$21+X$22+X$23</f>
        <v>0</v>
      </c>
      <c r="AB36" s="719">
        <f>$X20</f>
        <v>0</v>
      </c>
      <c r="AC36" s="723">
        <f t="shared" si="24"/>
        <v>0</v>
      </c>
      <c r="AD36" s="587">
        <f>Y6+Y7+Y8+Y9+Y15+Y16+Y17+Y18+Y19+Y20+Y21+Y22+Y23</f>
        <v>0</v>
      </c>
      <c r="AE36" s="579">
        <f t="shared" si="25"/>
        <v>0</v>
      </c>
      <c r="AF36" s="26"/>
      <c r="AG36" s="599"/>
      <c r="AH36" s="599"/>
      <c r="AI36" s="599"/>
      <c r="AL36" s="24"/>
      <c r="AN36" s="26"/>
      <c r="AP36" s="24"/>
      <c r="AT36" s="25"/>
      <c r="AU36" s="25"/>
      <c r="AX36" s="23"/>
      <c r="AY36" s="23"/>
      <c r="AZ36" s="23"/>
      <c r="BA36" s="23"/>
      <c r="BB36" s="23"/>
      <c r="BC36" s="23"/>
      <c r="BD36" s="23"/>
      <c r="BE36" s="23"/>
      <c r="BF36" s="23"/>
      <c r="BG36" s="23"/>
    </row>
    <row r="37" spans="1:59" ht="23.25">
      <c r="L37" s="441" t="s">
        <v>171</v>
      </c>
      <c r="M37" s="470">
        <f>$Z$6</f>
        <v>0</v>
      </c>
      <c r="N37" s="430">
        <f>$Z9</f>
        <v>0</v>
      </c>
      <c r="O37" s="430">
        <f>$Z7</f>
        <v>0</v>
      </c>
      <c r="P37" s="430">
        <f>$Z8</f>
        <v>0</v>
      </c>
      <c r="Q37" s="430">
        <f>Z15+Z16+Z17+Z18+Z19+Z21+Z22+Z23</f>
        <v>0</v>
      </c>
      <c r="R37" s="430">
        <f>$Z20</f>
        <v>0</v>
      </c>
      <c r="S37" s="446">
        <f t="shared" si="23"/>
        <v>0</v>
      </c>
      <c r="T37" s="686"/>
      <c r="U37" s="26"/>
      <c r="V37" s="441" t="s">
        <v>171</v>
      </c>
      <c r="W37" s="440">
        <f>AB$6</f>
        <v>0</v>
      </c>
      <c r="X37" s="430">
        <f>$AB9</f>
        <v>0</v>
      </c>
      <c r="Y37" s="430">
        <f>$AB7</f>
        <v>0</v>
      </c>
      <c r="Z37" s="430">
        <f>$AB8</f>
        <v>0</v>
      </c>
      <c r="AA37" s="430">
        <f>AB$15+AB$16+AB$17+AB$18+AB$19+AB$21+AB$22+AB$23</f>
        <v>0</v>
      </c>
      <c r="AB37" s="719">
        <f>$AB20</f>
        <v>0</v>
      </c>
      <c r="AC37" s="723">
        <f t="shared" si="24"/>
        <v>0</v>
      </c>
      <c r="AD37" s="587">
        <f>AC6+AC7+AC8+AC9+AC15+AC17+AC16+AC18+AC19+AC20+AC21+AC22+AC23</f>
        <v>0</v>
      </c>
      <c r="AE37" s="579">
        <f t="shared" si="25"/>
        <v>0</v>
      </c>
      <c r="AF37" s="26"/>
      <c r="AG37" s="26"/>
      <c r="AI37" s="26"/>
      <c r="AJ37" s="26"/>
      <c r="AK37" s="26"/>
      <c r="AL37" s="24"/>
      <c r="AN37" s="26"/>
      <c r="AP37" s="24"/>
      <c r="AT37" s="24"/>
      <c r="AX37" s="23"/>
      <c r="AY37" s="23"/>
      <c r="AZ37" s="23"/>
      <c r="BA37" s="23"/>
      <c r="BB37" s="23"/>
      <c r="BC37" s="23"/>
      <c r="BD37" s="23"/>
      <c r="BE37" s="23"/>
      <c r="BF37" s="23"/>
      <c r="BG37" s="23"/>
    </row>
    <row r="38" spans="1:59" ht="23.25">
      <c r="L38" s="441" t="s">
        <v>190</v>
      </c>
      <c r="M38" s="492">
        <f>$AD$6</f>
        <v>0</v>
      </c>
      <c r="N38" s="471">
        <f>$AD9</f>
        <v>0</v>
      </c>
      <c r="O38" s="471">
        <f>$AD7</f>
        <v>0</v>
      </c>
      <c r="P38" s="471">
        <f>$AD8</f>
        <v>0</v>
      </c>
      <c r="Q38" s="430">
        <f>AD15+AD16+AD17+AD18+AD19+AD21+AD22+AD23</f>
        <v>0</v>
      </c>
      <c r="R38" s="471">
        <f>$AD20</f>
        <v>0</v>
      </c>
      <c r="S38" s="446">
        <f t="shared" si="23"/>
        <v>0</v>
      </c>
      <c r="T38" s="686"/>
      <c r="U38" s="26"/>
      <c r="V38" s="441" t="s">
        <v>190</v>
      </c>
      <c r="W38" s="440">
        <f>AF$6</f>
        <v>0</v>
      </c>
      <c r="X38" s="430">
        <f>$AF9</f>
        <v>0</v>
      </c>
      <c r="Y38" s="430">
        <f>$AF7</f>
        <v>0</v>
      </c>
      <c r="Z38" s="430">
        <f>$AF8</f>
        <v>0</v>
      </c>
      <c r="AA38" s="430">
        <f>AF$15+AF$16+AF$17+AF$18+AF$19+AF$21+AF$22+AF$23</f>
        <v>0</v>
      </c>
      <c r="AB38" s="719">
        <f>$AF20</f>
        <v>0</v>
      </c>
      <c r="AC38" s="723">
        <f t="shared" si="24"/>
        <v>0</v>
      </c>
      <c r="AD38" s="587">
        <f>AG6+AG7+AG8+AG9+AG15+AG16+AG17+AG18+AG19+AG20+AG21+AG22+AG23</f>
        <v>0</v>
      </c>
      <c r="AE38" s="579">
        <f t="shared" si="25"/>
        <v>0</v>
      </c>
      <c r="AF38" s="26"/>
      <c r="AG38" s="26"/>
      <c r="AI38" s="26"/>
      <c r="AJ38" s="26"/>
      <c r="AK38" s="26"/>
      <c r="AL38" s="24"/>
      <c r="AN38" s="26"/>
      <c r="AP38" s="24"/>
      <c r="AT38" s="24"/>
      <c r="AX38" s="23"/>
      <c r="AY38" s="23"/>
      <c r="AZ38" s="23"/>
      <c r="BA38" s="23"/>
      <c r="BB38" s="23"/>
      <c r="BC38" s="23"/>
      <c r="BD38" s="23"/>
      <c r="BE38" s="23"/>
      <c r="BF38" s="23">
        <v>216</v>
      </c>
      <c r="BG38" s="23"/>
    </row>
    <row r="39" spans="1:59" ht="23.25">
      <c r="L39" s="441" t="s">
        <v>185</v>
      </c>
      <c r="M39" s="470">
        <f>$AL$6</f>
        <v>0</v>
      </c>
      <c r="N39" s="430">
        <f>$AL9</f>
        <v>0</v>
      </c>
      <c r="O39" s="430">
        <f>$AL7</f>
        <v>0</v>
      </c>
      <c r="P39" s="430">
        <f>$AL8</f>
        <v>0</v>
      </c>
      <c r="Q39" s="430">
        <f>AL15+AL16+AL17+AL18+AL19+AL21+AL22+AL23</f>
        <v>0</v>
      </c>
      <c r="R39" s="430">
        <f>$AL20</f>
        <v>0</v>
      </c>
      <c r="S39" s="446">
        <f t="shared" si="23"/>
        <v>0</v>
      </c>
      <c r="T39" s="686"/>
      <c r="U39" s="26"/>
      <c r="V39" s="441" t="s">
        <v>185</v>
      </c>
      <c r="W39" s="469">
        <f>AN$6</f>
        <v>0</v>
      </c>
      <c r="X39" s="430">
        <f>$AN9</f>
        <v>0</v>
      </c>
      <c r="Y39" s="430">
        <f>$AN7</f>
        <v>0</v>
      </c>
      <c r="Z39" s="430">
        <f>$AN8</f>
        <v>0</v>
      </c>
      <c r="AA39" s="430">
        <f>AN$15+AN$16+AN$17+AN$18+AN$19+AN$21+AN$22+AN$23</f>
        <v>0</v>
      </c>
      <c r="AB39" s="719">
        <f>$AN20</f>
        <v>0</v>
      </c>
      <c r="AC39" s="723">
        <f t="shared" si="24"/>
        <v>0</v>
      </c>
      <c r="AD39" s="587">
        <f>AO6+AO7+AO8+AO9+AO15+AO16+AO17+AO18+AO19+AO20+AO21+AO22+AO23</f>
        <v>0</v>
      </c>
      <c r="AE39" s="579">
        <f t="shared" si="25"/>
        <v>0</v>
      </c>
      <c r="AF39" s="23"/>
      <c r="AG39" s="26"/>
      <c r="AI39" s="26"/>
      <c r="AJ39" s="26"/>
      <c r="AK39" s="26"/>
      <c r="AL39" s="24"/>
      <c r="AN39" s="26"/>
      <c r="AP39" s="24"/>
      <c r="AT39" s="24"/>
      <c r="AX39" s="23"/>
      <c r="AY39" s="23"/>
      <c r="AZ39" s="23"/>
      <c r="BA39" s="23"/>
      <c r="BB39" s="23"/>
      <c r="BC39" s="23"/>
      <c r="BD39" s="23"/>
      <c r="BE39" s="23"/>
      <c r="BF39" s="23">
        <v>175</v>
      </c>
      <c r="BG39" s="23"/>
    </row>
    <row r="40" spans="1:59" ht="23.25">
      <c r="L40" s="441" t="s">
        <v>202</v>
      </c>
      <c r="M40" s="470">
        <f>$AP$6</f>
        <v>0</v>
      </c>
      <c r="N40" s="430">
        <f>$AP9</f>
        <v>0</v>
      </c>
      <c r="O40" s="430">
        <f>$AP7</f>
        <v>0</v>
      </c>
      <c r="P40" s="430">
        <f>$AP8</f>
        <v>0</v>
      </c>
      <c r="Q40" s="430">
        <f>AP15+AP16+AP17+AP18+AP19+AP21+AP22+AP23</f>
        <v>0</v>
      </c>
      <c r="R40" s="430">
        <f>$AP20</f>
        <v>0</v>
      </c>
      <c r="S40" s="446">
        <f t="shared" si="23"/>
        <v>0</v>
      </c>
      <c r="T40" s="686"/>
      <c r="U40" s="26"/>
      <c r="V40" s="441" t="s">
        <v>202</v>
      </c>
      <c r="W40" s="440">
        <f>AR$6</f>
        <v>0</v>
      </c>
      <c r="X40" s="430">
        <f>$AR9</f>
        <v>0</v>
      </c>
      <c r="Y40" s="430">
        <f>$AR7</f>
        <v>0</v>
      </c>
      <c r="Z40" s="430">
        <f>$AR8</f>
        <v>0</v>
      </c>
      <c r="AA40" s="430">
        <f>AR$15+AR$16+AR$17+AR$18+AR$19+AR$21+AR$22+AR$23</f>
        <v>0</v>
      </c>
      <c r="AB40" s="719">
        <f>$AR20</f>
        <v>0</v>
      </c>
      <c r="AC40" s="723">
        <f t="shared" si="24"/>
        <v>0</v>
      </c>
      <c r="AD40" s="587">
        <f>AS6+AS7+AS8+AS9+AS15+AS16+AS17+AS18+AS19+AS20+AS21+AS22+AS23</f>
        <v>0</v>
      </c>
      <c r="AE40" s="579">
        <f t="shared" si="25"/>
        <v>0</v>
      </c>
      <c r="AF40" s="28"/>
      <c r="AG40" s="26"/>
      <c r="AI40" s="26"/>
      <c r="AJ40" s="26"/>
      <c r="AK40" s="26"/>
      <c r="AL40" s="24"/>
      <c r="AN40" s="26"/>
      <c r="AP40" s="24"/>
      <c r="AS40" s="23"/>
      <c r="AT40" s="24"/>
      <c r="AX40" s="23"/>
      <c r="AY40" s="23"/>
      <c r="AZ40" s="23"/>
      <c r="BA40" s="23"/>
      <c r="BB40" s="23"/>
      <c r="BC40" s="23"/>
      <c r="BD40" s="23"/>
      <c r="BE40" s="23"/>
      <c r="BF40" s="23"/>
      <c r="BG40" s="23"/>
    </row>
    <row r="41" spans="1:59" ht="23.25">
      <c r="L41" s="441" t="s">
        <v>186</v>
      </c>
      <c r="M41" s="470">
        <f>$AT$6</f>
        <v>0</v>
      </c>
      <c r="N41" s="430">
        <f>$AT9</f>
        <v>0</v>
      </c>
      <c r="O41" s="430">
        <f>$AT7</f>
        <v>0</v>
      </c>
      <c r="P41" s="430">
        <f>$AT8</f>
        <v>0</v>
      </c>
      <c r="Q41" s="430">
        <f>AT15+AT16+AT17+AT18+AT19+AT21+AT22+AT23</f>
        <v>0</v>
      </c>
      <c r="R41" s="430">
        <f>$AT20</f>
        <v>0</v>
      </c>
      <c r="S41" s="446">
        <f t="shared" si="23"/>
        <v>0</v>
      </c>
      <c r="T41" s="686"/>
      <c r="U41" s="26"/>
      <c r="V41" s="441" t="s">
        <v>186</v>
      </c>
      <c r="W41" s="440">
        <f>AV$6</f>
        <v>0</v>
      </c>
      <c r="X41" s="430">
        <f>$AV9</f>
        <v>0</v>
      </c>
      <c r="Y41" s="430">
        <f>$AV7</f>
        <v>0</v>
      </c>
      <c r="Z41" s="430">
        <f>$AV8</f>
        <v>0</v>
      </c>
      <c r="AA41" s="430">
        <f>AV$15+AV$16+AV$17+AV$18+AV$19+AV$21+AV$22+AV$23</f>
        <v>0</v>
      </c>
      <c r="AB41" s="719">
        <f>$AV20</f>
        <v>0</v>
      </c>
      <c r="AC41" s="723">
        <f t="shared" si="24"/>
        <v>0</v>
      </c>
      <c r="AD41" s="587">
        <f>AW6+AW7+AW8+AW9+AW15+AW16+AW17+AW18+AW20+AW19+AW21+AW22+AW23</f>
        <v>0</v>
      </c>
      <c r="AE41" s="579">
        <f t="shared" si="25"/>
        <v>0</v>
      </c>
      <c r="AH41" s="24"/>
      <c r="AJ41" s="25"/>
      <c r="AL41" s="24"/>
      <c r="AN41" s="25"/>
      <c r="AP41" s="24"/>
      <c r="AR41" s="25"/>
      <c r="AT41" s="24"/>
      <c r="AX41" s="23"/>
      <c r="AY41" s="23"/>
      <c r="AZ41" s="23"/>
      <c r="BA41" s="23"/>
      <c r="BB41" s="23"/>
      <c r="BC41" s="23"/>
      <c r="BD41" s="23"/>
      <c r="BE41" s="23"/>
      <c r="BF41" s="23"/>
      <c r="BG41" s="23"/>
    </row>
    <row r="42" spans="1:59" ht="23.25">
      <c r="L42" s="441" t="s">
        <v>203</v>
      </c>
      <c r="M42" s="470">
        <f>$AX$6</f>
        <v>0</v>
      </c>
      <c r="N42" s="430">
        <f>$AX9</f>
        <v>0</v>
      </c>
      <c r="O42" s="430">
        <f>$AX7</f>
        <v>0</v>
      </c>
      <c r="P42" s="430">
        <f>$AX8</f>
        <v>0</v>
      </c>
      <c r="Q42" s="430">
        <f>AX15+AX16+AX17+AX18+AX19+AX21+AX22+AX23</f>
        <v>0</v>
      </c>
      <c r="R42" s="430">
        <f>$AX20</f>
        <v>0</v>
      </c>
      <c r="S42" s="446">
        <f t="shared" si="23"/>
        <v>0</v>
      </c>
      <c r="T42" s="686"/>
      <c r="U42" s="26"/>
      <c r="V42" s="441" t="s">
        <v>203</v>
      </c>
      <c r="W42" s="440">
        <f>AZ$6</f>
        <v>0</v>
      </c>
      <c r="X42" s="430">
        <f>$AZ9</f>
        <v>0</v>
      </c>
      <c r="Y42" s="430">
        <f>$AZ7</f>
        <v>0</v>
      </c>
      <c r="Z42" s="430">
        <f>$AZ8</f>
        <v>0</v>
      </c>
      <c r="AA42" s="430">
        <f>AZ$15+AZ$16+AZ$17+AZ$18+AZ$19+AZ$21+AZ$22+AZ$23</f>
        <v>0</v>
      </c>
      <c r="AB42" s="719">
        <f>$AZ20</f>
        <v>0</v>
      </c>
      <c r="AC42" s="723">
        <f t="shared" si="24"/>
        <v>0</v>
      </c>
      <c r="AD42" s="587">
        <f>BA6+BA7+BA8+BA9+BA15+BA16+BA17+BA18+BA19+BA20+BA21+BA22+BA23</f>
        <v>0</v>
      </c>
      <c r="AE42" s="579">
        <f t="shared" si="25"/>
        <v>0</v>
      </c>
      <c r="AH42" s="24"/>
      <c r="AJ42" s="25"/>
      <c r="AL42" s="24"/>
      <c r="AN42" s="25"/>
      <c r="AP42" s="24"/>
      <c r="AR42" s="25"/>
      <c r="AT42" s="24"/>
      <c r="AV42" s="25"/>
      <c r="AX42" s="23"/>
      <c r="AY42" s="23"/>
      <c r="AZ42" s="23"/>
      <c r="BA42" s="23"/>
      <c r="BB42" s="23"/>
      <c r="BC42" s="23"/>
      <c r="BD42" s="23"/>
      <c r="BE42" s="23"/>
      <c r="BF42" s="23"/>
      <c r="BG42" s="23"/>
    </row>
    <row r="43" spans="1:59" ht="24" thickBot="1">
      <c r="L43" s="442" t="s">
        <v>191</v>
      </c>
      <c r="M43" s="443">
        <f t="shared" ref="M43" si="26">SUM(M33:M42)</f>
        <v>0</v>
      </c>
      <c r="N43" s="444">
        <f>SUM(N33:N42)</f>
        <v>0</v>
      </c>
      <c r="O43" s="443">
        <f t="shared" ref="O43" si="27">SUM(O33:O42)</f>
        <v>0</v>
      </c>
      <c r="P43" s="444">
        <f>SUM(P33:P42)</f>
        <v>0</v>
      </c>
      <c r="Q43" s="444">
        <f>SUM(Q33:Q42)</f>
        <v>0</v>
      </c>
      <c r="R43" s="445">
        <f>SUM(R33:R42)</f>
        <v>0</v>
      </c>
      <c r="S43" s="451">
        <f>SUM(S33:S42)</f>
        <v>0</v>
      </c>
      <c r="T43" s="687"/>
      <c r="U43" s="26"/>
      <c r="V43" s="442" t="s">
        <v>191</v>
      </c>
      <c r="W43" s="443">
        <f t="shared" ref="W43:Y43" si="28">SUM(W33:W42)</f>
        <v>0</v>
      </c>
      <c r="X43" s="444">
        <f>SUM(X33:X42)</f>
        <v>0</v>
      </c>
      <c r="Y43" s="443">
        <f t="shared" si="28"/>
        <v>0</v>
      </c>
      <c r="Z43" s="444">
        <f>SUM(Z33:Z42)</f>
        <v>0</v>
      </c>
      <c r="AA43" s="444">
        <f>SUM(AA33:AA42)</f>
        <v>0</v>
      </c>
      <c r="AB43" s="720">
        <f>SUM(AB33:AB42)</f>
        <v>0</v>
      </c>
      <c r="AC43" s="724">
        <f>SUM(AC33:AC42)</f>
        <v>0</v>
      </c>
      <c r="AD43" s="725">
        <f>SUM(AD33:AD42)</f>
        <v>0</v>
      </c>
      <c r="AE43" s="579">
        <f t="shared" si="25"/>
        <v>0</v>
      </c>
      <c r="AH43" s="24"/>
      <c r="AJ43" s="25"/>
      <c r="AL43" s="24"/>
      <c r="AN43" s="25"/>
      <c r="AP43" s="24"/>
      <c r="AR43" s="25"/>
      <c r="AT43" s="24"/>
      <c r="AV43" s="25"/>
      <c r="AX43" s="23"/>
      <c r="AY43" s="23"/>
      <c r="AZ43" s="23"/>
      <c r="BA43" s="23"/>
      <c r="BB43" s="23"/>
      <c r="BC43" s="23"/>
      <c r="BD43" s="23"/>
      <c r="BE43" s="23"/>
      <c r="BF43" s="23"/>
      <c r="BG43" s="23"/>
    </row>
    <row r="44" spans="1:59" ht="15" customHeight="1" thickBot="1">
      <c r="L44" s="26"/>
      <c r="M44" s="26"/>
      <c r="N44" s="24"/>
      <c r="P44" s="26"/>
      <c r="Q44" s="26"/>
      <c r="R44" s="24"/>
      <c r="T44" s="26"/>
      <c r="U44" s="26"/>
      <c r="V44" s="24"/>
      <c r="Z44" s="24"/>
      <c r="AD44" s="24"/>
      <c r="AE44" s="26"/>
      <c r="AF44" s="466"/>
      <c r="AG44" s="466"/>
      <c r="AH44" s="466"/>
      <c r="AI44" s="467"/>
      <c r="AL44" s="24"/>
      <c r="AM44" s="25"/>
      <c r="AP44" s="24"/>
      <c r="AQ44" s="25"/>
      <c r="AT44" s="24"/>
      <c r="AU44" s="25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</row>
    <row r="45" spans="1:59" ht="28.5" customHeight="1" thickBot="1">
      <c r="L45" s="1929" t="str">
        <f>L31</f>
        <v>Mode wise Collection Plan-8-12-2021</v>
      </c>
      <c r="M45" s="1930"/>
      <c r="N45" s="1930"/>
      <c r="O45" s="1930"/>
      <c r="P45" s="1930"/>
      <c r="Q45" s="1930"/>
      <c r="R45" s="1930"/>
      <c r="S45" s="1930"/>
      <c r="T45" s="1931"/>
      <c r="U45" s="26"/>
      <c r="V45" s="1923" t="s">
        <v>281</v>
      </c>
      <c r="W45" s="1937"/>
      <c r="X45" s="1937"/>
      <c r="Y45" s="1937"/>
      <c r="Z45" s="1937"/>
      <c r="AA45" s="1937"/>
      <c r="AB45" s="1937"/>
      <c r="AC45" s="1937"/>
      <c r="AD45" s="1937"/>
      <c r="AE45" s="1938"/>
      <c r="AF45" s="466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</row>
    <row r="46" spans="1:59" s="28" customFormat="1" ht="31.5">
      <c r="D46" s="29"/>
      <c r="E46" s="29"/>
      <c r="F46" s="29"/>
      <c r="I46" s="29"/>
      <c r="J46" s="1011" t="s">
        <v>270</v>
      </c>
      <c r="K46" s="1011" t="s">
        <v>196</v>
      </c>
      <c r="L46" s="450" t="s">
        <v>0</v>
      </c>
      <c r="M46" s="439" t="s">
        <v>200</v>
      </c>
      <c r="N46" s="454" t="s">
        <v>205</v>
      </c>
      <c r="O46" s="439" t="s">
        <v>31</v>
      </c>
      <c r="P46" s="448" t="s">
        <v>201</v>
      </c>
      <c r="Q46" s="455" t="s">
        <v>206</v>
      </c>
      <c r="R46" s="436" t="s">
        <v>22</v>
      </c>
      <c r="S46" s="438" t="s">
        <v>191</v>
      </c>
      <c r="T46" s="438" t="s">
        <v>244</v>
      </c>
      <c r="U46" s="26"/>
      <c r="V46" s="596" t="s">
        <v>0</v>
      </c>
      <c r="W46" s="436" t="s">
        <v>200</v>
      </c>
      <c r="X46" s="454" t="s">
        <v>205</v>
      </c>
      <c r="Y46" s="436" t="s">
        <v>31</v>
      </c>
      <c r="Z46" s="448" t="s">
        <v>201</v>
      </c>
      <c r="AA46" s="453" t="s">
        <v>206</v>
      </c>
      <c r="AB46" s="453" t="s">
        <v>210</v>
      </c>
      <c r="AC46" s="436" t="s">
        <v>22</v>
      </c>
      <c r="AD46" s="437" t="s">
        <v>191</v>
      </c>
      <c r="AE46" s="438" t="s">
        <v>244</v>
      </c>
      <c r="AF46" s="952" t="s">
        <v>32</v>
      </c>
      <c r="AG46" s="1022" t="s">
        <v>25</v>
      </c>
      <c r="AH46" s="1022" t="s">
        <v>23</v>
      </c>
      <c r="AI46" s="1022" t="s">
        <v>271</v>
      </c>
      <c r="AJ46" s="23"/>
      <c r="AK46" s="23"/>
      <c r="AL46" s="23"/>
      <c r="AM46" s="23"/>
      <c r="AN46" s="23"/>
      <c r="AO46" s="23"/>
      <c r="AP46" s="23"/>
      <c r="AQ46" s="23"/>
      <c r="AR46" s="23"/>
    </row>
    <row r="47" spans="1:59" ht="23.25">
      <c r="J47" s="441"/>
      <c r="K47" s="441"/>
      <c r="L47" s="441" t="s">
        <v>189</v>
      </c>
      <c r="M47" s="470">
        <v>48</v>
      </c>
      <c r="N47" s="430">
        <v>2</v>
      </c>
      <c r="O47" s="430">
        <v>0</v>
      </c>
      <c r="P47" s="430">
        <v>0</v>
      </c>
      <c r="Q47" s="430">
        <v>0</v>
      </c>
      <c r="R47" s="430">
        <v>20</v>
      </c>
      <c r="S47" s="446">
        <f t="shared" ref="S47:S56" si="29">SUM(M47:R47)</f>
        <v>70</v>
      </c>
      <c r="T47" s="446">
        <v>23</v>
      </c>
      <c r="U47" s="26"/>
      <c r="V47" s="586" t="s">
        <v>189</v>
      </c>
      <c r="W47" s="430">
        <v>0</v>
      </c>
      <c r="X47" s="430">
        <v>0</v>
      </c>
      <c r="Y47" s="430">
        <v>0</v>
      </c>
      <c r="Z47" s="430">
        <v>0</v>
      </c>
      <c r="AA47" s="430">
        <v>0</v>
      </c>
      <c r="AB47" s="655">
        <v>0</v>
      </c>
      <c r="AC47" s="430"/>
      <c r="AD47" s="568">
        <f t="shared" ref="AD47:AD56" si="30">SUM(W47:AC47)</f>
        <v>0</v>
      </c>
      <c r="AE47" s="587">
        <v>40</v>
      </c>
      <c r="AF47" s="953"/>
      <c r="AG47" s="1017"/>
      <c r="AH47" s="1017"/>
      <c r="AI47" s="1017"/>
      <c r="AJ47" s="28"/>
      <c r="AK47" s="28"/>
      <c r="AL47" s="28"/>
      <c r="AM47" s="28"/>
      <c r="AN47" s="28"/>
      <c r="AO47" s="28"/>
      <c r="AP47" s="28"/>
      <c r="AQ47" s="28"/>
      <c r="AR47" s="28"/>
      <c r="AT47" s="24"/>
      <c r="AU47" s="25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</row>
    <row r="48" spans="1:59" ht="23.25">
      <c r="J48" s="441"/>
      <c r="K48" s="441"/>
      <c r="L48" s="441" t="s">
        <v>183</v>
      </c>
      <c r="M48" s="470">
        <v>15</v>
      </c>
      <c r="N48" s="430">
        <v>0</v>
      </c>
      <c r="O48" s="430">
        <v>0</v>
      </c>
      <c r="P48" s="430">
        <v>0</v>
      </c>
      <c r="Q48" s="430">
        <v>0</v>
      </c>
      <c r="R48" s="430">
        <v>25</v>
      </c>
      <c r="S48" s="446">
        <f t="shared" si="29"/>
        <v>40</v>
      </c>
      <c r="T48" s="446">
        <v>22</v>
      </c>
      <c r="U48" s="466"/>
      <c r="V48" s="586" t="s">
        <v>183</v>
      </c>
      <c r="W48" s="430">
        <v>0</v>
      </c>
      <c r="X48" s="430">
        <v>0</v>
      </c>
      <c r="Y48" s="430">
        <v>0</v>
      </c>
      <c r="Z48" s="430">
        <v>0</v>
      </c>
      <c r="AA48" s="430">
        <v>0</v>
      </c>
      <c r="AB48" s="655">
        <v>0</v>
      </c>
      <c r="AC48" s="430"/>
      <c r="AD48" s="568">
        <f t="shared" si="30"/>
        <v>0</v>
      </c>
      <c r="AE48" s="587"/>
      <c r="AF48" s="953"/>
      <c r="AG48" s="951"/>
      <c r="AH48" s="951"/>
      <c r="AI48" s="655"/>
      <c r="AL48" s="24"/>
      <c r="AM48" s="25"/>
      <c r="AP48" s="24"/>
      <c r="AQ48" s="25"/>
      <c r="AT48" s="24"/>
      <c r="AU48" s="25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</row>
    <row r="49" spans="4:59" ht="23.25">
      <c r="J49" s="441"/>
      <c r="K49" s="441"/>
      <c r="L49" s="441" t="s">
        <v>184</v>
      </c>
      <c r="M49" s="470">
        <v>7</v>
      </c>
      <c r="N49" s="430">
        <v>1</v>
      </c>
      <c r="O49" s="430">
        <v>0</v>
      </c>
      <c r="P49" s="430">
        <v>5</v>
      </c>
      <c r="Q49" s="430">
        <v>10</v>
      </c>
      <c r="R49" s="430">
        <v>7</v>
      </c>
      <c r="S49" s="446">
        <f t="shared" si="29"/>
        <v>30</v>
      </c>
      <c r="T49" s="446"/>
      <c r="U49" s="466"/>
      <c r="V49" s="586" t="s">
        <v>184</v>
      </c>
      <c r="W49" s="430">
        <v>0</v>
      </c>
      <c r="X49" s="430">
        <v>0</v>
      </c>
      <c r="Y49" s="430">
        <v>0</v>
      </c>
      <c r="Z49" s="430">
        <v>0</v>
      </c>
      <c r="AA49" s="430">
        <v>0</v>
      </c>
      <c r="AB49" s="655">
        <v>0</v>
      </c>
      <c r="AC49" s="430"/>
      <c r="AD49" s="568">
        <f t="shared" si="30"/>
        <v>0</v>
      </c>
      <c r="AE49" s="587">
        <v>0</v>
      </c>
      <c r="AF49" s="953"/>
      <c r="AG49" s="951"/>
      <c r="AH49" s="951"/>
      <c r="AI49" s="655"/>
      <c r="AL49" s="24"/>
      <c r="AM49" s="25"/>
      <c r="AP49" s="24"/>
      <c r="AQ49" s="25"/>
      <c r="AT49" s="24"/>
      <c r="AU49" s="25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</row>
    <row r="50" spans="4:59" ht="23.25">
      <c r="J50" s="441"/>
      <c r="K50" s="441"/>
      <c r="L50" s="441" t="s">
        <v>170</v>
      </c>
      <c r="M50" s="470">
        <v>25</v>
      </c>
      <c r="N50" s="430">
        <v>5</v>
      </c>
      <c r="O50" s="430">
        <v>0</v>
      </c>
      <c r="P50" s="430">
        <v>0</v>
      </c>
      <c r="Q50" s="430">
        <v>10</v>
      </c>
      <c r="R50" s="430">
        <v>0</v>
      </c>
      <c r="S50" s="446">
        <f t="shared" si="29"/>
        <v>40</v>
      </c>
      <c r="T50" s="446">
        <v>28.5</v>
      </c>
      <c r="U50" s="466"/>
      <c r="V50" s="586" t="s">
        <v>170</v>
      </c>
      <c r="W50" s="430">
        <v>0</v>
      </c>
      <c r="X50" s="430">
        <v>0</v>
      </c>
      <c r="Y50" s="430">
        <v>0</v>
      </c>
      <c r="Z50" s="430">
        <v>0</v>
      </c>
      <c r="AA50" s="430">
        <v>0</v>
      </c>
      <c r="AB50" s="655">
        <v>0</v>
      </c>
      <c r="AC50" s="430"/>
      <c r="AD50" s="568">
        <f t="shared" si="30"/>
        <v>0</v>
      </c>
      <c r="AE50" s="587">
        <v>48</v>
      </c>
      <c r="AF50" s="953"/>
      <c r="AG50" s="951"/>
      <c r="AH50" s="951"/>
      <c r="AI50" s="655"/>
      <c r="AL50" s="24"/>
      <c r="AM50" s="25"/>
      <c r="AP50" s="24"/>
      <c r="AQ50" s="25"/>
      <c r="AT50" s="24"/>
      <c r="AU50" s="25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</row>
    <row r="51" spans="4:59" ht="23.25">
      <c r="J51" s="441"/>
      <c r="K51" s="441"/>
      <c r="L51" s="441" t="s">
        <v>171</v>
      </c>
      <c r="M51" s="470">
        <v>3.5</v>
      </c>
      <c r="N51" s="430">
        <v>1.5</v>
      </c>
      <c r="O51" s="430">
        <v>0</v>
      </c>
      <c r="P51" s="430">
        <v>0</v>
      </c>
      <c r="Q51" s="430">
        <v>0</v>
      </c>
      <c r="R51" s="430">
        <v>0</v>
      </c>
      <c r="S51" s="446">
        <f t="shared" si="29"/>
        <v>5</v>
      </c>
      <c r="T51" s="446"/>
      <c r="U51" s="466"/>
      <c r="V51" s="586" t="s">
        <v>171</v>
      </c>
      <c r="W51" s="430">
        <v>0</v>
      </c>
      <c r="X51" s="430">
        <v>0</v>
      </c>
      <c r="Y51" s="430">
        <v>0</v>
      </c>
      <c r="Z51" s="430">
        <v>0</v>
      </c>
      <c r="AA51" s="430">
        <v>0</v>
      </c>
      <c r="AB51" s="655">
        <v>0</v>
      </c>
      <c r="AC51" s="430"/>
      <c r="AD51" s="568">
        <f t="shared" si="30"/>
        <v>0</v>
      </c>
      <c r="AE51" s="587">
        <v>0</v>
      </c>
      <c r="AF51" s="953"/>
      <c r="AG51" s="951"/>
      <c r="AH51" s="951"/>
      <c r="AI51" s="655"/>
      <c r="AL51" s="24"/>
      <c r="AM51" s="25"/>
      <c r="AP51" s="24"/>
      <c r="AQ51" s="25"/>
      <c r="AT51" s="24"/>
      <c r="AU51" s="25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</row>
    <row r="52" spans="4:59" ht="23.25">
      <c r="J52" s="441">
        <v>18</v>
      </c>
      <c r="K52" s="441">
        <v>18</v>
      </c>
      <c r="L52" s="441" t="s">
        <v>190</v>
      </c>
      <c r="M52" s="492">
        <v>20</v>
      </c>
      <c r="N52" s="471">
        <v>0</v>
      </c>
      <c r="O52" s="471">
        <v>0</v>
      </c>
      <c r="P52" s="471">
        <v>0</v>
      </c>
      <c r="Q52" s="430">
        <v>30</v>
      </c>
      <c r="R52" s="471">
        <v>0</v>
      </c>
      <c r="S52" s="446">
        <f t="shared" si="29"/>
        <v>50</v>
      </c>
      <c r="T52" s="446">
        <v>16</v>
      </c>
      <c r="U52" s="466"/>
      <c r="V52" s="586" t="s">
        <v>190</v>
      </c>
      <c r="W52" s="430">
        <v>0</v>
      </c>
      <c r="X52" s="430">
        <v>0</v>
      </c>
      <c r="Y52" s="430">
        <v>0</v>
      </c>
      <c r="Z52" s="430">
        <v>0</v>
      </c>
      <c r="AA52" s="430">
        <v>0</v>
      </c>
      <c r="AB52" s="655">
        <v>0</v>
      </c>
      <c r="AC52" s="430"/>
      <c r="AD52" s="568">
        <f t="shared" si="30"/>
        <v>0</v>
      </c>
      <c r="AE52" s="587">
        <v>0</v>
      </c>
      <c r="AF52" s="954"/>
      <c r="AG52" s="951"/>
      <c r="AH52" s="951"/>
      <c r="AI52" s="655"/>
      <c r="AL52" s="24"/>
      <c r="AM52" s="25"/>
      <c r="AP52" s="24"/>
      <c r="AQ52" s="25"/>
      <c r="AT52" s="24"/>
      <c r="AU52" s="25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</row>
    <row r="53" spans="4:59" ht="23.25">
      <c r="J53" s="441"/>
      <c r="K53" s="441">
        <v>19.2</v>
      </c>
      <c r="L53" s="441" t="s">
        <v>185</v>
      </c>
      <c r="M53" s="470">
        <v>30</v>
      </c>
      <c r="N53" s="430">
        <v>0</v>
      </c>
      <c r="O53" s="430">
        <v>0</v>
      </c>
      <c r="P53" s="430">
        <v>0</v>
      </c>
      <c r="Q53" s="430">
        <v>30</v>
      </c>
      <c r="R53" s="430">
        <v>0</v>
      </c>
      <c r="S53" s="446">
        <f t="shared" si="29"/>
        <v>60</v>
      </c>
      <c r="T53" s="446"/>
      <c r="U53" s="466"/>
      <c r="V53" s="586" t="s">
        <v>185</v>
      </c>
      <c r="W53" s="430">
        <v>0</v>
      </c>
      <c r="X53" s="430">
        <v>0</v>
      </c>
      <c r="Y53" s="430">
        <v>0</v>
      </c>
      <c r="Z53" s="430">
        <v>0</v>
      </c>
      <c r="AA53" s="430">
        <v>0</v>
      </c>
      <c r="AB53" s="655">
        <v>0</v>
      </c>
      <c r="AC53" s="430"/>
      <c r="AD53" s="568">
        <f t="shared" si="30"/>
        <v>0</v>
      </c>
      <c r="AE53" s="587">
        <v>43</v>
      </c>
      <c r="AF53" s="954"/>
      <c r="AG53" s="951"/>
      <c r="AH53" s="951"/>
      <c r="AI53" s="655"/>
      <c r="AL53" s="24"/>
      <c r="AM53" s="25"/>
      <c r="AP53" s="24"/>
      <c r="AQ53" s="25"/>
      <c r="AT53" s="24"/>
      <c r="AU53" s="25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</row>
    <row r="54" spans="4:59" ht="23.25">
      <c r="J54" s="441"/>
      <c r="K54" s="441"/>
      <c r="L54" s="441" t="s">
        <v>202</v>
      </c>
      <c r="M54" s="470">
        <v>20</v>
      </c>
      <c r="N54" s="430">
        <v>0</v>
      </c>
      <c r="O54" s="430">
        <v>0</v>
      </c>
      <c r="P54" s="430">
        <v>0</v>
      </c>
      <c r="Q54" s="430">
        <v>0</v>
      </c>
      <c r="R54" s="430">
        <v>0</v>
      </c>
      <c r="S54" s="446">
        <f t="shared" si="29"/>
        <v>20</v>
      </c>
      <c r="T54" s="446"/>
      <c r="U54" s="466"/>
      <c r="V54" s="586" t="s">
        <v>202</v>
      </c>
      <c r="W54" s="430">
        <v>0</v>
      </c>
      <c r="X54" s="430">
        <v>0</v>
      </c>
      <c r="Y54" s="430">
        <v>0</v>
      </c>
      <c r="Z54" s="430">
        <v>0</v>
      </c>
      <c r="AA54" s="430">
        <v>0</v>
      </c>
      <c r="AB54" s="655">
        <v>0</v>
      </c>
      <c r="AC54" s="430"/>
      <c r="AD54" s="568">
        <f t="shared" si="30"/>
        <v>0</v>
      </c>
      <c r="AE54" s="587">
        <v>0</v>
      </c>
      <c r="AF54" s="952"/>
      <c r="AG54" s="951"/>
      <c r="AH54" s="951"/>
      <c r="AI54" s="655"/>
      <c r="AL54" s="24"/>
      <c r="AM54" s="25"/>
      <c r="AP54" s="24"/>
      <c r="AQ54" s="25"/>
      <c r="AT54" s="24"/>
      <c r="AU54" s="25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</row>
    <row r="55" spans="4:59" ht="23.25">
      <c r="J55" s="441"/>
      <c r="K55" s="441">
        <f>5.93+9.91+6.91</f>
        <v>22.75</v>
      </c>
      <c r="L55" s="441" t="s">
        <v>186</v>
      </c>
      <c r="M55" s="470">
        <v>20</v>
      </c>
      <c r="N55" s="430">
        <v>2</v>
      </c>
      <c r="O55" s="430">
        <v>0</v>
      </c>
      <c r="P55" s="430">
        <v>0</v>
      </c>
      <c r="Q55" s="430">
        <v>28</v>
      </c>
      <c r="R55" s="430">
        <v>0</v>
      </c>
      <c r="S55" s="446">
        <f t="shared" si="29"/>
        <v>50</v>
      </c>
      <c r="T55" s="446">
        <v>15</v>
      </c>
      <c r="U55" s="466"/>
      <c r="V55" s="586" t="s">
        <v>186</v>
      </c>
      <c r="W55" s="430">
        <v>0</v>
      </c>
      <c r="X55" s="430">
        <v>1.3</v>
      </c>
      <c r="Y55" s="430">
        <v>0</v>
      </c>
      <c r="Z55" s="430">
        <v>0</v>
      </c>
      <c r="AA55" s="430">
        <v>0</v>
      </c>
      <c r="AB55" s="655">
        <v>0</v>
      </c>
      <c r="AC55" s="430"/>
      <c r="AD55" s="568">
        <f t="shared" si="30"/>
        <v>1.3</v>
      </c>
      <c r="AE55" s="587">
        <v>19</v>
      </c>
      <c r="AF55" s="952"/>
      <c r="AG55" s="951"/>
      <c r="AH55" s="951"/>
      <c r="AI55" s="655"/>
      <c r="AL55" s="24"/>
      <c r="AM55" s="25"/>
      <c r="AP55" s="24"/>
      <c r="AQ55" s="25"/>
      <c r="AT55" s="24"/>
      <c r="AU55" s="25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</row>
    <row r="56" spans="4:59" ht="23.25">
      <c r="J56" s="441"/>
      <c r="K56" s="441"/>
      <c r="L56" s="441" t="s">
        <v>203</v>
      </c>
      <c r="M56" s="470">
        <v>12</v>
      </c>
      <c r="N56" s="430">
        <v>0</v>
      </c>
      <c r="O56" s="430">
        <v>0</v>
      </c>
      <c r="P56" s="430">
        <v>0</v>
      </c>
      <c r="Q56" s="430">
        <v>0</v>
      </c>
      <c r="R56" s="430">
        <v>0</v>
      </c>
      <c r="S56" s="446">
        <f t="shared" si="29"/>
        <v>12</v>
      </c>
      <c r="T56" s="446"/>
      <c r="U56" s="466"/>
      <c r="V56" s="586" t="s">
        <v>203</v>
      </c>
      <c r="W56" s="430">
        <v>26.12</v>
      </c>
      <c r="X56" s="430">
        <v>0</v>
      </c>
      <c r="Y56" s="430">
        <v>0</v>
      </c>
      <c r="Z56" s="430">
        <v>0</v>
      </c>
      <c r="AA56" s="430">
        <v>0</v>
      </c>
      <c r="AB56" s="655">
        <v>0</v>
      </c>
      <c r="AC56" s="430"/>
      <c r="AD56" s="568">
        <f t="shared" si="30"/>
        <v>26.12</v>
      </c>
      <c r="AE56" s="587">
        <v>0</v>
      </c>
      <c r="AF56" s="952"/>
      <c r="AG56" s="951"/>
      <c r="AH56" s="951"/>
      <c r="AI56" s="655"/>
      <c r="AL56" s="24"/>
      <c r="AM56" s="25"/>
      <c r="AP56" s="24"/>
      <c r="AQ56" s="25"/>
      <c r="AT56" s="24"/>
      <c r="AU56" s="25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</row>
    <row r="57" spans="4:59" ht="24" thickBot="1">
      <c r="J57" s="442">
        <f t="shared" ref="J57:K57" si="31">SUM(J47:J56)</f>
        <v>18</v>
      </c>
      <c r="K57" s="442">
        <f t="shared" si="31"/>
        <v>59.95</v>
      </c>
      <c r="L57" s="442" t="s">
        <v>191</v>
      </c>
      <c r="M57" s="443">
        <f t="shared" ref="M57" si="32">SUM(M47:M56)</f>
        <v>200.5</v>
      </c>
      <c r="N57" s="444">
        <f>SUM(N47:N56)</f>
        <v>11.5</v>
      </c>
      <c r="O57" s="443">
        <f t="shared" ref="O57" si="33">SUM(O47:O56)</f>
        <v>0</v>
      </c>
      <c r="P57" s="444">
        <f>SUM(P47:P56)</f>
        <v>5</v>
      </c>
      <c r="Q57" s="444">
        <f>SUM(Q47:Q56)</f>
        <v>108</v>
      </c>
      <c r="R57" s="445">
        <f>SUM(R47:R56)</f>
        <v>52</v>
      </c>
      <c r="S57" s="451">
        <f>SUM(S47:S56)</f>
        <v>377</v>
      </c>
      <c r="T57" s="451">
        <f>SUM(T47:T56)</f>
        <v>104.5</v>
      </c>
      <c r="U57" s="466"/>
      <c r="V57" s="588" t="s">
        <v>191</v>
      </c>
      <c r="W57" s="589">
        <f t="shared" ref="W57" si="34">SUM(W47:W56)</f>
        <v>26.12</v>
      </c>
      <c r="X57" s="444">
        <f>SUM(X47:X56)</f>
        <v>1.3</v>
      </c>
      <c r="Y57" s="444">
        <f t="shared" ref="Y57" si="35">SUM(Y47:Y56)</f>
        <v>0</v>
      </c>
      <c r="Z57" s="444">
        <f>SUM(Z47:Z56)</f>
        <v>0</v>
      </c>
      <c r="AA57" s="444">
        <f>SUM(AA47:AA56)</f>
        <v>0</v>
      </c>
      <c r="AB57" s="444"/>
      <c r="AC57" s="444">
        <f t="shared" ref="AC57" si="36">SUM(AC47:AC56)</f>
        <v>0</v>
      </c>
      <c r="AD57" s="630">
        <f>SUM(AD47:AD56)</f>
        <v>27.42</v>
      </c>
      <c r="AE57" s="631">
        <f>SUM(AE47:AE56)</f>
        <v>150</v>
      </c>
      <c r="AF57" s="1016">
        <f t="shared" ref="AF57:AI57" si="37">SUM(AF47:AF56)</f>
        <v>0</v>
      </c>
      <c r="AG57" s="1015">
        <f t="shared" si="37"/>
        <v>0</v>
      </c>
      <c r="AH57" s="1015">
        <f t="shared" si="37"/>
        <v>0</v>
      </c>
      <c r="AI57" s="1015">
        <f t="shared" si="37"/>
        <v>0</v>
      </c>
      <c r="AL57" s="24"/>
      <c r="AM57" s="25"/>
      <c r="AP57" s="24"/>
      <c r="AQ57" s="25"/>
      <c r="AT57" s="24"/>
      <c r="AU57" s="25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</row>
    <row r="58" spans="4:59" ht="24.75" customHeight="1" thickBot="1">
      <c r="N58" s="24"/>
      <c r="O58" s="1924" t="s">
        <v>254</v>
      </c>
      <c r="P58" s="1925"/>
      <c r="Q58" s="1925"/>
      <c r="R58" s="1926"/>
      <c r="S58" s="1927">
        <f>S57+T57</f>
        <v>481.5</v>
      </c>
      <c r="T58" s="1928"/>
      <c r="U58" s="466"/>
      <c r="V58" s="1932" t="s">
        <v>221</v>
      </c>
      <c r="W58" s="1932"/>
      <c r="X58" s="1932"/>
      <c r="Y58" s="1932"/>
      <c r="Z58" s="1932"/>
      <c r="AA58" s="1932"/>
      <c r="AB58" s="1932"/>
      <c r="AC58" s="1932"/>
      <c r="AD58" s="1933">
        <f>AD57+AE57</f>
        <v>177.42000000000002</v>
      </c>
      <c r="AE58" s="1934"/>
      <c r="AF58" s="466"/>
      <c r="AH58" s="24"/>
      <c r="AI58" s="25"/>
      <c r="AL58" s="24"/>
      <c r="AM58" s="25"/>
      <c r="AP58" s="24"/>
      <c r="AQ58" s="25"/>
      <c r="AT58" s="24"/>
      <c r="AU58" s="25"/>
      <c r="AX58" s="24"/>
      <c r="AY58" s="24"/>
      <c r="AZ58" s="25"/>
      <c r="BA58" s="24"/>
      <c r="BB58" s="24"/>
      <c r="BC58" s="23"/>
      <c r="BD58" s="23"/>
      <c r="BE58" s="23"/>
      <c r="BF58" s="23"/>
      <c r="BG58" s="23"/>
    </row>
    <row r="59" spans="4:59" ht="23.25" customHeight="1" thickBot="1">
      <c r="J59" s="24"/>
      <c r="N59" s="24"/>
      <c r="R59" s="24"/>
      <c r="T59" s="26"/>
      <c r="U59" s="26"/>
      <c r="V59" s="966"/>
      <c r="W59" s="966"/>
      <c r="X59" s="966"/>
      <c r="Y59" s="1922" t="s">
        <v>235</v>
      </c>
      <c r="Z59" s="1922"/>
      <c r="AA59" s="1922"/>
      <c r="AB59" s="1922"/>
      <c r="AC59" s="1922"/>
      <c r="AD59" s="1920">
        <f>BH6+BI6+BD20+BE20+BI16</f>
        <v>0</v>
      </c>
      <c r="AE59" s="1921"/>
      <c r="AF59" s="466"/>
      <c r="AH59" s="24"/>
      <c r="AI59" s="25"/>
      <c r="AL59" s="24"/>
      <c r="AP59" s="25"/>
      <c r="AT59" s="25"/>
      <c r="AX59" s="25"/>
      <c r="AY59" s="24"/>
      <c r="AZ59" s="24"/>
      <c r="BA59" s="24"/>
      <c r="BB59" s="25"/>
      <c r="BE59" s="23"/>
      <c r="BF59" s="23"/>
      <c r="BG59" s="23"/>
    </row>
    <row r="60" spans="4:59" s="28" customFormat="1" ht="24" customHeight="1" thickBot="1">
      <c r="D60" s="29"/>
      <c r="E60" s="29"/>
      <c r="F60" s="29"/>
      <c r="I60" s="29"/>
      <c r="J60" s="24"/>
      <c r="K60" s="24"/>
      <c r="L60" s="1923" t="s">
        <v>305</v>
      </c>
      <c r="M60" s="1937"/>
      <c r="N60" s="1937"/>
      <c r="O60" s="1937"/>
      <c r="P60" s="1937"/>
      <c r="Q60" s="1937"/>
      <c r="R60" s="1937"/>
      <c r="S60" s="1937"/>
      <c r="T60" s="1937"/>
      <c r="U60" s="1938"/>
      <c r="V60" s="966"/>
      <c r="W60" s="966"/>
      <c r="X60" s="966"/>
      <c r="Y60" s="1013"/>
      <c r="Z60" s="966"/>
      <c r="AA60" s="966"/>
      <c r="AB60" s="966"/>
      <c r="AC60" s="1013"/>
      <c r="AD60" s="966"/>
      <c r="AE60" s="964"/>
      <c r="AF60" s="966"/>
      <c r="AG60" s="964"/>
      <c r="AH60" s="964"/>
      <c r="AI60" s="967"/>
      <c r="AJ60" s="964"/>
      <c r="AK60" s="964"/>
      <c r="AL60" s="964"/>
      <c r="AM60" s="964"/>
      <c r="AN60" s="964"/>
      <c r="AO60" s="964"/>
      <c r="AP60" s="967"/>
      <c r="AQ60" s="964"/>
      <c r="AR60" s="964"/>
      <c r="AS60" s="964"/>
      <c r="AT60" s="967"/>
      <c r="AU60" s="964"/>
      <c r="AV60" s="964"/>
      <c r="AW60" s="964"/>
      <c r="AX60" s="967"/>
      <c r="AY60" s="965"/>
      <c r="AZ60" s="965"/>
      <c r="BA60" s="964"/>
      <c r="BB60" s="964"/>
      <c r="BC60" s="967"/>
      <c r="BD60" s="967"/>
      <c r="BE60" s="964"/>
    </row>
    <row r="61" spans="4:59" ht="27.75" customHeight="1">
      <c r="J61" s="24"/>
      <c r="L61" s="596" t="s">
        <v>0</v>
      </c>
      <c r="M61" s="436" t="s">
        <v>200</v>
      </c>
      <c r="N61" s="454" t="s">
        <v>205</v>
      </c>
      <c r="O61" s="436" t="s">
        <v>31</v>
      </c>
      <c r="P61" s="448" t="s">
        <v>201</v>
      </c>
      <c r="Q61" s="453" t="s">
        <v>206</v>
      </c>
      <c r="R61" s="453" t="s">
        <v>210</v>
      </c>
      <c r="S61" s="436" t="s">
        <v>22</v>
      </c>
      <c r="T61" s="437" t="s">
        <v>191</v>
      </c>
      <c r="U61" s="438" t="s">
        <v>244</v>
      </c>
      <c r="V61" s="466"/>
      <c r="W61" s="466"/>
      <c r="X61" s="466"/>
      <c r="Y61" s="465"/>
      <c r="Z61" s="466"/>
      <c r="AA61" s="466"/>
      <c r="AB61" s="466"/>
      <c r="AC61" s="465"/>
      <c r="AD61" s="466"/>
      <c r="AF61" s="466"/>
      <c r="AH61" s="24"/>
      <c r="AI61" s="25"/>
      <c r="AL61" s="24"/>
      <c r="AM61" s="26"/>
      <c r="AN61" s="26"/>
      <c r="AP61" s="24"/>
      <c r="AQ61" s="26"/>
      <c r="AR61" s="26"/>
      <c r="AT61" s="24"/>
      <c r="AU61" s="26"/>
      <c r="AV61" s="26"/>
      <c r="AX61" s="24"/>
      <c r="AY61" s="26"/>
      <c r="AZ61" s="26"/>
      <c r="BA61" s="24"/>
      <c r="BB61" s="24"/>
      <c r="BC61" s="25"/>
      <c r="BD61" s="25"/>
      <c r="BF61" s="23"/>
      <c r="BG61" s="23"/>
    </row>
    <row r="62" spans="4:59" ht="23.25">
      <c r="J62" s="24"/>
      <c r="L62" s="586" t="s">
        <v>189</v>
      </c>
      <c r="M62" s="430">
        <v>55</v>
      </c>
      <c r="N62" s="430">
        <v>6.8</v>
      </c>
      <c r="O62" s="430">
        <v>0</v>
      </c>
      <c r="P62" s="430">
        <v>8</v>
      </c>
      <c r="Q62" s="430">
        <v>0</v>
      </c>
      <c r="R62" s="655"/>
      <c r="S62" s="430"/>
      <c r="T62" s="568">
        <f t="shared" ref="T62:T71" si="38">SUM(M62:S62)</f>
        <v>69.8</v>
      </c>
      <c r="U62" s="587">
        <v>0</v>
      </c>
      <c r="V62" s="466"/>
      <c r="W62" s="466"/>
      <c r="X62" s="466"/>
      <c r="Y62" s="465"/>
      <c r="Z62" s="466"/>
      <c r="AA62" s="466"/>
      <c r="AB62" s="466"/>
      <c r="AC62" s="465"/>
      <c r="AD62" s="466"/>
      <c r="AF62" s="466"/>
      <c r="AH62" s="24"/>
      <c r="AI62" s="25"/>
      <c r="AL62" s="24"/>
      <c r="AM62" s="26"/>
      <c r="AN62" s="26"/>
      <c r="AP62" s="24"/>
      <c r="AQ62" s="26"/>
      <c r="AR62" s="26"/>
      <c r="AT62" s="24"/>
      <c r="AU62" s="26"/>
      <c r="AV62" s="26"/>
      <c r="AX62" s="24"/>
      <c r="AY62" s="26"/>
      <c r="AZ62" s="26"/>
      <c r="BA62" s="24"/>
      <c r="BB62" s="24"/>
      <c r="BC62" s="25"/>
      <c r="BD62" s="25"/>
      <c r="BF62" s="23"/>
      <c r="BG62" s="23"/>
    </row>
    <row r="63" spans="4:59" ht="23.25">
      <c r="J63" s="24"/>
      <c r="L63" s="586" t="s">
        <v>183</v>
      </c>
      <c r="M63" s="430">
        <v>23</v>
      </c>
      <c r="N63" s="430">
        <v>0</v>
      </c>
      <c r="O63" s="430">
        <v>0</v>
      </c>
      <c r="P63" s="430">
        <v>0</v>
      </c>
      <c r="Q63" s="430">
        <v>0</v>
      </c>
      <c r="R63" s="655"/>
      <c r="S63" s="430">
        <v>8.1999999999999993</v>
      </c>
      <c r="T63" s="568">
        <f t="shared" si="38"/>
        <v>31.2</v>
      </c>
      <c r="U63" s="587">
        <v>22</v>
      </c>
      <c r="V63" s="466"/>
      <c r="W63" s="466"/>
      <c r="X63" s="466"/>
      <c r="Y63" s="465"/>
      <c r="Z63" s="466"/>
      <c r="AA63" s="466"/>
      <c r="AB63" s="466"/>
      <c r="AC63" s="465"/>
      <c r="AD63" s="466"/>
      <c r="AG63" s="26"/>
      <c r="AH63" s="24"/>
      <c r="AK63" s="49"/>
      <c r="AL63" s="24"/>
      <c r="AM63" s="26"/>
      <c r="AN63" s="26"/>
      <c r="AP63" s="24"/>
      <c r="AQ63" s="26"/>
      <c r="AR63" s="26"/>
      <c r="AT63" s="24"/>
      <c r="AU63" s="26"/>
      <c r="AV63" s="26"/>
      <c r="AX63" s="24"/>
      <c r="AY63" s="26"/>
      <c r="AZ63" s="26"/>
      <c r="BA63" s="24"/>
      <c r="BB63" s="24"/>
      <c r="BC63" s="25"/>
      <c r="BD63" s="25"/>
      <c r="BF63" s="23"/>
      <c r="BG63" s="23"/>
    </row>
    <row r="64" spans="4:59" ht="23.25">
      <c r="J64" s="24"/>
      <c r="L64" s="586" t="s">
        <v>184</v>
      </c>
      <c r="M64" s="430">
        <v>0</v>
      </c>
      <c r="N64" s="430">
        <v>0</v>
      </c>
      <c r="O64" s="430">
        <v>0</v>
      </c>
      <c r="P64" s="430">
        <v>0</v>
      </c>
      <c r="Q64" s="430">
        <v>0</v>
      </c>
      <c r="R64" s="655"/>
      <c r="S64" s="430"/>
      <c r="T64" s="568">
        <f t="shared" si="38"/>
        <v>0</v>
      </c>
      <c r="U64" s="587">
        <v>0</v>
      </c>
      <c r="V64" s="466"/>
      <c r="W64" s="466"/>
      <c r="X64" s="466"/>
      <c r="Y64" s="465"/>
      <c r="Z64" s="466"/>
      <c r="AA64" s="466"/>
      <c r="AB64" s="466"/>
      <c r="AC64" s="465"/>
      <c r="AD64" s="466"/>
      <c r="AG64" s="26"/>
      <c r="AH64" s="24"/>
      <c r="AK64" s="49"/>
      <c r="AL64" s="24"/>
      <c r="AO64" s="26"/>
      <c r="AP64" s="24"/>
      <c r="AQ64" s="26"/>
      <c r="AR64" s="26"/>
      <c r="AT64" s="24"/>
      <c r="AU64" s="26"/>
      <c r="AV64" s="26"/>
      <c r="AX64" s="24"/>
      <c r="AY64" s="26"/>
      <c r="AZ64" s="26"/>
      <c r="BA64" s="24"/>
      <c r="BB64" s="24"/>
      <c r="BE64" s="25"/>
      <c r="BF64" s="24"/>
      <c r="BG64" s="23"/>
    </row>
    <row r="65" spans="10:59" ht="23.25">
      <c r="J65" s="24"/>
      <c r="L65" s="586" t="s">
        <v>170</v>
      </c>
      <c r="M65" s="430">
        <v>24</v>
      </c>
      <c r="N65" s="430">
        <v>4.5</v>
      </c>
      <c r="O65" s="430">
        <v>0</v>
      </c>
      <c r="P65" s="430">
        <v>0</v>
      </c>
      <c r="Q65" s="430">
        <v>0</v>
      </c>
      <c r="R65" s="655"/>
      <c r="S65" s="430"/>
      <c r="T65" s="568">
        <f t="shared" si="38"/>
        <v>28.5</v>
      </c>
      <c r="U65" s="587">
        <v>28</v>
      </c>
      <c r="V65" s="466"/>
      <c r="W65" s="466"/>
      <c r="X65" s="466"/>
      <c r="Y65" s="465"/>
      <c r="Z65" s="466"/>
      <c r="AA65" s="466"/>
      <c r="AB65" s="466"/>
      <c r="AC65" s="465"/>
      <c r="AD65" s="466"/>
      <c r="AG65" s="26"/>
      <c r="AH65" s="24"/>
      <c r="AK65" s="49"/>
      <c r="AL65" s="24"/>
      <c r="AO65" s="26"/>
      <c r="AP65" s="24"/>
      <c r="AQ65" s="26"/>
      <c r="AR65" s="26"/>
      <c r="AT65" s="24"/>
      <c r="AU65" s="26"/>
      <c r="AV65" s="26"/>
      <c r="AX65" s="24"/>
      <c r="AY65" s="26"/>
      <c r="AZ65" s="26"/>
      <c r="BA65" s="24"/>
      <c r="BB65" s="24"/>
      <c r="BE65" s="25"/>
      <c r="BF65" s="24"/>
      <c r="BG65" s="23"/>
    </row>
    <row r="66" spans="10:59" ht="23.25">
      <c r="J66" s="24"/>
      <c r="L66" s="586" t="s">
        <v>171</v>
      </c>
      <c r="M66" s="430">
        <v>1</v>
      </c>
      <c r="N66" s="430">
        <v>1</v>
      </c>
      <c r="O66" s="430">
        <v>0</v>
      </c>
      <c r="P66" s="430">
        <v>0</v>
      </c>
      <c r="Q66" s="430">
        <v>0</v>
      </c>
      <c r="R66" s="655"/>
      <c r="S66" s="430"/>
      <c r="T66" s="568">
        <f t="shared" si="38"/>
        <v>2</v>
      </c>
      <c r="U66" s="587">
        <v>0</v>
      </c>
      <c r="V66" s="466"/>
      <c r="W66" s="466"/>
      <c r="X66" s="466"/>
      <c r="Y66" s="465"/>
      <c r="Z66" s="466"/>
      <c r="AA66" s="466"/>
      <c r="AB66" s="466"/>
      <c r="AC66" s="465"/>
      <c r="AD66" s="466">
        <v>20</v>
      </c>
      <c r="AG66" s="26"/>
      <c r="AH66" s="24"/>
      <c r="AK66" s="49"/>
      <c r="AL66" s="24"/>
      <c r="AO66" s="26"/>
      <c r="AP66" s="24"/>
      <c r="AQ66" s="26"/>
      <c r="AR66" s="26"/>
      <c r="AT66" s="24"/>
      <c r="AU66" s="26"/>
      <c r="AV66" s="26"/>
      <c r="AX66" s="24"/>
      <c r="AY66" s="26"/>
      <c r="AZ66" s="26"/>
      <c r="BA66" s="24"/>
      <c r="BB66" s="24"/>
      <c r="BE66" s="25"/>
      <c r="BF66" s="24"/>
      <c r="BG66" s="23"/>
    </row>
    <row r="67" spans="10:59" ht="23.25">
      <c r="J67" s="24"/>
      <c r="L67" s="586" t="s">
        <v>190</v>
      </c>
      <c r="M67" s="430">
        <v>33</v>
      </c>
      <c r="N67" s="430">
        <v>0</v>
      </c>
      <c r="O67" s="430">
        <v>0</v>
      </c>
      <c r="P67" s="430">
        <v>3</v>
      </c>
      <c r="Q67" s="430">
        <v>0</v>
      </c>
      <c r="R67" s="655"/>
      <c r="S67" s="430"/>
      <c r="T67" s="568">
        <f t="shared" si="38"/>
        <v>36</v>
      </c>
      <c r="U67" s="587">
        <v>16</v>
      </c>
      <c r="V67" s="466"/>
      <c r="W67" s="466"/>
      <c r="X67" s="466"/>
      <c r="Y67" s="465"/>
      <c r="Z67" s="466"/>
      <c r="AA67" s="466"/>
      <c r="AB67" s="466"/>
      <c r="AC67" s="465"/>
      <c r="AD67" s="466">
        <v>23</v>
      </c>
      <c r="AG67" s="26"/>
      <c r="AH67" s="24"/>
      <c r="AK67" s="49"/>
      <c r="AL67" s="24"/>
      <c r="AO67" s="26"/>
      <c r="AP67" s="24"/>
      <c r="AQ67" s="26"/>
      <c r="AR67" s="26"/>
      <c r="AT67" s="24"/>
      <c r="AU67" s="26"/>
      <c r="AV67" s="26"/>
      <c r="AX67" s="24"/>
      <c r="AY67" s="26"/>
      <c r="AZ67" s="26"/>
      <c r="BA67" s="24"/>
      <c r="BB67" s="24"/>
      <c r="BE67" s="25"/>
      <c r="BF67" s="24"/>
      <c r="BG67" s="23"/>
    </row>
    <row r="68" spans="10:59" ht="23.25">
      <c r="J68" s="24"/>
      <c r="L68" s="586" t="s">
        <v>185</v>
      </c>
      <c r="M68" s="430">
        <v>29</v>
      </c>
      <c r="N68" s="430">
        <v>2</v>
      </c>
      <c r="O68" s="430">
        <v>0</v>
      </c>
      <c r="P68" s="430">
        <v>0</v>
      </c>
      <c r="Q68" s="430">
        <v>0</v>
      </c>
      <c r="R68" s="655"/>
      <c r="S68" s="430"/>
      <c r="T68" s="568">
        <f t="shared" si="38"/>
        <v>31</v>
      </c>
      <c r="U68" s="587">
        <v>0</v>
      </c>
      <c r="V68" s="466"/>
      <c r="W68" s="466"/>
      <c r="X68" s="466"/>
      <c r="Y68" s="465"/>
      <c r="Z68" s="466"/>
      <c r="AA68" s="466"/>
      <c r="AB68" s="466"/>
      <c r="AC68" s="465"/>
      <c r="AD68" s="466">
        <v>9.5</v>
      </c>
      <c r="AG68" s="26"/>
      <c r="AH68" s="24"/>
      <c r="AK68" s="49"/>
      <c r="AL68" s="24"/>
      <c r="AO68" s="26"/>
      <c r="AP68" s="24"/>
      <c r="AQ68" s="26"/>
      <c r="AR68" s="26"/>
      <c r="AT68" s="24"/>
      <c r="AU68" s="26"/>
      <c r="AV68" s="26"/>
      <c r="AX68" s="24"/>
      <c r="AY68" s="26"/>
      <c r="AZ68" s="26"/>
      <c r="BA68" s="24"/>
      <c r="BB68" s="24"/>
      <c r="BE68" s="25"/>
      <c r="BF68" s="24"/>
      <c r="BG68" s="23"/>
    </row>
    <row r="69" spans="10:59" ht="23.25">
      <c r="L69" s="586" t="s">
        <v>202</v>
      </c>
      <c r="M69" s="430">
        <v>0</v>
      </c>
      <c r="N69" s="430">
        <v>0</v>
      </c>
      <c r="O69" s="430">
        <v>0</v>
      </c>
      <c r="P69" s="430">
        <v>0</v>
      </c>
      <c r="Q69" s="430">
        <v>0</v>
      </c>
      <c r="R69" s="655"/>
      <c r="S69" s="430"/>
      <c r="T69" s="568">
        <f t="shared" si="38"/>
        <v>0</v>
      </c>
      <c r="U69" s="587">
        <v>0</v>
      </c>
      <c r="V69" s="466"/>
      <c r="W69" s="466"/>
      <c r="X69" s="466"/>
      <c r="Y69" s="465"/>
      <c r="Z69" s="466"/>
      <c r="AA69" s="466"/>
      <c r="AB69" s="466"/>
      <c r="AC69" s="465"/>
      <c r="AD69" s="466">
        <v>16</v>
      </c>
      <c r="AG69" s="26"/>
      <c r="AH69" s="24"/>
      <c r="AK69" s="49"/>
      <c r="AL69" s="24"/>
      <c r="AO69" s="26"/>
      <c r="AP69" s="24"/>
      <c r="AQ69" s="26"/>
      <c r="AR69" s="26"/>
      <c r="AT69" s="24"/>
      <c r="AU69" s="26"/>
      <c r="AV69" s="26"/>
      <c r="AX69" s="24"/>
      <c r="AY69" s="26"/>
      <c r="AZ69" s="26"/>
      <c r="BA69" s="24"/>
      <c r="BB69" s="24"/>
      <c r="BE69" s="25"/>
      <c r="BF69" s="24"/>
      <c r="BG69" s="23"/>
    </row>
    <row r="70" spans="10:59" ht="23.25">
      <c r="L70" s="586" t="s">
        <v>186</v>
      </c>
      <c r="M70" s="430">
        <v>24</v>
      </c>
      <c r="N70" s="430">
        <v>2</v>
      </c>
      <c r="O70" s="430">
        <v>0</v>
      </c>
      <c r="P70" s="430">
        <v>3</v>
      </c>
      <c r="Q70" s="430">
        <v>0</v>
      </c>
      <c r="R70" s="655"/>
      <c r="S70" s="430"/>
      <c r="T70" s="568">
        <f t="shared" si="38"/>
        <v>29</v>
      </c>
      <c r="U70" s="587">
        <v>15</v>
      </c>
      <c r="V70" s="466"/>
      <c r="W70" s="466"/>
      <c r="X70" s="466"/>
      <c r="Y70" s="465"/>
      <c r="Z70" s="466"/>
      <c r="AA70" s="466"/>
      <c r="AB70" s="466"/>
      <c r="AC70" s="465"/>
      <c r="AD70" s="466">
        <v>5</v>
      </c>
      <c r="AG70" s="26"/>
      <c r="AH70" s="24"/>
      <c r="AK70" s="49"/>
      <c r="AL70" s="24"/>
      <c r="AM70" s="26"/>
      <c r="AN70" s="26"/>
      <c r="AY70" s="24"/>
      <c r="AZ70" s="24"/>
      <c r="BA70" s="24"/>
      <c r="BB70" s="24"/>
      <c r="BC70" s="25"/>
      <c r="BD70" s="25"/>
      <c r="BF70" s="23"/>
      <c r="BG70" s="23"/>
    </row>
    <row r="71" spans="10:59" ht="23.25">
      <c r="L71" s="586" t="s">
        <v>203</v>
      </c>
      <c r="M71" s="430">
        <v>18</v>
      </c>
      <c r="N71" s="430">
        <v>0</v>
      </c>
      <c r="O71" s="430">
        <v>0</v>
      </c>
      <c r="P71" s="430">
        <v>0</v>
      </c>
      <c r="Q71" s="430">
        <v>0</v>
      </c>
      <c r="R71" s="655"/>
      <c r="S71" s="430"/>
      <c r="T71" s="568">
        <f t="shared" si="38"/>
        <v>18</v>
      </c>
      <c r="U71" s="587">
        <v>0</v>
      </c>
      <c r="V71" s="466"/>
      <c r="W71" s="466"/>
      <c r="X71" s="466"/>
      <c r="Y71" s="465"/>
      <c r="Z71" s="466"/>
      <c r="AA71" s="466"/>
      <c r="AB71" s="466"/>
      <c r="AC71" s="465"/>
      <c r="AD71" s="466">
        <v>20</v>
      </c>
      <c r="AG71" s="26"/>
      <c r="AH71" s="24"/>
      <c r="AK71" s="49"/>
      <c r="AL71" s="24"/>
      <c r="AM71" s="26"/>
      <c r="AN71" s="26"/>
      <c r="AY71" s="24"/>
      <c r="AZ71" s="24"/>
      <c r="BA71" s="24"/>
      <c r="BB71" s="24"/>
      <c r="BC71" s="25"/>
      <c r="BD71" s="25"/>
      <c r="BF71" s="23"/>
      <c r="BG71" s="23"/>
    </row>
    <row r="72" spans="10:59" ht="24" thickBot="1">
      <c r="L72" s="588" t="s">
        <v>191</v>
      </c>
      <c r="M72" s="589">
        <f t="shared" ref="M72" si="39">SUM(M62:M71)</f>
        <v>207</v>
      </c>
      <c r="N72" s="444">
        <f>SUM(N62:N71)</f>
        <v>16.3</v>
      </c>
      <c r="O72" s="444">
        <f t="shared" ref="O72" si="40">SUM(O62:O71)</f>
        <v>0</v>
      </c>
      <c r="P72" s="444">
        <f>SUM(P62:P71)</f>
        <v>14</v>
      </c>
      <c r="Q72" s="444">
        <f>SUM(Q62:Q71)</f>
        <v>0</v>
      </c>
      <c r="R72" s="444"/>
      <c r="S72" s="444">
        <f t="shared" ref="S72" si="41">SUM(S62:S71)</f>
        <v>8.1999999999999993</v>
      </c>
      <c r="T72" s="630">
        <f>SUM(T62:T71)</f>
        <v>245.5</v>
      </c>
      <c r="U72" s="631">
        <f>SUM(U62:U71)</f>
        <v>81</v>
      </c>
      <c r="V72" s="466"/>
      <c r="W72" s="466"/>
      <c r="X72" s="466"/>
      <c r="Y72" s="465"/>
      <c r="Z72" s="466"/>
      <c r="AA72" s="466"/>
      <c r="AB72" s="466"/>
      <c r="AC72" s="465"/>
      <c r="AD72" s="466">
        <v>22</v>
      </c>
      <c r="AG72" s="26"/>
      <c r="AH72" s="24"/>
      <c r="AK72" s="49"/>
      <c r="AL72" s="24"/>
      <c r="AM72" s="26"/>
      <c r="AN72" s="26"/>
      <c r="AY72" s="24"/>
      <c r="AZ72" s="24"/>
      <c r="BA72" s="24"/>
      <c r="BB72" s="24"/>
      <c r="BC72" s="25"/>
      <c r="BD72" s="25"/>
      <c r="BF72" s="23"/>
      <c r="BG72" s="23"/>
    </row>
    <row r="73" spans="10:59" ht="24.75" customHeight="1" thickBot="1">
      <c r="L73" s="1932" t="s">
        <v>221</v>
      </c>
      <c r="M73" s="1932"/>
      <c r="N73" s="1932"/>
      <c r="O73" s="1932"/>
      <c r="P73" s="1932"/>
      <c r="Q73" s="1932"/>
      <c r="R73" s="1932"/>
      <c r="S73" s="1932"/>
      <c r="T73" s="1933">
        <f>T72+U72</f>
        <v>326.5</v>
      </c>
      <c r="U73" s="1934"/>
      <c r="V73" s="466"/>
      <c r="W73" s="466"/>
      <c r="X73" s="466"/>
      <c r="Y73" s="465"/>
      <c r="Z73" s="466"/>
      <c r="AA73" s="466"/>
      <c r="AB73" s="466"/>
      <c r="AC73" s="465"/>
      <c r="AD73" s="466">
        <v>27</v>
      </c>
      <c r="AG73" s="26"/>
      <c r="AH73" s="24"/>
      <c r="AK73" s="49"/>
      <c r="AL73" s="24"/>
      <c r="AM73" s="26"/>
      <c r="AN73" s="26"/>
      <c r="AY73" s="24"/>
      <c r="AZ73" s="24"/>
      <c r="BA73" s="24"/>
      <c r="BB73" s="24"/>
      <c r="BC73" s="25"/>
      <c r="BD73" s="25"/>
      <c r="BF73" s="23"/>
      <c r="BG73" s="23"/>
    </row>
    <row r="74" spans="10:59" ht="24.75" customHeight="1">
      <c r="L74" s="966"/>
      <c r="M74" s="966"/>
      <c r="N74" s="966"/>
      <c r="O74" s="1922" t="s">
        <v>235</v>
      </c>
      <c r="P74" s="1922"/>
      <c r="Q74" s="1922"/>
      <c r="R74" s="1922"/>
      <c r="S74" s="1922"/>
      <c r="T74" s="1920">
        <f>(M72+U72)-15</f>
        <v>273</v>
      </c>
      <c r="U74" s="1921"/>
      <c r="V74" s="466"/>
      <c r="W74" s="466"/>
      <c r="X74" s="466"/>
      <c r="Y74" s="465"/>
      <c r="Z74" s="466"/>
      <c r="AA74" s="466"/>
      <c r="AB74" s="466"/>
      <c r="AC74" s="465"/>
      <c r="AD74" s="466"/>
      <c r="AG74" s="26"/>
      <c r="AH74" s="24"/>
      <c r="AK74" s="49"/>
      <c r="AL74" s="24"/>
      <c r="AM74" s="26"/>
      <c r="AN74" s="26"/>
      <c r="AP74" s="24"/>
      <c r="AQ74" s="26"/>
      <c r="AR74" s="26"/>
      <c r="AT74" s="24"/>
      <c r="AU74" s="26"/>
      <c r="AV74" s="26"/>
      <c r="AW74" s="50"/>
      <c r="AX74" s="50"/>
      <c r="AY74" s="26"/>
      <c r="AZ74" s="26"/>
      <c r="BA74" s="24"/>
      <c r="BB74" s="24"/>
      <c r="BC74" s="25"/>
      <c r="BD74" s="25"/>
      <c r="BF74" s="23"/>
      <c r="BG74" s="23"/>
    </row>
    <row r="75" spans="10:59" ht="27" customHeight="1">
      <c r="L75" s="26"/>
      <c r="M75" s="26"/>
      <c r="N75" s="24"/>
      <c r="P75" s="26"/>
      <c r="Q75" s="26"/>
      <c r="R75" s="24"/>
      <c r="T75" s="26"/>
      <c r="U75" s="26"/>
      <c r="V75" s="24"/>
      <c r="W75" s="466"/>
      <c r="X75" s="466"/>
      <c r="Y75" s="466"/>
      <c r="Z75" s="465"/>
      <c r="AA75" s="466"/>
      <c r="AB75" s="466"/>
      <c r="AC75" s="466"/>
      <c r="AD75" s="465"/>
      <c r="AE75" s="466"/>
      <c r="AN75" s="26"/>
      <c r="AO75" s="26"/>
      <c r="AP75" s="24"/>
      <c r="AR75" s="26"/>
      <c r="AS75" s="26"/>
      <c r="AT75" s="24"/>
      <c r="AV75" s="26"/>
      <c r="AW75" s="26"/>
      <c r="AX75" s="50"/>
      <c r="AZ75" s="26"/>
      <c r="BA75" s="26"/>
      <c r="BB75" s="24"/>
      <c r="BD75" s="25"/>
      <c r="BE75" s="25"/>
      <c r="BF75" s="24"/>
      <c r="BG75" s="23"/>
    </row>
    <row r="76" spans="10:59">
      <c r="L76" s="26"/>
      <c r="M76" s="26"/>
      <c r="N76" s="24"/>
      <c r="P76" s="26"/>
      <c r="Q76" s="26"/>
      <c r="R76" s="24"/>
      <c r="T76" s="26"/>
      <c r="U76" s="26"/>
      <c r="V76" s="24"/>
      <c r="W76" s="466"/>
      <c r="X76" s="466"/>
      <c r="Y76" s="466"/>
      <c r="Z76" s="465"/>
      <c r="AA76" s="466"/>
      <c r="AB76" s="466"/>
      <c r="AC76" s="466"/>
      <c r="AD76" s="465"/>
      <c r="AE76" s="466"/>
      <c r="AN76" s="26"/>
      <c r="AO76" s="26"/>
      <c r="AP76" s="24"/>
      <c r="AR76" s="26"/>
      <c r="AS76" s="26"/>
      <c r="AT76" s="24"/>
      <c r="AV76" s="26"/>
      <c r="AW76" s="26"/>
      <c r="AX76" s="50"/>
      <c r="AZ76" s="26"/>
      <c r="BA76" s="26"/>
      <c r="BB76" s="24"/>
      <c r="BD76" s="25"/>
      <c r="BE76" s="25"/>
      <c r="BF76" s="24"/>
      <c r="BG76" s="23"/>
    </row>
    <row r="77" spans="10:59">
      <c r="L77" s="26"/>
      <c r="M77" s="26"/>
      <c r="N77" s="24"/>
      <c r="P77" s="26"/>
      <c r="Q77" s="26"/>
      <c r="R77" s="24"/>
      <c r="T77" s="26"/>
      <c r="U77" s="26"/>
      <c r="V77" s="24"/>
      <c r="W77" s="466"/>
      <c r="X77" s="466"/>
      <c r="Y77" s="466"/>
      <c r="Z77" s="465"/>
      <c r="AA77" s="466"/>
      <c r="AB77" s="466"/>
      <c r="AC77" s="466"/>
      <c r="AD77" s="465"/>
      <c r="AE77" s="466"/>
      <c r="AN77" s="26"/>
      <c r="AO77" s="26"/>
      <c r="AP77" s="24"/>
      <c r="AR77" s="26"/>
      <c r="AS77" s="26"/>
      <c r="AT77" s="24"/>
      <c r="AV77" s="26"/>
      <c r="AW77" s="26"/>
      <c r="AX77" s="50"/>
      <c r="AZ77" s="26"/>
      <c r="BA77" s="26"/>
      <c r="BB77" s="24"/>
      <c r="BD77" s="25"/>
      <c r="BE77" s="25"/>
      <c r="BF77" s="24"/>
      <c r="BG77" s="23"/>
    </row>
    <row r="78" spans="10:59">
      <c r="L78" s="26"/>
      <c r="M78" s="26"/>
      <c r="N78" s="24"/>
      <c r="P78" s="26"/>
      <c r="Q78" s="26"/>
      <c r="R78" s="24"/>
      <c r="T78" s="26"/>
      <c r="U78" s="26"/>
      <c r="V78" s="24"/>
      <c r="W78" s="466"/>
      <c r="X78" s="466"/>
      <c r="Y78" s="466"/>
      <c r="Z78" s="465"/>
      <c r="AA78" s="466"/>
      <c r="AB78" s="466"/>
      <c r="AC78" s="466"/>
      <c r="AD78" s="465"/>
      <c r="AE78" s="466"/>
      <c r="AN78" s="26"/>
      <c r="AO78" s="26"/>
      <c r="AP78" s="24"/>
      <c r="AR78" s="26"/>
      <c r="AS78" s="26"/>
      <c r="AT78" s="24"/>
      <c r="AV78" s="26"/>
      <c r="AW78" s="26"/>
      <c r="AX78" s="50"/>
      <c r="AZ78" s="26"/>
      <c r="BA78" s="26"/>
      <c r="BB78" s="24"/>
      <c r="BD78" s="25"/>
      <c r="BE78" s="25"/>
      <c r="BF78" s="24"/>
      <c r="BG78" s="23"/>
    </row>
    <row r="79" spans="10:59">
      <c r="L79" s="26"/>
      <c r="M79" s="26"/>
      <c r="N79" s="24"/>
      <c r="P79" s="26"/>
      <c r="Q79" s="26"/>
      <c r="R79" s="24"/>
      <c r="T79" s="26"/>
      <c r="U79" s="26"/>
      <c r="V79" s="24"/>
      <c r="X79" s="26"/>
      <c r="Y79" s="26"/>
      <c r="Z79" s="24"/>
      <c r="AB79" s="26"/>
      <c r="AC79" s="26"/>
      <c r="AD79" s="24"/>
      <c r="AF79" s="26"/>
      <c r="AG79" s="26"/>
      <c r="AH79" s="24"/>
      <c r="AJ79" s="49"/>
      <c r="AK79" s="49"/>
      <c r="AL79" s="24"/>
      <c r="AN79" s="26"/>
      <c r="AO79" s="26"/>
      <c r="AP79" s="24"/>
      <c r="AR79" s="26"/>
      <c r="AS79" s="26"/>
      <c r="AT79" s="24"/>
      <c r="AV79" s="26"/>
      <c r="AW79" s="26"/>
      <c r="AX79" s="50"/>
      <c r="AZ79" s="26"/>
      <c r="BA79" s="26"/>
      <c r="BB79" s="24"/>
      <c r="BD79" s="25"/>
      <c r="BE79" s="25"/>
      <c r="BF79" s="24"/>
      <c r="BG79" s="23"/>
    </row>
    <row r="80" spans="10:59">
      <c r="L80" s="26"/>
      <c r="M80" s="26"/>
      <c r="N80" s="24"/>
      <c r="P80" s="26"/>
      <c r="Q80" s="26"/>
      <c r="R80" s="24"/>
      <c r="T80" s="26"/>
      <c r="U80" s="26"/>
      <c r="V80" s="24"/>
      <c r="X80" s="26"/>
      <c r="Y80" s="26"/>
      <c r="Z80" s="24"/>
      <c r="AB80" s="26"/>
      <c r="AC80" s="26"/>
      <c r="AD80" s="24"/>
      <c r="AF80" s="26"/>
      <c r="AG80" s="26"/>
      <c r="AH80" s="24"/>
      <c r="AJ80" s="49"/>
      <c r="AK80" s="49"/>
      <c r="AL80" s="24"/>
      <c r="AN80" s="26"/>
      <c r="AO80" s="26"/>
      <c r="AP80" s="24"/>
      <c r="AR80" s="26"/>
      <c r="AS80" s="26"/>
      <c r="AT80" s="24"/>
      <c r="AV80" s="26"/>
      <c r="AW80" s="26"/>
      <c r="AX80" s="50"/>
      <c r="AZ80" s="26"/>
      <c r="BA80" s="26"/>
      <c r="BB80" s="24"/>
      <c r="BD80" s="25"/>
      <c r="BE80" s="25"/>
      <c r="BF80" s="24"/>
      <c r="BG80" s="23"/>
    </row>
  </sheetData>
  <mergeCells count="62">
    <mergeCell ref="C15:C24"/>
    <mergeCell ref="H15:H23"/>
    <mergeCell ref="H26:I26"/>
    <mergeCell ref="H10:I10"/>
    <mergeCell ref="D13:F13"/>
    <mergeCell ref="H13:I14"/>
    <mergeCell ref="C14:D14"/>
    <mergeCell ref="H24:I24"/>
    <mergeCell ref="H12:BI12"/>
    <mergeCell ref="J13:M13"/>
    <mergeCell ref="N13:Q13"/>
    <mergeCell ref="R13:U13"/>
    <mergeCell ref="V13:Y13"/>
    <mergeCell ref="Z13:AC13"/>
    <mergeCell ref="AD13:AG13"/>
    <mergeCell ref="AH13:AK13"/>
    <mergeCell ref="C2:F2"/>
    <mergeCell ref="H2:K2"/>
    <mergeCell ref="C5:D5"/>
    <mergeCell ref="C6:C9"/>
    <mergeCell ref="H6:H9"/>
    <mergeCell ref="D4:F4"/>
    <mergeCell ref="H4:I5"/>
    <mergeCell ref="N2:AZ2"/>
    <mergeCell ref="BB2:BI2"/>
    <mergeCell ref="H3:BI3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L31:S31"/>
    <mergeCell ref="L45:T45"/>
    <mergeCell ref="V45:AE45"/>
    <mergeCell ref="AL13:AO13"/>
    <mergeCell ref="AP13:AS13"/>
    <mergeCell ref="V31:AD31"/>
    <mergeCell ref="BF13:BI13"/>
    <mergeCell ref="BC27:BC28"/>
    <mergeCell ref="BH27:BI27"/>
    <mergeCell ref="AT13:AW13"/>
    <mergeCell ref="AX13:BA13"/>
    <mergeCell ref="BB13:BE13"/>
    <mergeCell ref="O58:R58"/>
    <mergeCell ref="S58:T58"/>
    <mergeCell ref="V58:AC58"/>
    <mergeCell ref="AD58:AE58"/>
    <mergeCell ref="Y59:AC59"/>
    <mergeCell ref="AD59:AE59"/>
    <mergeCell ref="L60:U60"/>
    <mergeCell ref="L73:S73"/>
    <mergeCell ref="T73:U73"/>
    <mergeCell ref="O74:S74"/>
    <mergeCell ref="T74:U74"/>
  </mergeCells>
  <conditionalFormatting sqref="M47:R56">
    <cfRule type="cellIs" dxfId="53" priority="2" operator="equal">
      <formula>0</formula>
    </cfRule>
  </conditionalFormatting>
  <conditionalFormatting sqref="M62:Q71">
    <cfRule type="cellIs" dxfId="52" priority="1" operator="equal">
      <formula>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8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9">
    <pageSetUpPr fitToPage="1"/>
  </sheetPr>
  <dimension ref="A1:BI79"/>
  <sheetViews>
    <sheetView showGridLines="0" topLeftCell="I1" zoomScale="55" zoomScaleNormal="55" workbookViewId="0">
      <pane xSplit="1" topLeftCell="J1" activePane="topRight" state="frozen"/>
      <selection activeCell="I1" sqref="I1"/>
      <selection pane="topRight" activeCell="L27" sqref="L27:AG28"/>
    </sheetView>
  </sheetViews>
  <sheetFormatPr defaultColWidth="9.140625" defaultRowHeight="15"/>
  <cols>
    <col min="1" max="2" width="9.140625" style="23" hidden="1" customWidth="1"/>
    <col min="3" max="3" width="14.5703125" style="23" hidden="1" customWidth="1"/>
    <col min="4" max="4" width="11.42578125" style="27" hidden="1" customWidth="1"/>
    <col min="5" max="5" width="6.85546875" style="27" hidden="1" customWidth="1"/>
    <col min="6" max="6" width="9.140625" style="27" hidden="1" customWidth="1"/>
    <col min="7" max="7" width="3.42578125" style="23" hidden="1" customWidth="1"/>
    <col min="8" max="8" width="6.140625" style="23" customWidth="1"/>
    <col min="9" max="9" width="23.140625" style="27" customWidth="1"/>
    <col min="10" max="10" width="9.85546875" style="26" customWidth="1"/>
    <col min="11" max="11" width="9.140625" style="24" customWidth="1"/>
    <col min="12" max="12" width="15" style="24" bestFit="1" customWidth="1"/>
    <col min="13" max="13" width="12.85546875" style="24" customWidth="1"/>
    <col min="14" max="14" width="10.5703125" style="26" customWidth="1"/>
    <col min="15" max="15" width="10.28515625" style="24" customWidth="1"/>
    <col min="16" max="16" width="10.5703125" style="24" customWidth="1"/>
    <col min="17" max="17" width="13.140625" style="24" customWidth="1"/>
    <col min="18" max="18" width="8.5703125" style="26" customWidth="1"/>
    <col min="19" max="19" width="11.5703125" style="24" customWidth="1"/>
    <col min="20" max="20" width="14" style="24" bestFit="1" customWidth="1"/>
    <col min="21" max="21" width="12.28515625" style="24" bestFit="1" customWidth="1"/>
    <col min="22" max="22" width="13.7109375" style="26" bestFit="1" customWidth="1"/>
    <col min="23" max="23" width="12.5703125" style="24" bestFit="1" customWidth="1"/>
    <col min="24" max="25" width="9.7109375" style="24" customWidth="1"/>
    <col min="26" max="26" width="11" style="26" customWidth="1"/>
    <col min="27" max="27" width="12.42578125" style="24" customWidth="1"/>
    <col min="28" max="29" width="11.85546875" style="24" customWidth="1"/>
    <col min="30" max="30" width="12.5703125" style="26" bestFit="1" customWidth="1"/>
    <col min="31" max="31" width="11.7109375" style="24" bestFit="1" customWidth="1"/>
    <col min="32" max="32" width="10.5703125" style="24" bestFit="1" customWidth="1"/>
    <col min="33" max="33" width="10.5703125" style="24" customWidth="1"/>
    <col min="34" max="34" width="11.5703125" style="26" bestFit="1" customWidth="1"/>
    <col min="35" max="35" width="13.5703125" style="24" customWidth="1"/>
    <col min="36" max="37" width="11.5703125" style="24" customWidth="1"/>
    <col min="38" max="38" width="10.5703125" style="49" customWidth="1"/>
    <col min="39" max="39" width="9" style="24" customWidth="1"/>
    <col min="40" max="40" width="12" style="24" bestFit="1" customWidth="1"/>
    <col min="41" max="41" width="12" style="24" customWidth="1"/>
    <col min="42" max="42" width="8.42578125" style="26" customWidth="1"/>
    <col min="43" max="43" width="10" style="24" bestFit="1" customWidth="1"/>
    <col min="44" max="44" width="13.85546875" style="24" bestFit="1" customWidth="1"/>
    <col min="45" max="45" width="13.85546875" style="24" customWidth="1"/>
    <col min="46" max="46" width="11.7109375" style="26" customWidth="1"/>
    <col min="47" max="47" width="11.7109375" style="24" customWidth="1"/>
    <col min="48" max="48" width="10.5703125" style="24" bestFit="1" customWidth="1"/>
    <col min="49" max="49" width="10.5703125" style="24" customWidth="1"/>
    <col min="50" max="50" width="9.140625" style="26" bestFit="1" customWidth="1"/>
    <col min="51" max="51" width="9.140625" style="50" bestFit="1" customWidth="1"/>
    <col min="52" max="52" width="10.5703125" style="50" bestFit="1" customWidth="1"/>
    <col min="53" max="53" width="10.5703125" style="50" customWidth="1"/>
    <col min="54" max="54" width="10.7109375" style="26" bestFit="1" customWidth="1"/>
    <col min="55" max="55" width="12.85546875" style="24" bestFit="1" customWidth="1"/>
    <col min="56" max="56" width="10.5703125" style="24" bestFit="1" customWidth="1"/>
    <col min="57" max="57" width="10.5703125" style="24" customWidth="1"/>
    <col min="58" max="58" width="16" style="25" bestFit="1" customWidth="1"/>
    <col min="59" max="59" width="10.7109375" style="24" bestFit="1" customWidth="1"/>
    <col min="60" max="60" width="13" style="23" bestFit="1" customWidth="1"/>
    <col min="61" max="61" width="10.28515625" style="23" bestFit="1" customWidth="1"/>
    <col min="62" max="16384" width="9.140625" style="23"/>
  </cols>
  <sheetData>
    <row r="1" spans="3:61" ht="15" customHeight="1" thickBot="1"/>
    <row r="2" spans="3:61" ht="21.75" thickBot="1">
      <c r="C2" s="1899" t="s">
        <v>45</v>
      </c>
      <c r="D2" s="1900"/>
      <c r="E2" s="1900"/>
      <c r="F2" s="1901"/>
      <c r="H2" s="1915"/>
      <c r="I2" s="1567"/>
      <c r="J2" s="1567"/>
      <c r="K2" s="1567"/>
      <c r="L2" s="1020"/>
      <c r="M2" s="1020"/>
      <c r="N2" s="1916" t="s">
        <v>249</v>
      </c>
      <c r="O2" s="1916"/>
      <c r="P2" s="1916"/>
      <c r="Q2" s="1916"/>
      <c r="R2" s="1916"/>
      <c r="S2" s="1916"/>
      <c r="T2" s="1916"/>
      <c r="U2" s="1916"/>
      <c r="V2" s="1916"/>
      <c r="W2" s="1916"/>
      <c r="X2" s="1916"/>
      <c r="Y2" s="1916"/>
      <c r="Z2" s="1916"/>
      <c r="AA2" s="1916"/>
      <c r="AB2" s="1916"/>
      <c r="AC2" s="1916"/>
      <c r="AD2" s="1916"/>
      <c r="AE2" s="1916"/>
      <c r="AF2" s="1916"/>
      <c r="AG2" s="1916"/>
      <c r="AH2" s="1916"/>
      <c r="AI2" s="1916"/>
      <c r="AJ2" s="1916"/>
      <c r="AK2" s="1916"/>
      <c r="AL2" s="1916"/>
      <c r="AM2" s="1916"/>
      <c r="AN2" s="1916"/>
      <c r="AO2" s="1916"/>
      <c r="AP2" s="1916"/>
      <c r="AQ2" s="1916"/>
      <c r="AR2" s="1916"/>
      <c r="AS2" s="1916"/>
      <c r="AT2" s="1916"/>
      <c r="AU2" s="1916"/>
      <c r="AV2" s="1916"/>
      <c r="AW2" s="1916"/>
      <c r="AX2" s="1916"/>
      <c r="AY2" s="1916"/>
      <c r="AZ2" s="1916"/>
      <c r="BA2" s="1020"/>
      <c r="BB2" s="1902" t="s">
        <v>118</v>
      </c>
      <c r="BC2" s="1903"/>
      <c r="BD2" s="1903"/>
      <c r="BE2" s="1903"/>
      <c r="BF2" s="1903"/>
      <c r="BG2" s="1903"/>
      <c r="BH2" s="1903"/>
      <c r="BI2" s="1904"/>
    </row>
    <row r="3" spans="3:61" ht="19.5" thickBot="1">
      <c r="C3" s="1019"/>
      <c r="D3" s="1017"/>
      <c r="E3" s="1017"/>
      <c r="F3" s="1023"/>
      <c r="H3" s="1905" t="s">
        <v>115</v>
      </c>
      <c r="I3" s="1906"/>
      <c r="J3" s="1906"/>
      <c r="K3" s="1906"/>
      <c r="L3" s="1906"/>
      <c r="M3" s="1906"/>
      <c r="N3" s="1906"/>
      <c r="O3" s="1906"/>
      <c r="P3" s="1906"/>
      <c r="Q3" s="1906"/>
      <c r="R3" s="1906"/>
      <c r="S3" s="1906"/>
      <c r="T3" s="1906"/>
      <c r="U3" s="1906"/>
      <c r="V3" s="1906"/>
      <c r="W3" s="1906"/>
      <c r="X3" s="1906"/>
      <c r="Y3" s="1906"/>
      <c r="Z3" s="1906"/>
      <c r="AA3" s="1906"/>
      <c r="AB3" s="1906"/>
      <c r="AC3" s="1906"/>
      <c r="AD3" s="1906"/>
      <c r="AE3" s="1906"/>
      <c r="AF3" s="1906"/>
      <c r="AG3" s="1906"/>
      <c r="AH3" s="1906"/>
      <c r="AI3" s="1906"/>
      <c r="AJ3" s="1906"/>
      <c r="AK3" s="1906"/>
      <c r="AL3" s="1906"/>
      <c r="AM3" s="1906"/>
      <c r="AN3" s="1906"/>
      <c r="AO3" s="1906"/>
      <c r="AP3" s="1906"/>
      <c r="AQ3" s="1906"/>
      <c r="AR3" s="1906"/>
      <c r="AS3" s="1906"/>
      <c r="AT3" s="1906"/>
      <c r="AU3" s="1906"/>
      <c r="AV3" s="1906"/>
      <c r="AW3" s="1906"/>
      <c r="AX3" s="1906"/>
      <c r="AY3" s="1906"/>
      <c r="AZ3" s="1906"/>
      <c r="BA3" s="1906"/>
      <c r="BB3" s="1906"/>
      <c r="BC3" s="1906"/>
      <c r="BD3" s="1906"/>
      <c r="BE3" s="1906"/>
      <c r="BF3" s="1906"/>
      <c r="BG3" s="1906"/>
      <c r="BH3" s="1906"/>
      <c r="BI3" s="1907"/>
    </row>
    <row r="4" spans="3:61" ht="18.75">
      <c r="C4" s="37" t="s">
        <v>44</v>
      </c>
      <c r="D4" s="1869"/>
      <c r="E4" s="1869"/>
      <c r="F4" s="1870"/>
      <c r="H4" s="1908" t="s">
        <v>33</v>
      </c>
      <c r="I4" s="1909"/>
      <c r="J4" s="1871" t="s">
        <v>43</v>
      </c>
      <c r="K4" s="1872"/>
      <c r="L4" s="1872"/>
      <c r="M4" s="1873"/>
      <c r="N4" s="1871" t="s">
        <v>42</v>
      </c>
      <c r="O4" s="1872"/>
      <c r="P4" s="1872"/>
      <c r="Q4" s="1873"/>
      <c r="R4" s="1871" t="s">
        <v>41</v>
      </c>
      <c r="S4" s="1872"/>
      <c r="T4" s="1872"/>
      <c r="U4" s="1873"/>
      <c r="V4" s="1871" t="s">
        <v>40</v>
      </c>
      <c r="W4" s="1872"/>
      <c r="X4" s="1872"/>
      <c r="Y4" s="1873"/>
      <c r="Z4" s="1871" t="s">
        <v>39</v>
      </c>
      <c r="AA4" s="1872"/>
      <c r="AB4" s="1872"/>
      <c r="AC4" s="1873"/>
      <c r="AD4" s="1871" t="s">
        <v>38</v>
      </c>
      <c r="AE4" s="1872"/>
      <c r="AF4" s="1872"/>
      <c r="AG4" s="1873"/>
      <c r="AH4" s="1874" t="s">
        <v>122</v>
      </c>
      <c r="AI4" s="1875"/>
      <c r="AJ4" s="1875"/>
      <c r="AK4" s="1876"/>
      <c r="AL4" s="1871" t="s">
        <v>37</v>
      </c>
      <c r="AM4" s="1872"/>
      <c r="AN4" s="1872"/>
      <c r="AO4" s="1873"/>
      <c r="AP4" s="1871" t="s">
        <v>36</v>
      </c>
      <c r="AQ4" s="1872"/>
      <c r="AR4" s="1872"/>
      <c r="AS4" s="1873"/>
      <c r="AT4" s="1871" t="s">
        <v>35</v>
      </c>
      <c r="AU4" s="1872"/>
      <c r="AV4" s="1872"/>
      <c r="AW4" s="1873"/>
      <c r="AX4" s="1871" t="s">
        <v>34</v>
      </c>
      <c r="AY4" s="1872"/>
      <c r="AZ4" s="1872"/>
      <c r="BA4" s="1873"/>
      <c r="BB4" s="1874" t="s">
        <v>123</v>
      </c>
      <c r="BC4" s="1875"/>
      <c r="BD4" s="1875"/>
      <c r="BE4" s="1876"/>
      <c r="BF4" s="1877" t="s">
        <v>17</v>
      </c>
      <c r="BG4" s="1878"/>
      <c r="BH4" s="1878"/>
      <c r="BI4" s="1878"/>
    </row>
    <row r="5" spans="3:61" ht="15.75" customHeight="1">
      <c r="C5" s="1879" t="s">
        <v>33</v>
      </c>
      <c r="D5" s="1869"/>
      <c r="E5" s="1017" t="s">
        <v>1</v>
      </c>
      <c r="F5" s="1023" t="s">
        <v>2</v>
      </c>
      <c r="H5" s="1910"/>
      <c r="I5" s="1911"/>
      <c r="J5" s="36" t="s">
        <v>1</v>
      </c>
      <c r="K5" s="271" t="s">
        <v>2</v>
      </c>
      <c r="L5" s="693" t="s">
        <v>182</v>
      </c>
      <c r="M5" s="35" t="s">
        <v>247</v>
      </c>
      <c r="N5" s="36" t="s">
        <v>1</v>
      </c>
      <c r="O5" s="271" t="s">
        <v>2</v>
      </c>
      <c r="P5" s="693" t="s">
        <v>182</v>
      </c>
      <c r="Q5" s="35" t="s">
        <v>247</v>
      </c>
      <c r="R5" s="36" t="s">
        <v>1</v>
      </c>
      <c r="S5" s="271" t="s">
        <v>2</v>
      </c>
      <c r="T5" s="693" t="s">
        <v>182</v>
      </c>
      <c r="U5" s="35" t="s">
        <v>247</v>
      </c>
      <c r="V5" s="36" t="s">
        <v>1</v>
      </c>
      <c r="W5" s="271" t="s">
        <v>2</v>
      </c>
      <c r="X5" s="693" t="s">
        <v>182</v>
      </c>
      <c r="Y5" s="35" t="s">
        <v>247</v>
      </c>
      <c r="Z5" s="36" t="s">
        <v>1</v>
      </c>
      <c r="AA5" s="271" t="s">
        <v>2</v>
      </c>
      <c r="AB5" s="693" t="s">
        <v>182</v>
      </c>
      <c r="AC5" s="35" t="s">
        <v>247</v>
      </c>
      <c r="AD5" s="36" t="s">
        <v>1</v>
      </c>
      <c r="AE5" s="271" t="s">
        <v>2</v>
      </c>
      <c r="AF5" s="693" t="s">
        <v>182</v>
      </c>
      <c r="AG5" s="35" t="s">
        <v>247</v>
      </c>
      <c r="AH5" s="36" t="s">
        <v>1</v>
      </c>
      <c r="AI5" s="271" t="s">
        <v>2</v>
      </c>
      <c r="AJ5" s="271" t="s">
        <v>182</v>
      </c>
      <c r="AK5" s="690" t="s">
        <v>196</v>
      </c>
      <c r="AL5" s="36" t="s">
        <v>1</v>
      </c>
      <c r="AM5" s="271" t="s">
        <v>2</v>
      </c>
      <c r="AN5" s="693" t="s">
        <v>182</v>
      </c>
      <c r="AO5" s="35" t="s">
        <v>247</v>
      </c>
      <c r="AP5" s="36" t="s">
        <v>1</v>
      </c>
      <c r="AQ5" s="271" t="s">
        <v>2</v>
      </c>
      <c r="AR5" s="693" t="s">
        <v>182</v>
      </c>
      <c r="AS5" s="35" t="s">
        <v>247</v>
      </c>
      <c r="AT5" s="36" t="s">
        <v>1</v>
      </c>
      <c r="AU5" s="271" t="s">
        <v>2</v>
      </c>
      <c r="AV5" s="693" t="s">
        <v>182</v>
      </c>
      <c r="AW5" s="35" t="s">
        <v>247</v>
      </c>
      <c r="AX5" s="36" t="s">
        <v>1</v>
      </c>
      <c r="AY5" s="271" t="s">
        <v>2</v>
      </c>
      <c r="AZ5" s="693" t="s">
        <v>182</v>
      </c>
      <c r="BA5" s="35" t="s">
        <v>247</v>
      </c>
      <c r="BB5" s="36" t="s">
        <v>1</v>
      </c>
      <c r="BC5" s="271" t="s">
        <v>2</v>
      </c>
      <c r="BD5" s="271" t="s">
        <v>182</v>
      </c>
      <c r="BE5" s="690" t="s">
        <v>196</v>
      </c>
      <c r="BF5" s="274" t="s">
        <v>1</v>
      </c>
      <c r="BG5" s="275" t="s">
        <v>2</v>
      </c>
      <c r="BH5" s="275" t="s">
        <v>182</v>
      </c>
      <c r="BI5" s="698" t="s">
        <v>196</v>
      </c>
    </row>
    <row r="6" spans="3:61" s="28" customFormat="1" ht="20.100000000000001" customHeight="1">
      <c r="C6" s="1879" t="s">
        <v>19</v>
      </c>
      <c r="D6" s="1017" t="s">
        <v>32</v>
      </c>
      <c r="E6" s="1017"/>
      <c r="F6" s="1018"/>
      <c r="H6" s="1886" t="s">
        <v>32</v>
      </c>
      <c r="I6" s="33" t="s">
        <v>32</v>
      </c>
      <c r="J6" s="462"/>
      <c r="K6" s="463"/>
      <c r="L6" s="463"/>
      <c r="M6" s="691"/>
      <c r="N6" s="462"/>
      <c r="O6" s="463"/>
      <c r="P6" s="463"/>
      <c r="Q6" s="691"/>
      <c r="R6" s="462"/>
      <c r="S6" s="463"/>
      <c r="T6" s="463"/>
      <c r="U6" s="691"/>
      <c r="V6" s="462"/>
      <c r="W6" s="463"/>
      <c r="X6" s="463"/>
      <c r="Y6" s="691"/>
      <c r="Z6" s="462"/>
      <c r="AA6" s="463"/>
      <c r="AB6" s="463"/>
      <c r="AC6" s="691"/>
      <c r="AD6" s="462"/>
      <c r="AE6" s="463"/>
      <c r="AF6" s="463"/>
      <c r="AG6" s="691"/>
      <c r="AH6" s="128">
        <f>J6+N6+R6+V6+Z6+AD6</f>
        <v>0</v>
      </c>
      <c r="AI6" s="273">
        <f>K6+O6+S6+W6+AA6+AE6</f>
        <v>0</v>
      </c>
      <c r="AJ6" s="273">
        <f>L6+P6+T6+X6+AB6+AF6</f>
        <v>0</v>
      </c>
      <c r="AK6" s="694">
        <f>M6+Q6+U6+Y6+AC6+AG6</f>
        <v>0</v>
      </c>
      <c r="AL6" s="462"/>
      <c r="AM6" s="463"/>
      <c r="AN6" s="1175"/>
      <c r="AO6" s="691"/>
      <c r="AP6" s="462"/>
      <c r="AQ6" s="463"/>
      <c r="AR6" s="463"/>
      <c r="AS6" s="691"/>
      <c r="AT6" s="462"/>
      <c r="AU6" s="463"/>
      <c r="AV6" s="463"/>
      <c r="AW6" s="691"/>
      <c r="AX6" s="462"/>
      <c r="AY6" s="463"/>
      <c r="AZ6" s="463"/>
      <c r="BA6" s="691"/>
      <c r="BB6" s="128">
        <f>AL6+AP6+AT6+AX6</f>
        <v>0</v>
      </c>
      <c r="BC6" s="273">
        <f>AM6+AQ6+AU6+AY6</f>
        <v>0</v>
      </c>
      <c r="BD6" s="273">
        <f>AN6+AR6+AV6+AZ6</f>
        <v>0</v>
      </c>
      <c r="BE6" s="273">
        <f>AO6+AS6+AW6+BA6</f>
        <v>0</v>
      </c>
      <c r="BF6" s="276">
        <f>AH6+BB6</f>
        <v>0</v>
      </c>
      <c r="BG6" s="277">
        <f>AI6+BC6</f>
        <v>0</v>
      </c>
      <c r="BH6" s="701">
        <f>AJ6+BD6</f>
        <v>0</v>
      </c>
      <c r="BI6" s="699">
        <f>AK6+BE6</f>
        <v>0</v>
      </c>
    </row>
    <row r="7" spans="3:61" s="28" customFormat="1" ht="20.100000000000001" customHeight="1">
      <c r="C7" s="1879"/>
      <c r="D7" s="1017" t="s">
        <v>31</v>
      </c>
      <c r="E7" s="1017"/>
      <c r="F7" s="1018"/>
      <c r="H7" s="1887"/>
      <c r="I7" s="33" t="s">
        <v>31</v>
      </c>
      <c r="J7" s="462"/>
      <c r="K7" s="463"/>
      <c r="L7" s="463"/>
      <c r="M7" s="691"/>
      <c r="N7" s="462"/>
      <c r="O7" s="463"/>
      <c r="P7" s="463"/>
      <c r="Q7" s="691"/>
      <c r="R7" s="462"/>
      <c r="S7" s="463"/>
      <c r="T7" s="463"/>
      <c r="U7" s="691"/>
      <c r="V7" s="462"/>
      <c r="W7" s="463"/>
      <c r="X7" s="463"/>
      <c r="Y7" s="691"/>
      <c r="Z7" s="462"/>
      <c r="AA7" s="463"/>
      <c r="AB7" s="463"/>
      <c r="AC7" s="691"/>
      <c r="AD7" s="462"/>
      <c r="AE7" s="463"/>
      <c r="AF7" s="463"/>
      <c r="AG7" s="691"/>
      <c r="AH7" s="128">
        <f t="shared" ref="AH7:AK9" si="0">J7+N7+R7+V7+Z7+AD7</f>
        <v>0</v>
      </c>
      <c r="AI7" s="273">
        <f t="shared" si="0"/>
        <v>0</v>
      </c>
      <c r="AJ7" s="273">
        <f t="shared" si="0"/>
        <v>0</v>
      </c>
      <c r="AK7" s="694">
        <f t="shared" si="0"/>
        <v>0</v>
      </c>
      <c r="AL7" s="462"/>
      <c r="AM7" s="463"/>
      <c r="AN7" s="463"/>
      <c r="AO7" s="691"/>
      <c r="AP7" s="462"/>
      <c r="AQ7" s="463"/>
      <c r="AR7" s="463"/>
      <c r="AS7" s="691"/>
      <c r="AT7" s="462"/>
      <c r="AU7" s="463"/>
      <c r="AV7" s="463"/>
      <c r="AW7" s="691"/>
      <c r="AX7" s="462"/>
      <c r="AY7" s="463"/>
      <c r="AZ7" s="463"/>
      <c r="BA7" s="691"/>
      <c r="BB7" s="128">
        <f t="shared" ref="BB7:BE9" si="1">AL7+AP7+AT7+AX7</f>
        <v>0</v>
      </c>
      <c r="BC7" s="273">
        <f t="shared" si="1"/>
        <v>0</v>
      </c>
      <c r="BD7" s="273">
        <f t="shared" si="1"/>
        <v>0</v>
      </c>
      <c r="BE7" s="273">
        <f t="shared" si="1"/>
        <v>0</v>
      </c>
      <c r="BF7" s="276">
        <f t="shared" ref="BF7:BI9" si="2">AH7+BB7</f>
        <v>0</v>
      </c>
      <c r="BG7" s="277">
        <f t="shared" si="2"/>
        <v>0</v>
      </c>
      <c r="BH7" s="277">
        <f t="shared" si="2"/>
        <v>0</v>
      </c>
      <c r="BI7" s="699">
        <f t="shared" si="2"/>
        <v>0</v>
      </c>
    </row>
    <row r="8" spans="3:61" s="28" customFormat="1" ht="20.100000000000001" customHeight="1">
      <c r="C8" s="1879"/>
      <c r="D8" s="1017" t="s">
        <v>30</v>
      </c>
      <c r="E8" s="1017"/>
      <c r="F8" s="1018"/>
      <c r="H8" s="1887"/>
      <c r="I8" s="33" t="s">
        <v>30</v>
      </c>
      <c r="J8" s="462"/>
      <c r="K8" s="463"/>
      <c r="L8" s="463"/>
      <c r="M8" s="691"/>
      <c r="N8" s="462"/>
      <c r="O8" s="463"/>
      <c r="P8" s="463"/>
      <c r="Q8" s="691"/>
      <c r="R8" s="462"/>
      <c r="S8" s="463"/>
      <c r="T8" s="463"/>
      <c r="U8" s="691"/>
      <c r="V8" s="462"/>
      <c r="W8" s="463"/>
      <c r="X8" s="463"/>
      <c r="Y8" s="691"/>
      <c r="Z8" s="462"/>
      <c r="AA8" s="463"/>
      <c r="AB8" s="463"/>
      <c r="AC8" s="691"/>
      <c r="AD8" s="462"/>
      <c r="AE8" s="463"/>
      <c r="AF8" s="463"/>
      <c r="AG8" s="691"/>
      <c r="AH8" s="128">
        <f t="shared" si="0"/>
        <v>0</v>
      </c>
      <c r="AI8" s="273">
        <f t="shared" si="0"/>
        <v>0</v>
      </c>
      <c r="AJ8" s="273">
        <f t="shared" si="0"/>
        <v>0</v>
      </c>
      <c r="AK8" s="694">
        <f t="shared" si="0"/>
        <v>0</v>
      </c>
      <c r="AL8" s="462"/>
      <c r="AM8" s="463"/>
      <c r="AN8" s="463"/>
      <c r="AO8" s="691"/>
      <c r="AP8" s="462"/>
      <c r="AQ8" s="463"/>
      <c r="AR8" s="463"/>
      <c r="AS8" s="691"/>
      <c r="AT8" s="462"/>
      <c r="AU8" s="463"/>
      <c r="AV8" s="463"/>
      <c r="AW8" s="691"/>
      <c r="AX8" s="462"/>
      <c r="AY8" s="463"/>
      <c r="AZ8" s="463"/>
      <c r="BA8" s="691"/>
      <c r="BB8" s="128">
        <f t="shared" si="1"/>
        <v>0</v>
      </c>
      <c r="BC8" s="273">
        <f t="shared" si="1"/>
        <v>0</v>
      </c>
      <c r="BD8" s="273">
        <f t="shared" si="1"/>
        <v>0</v>
      </c>
      <c r="BE8" s="273">
        <f t="shared" si="1"/>
        <v>0</v>
      </c>
      <c r="BF8" s="276">
        <f t="shared" si="2"/>
        <v>0</v>
      </c>
      <c r="BG8" s="277">
        <f t="shared" si="2"/>
        <v>0</v>
      </c>
      <c r="BH8" s="277">
        <f t="shared" si="2"/>
        <v>0</v>
      </c>
      <c r="BI8" s="699">
        <f t="shared" si="2"/>
        <v>0</v>
      </c>
    </row>
    <row r="9" spans="3:61" s="28" customFormat="1" ht="20.100000000000001" customHeight="1">
      <c r="C9" s="1885"/>
      <c r="D9" s="1017" t="s">
        <v>29</v>
      </c>
      <c r="E9" s="1017"/>
      <c r="F9" s="1018"/>
      <c r="H9" s="1887"/>
      <c r="I9" s="33" t="s">
        <v>109</v>
      </c>
      <c r="J9" s="462"/>
      <c r="K9" s="463"/>
      <c r="L9" s="463"/>
      <c r="M9" s="691"/>
      <c r="N9" s="462"/>
      <c r="O9" s="463"/>
      <c r="P9" s="463"/>
      <c r="Q9" s="691"/>
      <c r="R9" s="462"/>
      <c r="S9" s="463"/>
      <c r="T9" s="463"/>
      <c r="U9" s="691"/>
      <c r="V9" s="462"/>
      <c r="W9" s="463"/>
      <c r="X9" s="463"/>
      <c r="Y9" s="691"/>
      <c r="Z9" s="462"/>
      <c r="AA9" s="463"/>
      <c r="AB9" s="463"/>
      <c r="AC9" s="691"/>
      <c r="AD9" s="462"/>
      <c r="AE9" s="463"/>
      <c r="AF9" s="463"/>
      <c r="AG9" s="691"/>
      <c r="AH9" s="128">
        <f t="shared" si="0"/>
        <v>0</v>
      </c>
      <c r="AI9" s="273">
        <f t="shared" si="0"/>
        <v>0</v>
      </c>
      <c r="AJ9" s="273">
        <f t="shared" si="0"/>
        <v>0</v>
      </c>
      <c r="AK9" s="694">
        <f t="shared" si="0"/>
        <v>0</v>
      </c>
      <c r="AL9" s="462"/>
      <c r="AM9" s="463"/>
      <c r="AN9" s="463"/>
      <c r="AO9" s="691"/>
      <c r="AP9" s="462"/>
      <c r="AQ9" s="463"/>
      <c r="AR9" s="463"/>
      <c r="AS9" s="691"/>
      <c r="AT9" s="462"/>
      <c r="AU9" s="463"/>
      <c r="AV9" s="463"/>
      <c r="AW9" s="691"/>
      <c r="AX9" s="462"/>
      <c r="AY9" s="463"/>
      <c r="AZ9" s="463"/>
      <c r="BA9" s="691"/>
      <c r="BB9" s="128">
        <f t="shared" si="1"/>
        <v>0</v>
      </c>
      <c r="BC9" s="273">
        <f t="shared" si="1"/>
        <v>0</v>
      </c>
      <c r="BD9" s="273">
        <f t="shared" si="1"/>
        <v>0</v>
      </c>
      <c r="BE9" s="273">
        <f t="shared" si="1"/>
        <v>0</v>
      </c>
      <c r="BF9" s="276">
        <f t="shared" si="2"/>
        <v>0</v>
      </c>
      <c r="BG9" s="277">
        <f t="shared" si="2"/>
        <v>0</v>
      </c>
      <c r="BH9" s="277">
        <f t="shared" si="2"/>
        <v>0</v>
      </c>
      <c r="BI9" s="699">
        <f t="shared" si="2"/>
        <v>0</v>
      </c>
    </row>
    <row r="10" spans="3:61" s="28" customFormat="1" ht="19.5" customHeight="1" thickBot="1">
      <c r="C10" s="32"/>
      <c r="D10" s="31" t="s">
        <v>18</v>
      </c>
      <c r="E10" s="31"/>
      <c r="F10" s="30"/>
      <c r="H10" s="1865" t="s">
        <v>47</v>
      </c>
      <c r="I10" s="1866"/>
      <c r="J10" s="118">
        <f t="shared" ref="J10:BG10" si="3">SUM(J6:J9)</f>
        <v>0</v>
      </c>
      <c r="K10" s="272">
        <f t="shared" si="3"/>
        <v>0</v>
      </c>
      <c r="L10" s="272">
        <f t="shared" si="3"/>
        <v>0</v>
      </c>
      <c r="M10" s="272">
        <f t="shared" si="3"/>
        <v>0</v>
      </c>
      <c r="N10" s="118">
        <f t="shared" si="3"/>
        <v>0</v>
      </c>
      <c r="O10" s="272">
        <f t="shared" si="3"/>
        <v>0</v>
      </c>
      <c r="P10" s="272">
        <f t="shared" si="3"/>
        <v>0</v>
      </c>
      <c r="Q10" s="272">
        <f t="shared" si="3"/>
        <v>0</v>
      </c>
      <c r="R10" s="118">
        <f t="shared" si="3"/>
        <v>0</v>
      </c>
      <c r="S10" s="272">
        <f t="shared" si="3"/>
        <v>0</v>
      </c>
      <c r="T10" s="272">
        <f t="shared" si="3"/>
        <v>0</v>
      </c>
      <c r="U10" s="272">
        <f t="shared" si="3"/>
        <v>0</v>
      </c>
      <c r="V10" s="118">
        <f t="shared" si="3"/>
        <v>0</v>
      </c>
      <c r="W10" s="272">
        <f t="shared" si="3"/>
        <v>0</v>
      </c>
      <c r="X10" s="272">
        <f t="shared" si="3"/>
        <v>0</v>
      </c>
      <c r="Y10" s="272">
        <f t="shared" si="3"/>
        <v>0</v>
      </c>
      <c r="Z10" s="118">
        <f t="shared" si="3"/>
        <v>0</v>
      </c>
      <c r="AA10" s="272">
        <f t="shared" si="3"/>
        <v>0</v>
      </c>
      <c r="AB10" s="272">
        <f t="shared" si="3"/>
        <v>0</v>
      </c>
      <c r="AC10" s="272">
        <f t="shared" si="3"/>
        <v>0</v>
      </c>
      <c r="AD10" s="118">
        <f t="shared" si="3"/>
        <v>0</v>
      </c>
      <c r="AE10" s="272">
        <f t="shared" si="3"/>
        <v>0</v>
      </c>
      <c r="AF10" s="272">
        <f t="shared" si="3"/>
        <v>0</v>
      </c>
      <c r="AG10" s="272">
        <f t="shared" si="3"/>
        <v>0</v>
      </c>
      <c r="AH10" s="118">
        <f t="shared" si="3"/>
        <v>0</v>
      </c>
      <c r="AI10" s="272">
        <f t="shared" si="3"/>
        <v>0</v>
      </c>
      <c r="AJ10" s="272">
        <f>SUM(AJ6:AJ9)</f>
        <v>0</v>
      </c>
      <c r="AK10" s="695">
        <f>SUM(AK6:AK9)</f>
        <v>0</v>
      </c>
      <c r="AL10" s="118">
        <f t="shared" si="3"/>
        <v>0</v>
      </c>
      <c r="AM10" s="272">
        <f t="shared" si="3"/>
        <v>0</v>
      </c>
      <c r="AN10" s="272">
        <f t="shared" si="3"/>
        <v>0</v>
      </c>
      <c r="AO10" s="272">
        <f t="shared" si="3"/>
        <v>0</v>
      </c>
      <c r="AP10" s="118">
        <f t="shared" si="3"/>
        <v>0</v>
      </c>
      <c r="AQ10" s="272">
        <f t="shared" si="3"/>
        <v>0</v>
      </c>
      <c r="AR10" s="272">
        <f t="shared" si="3"/>
        <v>0</v>
      </c>
      <c r="AS10" s="272">
        <f t="shared" si="3"/>
        <v>0</v>
      </c>
      <c r="AT10" s="118">
        <f t="shared" si="3"/>
        <v>0</v>
      </c>
      <c r="AU10" s="272">
        <f t="shared" si="3"/>
        <v>0</v>
      </c>
      <c r="AV10" s="272">
        <f t="shared" si="3"/>
        <v>0</v>
      </c>
      <c r="AW10" s="272">
        <f t="shared" si="3"/>
        <v>0</v>
      </c>
      <c r="AX10" s="118">
        <f t="shared" si="3"/>
        <v>0</v>
      </c>
      <c r="AY10" s="272">
        <f t="shared" si="3"/>
        <v>0</v>
      </c>
      <c r="AZ10" s="272">
        <f t="shared" si="3"/>
        <v>0</v>
      </c>
      <c r="BA10" s="272">
        <f t="shared" si="3"/>
        <v>0</v>
      </c>
      <c r="BB10" s="118">
        <f t="shared" si="3"/>
        <v>0</v>
      </c>
      <c r="BC10" s="272">
        <f t="shared" si="3"/>
        <v>0</v>
      </c>
      <c r="BD10" s="272">
        <f t="shared" si="3"/>
        <v>0</v>
      </c>
      <c r="BE10" s="272">
        <f t="shared" si="3"/>
        <v>0</v>
      </c>
      <c r="BF10" s="278">
        <f t="shared" si="3"/>
        <v>0</v>
      </c>
      <c r="BG10" s="279">
        <f t="shared" si="3"/>
        <v>0</v>
      </c>
      <c r="BH10" s="702">
        <f>AJ10+BD10</f>
        <v>0</v>
      </c>
      <c r="BI10" s="700">
        <f>AK10+BE10</f>
        <v>0</v>
      </c>
    </row>
    <row r="11" spans="3:61" s="119" customFormat="1" ht="5.25" customHeight="1">
      <c r="D11" s="120"/>
      <c r="E11" s="120"/>
      <c r="F11" s="120"/>
      <c r="H11" s="122"/>
      <c r="I11" s="122"/>
      <c r="J11" s="125"/>
      <c r="K11" s="126"/>
      <c r="L11" s="126"/>
      <c r="M11" s="126"/>
      <c r="N11" s="125"/>
      <c r="O11" s="126"/>
      <c r="P11" s="126"/>
      <c r="Q11" s="126"/>
      <c r="R11" s="125"/>
      <c r="S11" s="126"/>
      <c r="T11" s="126"/>
      <c r="U11" s="126"/>
      <c r="V11" s="125"/>
      <c r="W11" s="126"/>
      <c r="X11" s="126"/>
      <c r="Y11" s="126"/>
      <c r="Z11" s="125"/>
      <c r="AA11" s="126"/>
      <c r="AB11" s="126"/>
      <c r="AC11" s="126"/>
      <c r="AD11" s="125"/>
      <c r="AE11" s="126"/>
      <c r="AF11" s="126"/>
      <c r="AG11" s="126"/>
      <c r="AH11" s="125"/>
      <c r="AI11" s="126"/>
      <c r="AJ11" s="126"/>
      <c r="AK11" s="126"/>
      <c r="AL11" s="125"/>
      <c r="AM11" s="126"/>
      <c r="AN11" s="126"/>
      <c r="AO11" s="126"/>
      <c r="AP11" s="125"/>
      <c r="AQ11" s="126"/>
      <c r="AR11" s="126"/>
      <c r="AS11" s="126"/>
      <c r="AT11" s="125"/>
      <c r="AU11" s="126"/>
      <c r="AV11" s="126"/>
      <c r="AW11" s="126"/>
      <c r="AX11" s="125"/>
      <c r="AY11" s="126"/>
      <c r="AZ11" s="126"/>
      <c r="BA11" s="126"/>
      <c r="BB11" s="125"/>
      <c r="BC11" s="126"/>
      <c r="BD11" s="126"/>
      <c r="BE11" s="126"/>
      <c r="BF11" s="125"/>
      <c r="BG11" s="126"/>
    </row>
    <row r="12" spans="3:61" ht="19.5" thickBot="1">
      <c r="C12" s="1019"/>
      <c r="D12" s="1017"/>
      <c r="E12" s="1017"/>
      <c r="F12" s="1023"/>
      <c r="H12" s="1867" t="s">
        <v>114</v>
      </c>
      <c r="I12" s="1868"/>
      <c r="J12" s="1868"/>
      <c r="K12" s="1868"/>
      <c r="L12" s="1868"/>
      <c r="M12" s="1868"/>
      <c r="N12" s="1868"/>
      <c r="O12" s="1868"/>
      <c r="P12" s="1868"/>
      <c r="Q12" s="1868"/>
      <c r="R12" s="1868"/>
      <c r="S12" s="1868"/>
      <c r="T12" s="1868"/>
      <c r="U12" s="1868"/>
      <c r="V12" s="1868"/>
      <c r="W12" s="1868"/>
      <c r="X12" s="1868"/>
      <c r="Y12" s="1868"/>
      <c r="Z12" s="1868"/>
      <c r="AA12" s="1868"/>
      <c r="AB12" s="1868"/>
      <c r="AC12" s="1868"/>
      <c r="AD12" s="1868"/>
      <c r="AE12" s="1868"/>
      <c r="AF12" s="1868"/>
      <c r="AG12" s="1868"/>
      <c r="AH12" s="1868"/>
      <c r="AI12" s="1868"/>
      <c r="AJ12" s="1868"/>
      <c r="AK12" s="1868"/>
      <c r="AL12" s="1868"/>
      <c r="AM12" s="1868"/>
      <c r="AN12" s="1868"/>
      <c r="AO12" s="1868"/>
      <c r="AP12" s="1868"/>
      <c r="AQ12" s="1868"/>
      <c r="AR12" s="1868"/>
      <c r="AS12" s="1868"/>
      <c r="AT12" s="1868"/>
      <c r="AU12" s="1868"/>
      <c r="AV12" s="1868"/>
      <c r="AW12" s="1868"/>
      <c r="AX12" s="1868"/>
      <c r="AY12" s="1868"/>
      <c r="AZ12" s="1868"/>
      <c r="BA12" s="1868"/>
      <c r="BB12" s="1868"/>
      <c r="BC12" s="1868"/>
      <c r="BD12" s="1868"/>
      <c r="BE12" s="1868"/>
      <c r="BF12" s="1868"/>
      <c r="BG12" s="1868"/>
      <c r="BH12" s="1868"/>
      <c r="BI12" s="1868"/>
    </row>
    <row r="13" spans="3:61" ht="18.75" customHeight="1">
      <c r="C13" s="37" t="s">
        <v>44</v>
      </c>
      <c r="D13" s="1869"/>
      <c r="E13" s="1869"/>
      <c r="F13" s="1870"/>
      <c r="H13" s="1895" t="s">
        <v>117</v>
      </c>
      <c r="I13" s="1896"/>
      <c r="J13" s="1890" t="s">
        <v>43</v>
      </c>
      <c r="K13" s="1891"/>
      <c r="L13" s="1891"/>
      <c r="M13" s="1892"/>
      <c r="N13" s="1890" t="s">
        <v>42</v>
      </c>
      <c r="O13" s="1891"/>
      <c r="P13" s="1891"/>
      <c r="Q13" s="1892"/>
      <c r="R13" s="1890" t="s">
        <v>41</v>
      </c>
      <c r="S13" s="1891"/>
      <c r="T13" s="1891"/>
      <c r="U13" s="1892"/>
      <c r="V13" s="1890" t="s">
        <v>40</v>
      </c>
      <c r="W13" s="1891"/>
      <c r="X13" s="1891"/>
      <c r="Y13" s="1892"/>
      <c r="Z13" s="1890" t="s">
        <v>39</v>
      </c>
      <c r="AA13" s="1891"/>
      <c r="AB13" s="1891"/>
      <c r="AC13" s="1892"/>
      <c r="AD13" s="1890" t="s">
        <v>38</v>
      </c>
      <c r="AE13" s="1891"/>
      <c r="AF13" s="1891"/>
      <c r="AG13" s="1892"/>
      <c r="AH13" s="1882" t="s">
        <v>122</v>
      </c>
      <c r="AI13" s="1883"/>
      <c r="AJ13" s="1883"/>
      <c r="AK13" s="1884"/>
      <c r="AL13" s="1890" t="s">
        <v>37</v>
      </c>
      <c r="AM13" s="1891"/>
      <c r="AN13" s="1891"/>
      <c r="AO13" s="1892"/>
      <c r="AP13" s="1890" t="s">
        <v>36</v>
      </c>
      <c r="AQ13" s="1891"/>
      <c r="AR13" s="1891"/>
      <c r="AS13" s="1892"/>
      <c r="AT13" s="1890" t="s">
        <v>35</v>
      </c>
      <c r="AU13" s="1891"/>
      <c r="AV13" s="1891"/>
      <c r="AW13" s="1892"/>
      <c r="AX13" s="1890" t="s">
        <v>34</v>
      </c>
      <c r="AY13" s="1891"/>
      <c r="AZ13" s="1891"/>
      <c r="BA13" s="1892"/>
      <c r="BB13" s="1882" t="s">
        <v>123</v>
      </c>
      <c r="BC13" s="1883"/>
      <c r="BD13" s="1883"/>
      <c r="BE13" s="1884"/>
      <c r="BF13" s="1880" t="s">
        <v>17</v>
      </c>
      <c r="BG13" s="1881"/>
      <c r="BH13" s="1881"/>
      <c r="BI13" s="1881"/>
    </row>
    <row r="14" spans="3:61" ht="20.25" customHeight="1">
      <c r="C14" s="1879" t="s">
        <v>33</v>
      </c>
      <c r="D14" s="1869"/>
      <c r="E14" s="1017" t="s">
        <v>1</v>
      </c>
      <c r="F14" s="1023" t="s">
        <v>2</v>
      </c>
      <c r="H14" s="1897"/>
      <c r="I14" s="1898"/>
      <c r="J14" s="36" t="s">
        <v>1</v>
      </c>
      <c r="K14" s="271" t="s">
        <v>2</v>
      </c>
      <c r="L14" s="271" t="s">
        <v>182</v>
      </c>
      <c r="M14" s="35" t="s">
        <v>247</v>
      </c>
      <c r="N14" s="36" t="s">
        <v>1</v>
      </c>
      <c r="O14" s="271" t="s">
        <v>2</v>
      </c>
      <c r="P14" s="271" t="s">
        <v>182</v>
      </c>
      <c r="Q14" s="35" t="s">
        <v>247</v>
      </c>
      <c r="R14" s="36" t="s">
        <v>1</v>
      </c>
      <c r="S14" s="271" t="s">
        <v>2</v>
      </c>
      <c r="T14" s="271" t="s">
        <v>182</v>
      </c>
      <c r="U14" s="35" t="s">
        <v>247</v>
      </c>
      <c r="V14" s="36" t="s">
        <v>1</v>
      </c>
      <c r="W14" s="271" t="s">
        <v>2</v>
      </c>
      <c r="X14" s="271" t="s">
        <v>182</v>
      </c>
      <c r="Y14" s="35" t="s">
        <v>247</v>
      </c>
      <c r="Z14" s="36" t="s">
        <v>1</v>
      </c>
      <c r="AA14" s="271" t="s">
        <v>2</v>
      </c>
      <c r="AB14" s="271" t="s">
        <v>182</v>
      </c>
      <c r="AC14" s="35" t="s">
        <v>247</v>
      </c>
      <c r="AD14" s="36" t="s">
        <v>1</v>
      </c>
      <c r="AE14" s="271" t="s">
        <v>2</v>
      </c>
      <c r="AF14" s="271" t="s">
        <v>182</v>
      </c>
      <c r="AG14" s="35" t="s">
        <v>247</v>
      </c>
      <c r="AH14" s="36" t="s">
        <v>1</v>
      </c>
      <c r="AI14" s="271" t="s">
        <v>2</v>
      </c>
      <c r="AJ14" s="271" t="s">
        <v>182</v>
      </c>
      <c r="AK14" s="690" t="s">
        <v>196</v>
      </c>
      <c r="AL14" s="36" t="s">
        <v>1</v>
      </c>
      <c r="AM14" s="271" t="s">
        <v>2</v>
      </c>
      <c r="AN14" s="271" t="s">
        <v>182</v>
      </c>
      <c r="AO14" s="35" t="s">
        <v>247</v>
      </c>
      <c r="AP14" s="36" t="s">
        <v>1</v>
      </c>
      <c r="AQ14" s="271" t="s">
        <v>2</v>
      </c>
      <c r="AR14" s="271" t="s">
        <v>182</v>
      </c>
      <c r="AS14" s="35" t="s">
        <v>247</v>
      </c>
      <c r="AT14" s="36" t="s">
        <v>1</v>
      </c>
      <c r="AU14" s="271" t="s">
        <v>2</v>
      </c>
      <c r="AV14" s="271" t="s">
        <v>182</v>
      </c>
      <c r="AW14" s="35" t="s">
        <v>247</v>
      </c>
      <c r="AX14" s="36" t="s">
        <v>1</v>
      </c>
      <c r="AY14" s="271" t="s">
        <v>2</v>
      </c>
      <c r="AZ14" s="271" t="s">
        <v>182</v>
      </c>
      <c r="BA14" s="35" t="s">
        <v>247</v>
      </c>
      <c r="BB14" s="36" t="s">
        <v>1</v>
      </c>
      <c r="BC14" s="271" t="s">
        <v>2</v>
      </c>
      <c r="BD14" s="271" t="s">
        <v>182</v>
      </c>
      <c r="BE14" s="690" t="s">
        <v>196</v>
      </c>
      <c r="BF14" s="274" t="s">
        <v>1</v>
      </c>
      <c r="BG14" s="275" t="s">
        <v>2</v>
      </c>
      <c r="BH14" s="275" t="s">
        <v>182</v>
      </c>
      <c r="BI14" s="703" t="s">
        <v>196</v>
      </c>
    </row>
    <row r="15" spans="3:61" s="28" customFormat="1" ht="20.100000000000001" customHeight="1">
      <c r="C15" s="1879" t="s">
        <v>28</v>
      </c>
      <c r="D15" s="1017" t="s">
        <v>27</v>
      </c>
      <c r="E15" s="1021"/>
      <c r="F15" s="34"/>
      <c r="H15" s="1888" t="s">
        <v>112</v>
      </c>
      <c r="I15" s="33" t="s">
        <v>27</v>
      </c>
      <c r="J15" s="462"/>
      <c r="K15" s="463"/>
      <c r="L15" s="463"/>
      <c r="M15" s="692"/>
      <c r="N15" s="462"/>
      <c r="O15" s="463"/>
      <c r="P15" s="463"/>
      <c r="Q15" s="692"/>
      <c r="R15" s="462"/>
      <c r="S15" s="463"/>
      <c r="T15" s="463"/>
      <c r="U15" s="692"/>
      <c r="V15" s="462"/>
      <c r="W15" s="463"/>
      <c r="X15" s="463"/>
      <c r="Y15" s="692"/>
      <c r="Z15" s="462"/>
      <c r="AA15" s="463"/>
      <c r="AB15" s="463"/>
      <c r="AC15" s="692"/>
      <c r="AD15" s="462"/>
      <c r="AE15" s="463"/>
      <c r="AF15" s="463"/>
      <c r="AG15" s="692"/>
      <c r="AH15" s="128">
        <f>J15+N15+R15+V15+Z15+AD15</f>
        <v>0</v>
      </c>
      <c r="AI15" s="273">
        <f>K15+O15+S15+W15+AA15+AE15</f>
        <v>0</v>
      </c>
      <c r="AJ15" s="273">
        <f>L15+P15+T15+X15+AB15+AF15</f>
        <v>0</v>
      </c>
      <c r="AK15" s="694">
        <f>M15+Q15+U15+Y15+AC15+AG15</f>
        <v>0</v>
      </c>
      <c r="AL15" s="462"/>
      <c r="AM15" s="463"/>
      <c r="AN15" s="463"/>
      <c r="AO15" s="692"/>
      <c r="AP15" s="462"/>
      <c r="AQ15" s="463"/>
      <c r="AR15" s="463"/>
      <c r="AS15" s="692"/>
      <c r="AT15" s="462"/>
      <c r="AU15" s="463"/>
      <c r="AV15" s="463"/>
      <c r="AW15" s="692"/>
      <c r="AX15" s="462"/>
      <c r="AY15" s="463"/>
      <c r="AZ15" s="463"/>
      <c r="BA15" s="692"/>
      <c r="BB15" s="128">
        <f>AL15+AP15+AT15+AX15</f>
        <v>0</v>
      </c>
      <c r="BC15" s="273">
        <f>AM15+AQ15+AU15+AY15</f>
        <v>0</v>
      </c>
      <c r="BD15" s="273">
        <f>AN15+AR15+AV15+AZ15</f>
        <v>0</v>
      </c>
      <c r="BE15" s="273">
        <f>AO15+AS15+AW15+BA15</f>
        <v>0</v>
      </c>
      <c r="BF15" s="276">
        <f t="shared" ref="BF15:BI23" si="4">AH15+BB15</f>
        <v>0</v>
      </c>
      <c r="BG15" s="277">
        <f t="shared" si="4"/>
        <v>0</v>
      </c>
      <c r="BH15" s="277">
        <f t="shared" si="4"/>
        <v>0</v>
      </c>
      <c r="BI15" s="704">
        <f t="shared" si="4"/>
        <v>0</v>
      </c>
    </row>
    <row r="16" spans="3:61" s="28" customFormat="1" ht="20.100000000000001" customHeight="1">
      <c r="C16" s="1879"/>
      <c r="D16" s="1017" t="s">
        <v>26</v>
      </c>
      <c r="E16" s="1017"/>
      <c r="F16" s="1018"/>
      <c r="H16" s="1889"/>
      <c r="I16" s="33" t="s">
        <v>26</v>
      </c>
      <c r="J16" s="462"/>
      <c r="K16" s="463"/>
      <c r="L16" s="463"/>
      <c r="M16" s="692"/>
      <c r="N16" s="462"/>
      <c r="O16" s="463"/>
      <c r="P16" s="463"/>
      <c r="Q16" s="692"/>
      <c r="R16" s="462"/>
      <c r="S16" s="463"/>
      <c r="T16" s="463"/>
      <c r="U16" s="692"/>
      <c r="V16" s="462"/>
      <c r="W16" s="463"/>
      <c r="X16" s="463"/>
      <c r="Y16" s="692"/>
      <c r="Z16" s="462"/>
      <c r="AA16" s="463"/>
      <c r="AB16" s="463"/>
      <c r="AC16" s="692"/>
      <c r="AD16" s="462"/>
      <c r="AE16" s="463"/>
      <c r="AF16" s="463"/>
      <c r="AG16" s="692"/>
      <c r="AH16" s="128">
        <f t="shared" ref="AH16:AK23" si="5">J16+N16+R16+V16+Z16+AD16</f>
        <v>0</v>
      </c>
      <c r="AI16" s="273">
        <f t="shared" si="5"/>
        <v>0</v>
      </c>
      <c r="AJ16" s="273">
        <f t="shared" si="5"/>
        <v>0</v>
      </c>
      <c r="AK16" s="694">
        <f t="shared" si="5"/>
        <v>0</v>
      </c>
      <c r="AL16" s="462"/>
      <c r="AM16" s="463"/>
      <c r="AN16" s="463"/>
      <c r="AO16" s="692"/>
      <c r="AP16" s="462"/>
      <c r="AQ16" s="463"/>
      <c r="AR16" s="463"/>
      <c r="AS16" s="692"/>
      <c r="AT16" s="462"/>
      <c r="AU16" s="463"/>
      <c r="AV16" s="463"/>
      <c r="AW16" s="692"/>
      <c r="AX16" s="462"/>
      <c r="AY16" s="463"/>
      <c r="AZ16" s="463"/>
      <c r="BA16" s="692"/>
      <c r="BB16" s="128">
        <f t="shared" ref="BB16:BE23" si="6">AL16+AP16+AT16+AX16</f>
        <v>0</v>
      </c>
      <c r="BC16" s="273">
        <f t="shared" si="6"/>
        <v>0</v>
      </c>
      <c r="BD16" s="273">
        <f t="shared" si="6"/>
        <v>0</v>
      </c>
      <c r="BE16" s="273">
        <f t="shared" si="6"/>
        <v>0</v>
      </c>
      <c r="BF16" s="276">
        <f t="shared" si="4"/>
        <v>0</v>
      </c>
      <c r="BG16" s="277">
        <f t="shared" si="4"/>
        <v>0</v>
      </c>
      <c r="BH16" s="277">
        <f t="shared" si="4"/>
        <v>0</v>
      </c>
      <c r="BI16" s="704">
        <f t="shared" si="4"/>
        <v>0</v>
      </c>
    </row>
    <row r="17" spans="3:61" s="28" customFormat="1" ht="21" customHeight="1">
      <c r="C17" s="1879"/>
      <c r="D17" s="1017" t="s">
        <v>25</v>
      </c>
      <c r="E17" s="1017"/>
      <c r="F17" s="1018"/>
      <c r="H17" s="1889"/>
      <c r="I17" s="33" t="s">
        <v>25</v>
      </c>
      <c r="J17" s="462"/>
      <c r="K17" s="463"/>
      <c r="L17" s="463"/>
      <c r="M17" s="692"/>
      <c r="N17" s="462"/>
      <c r="O17" s="463"/>
      <c r="P17" s="463"/>
      <c r="Q17" s="692"/>
      <c r="R17" s="462"/>
      <c r="S17" s="463"/>
      <c r="T17" s="463"/>
      <c r="U17" s="692"/>
      <c r="V17" s="462"/>
      <c r="W17" s="463"/>
      <c r="X17" s="463"/>
      <c r="Y17" s="692"/>
      <c r="Z17" s="462"/>
      <c r="AA17" s="463"/>
      <c r="AB17" s="463"/>
      <c r="AC17" s="692"/>
      <c r="AD17" s="462"/>
      <c r="AE17" s="463"/>
      <c r="AF17" s="463"/>
      <c r="AG17" s="692"/>
      <c r="AH17" s="128">
        <f t="shared" si="5"/>
        <v>0</v>
      </c>
      <c r="AI17" s="273">
        <f t="shared" si="5"/>
        <v>0</v>
      </c>
      <c r="AJ17" s="273">
        <f t="shared" si="5"/>
        <v>0</v>
      </c>
      <c r="AK17" s="694">
        <f t="shared" si="5"/>
        <v>0</v>
      </c>
      <c r="AL17" s="462"/>
      <c r="AM17" s="463"/>
      <c r="AN17" s="463"/>
      <c r="AO17" s="692"/>
      <c r="AP17" s="462"/>
      <c r="AQ17" s="463"/>
      <c r="AR17" s="463"/>
      <c r="AS17" s="692"/>
      <c r="AT17" s="462"/>
      <c r="AU17" s="463"/>
      <c r="AV17" s="463"/>
      <c r="AW17" s="692"/>
      <c r="AX17" s="462"/>
      <c r="AY17" s="463"/>
      <c r="AZ17" s="463"/>
      <c r="BA17" s="692"/>
      <c r="BB17" s="128">
        <f t="shared" si="6"/>
        <v>0</v>
      </c>
      <c r="BC17" s="273">
        <f t="shared" si="6"/>
        <v>0</v>
      </c>
      <c r="BD17" s="273">
        <f t="shared" si="6"/>
        <v>0</v>
      </c>
      <c r="BE17" s="273">
        <f t="shared" si="6"/>
        <v>0</v>
      </c>
      <c r="BF17" s="276">
        <f t="shared" si="4"/>
        <v>0</v>
      </c>
      <c r="BG17" s="277">
        <f t="shared" si="4"/>
        <v>0</v>
      </c>
      <c r="BH17" s="277">
        <f t="shared" si="4"/>
        <v>0</v>
      </c>
      <c r="BI17" s="704">
        <f t="shared" si="4"/>
        <v>0</v>
      </c>
    </row>
    <row r="18" spans="3:61" s="28" customFormat="1" ht="21">
      <c r="C18" s="1879"/>
      <c r="D18" s="1017" t="s">
        <v>24</v>
      </c>
      <c r="E18" s="1017"/>
      <c r="F18" s="1018"/>
      <c r="H18" s="1889"/>
      <c r="I18" s="33" t="s">
        <v>24</v>
      </c>
      <c r="J18" s="462"/>
      <c r="K18" s="463"/>
      <c r="L18" s="463"/>
      <c r="M18" s="692"/>
      <c r="N18" s="462"/>
      <c r="O18" s="463"/>
      <c r="P18" s="463"/>
      <c r="Q18" s="692"/>
      <c r="R18" s="462"/>
      <c r="S18" s="463"/>
      <c r="T18" s="463"/>
      <c r="U18" s="692"/>
      <c r="V18" s="462"/>
      <c r="W18" s="463"/>
      <c r="X18" s="463"/>
      <c r="Y18" s="692"/>
      <c r="Z18" s="462"/>
      <c r="AA18" s="463"/>
      <c r="AB18" s="463"/>
      <c r="AC18" s="692"/>
      <c r="AD18" s="462"/>
      <c r="AE18" s="463"/>
      <c r="AF18" s="463"/>
      <c r="AG18" s="692"/>
      <c r="AH18" s="128">
        <f t="shared" si="5"/>
        <v>0</v>
      </c>
      <c r="AI18" s="273">
        <f t="shared" si="5"/>
        <v>0</v>
      </c>
      <c r="AJ18" s="273">
        <f t="shared" si="5"/>
        <v>0</v>
      </c>
      <c r="AK18" s="694">
        <f t="shared" si="5"/>
        <v>0</v>
      </c>
      <c r="AL18" s="462"/>
      <c r="AM18" s="463"/>
      <c r="AN18" s="463"/>
      <c r="AO18" s="692"/>
      <c r="AP18" s="462"/>
      <c r="AQ18" s="463"/>
      <c r="AR18" s="463"/>
      <c r="AS18" s="692"/>
      <c r="AT18" s="462"/>
      <c r="AU18" s="463"/>
      <c r="AV18" s="463"/>
      <c r="AW18" s="692"/>
      <c r="AX18" s="462"/>
      <c r="AY18" s="463"/>
      <c r="AZ18" s="463"/>
      <c r="BA18" s="692"/>
      <c r="BB18" s="128">
        <f t="shared" si="6"/>
        <v>0</v>
      </c>
      <c r="BC18" s="273">
        <f t="shared" si="6"/>
        <v>0</v>
      </c>
      <c r="BD18" s="273">
        <f t="shared" si="6"/>
        <v>0</v>
      </c>
      <c r="BE18" s="273">
        <f t="shared" si="6"/>
        <v>0</v>
      </c>
      <c r="BF18" s="276">
        <f t="shared" si="4"/>
        <v>0</v>
      </c>
      <c r="BG18" s="277">
        <f t="shared" si="4"/>
        <v>0</v>
      </c>
      <c r="BH18" s="277">
        <f t="shared" si="4"/>
        <v>0</v>
      </c>
      <c r="BI18" s="704">
        <f t="shared" si="4"/>
        <v>0</v>
      </c>
    </row>
    <row r="19" spans="3:61" s="28" customFormat="1" ht="20.100000000000001" customHeight="1">
      <c r="C19" s="1879"/>
      <c r="D19" s="1017" t="s">
        <v>23</v>
      </c>
      <c r="E19" s="1017"/>
      <c r="F19" s="1018"/>
      <c r="H19" s="1889"/>
      <c r="I19" s="33" t="s">
        <v>23</v>
      </c>
      <c r="J19" s="462"/>
      <c r="K19" s="463"/>
      <c r="L19" s="463"/>
      <c r="M19" s="692"/>
      <c r="N19" s="462"/>
      <c r="O19" s="463"/>
      <c r="P19" s="463"/>
      <c r="Q19" s="692"/>
      <c r="R19" s="462"/>
      <c r="S19" s="463"/>
      <c r="T19" s="463"/>
      <c r="U19" s="692"/>
      <c r="V19" s="462"/>
      <c r="W19" s="463"/>
      <c r="X19" s="463"/>
      <c r="Y19" s="692"/>
      <c r="Z19" s="462"/>
      <c r="AA19" s="463"/>
      <c r="AB19" s="463"/>
      <c r="AC19" s="692"/>
      <c r="AD19" s="462"/>
      <c r="AE19" s="463"/>
      <c r="AF19" s="463"/>
      <c r="AG19" s="692"/>
      <c r="AH19" s="128">
        <f t="shared" si="5"/>
        <v>0</v>
      </c>
      <c r="AI19" s="273">
        <f t="shared" si="5"/>
        <v>0</v>
      </c>
      <c r="AJ19" s="273">
        <f t="shared" si="5"/>
        <v>0</v>
      </c>
      <c r="AK19" s="694">
        <f t="shared" si="5"/>
        <v>0</v>
      </c>
      <c r="AL19" s="1012"/>
      <c r="AM19" s="463"/>
      <c r="AN19" s="463"/>
      <c r="AO19" s="692"/>
      <c r="AP19" s="462"/>
      <c r="AQ19" s="463"/>
      <c r="AR19" s="463"/>
      <c r="AS19" s="692"/>
      <c r="AT19" s="462"/>
      <c r="AU19" s="463"/>
      <c r="AV19" s="463"/>
      <c r="AW19" s="692"/>
      <c r="AX19" s="462"/>
      <c r="AY19" s="463"/>
      <c r="AZ19" s="463"/>
      <c r="BA19" s="692"/>
      <c r="BB19" s="128">
        <f t="shared" si="6"/>
        <v>0</v>
      </c>
      <c r="BC19" s="273">
        <f t="shared" si="6"/>
        <v>0</v>
      </c>
      <c r="BD19" s="273">
        <f t="shared" si="6"/>
        <v>0</v>
      </c>
      <c r="BE19" s="273">
        <f t="shared" si="6"/>
        <v>0</v>
      </c>
      <c r="BF19" s="276">
        <f t="shared" si="4"/>
        <v>0</v>
      </c>
      <c r="BG19" s="277">
        <f t="shared" si="4"/>
        <v>0</v>
      </c>
      <c r="BH19" s="277">
        <f t="shared" si="4"/>
        <v>0</v>
      </c>
      <c r="BI19" s="704">
        <f t="shared" si="4"/>
        <v>0</v>
      </c>
    </row>
    <row r="20" spans="3:61" s="28" customFormat="1" ht="20.100000000000001" customHeight="1">
      <c r="C20" s="1879"/>
      <c r="D20" s="1017" t="s">
        <v>22</v>
      </c>
      <c r="E20" s="1017"/>
      <c r="F20" s="1018"/>
      <c r="H20" s="1889"/>
      <c r="I20" s="33" t="s">
        <v>22</v>
      </c>
      <c r="J20" s="462"/>
      <c r="K20" s="463"/>
      <c r="L20" s="463"/>
      <c r="M20" s="692"/>
      <c r="N20" s="462"/>
      <c r="O20" s="463"/>
      <c r="P20" s="463"/>
      <c r="Q20" s="692"/>
      <c r="R20" s="462"/>
      <c r="S20" s="463"/>
      <c r="T20" s="463"/>
      <c r="U20" s="692"/>
      <c r="V20" s="462"/>
      <c r="W20" s="463"/>
      <c r="X20" s="463"/>
      <c r="Y20" s="692"/>
      <c r="Z20" s="462"/>
      <c r="AA20" s="463"/>
      <c r="AB20" s="463"/>
      <c r="AC20" s="692"/>
      <c r="AD20" s="462"/>
      <c r="AE20" s="463"/>
      <c r="AF20" s="463"/>
      <c r="AG20" s="692"/>
      <c r="AH20" s="128">
        <f t="shared" si="5"/>
        <v>0</v>
      </c>
      <c r="AI20" s="273">
        <f t="shared" si="5"/>
        <v>0</v>
      </c>
      <c r="AJ20" s="273">
        <f t="shared" si="5"/>
        <v>0</v>
      </c>
      <c r="AK20" s="694">
        <f t="shared" si="5"/>
        <v>0</v>
      </c>
      <c r="AL20" s="462"/>
      <c r="AM20" s="463"/>
      <c r="AN20" s="463"/>
      <c r="AO20" s="692"/>
      <c r="AP20" s="462"/>
      <c r="AQ20" s="463"/>
      <c r="AR20" s="463"/>
      <c r="AS20" s="692"/>
      <c r="AT20" s="462"/>
      <c r="AU20" s="463"/>
      <c r="AV20" s="463"/>
      <c r="AW20" s="692"/>
      <c r="AX20" s="462"/>
      <c r="AY20" s="463"/>
      <c r="AZ20" s="463"/>
      <c r="BA20" s="692"/>
      <c r="BB20" s="128">
        <f t="shared" si="6"/>
        <v>0</v>
      </c>
      <c r="BC20" s="273">
        <f t="shared" si="6"/>
        <v>0</v>
      </c>
      <c r="BD20" s="273">
        <f t="shared" si="6"/>
        <v>0</v>
      </c>
      <c r="BE20" s="273">
        <f t="shared" si="6"/>
        <v>0</v>
      </c>
      <c r="BF20" s="276">
        <f t="shared" si="4"/>
        <v>0</v>
      </c>
      <c r="BG20" s="277">
        <f t="shared" si="4"/>
        <v>0</v>
      </c>
      <c r="BH20" s="277">
        <f t="shared" si="4"/>
        <v>0</v>
      </c>
      <c r="BI20" s="704">
        <f t="shared" si="4"/>
        <v>0</v>
      </c>
    </row>
    <row r="21" spans="3:61" s="28" customFormat="1" ht="20.100000000000001" customHeight="1">
      <c r="C21" s="1885"/>
      <c r="D21" s="1017"/>
      <c r="E21" s="1017"/>
      <c r="F21" s="1018"/>
      <c r="H21" s="1889"/>
      <c r="I21" s="33" t="s">
        <v>21</v>
      </c>
      <c r="J21" s="462"/>
      <c r="K21" s="463"/>
      <c r="L21" s="463"/>
      <c r="M21" s="692"/>
      <c r="N21" s="462"/>
      <c r="O21" s="463"/>
      <c r="P21" s="463"/>
      <c r="Q21" s="692"/>
      <c r="R21" s="462"/>
      <c r="S21" s="463"/>
      <c r="T21" s="463"/>
      <c r="U21" s="692"/>
      <c r="V21" s="462"/>
      <c r="W21" s="463"/>
      <c r="X21" s="463"/>
      <c r="Y21" s="692"/>
      <c r="Z21" s="462"/>
      <c r="AA21" s="463"/>
      <c r="AB21" s="463"/>
      <c r="AC21" s="692"/>
      <c r="AD21" s="462"/>
      <c r="AE21" s="463"/>
      <c r="AF21" s="463"/>
      <c r="AG21" s="692"/>
      <c r="AH21" s="128">
        <f t="shared" si="5"/>
        <v>0</v>
      </c>
      <c r="AI21" s="273">
        <f t="shared" si="5"/>
        <v>0</v>
      </c>
      <c r="AJ21" s="273">
        <f t="shared" si="5"/>
        <v>0</v>
      </c>
      <c r="AK21" s="694">
        <f t="shared" si="5"/>
        <v>0</v>
      </c>
      <c r="AL21" s="462"/>
      <c r="AM21" s="463"/>
      <c r="AN21" s="463"/>
      <c r="AO21" s="692"/>
      <c r="AP21" s="462"/>
      <c r="AQ21" s="463"/>
      <c r="AR21" s="463"/>
      <c r="AS21" s="692"/>
      <c r="AT21" s="462"/>
      <c r="AU21" s="463"/>
      <c r="AV21" s="463"/>
      <c r="AW21" s="692"/>
      <c r="AX21" s="462"/>
      <c r="AY21" s="463"/>
      <c r="AZ21" s="463"/>
      <c r="BA21" s="692"/>
      <c r="BB21" s="128">
        <f t="shared" si="6"/>
        <v>0</v>
      </c>
      <c r="BC21" s="273">
        <f t="shared" si="6"/>
        <v>0</v>
      </c>
      <c r="BD21" s="273">
        <f t="shared" si="6"/>
        <v>0</v>
      </c>
      <c r="BE21" s="273">
        <f t="shared" si="6"/>
        <v>0</v>
      </c>
      <c r="BF21" s="276">
        <f t="shared" si="4"/>
        <v>0</v>
      </c>
      <c r="BG21" s="277">
        <f t="shared" si="4"/>
        <v>0</v>
      </c>
      <c r="BH21" s="277">
        <f t="shared" si="4"/>
        <v>0</v>
      </c>
      <c r="BI21" s="704">
        <f t="shared" si="4"/>
        <v>0</v>
      </c>
    </row>
    <row r="22" spans="3:61" s="28" customFormat="1" ht="20.100000000000001" customHeight="1">
      <c r="C22" s="1885"/>
      <c r="D22" s="1017"/>
      <c r="E22" s="1017"/>
      <c r="F22" s="1018"/>
      <c r="H22" s="1889"/>
      <c r="I22" s="33" t="s">
        <v>20</v>
      </c>
      <c r="J22" s="462"/>
      <c r="K22" s="463"/>
      <c r="L22" s="463"/>
      <c r="M22" s="692"/>
      <c r="N22" s="462"/>
      <c r="O22" s="463"/>
      <c r="P22" s="463"/>
      <c r="Q22" s="692"/>
      <c r="R22" s="462"/>
      <c r="S22" s="463"/>
      <c r="T22" s="463"/>
      <c r="U22" s="692"/>
      <c r="V22" s="462"/>
      <c r="W22" s="463"/>
      <c r="X22" s="463"/>
      <c r="Y22" s="692"/>
      <c r="Z22" s="462"/>
      <c r="AA22" s="463"/>
      <c r="AB22" s="463"/>
      <c r="AC22" s="692"/>
      <c r="AD22" s="462"/>
      <c r="AE22" s="463"/>
      <c r="AF22" s="463"/>
      <c r="AG22" s="692"/>
      <c r="AH22" s="128">
        <f t="shared" si="5"/>
        <v>0</v>
      </c>
      <c r="AI22" s="273">
        <f t="shared" si="5"/>
        <v>0</v>
      </c>
      <c r="AJ22" s="273">
        <f t="shared" si="5"/>
        <v>0</v>
      </c>
      <c r="AK22" s="694">
        <f t="shared" si="5"/>
        <v>0</v>
      </c>
      <c r="AL22" s="462"/>
      <c r="AM22" s="463"/>
      <c r="AN22" s="463"/>
      <c r="AO22" s="692"/>
      <c r="AP22" s="462"/>
      <c r="AQ22" s="463"/>
      <c r="AR22" s="463"/>
      <c r="AS22" s="692"/>
      <c r="AT22" s="462"/>
      <c r="AU22" s="463"/>
      <c r="AV22" s="463"/>
      <c r="AW22" s="692"/>
      <c r="AX22" s="462"/>
      <c r="AY22" s="463"/>
      <c r="AZ22" s="463"/>
      <c r="BA22" s="692"/>
      <c r="BB22" s="128">
        <f t="shared" si="6"/>
        <v>0</v>
      </c>
      <c r="BC22" s="273">
        <f t="shared" si="6"/>
        <v>0</v>
      </c>
      <c r="BD22" s="273">
        <f t="shared" si="6"/>
        <v>0</v>
      </c>
      <c r="BE22" s="273">
        <f t="shared" si="6"/>
        <v>0</v>
      </c>
      <c r="BF22" s="276">
        <f t="shared" si="4"/>
        <v>0</v>
      </c>
      <c r="BG22" s="277">
        <f t="shared" si="4"/>
        <v>0</v>
      </c>
      <c r="BH22" s="277">
        <f t="shared" si="4"/>
        <v>0</v>
      </c>
      <c r="BI22" s="704">
        <f t="shared" si="4"/>
        <v>0</v>
      </c>
    </row>
    <row r="23" spans="3:61" s="28" customFormat="1" ht="20.100000000000001" customHeight="1">
      <c r="C23" s="1885"/>
      <c r="D23" s="1017"/>
      <c r="E23" s="1017"/>
      <c r="F23" s="1018"/>
      <c r="H23" s="1889"/>
      <c r="I23" s="33" t="s">
        <v>19</v>
      </c>
      <c r="J23" s="462"/>
      <c r="K23" s="463"/>
      <c r="L23" s="463"/>
      <c r="M23" s="692"/>
      <c r="N23" s="462"/>
      <c r="O23" s="463"/>
      <c r="P23" s="463"/>
      <c r="Q23" s="692"/>
      <c r="R23" s="462"/>
      <c r="S23" s="463"/>
      <c r="T23" s="463"/>
      <c r="U23" s="692"/>
      <c r="V23" s="462"/>
      <c r="W23" s="463"/>
      <c r="X23" s="463"/>
      <c r="Y23" s="692"/>
      <c r="Z23" s="462"/>
      <c r="AA23" s="463"/>
      <c r="AB23" s="463"/>
      <c r="AC23" s="692"/>
      <c r="AD23" s="462"/>
      <c r="AE23" s="463"/>
      <c r="AF23" s="463"/>
      <c r="AG23" s="692"/>
      <c r="AH23" s="128">
        <f t="shared" si="5"/>
        <v>0</v>
      </c>
      <c r="AI23" s="273">
        <f t="shared" si="5"/>
        <v>0</v>
      </c>
      <c r="AJ23" s="273">
        <f t="shared" si="5"/>
        <v>0</v>
      </c>
      <c r="AK23" s="694">
        <f t="shared" si="5"/>
        <v>0</v>
      </c>
      <c r="AL23" s="462"/>
      <c r="AM23" s="463"/>
      <c r="AN23" s="463"/>
      <c r="AO23" s="692"/>
      <c r="AP23" s="462"/>
      <c r="AQ23" s="463"/>
      <c r="AR23" s="463"/>
      <c r="AS23" s="692"/>
      <c r="AT23" s="462"/>
      <c r="AU23" s="463"/>
      <c r="AV23" s="463"/>
      <c r="AW23" s="692"/>
      <c r="AX23" s="462"/>
      <c r="AY23" s="463"/>
      <c r="AZ23" s="463"/>
      <c r="BA23" s="692"/>
      <c r="BB23" s="128">
        <f t="shared" si="6"/>
        <v>0</v>
      </c>
      <c r="BC23" s="273">
        <f t="shared" si="6"/>
        <v>0</v>
      </c>
      <c r="BD23" s="273">
        <f t="shared" si="6"/>
        <v>0</v>
      </c>
      <c r="BE23" s="273">
        <f t="shared" si="6"/>
        <v>0</v>
      </c>
      <c r="BF23" s="276">
        <f t="shared" si="4"/>
        <v>0</v>
      </c>
      <c r="BG23" s="277">
        <f t="shared" si="4"/>
        <v>0</v>
      </c>
      <c r="BH23" s="277">
        <f t="shared" si="4"/>
        <v>0</v>
      </c>
      <c r="BI23" s="704">
        <f t="shared" si="4"/>
        <v>0</v>
      </c>
    </row>
    <row r="24" spans="3:61" s="28" customFormat="1" ht="20.100000000000001" customHeight="1" thickBot="1">
      <c r="C24" s="1885"/>
      <c r="D24" s="1017"/>
      <c r="E24" s="1017"/>
      <c r="F24" s="1018"/>
      <c r="H24" s="1865" t="s">
        <v>116</v>
      </c>
      <c r="I24" s="1866"/>
      <c r="J24" s="118">
        <f t="shared" ref="J24:BI24" si="7">SUM(J15:J23)</f>
        <v>0</v>
      </c>
      <c r="K24" s="272">
        <f t="shared" si="7"/>
        <v>0</v>
      </c>
      <c r="L24" s="272">
        <f>SUM(L15:L23)</f>
        <v>0</v>
      </c>
      <c r="M24" s="272">
        <f>SUM(M15:M23)</f>
        <v>0</v>
      </c>
      <c r="N24" s="118">
        <f t="shared" ref="N24:AI24" si="8">SUM(N15:N23)</f>
        <v>0</v>
      </c>
      <c r="O24" s="272">
        <f t="shared" si="8"/>
        <v>0</v>
      </c>
      <c r="P24" s="272">
        <f t="shared" si="8"/>
        <v>0</v>
      </c>
      <c r="Q24" s="272">
        <f t="shared" si="8"/>
        <v>0</v>
      </c>
      <c r="R24" s="118">
        <f t="shared" si="8"/>
        <v>0</v>
      </c>
      <c r="S24" s="272">
        <f t="shared" si="8"/>
        <v>0</v>
      </c>
      <c r="T24" s="272">
        <f t="shared" si="8"/>
        <v>0</v>
      </c>
      <c r="U24" s="272">
        <f t="shared" si="8"/>
        <v>0</v>
      </c>
      <c r="V24" s="118">
        <f t="shared" si="8"/>
        <v>0</v>
      </c>
      <c r="W24" s="272">
        <f t="shared" si="8"/>
        <v>0</v>
      </c>
      <c r="X24" s="272">
        <f t="shared" si="8"/>
        <v>0</v>
      </c>
      <c r="Y24" s="272">
        <f t="shared" si="8"/>
        <v>0</v>
      </c>
      <c r="Z24" s="118">
        <f t="shared" si="8"/>
        <v>0</v>
      </c>
      <c r="AA24" s="272">
        <f t="shared" si="8"/>
        <v>0</v>
      </c>
      <c r="AB24" s="272">
        <f t="shared" si="8"/>
        <v>0</v>
      </c>
      <c r="AC24" s="272">
        <f t="shared" si="8"/>
        <v>0</v>
      </c>
      <c r="AD24" s="118">
        <f t="shared" si="8"/>
        <v>0</v>
      </c>
      <c r="AE24" s="272">
        <f t="shared" si="8"/>
        <v>0</v>
      </c>
      <c r="AF24" s="272">
        <f t="shared" si="8"/>
        <v>0</v>
      </c>
      <c r="AG24" s="272">
        <f t="shared" si="8"/>
        <v>0</v>
      </c>
      <c r="AH24" s="118">
        <f t="shared" si="8"/>
        <v>0</v>
      </c>
      <c r="AI24" s="272">
        <f t="shared" si="8"/>
        <v>0</v>
      </c>
      <c r="AJ24" s="272">
        <f>SUM(AJ15:AJ23)</f>
        <v>0</v>
      </c>
      <c r="AK24" s="695">
        <f>SUM(AK15:AK23)</f>
        <v>0</v>
      </c>
      <c r="AL24" s="118">
        <f t="shared" ref="AL24:BC24" si="9">SUM(AL15:AL23)</f>
        <v>0</v>
      </c>
      <c r="AM24" s="272">
        <f t="shared" si="9"/>
        <v>0</v>
      </c>
      <c r="AN24" s="272">
        <f t="shared" si="9"/>
        <v>0</v>
      </c>
      <c r="AO24" s="272">
        <f t="shared" si="9"/>
        <v>0</v>
      </c>
      <c r="AP24" s="118">
        <f t="shared" si="9"/>
        <v>0</v>
      </c>
      <c r="AQ24" s="272">
        <f t="shared" si="9"/>
        <v>0</v>
      </c>
      <c r="AR24" s="272">
        <f t="shared" si="9"/>
        <v>0</v>
      </c>
      <c r="AS24" s="272">
        <f t="shared" si="9"/>
        <v>0</v>
      </c>
      <c r="AT24" s="118">
        <f t="shared" si="9"/>
        <v>0</v>
      </c>
      <c r="AU24" s="272">
        <f t="shared" si="9"/>
        <v>0</v>
      </c>
      <c r="AV24" s="272">
        <f t="shared" si="9"/>
        <v>0</v>
      </c>
      <c r="AW24" s="272">
        <f t="shared" si="9"/>
        <v>0</v>
      </c>
      <c r="AX24" s="118">
        <f t="shared" si="9"/>
        <v>0</v>
      </c>
      <c r="AY24" s="272">
        <f t="shared" si="9"/>
        <v>0</v>
      </c>
      <c r="AZ24" s="272">
        <f t="shared" si="9"/>
        <v>0</v>
      </c>
      <c r="BA24" s="272">
        <f t="shared" si="9"/>
        <v>0</v>
      </c>
      <c r="BB24" s="118">
        <f t="shared" si="9"/>
        <v>0</v>
      </c>
      <c r="BC24" s="272">
        <f t="shared" si="9"/>
        <v>0</v>
      </c>
      <c r="BD24" s="272">
        <f>SUM(BD15:BD23)</f>
        <v>0</v>
      </c>
      <c r="BE24" s="272">
        <f>SUM(BE15:BE23)</f>
        <v>0</v>
      </c>
      <c r="BF24" s="278">
        <f t="shared" si="7"/>
        <v>0</v>
      </c>
      <c r="BG24" s="279">
        <f t="shared" si="7"/>
        <v>0</v>
      </c>
      <c r="BH24" s="279">
        <f t="shared" si="7"/>
        <v>0</v>
      </c>
      <c r="BI24" s="705">
        <f t="shared" si="7"/>
        <v>0</v>
      </c>
    </row>
    <row r="25" spans="3:61" s="119" customFormat="1" ht="9" customHeight="1" thickBot="1">
      <c r="C25" s="121"/>
      <c r="D25" s="121"/>
      <c r="E25" s="121"/>
      <c r="F25" s="121"/>
      <c r="H25" s="122"/>
      <c r="I25" s="122"/>
      <c r="J25" s="125"/>
      <c r="K25" s="126"/>
      <c r="L25" s="126"/>
      <c r="M25" s="126"/>
      <c r="N25" s="125"/>
      <c r="O25" s="126"/>
      <c r="P25" s="126"/>
      <c r="Q25" s="126"/>
      <c r="R25" s="125"/>
      <c r="S25" s="126"/>
      <c r="T25" s="126"/>
      <c r="U25" s="126"/>
      <c r="V25" s="125"/>
      <c r="W25" s="126"/>
      <c r="X25" s="126"/>
      <c r="Y25" s="126"/>
      <c r="Z25" s="125"/>
      <c r="AA25" s="126"/>
      <c r="AB25" s="126"/>
      <c r="AC25" s="126"/>
      <c r="AD25" s="125"/>
      <c r="AE25" s="126"/>
      <c r="AF25" s="126"/>
      <c r="AG25" s="126"/>
      <c r="AH25" s="125"/>
      <c r="AI25" s="126"/>
      <c r="AJ25" s="126"/>
      <c r="AK25" s="126"/>
      <c r="AL25" s="125"/>
      <c r="AM25" s="126"/>
      <c r="AN25" s="126"/>
      <c r="AO25" s="126"/>
      <c r="AP25" s="125"/>
      <c r="AQ25" s="126"/>
      <c r="AR25" s="126"/>
      <c r="AS25" s="126"/>
      <c r="AT25" s="125"/>
      <c r="AU25" s="126"/>
      <c r="AV25" s="126"/>
      <c r="AW25" s="126"/>
      <c r="AX25" s="125"/>
      <c r="AY25" s="126"/>
      <c r="AZ25" s="126"/>
      <c r="BA25" s="126"/>
      <c r="BB25" s="125"/>
      <c r="BC25" s="126"/>
      <c r="BD25" s="126"/>
      <c r="BE25" s="126"/>
      <c r="BF25" s="125"/>
      <c r="BG25" s="126"/>
    </row>
    <row r="26" spans="3:61" s="28" customFormat="1" ht="26.25" customHeight="1" thickBot="1">
      <c r="D26" s="29"/>
      <c r="E26" s="29"/>
      <c r="F26" s="29"/>
      <c r="H26" s="1893" t="s">
        <v>49</v>
      </c>
      <c r="I26" s="1894"/>
      <c r="J26" s="123">
        <f t="shared" ref="J26:BI26" si="10">J10+J24</f>
        <v>0</v>
      </c>
      <c r="K26" s="280">
        <f t="shared" si="10"/>
        <v>0</v>
      </c>
      <c r="L26" s="280">
        <f>L10+L24</f>
        <v>0</v>
      </c>
      <c r="M26" s="280">
        <f>M10+M24</f>
        <v>0</v>
      </c>
      <c r="N26" s="123">
        <f t="shared" ref="N26:O26" si="11">N10+N24</f>
        <v>0</v>
      </c>
      <c r="O26" s="280">
        <f t="shared" si="11"/>
        <v>0</v>
      </c>
      <c r="P26" s="280">
        <f>P10+P24</f>
        <v>0</v>
      </c>
      <c r="Q26" s="280">
        <f>Q10+Q24</f>
        <v>0</v>
      </c>
      <c r="R26" s="123">
        <f t="shared" ref="R26:S26" si="12">R10+R24</f>
        <v>0</v>
      </c>
      <c r="S26" s="280">
        <f t="shared" si="12"/>
        <v>0</v>
      </c>
      <c r="T26" s="280">
        <f>T10+T24</f>
        <v>0</v>
      </c>
      <c r="U26" s="280">
        <f>U10+U24</f>
        <v>0</v>
      </c>
      <c r="V26" s="123">
        <f t="shared" ref="V26:W26" si="13">V10+V24</f>
        <v>0</v>
      </c>
      <c r="W26" s="280">
        <f t="shared" si="13"/>
        <v>0</v>
      </c>
      <c r="X26" s="280">
        <f>X10+X24</f>
        <v>0</v>
      </c>
      <c r="Y26" s="280">
        <f>Y10+Y24</f>
        <v>0</v>
      </c>
      <c r="Z26" s="123">
        <f t="shared" ref="Z26:AA26" si="14">Z10+Z24</f>
        <v>0</v>
      </c>
      <c r="AA26" s="280">
        <f t="shared" si="14"/>
        <v>0</v>
      </c>
      <c r="AB26" s="280">
        <f>AB10+AB24</f>
        <v>0</v>
      </c>
      <c r="AC26" s="280">
        <f>AC10+AC24</f>
        <v>0</v>
      </c>
      <c r="AD26" s="123">
        <f t="shared" ref="AD26:AE26" si="15">AD10+AD24</f>
        <v>0</v>
      </c>
      <c r="AE26" s="280">
        <f t="shared" si="15"/>
        <v>0</v>
      </c>
      <c r="AF26" s="280">
        <f>AF10+AF24</f>
        <v>0</v>
      </c>
      <c r="AG26" s="280">
        <f>AG10+AG24</f>
        <v>0</v>
      </c>
      <c r="AH26" s="127">
        <f t="shared" ref="AH26:AI26" si="16">AH10+AH24</f>
        <v>0</v>
      </c>
      <c r="AI26" s="280">
        <f t="shared" si="16"/>
        <v>0</v>
      </c>
      <c r="AJ26" s="697">
        <f>AJ10+AJ24</f>
        <v>0</v>
      </c>
      <c r="AK26" s="696">
        <f>AK10+AK24</f>
        <v>0</v>
      </c>
      <c r="AL26" s="123">
        <f t="shared" ref="AL26:AM26" si="17">AL10+AL24</f>
        <v>0</v>
      </c>
      <c r="AM26" s="1176">
        <f t="shared" si="17"/>
        <v>0</v>
      </c>
      <c r="AN26" s="280">
        <f>AN10+AN24</f>
        <v>0</v>
      </c>
      <c r="AO26" s="280">
        <f>AO10+AO24</f>
        <v>0</v>
      </c>
      <c r="AP26" s="123">
        <f t="shared" ref="AP26:AQ26" si="18">AP10+AP24</f>
        <v>0</v>
      </c>
      <c r="AQ26" s="280">
        <f t="shared" si="18"/>
        <v>0</v>
      </c>
      <c r="AR26" s="280">
        <f>AR10+AR24</f>
        <v>0</v>
      </c>
      <c r="AS26" s="280">
        <f>AS10+AS24</f>
        <v>0</v>
      </c>
      <c r="AT26" s="123">
        <f t="shared" ref="AT26:AU26" si="19">AT10+AT24</f>
        <v>0</v>
      </c>
      <c r="AU26" s="280">
        <f t="shared" si="19"/>
        <v>0</v>
      </c>
      <c r="AV26" s="280">
        <f>AV10+AV24</f>
        <v>0</v>
      </c>
      <c r="AW26" s="280">
        <f>AW10+AW24</f>
        <v>0</v>
      </c>
      <c r="AX26" s="123">
        <f t="shared" ref="AX26:AY26" si="20">AX10+AX24</f>
        <v>0</v>
      </c>
      <c r="AY26" s="280">
        <f t="shared" si="20"/>
        <v>0</v>
      </c>
      <c r="AZ26" s="280">
        <f>AZ10+AZ24</f>
        <v>0</v>
      </c>
      <c r="BA26" s="280">
        <f>BA10+BA24</f>
        <v>0</v>
      </c>
      <c r="BB26" s="127">
        <f t="shared" ref="BB26:BC26" si="21">BB10+BB24</f>
        <v>0</v>
      </c>
      <c r="BC26" s="280">
        <f t="shared" si="21"/>
        <v>0</v>
      </c>
      <c r="BD26" s="697">
        <f>BD10+BD24</f>
        <v>0</v>
      </c>
      <c r="BE26" s="697">
        <f>BE10+BE24</f>
        <v>0</v>
      </c>
      <c r="BF26" s="124">
        <f>BF10+BF24</f>
        <v>0</v>
      </c>
      <c r="BG26" s="707">
        <f t="shared" si="10"/>
        <v>0</v>
      </c>
      <c r="BH26" s="706">
        <f t="shared" si="10"/>
        <v>0</v>
      </c>
      <c r="BI26" s="284">
        <f t="shared" si="10"/>
        <v>0</v>
      </c>
    </row>
    <row r="27" spans="3:61" ht="21" customHeight="1">
      <c r="H27" s="320"/>
      <c r="I27" s="320"/>
      <c r="J27" s="321"/>
      <c r="K27" s="321"/>
      <c r="L27" s="321"/>
      <c r="M27" s="321"/>
      <c r="N27" s="321"/>
      <c r="O27" s="321"/>
      <c r="P27" s="321"/>
      <c r="Q27" s="321"/>
      <c r="R27" s="321"/>
      <c r="S27" s="321"/>
      <c r="T27" s="321"/>
      <c r="U27" s="321"/>
      <c r="V27" s="321"/>
      <c r="W27" s="321"/>
      <c r="X27" s="323"/>
      <c r="Y27" s="323"/>
      <c r="Z27" s="321"/>
      <c r="AA27" s="321"/>
      <c r="AB27" s="323"/>
      <c r="AC27" s="323"/>
      <c r="AD27" s="321"/>
      <c r="AE27" s="321"/>
      <c r="AF27" s="321"/>
      <c r="AG27" s="321"/>
      <c r="AH27" s="321"/>
      <c r="AI27" s="321"/>
      <c r="AJ27" s="321"/>
      <c r="AK27" s="321"/>
      <c r="AL27" s="321"/>
      <c r="AM27" s="321"/>
      <c r="AN27" s="321"/>
      <c r="AO27" s="321"/>
      <c r="AP27" s="321"/>
      <c r="AQ27" s="321"/>
      <c r="AR27" s="321"/>
      <c r="AS27" s="321"/>
      <c r="AT27" s="321"/>
      <c r="AU27" s="321"/>
      <c r="AV27" s="321"/>
      <c r="AW27" s="321"/>
      <c r="AX27" s="321"/>
      <c r="AY27" s="321"/>
      <c r="AZ27" s="321"/>
      <c r="BA27" s="321"/>
      <c r="BB27" s="335"/>
      <c r="BC27" s="1918">
        <f>SUM(I27:AZ29)</f>
        <v>0</v>
      </c>
      <c r="BD27" s="335"/>
      <c r="BE27" s="335"/>
      <c r="BF27" s="335"/>
      <c r="BG27" s="335"/>
      <c r="BH27" s="1917">
        <f>BH26+BI26</f>
        <v>0</v>
      </c>
      <c r="BI27" s="1917"/>
    </row>
    <row r="28" spans="3:61" ht="21" customHeight="1">
      <c r="H28" s="320"/>
      <c r="I28" s="320"/>
      <c r="J28" s="322"/>
      <c r="K28" s="323"/>
      <c r="L28" s="323"/>
      <c r="M28" s="323"/>
      <c r="N28" s="322"/>
      <c r="O28" s="323"/>
      <c r="P28" s="323"/>
      <c r="Q28" s="323"/>
      <c r="R28" s="322"/>
      <c r="S28" s="323"/>
      <c r="T28" s="323"/>
      <c r="U28" s="323"/>
      <c r="V28" s="321"/>
      <c r="W28" s="323"/>
      <c r="X28" s="323"/>
      <c r="Y28" s="323"/>
      <c r="Z28" s="322"/>
      <c r="AA28" s="323"/>
      <c r="AB28" s="323"/>
      <c r="AC28" s="323"/>
      <c r="AD28" s="322"/>
      <c r="AE28" s="323"/>
      <c r="AF28" s="323"/>
      <c r="AG28" s="322"/>
      <c r="AH28" s="322"/>
      <c r="AI28" s="323"/>
      <c r="AJ28" s="323"/>
      <c r="AK28" s="323"/>
      <c r="AL28" s="321"/>
      <c r="AM28" s="323"/>
      <c r="AN28" s="622"/>
      <c r="AO28" s="622"/>
      <c r="AP28" s="321"/>
      <c r="AQ28" s="323"/>
      <c r="AR28" s="323"/>
      <c r="AS28" s="323"/>
      <c r="AT28" s="322"/>
      <c r="AU28" s="323"/>
      <c r="AV28" s="323"/>
      <c r="AW28" s="323"/>
      <c r="AX28" s="322"/>
      <c r="AY28" s="468"/>
      <c r="AZ28" s="468"/>
      <c r="BA28" s="468"/>
      <c r="BB28" s="392"/>
      <c r="BC28" s="1919"/>
      <c r="BD28" s="434"/>
      <c r="BE28" s="434"/>
      <c r="BF28" s="435"/>
      <c r="BG28" s="434"/>
      <c r="BH28" s="726"/>
      <c r="BI28" s="434"/>
    </row>
    <row r="29" spans="3:61" ht="23.25">
      <c r="H29" s="320"/>
      <c r="I29" s="320"/>
      <c r="J29" s="322"/>
      <c r="K29" s="323"/>
      <c r="L29" s="323"/>
      <c r="M29" s="323"/>
      <c r="N29" s="322"/>
      <c r="O29" s="323"/>
      <c r="P29" s="323"/>
      <c r="Q29" s="323"/>
      <c r="R29" s="322"/>
      <c r="S29" s="323"/>
      <c r="T29" s="323"/>
      <c r="U29" s="323"/>
      <c r="V29" s="322"/>
      <c r="W29" s="323"/>
      <c r="X29" s="323"/>
      <c r="Y29" s="323"/>
      <c r="Z29" s="322"/>
      <c r="AA29" s="323"/>
      <c r="AB29" s="323"/>
      <c r="AC29" s="323"/>
      <c r="AD29" s="322"/>
      <c r="AE29" s="323"/>
      <c r="AF29" s="688"/>
      <c r="AG29" s="688"/>
      <c r="AH29" s="322"/>
      <c r="AI29" s="322"/>
      <c r="AJ29" s="323"/>
      <c r="AK29" s="323"/>
      <c r="AL29" s="321"/>
      <c r="AM29" s="323"/>
      <c r="AN29" s="321"/>
      <c r="AO29" s="321"/>
      <c r="AP29" s="322"/>
      <c r="AQ29" s="323"/>
      <c r="AR29" s="323"/>
      <c r="AS29" s="323"/>
      <c r="AT29" s="322"/>
      <c r="AU29" s="323"/>
      <c r="AV29" s="323"/>
      <c r="AW29" s="323"/>
      <c r="AX29" s="322"/>
      <c r="AY29" s="468"/>
      <c r="AZ29" s="468"/>
      <c r="BA29" s="468"/>
      <c r="BB29" s="392"/>
      <c r="BC29" s="434"/>
      <c r="BD29" s="434"/>
      <c r="BE29" s="434"/>
      <c r="BF29" s="435"/>
      <c r="BG29" s="434"/>
      <c r="BH29" s="682"/>
      <c r="BI29" s="434"/>
    </row>
    <row r="30" spans="3:61" s="464" customFormat="1" ht="21.75" thickBot="1">
      <c r="D30" s="576"/>
      <c r="E30" s="576"/>
      <c r="F30" s="576"/>
      <c r="I30" s="577"/>
      <c r="J30" s="578"/>
      <c r="K30" s="579"/>
      <c r="L30" s="579"/>
      <c r="M30" s="579"/>
      <c r="N30" s="578"/>
      <c r="O30" s="579"/>
      <c r="P30" s="579"/>
      <c r="Q30" s="579"/>
      <c r="R30" s="578"/>
      <c r="S30" s="579"/>
      <c r="T30" s="579"/>
      <c r="U30" s="579"/>
      <c r="V30" s="578"/>
      <c r="W30" s="578"/>
      <c r="X30" s="579"/>
      <c r="Y30" s="579"/>
      <c r="Z30" s="579"/>
      <c r="AA30" s="578"/>
      <c r="AB30" s="579"/>
      <c r="AC30" s="579"/>
      <c r="AD30" s="579"/>
      <c r="AE30" s="578"/>
      <c r="AF30" s="579"/>
      <c r="AG30" s="579"/>
      <c r="AH30" s="621"/>
      <c r="AI30" s="578"/>
      <c r="AJ30" s="579"/>
      <c r="AK30" s="579"/>
      <c r="AM30" s="580"/>
      <c r="AN30" s="579"/>
      <c r="AO30" s="579"/>
      <c r="AP30" s="579"/>
      <c r="AQ30" s="578"/>
      <c r="AR30" s="579"/>
      <c r="AS30" s="579"/>
      <c r="AT30" s="579"/>
      <c r="AU30" s="578"/>
      <c r="AV30" s="579"/>
      <c r="AW30" s="579"/>
      <c r="AZ30" s="581"/>
      <c r="BA30" s="581"/>
      <c r="BB30" s="581"/>
      <c r="BC30" s="582"/>
      <c r="BD30" s="583"/>
      <c r="BE30" s="583"/>
      <c r="BF30" s="583"/>
      <c r="BG30" s="584"/>
      <c r="BH30" s="583"/>
      <c r="BI30" s="585"/>
    </row>
    <row r="31" spans="3:61" ht="35.25" customHeight="1" thickBot="1">
      <c r="I31" s="577"/>
      <c r="L31" s="1929" t="s">
        <v>351</v>
      </c>
      <c r="M31" s="1930"/>
      <c r="N31" s="1930"/>
      <c r="O31" s="1930"/>
      <c r="P31" s="1930"/>
      <c r="Q31" s="1930"/>
      <c r="R31" s="1930"/>
      <c r="S31" s="1931"/>
      <c r="T31" s="579"/>
      <c r="U31" s="579"/>
      <c r="V31" s="1929" t="s">
        <v>204</v>
      </c>
      <c r="W31" s="1930"/>
      <c r="X31" s="1930"/>
      <c r="Y31" s="1930"/>
      <c r="Z31" s="1930"/>
      <c r="AA31" s="1930"/>
      <c r="AB31" s="1930"/>
      <c r="AC31" s="1935"/>
      <c r="AD31" s="1936"/>
      <c r="AE31" s="579"/>
      <c r="AF31" s="579"/>
      <c r="AG31" s="26"/>
      <c r="AH31" s="24"/>
      <c r="AJ31" s="579"/>
      <c r="AK31" s="579"/>
      <c r="AL31" s="464"/>
      <c r="AM31" s="580"/>
      <c r="AN31" s="579"/>
      <c r="AO31" s="579"/>
      <c r="AP31" s="24"/>
      <c r="AS31" s="26"/>
      <c r="AT31" s="24"/>
      <c r="AX31" s="24"/>
      <c r="AY31" s="25"/>
      <c r="AZ31" s="25"/>
      <c r="BA31" s="24"/>
      <c r="BB31" s="24"/>
      <c r="BE31" s="23"/>
      <c r="BF31" s="1124"/>
      <c r="BG31" s="23"/>
    </row>
    <row r="32" spans="3:61" s="24" customFormat="1" ht="36.75" customHeight="1" thickBot="1">
      <c r="C32" s="23"/>
      <c r="D32" s="27"/>
      <c r="E32" s="27"/>
      <c r="F32" s="27"/>
      <c r="G32" s="23"/>
      <c r="H32" s="23"/>
      <c r="I32" s="27"/>
      <c r="L32" s="450" t="s">
        <v>0</v>
      </c>
      <c r="M32" s="439" t="s">
        <v>200</v>
      </c>
      <c r="N32" s="454" t="s">
        <v>205</v>
      </c>
      <c r="O32" s="439" t="s">
        <v>31</v>
      </c>
      <c r="P32" s="448" t="s">
        <v>201</v>
      </c>
      <c r="Q32" s="455" t="s">
        <v>206</v>
      </c>
      <c r="R32" s="436" t="s">
        <v>22</v>
      </c>
      <c r="S32" s="438" t="s">
        <v>191</v>
      </c>
      <c r="T32" s="579"/>
      <c r="U32" s="579"/>
      <c r="V32" s="571" t="s">
        <v>0</v>
      </c>
      <c r="W32" s="572" t="s">
        <v>200</v>
      </c>
      <c r="X32" s="623" t="s">
        <v>205</v>
      </c>
      <c r="Y32" s="572" t="s">
        <v>31</v>
      </c>
      <c r="Z32" s="573" t="s">
        <v>201</v>
      </c>
      <c r="AA32" s="574" t="s">
        <v>206</v>
      </c>
      <c r="AB32" s="717" t="s">
        <v>22</v>
      </c>
      <c r="AC32" s="721" t="s">
        <v>191</v>
      </c>
      <c r="AD32" s="722" t="s">
        <v>226</v>
      </c>
      <c r="AE32" s="579"/>
      <c r="AF32" s="579"/>
      <c r="AG32" s="599"/>
      <c r="AH32" s="599"/>
      <c r="AI32" s="599"/>
      <c r="AJ32" s="579"/>
      <c r="AK32" s="579"/>
      <c r="AL32" s="464"/>
      <c r="AM32" s="580"/>
      <c r="AN32" s="579"/>
      <c r="AO32" s="579"/>
      <c r="AT32" s="25"/>
      <c r="AU32" s="25"/>
      <c r="AW32" s="23"/>
      <c r="AX32" s="23"/>
    </row>
    <row r="33" spans="1:59" ht="23.25">
      <c r="L33" s="441" t="s">
        <v>189</v>
      </c>
      <c r="M33" s="470">
        <f>$J$6</f>
        <v>0</v>
      </c>
      <c r="N33" s="430">
        <f>$J9</f>
        <v>0</v>
      </c>
      <c r="O33" s="430">
        <f>$J7</f>
        <v>0</v>
      </c>
      <c r="P33" s="430">
        <f>$J8</f>
        <v>0</v>
      </c>
      <c r="Q33" s="430">
        <f>J15+J16+J17+J18+J19+J21+J22+J23</f>
        <v>0</v>
      </c>
      <c r="R33" s="430">
        <f>$J20</f>
        <v>0</v>
      </c>
      <c r="S33" s="446">
        <f t="shared" ref="S33:S42" si="22">SUM(M33:R33)</f>
        <v>0</v>
      </c>
      <c r="T33" s="579"/>
      <c r="U33" s="579"/>
      <c r="V33" s="447" t="s">
        <v>189</v>
      </c>
      <c r="W33" s="569">
        <f>L$6</f>
        <v>0</v>
      </c>
      <c r="X33" s="570">
        <f>$L9</f>
        <v>0</v>
      </c>
      <c r="Y33" s="570">
        <f>$L7</f>
        <v>0</v>
      </c>
      <c r="Z33" s="570">
        <f>$L8</f>
        <v>0</v>
      </c>
      <c r="AA33" s="570">
        <f>L$15+L$16+L$17+L$18+L$19+L$21+L$22+L$23</f>
        <v>0</v>
      </c>
      <c r="AB33" s="718">
        <f>$L20</f>
        <v>0</v>
      </c>
      <c r="AC33" s="723">
        <f t="shared" ref="AC33:AC42" si="23">SUM(W33:AB33)</f>
        <v>0</v>
      </c>
      <c r="AD33" s="587">
        <f>M6+M7+M8++M9+M15+M16+M17+M18+M19+M21+M20+M22+M23</f>
        <v>0</v>
      </c>
      <c r="AE33" s="579">
        <f>AC33+AD33</f>
        <v>0</v>
      </c>
      <c r="AF33" s="579"/>
      <c r="AG33" s="599"/>
      <c r="AH33" s="599"/>
      <c r="AI33" s="599"/>
      <c r="AJ33" s="579"/>
      <c r="AK33" s="579"/>
      <c r="AL33" s="464"/>
      <c r="AM33" s="580"/>
      <c r="AN33" s="579"/>
      <c r="AO33" s="579"/>
      <c r="AP33" s="24"/>
      <c r="AT33" s="25"/>
      <c r="AU33" s="25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</row>
    <row r="34" spans="1:59" s="24" customFormat="1" ht="23.25">
      <c r="A34" s="23"/>
      <c r="B34" s="23"/>
      <c r="C34" s="23"/>
      <c r="D34" s="27"/>
      <c r="E34" s="27"/>
      <c r="F34" s="27"/>
      <c r="G34" s="23"/>
      <c r="H34" s="23"/>
      <c r="I34" s="27"/>
      <c r="L34" s="441" t="s">
        <v>183</v>
      </c>
      <c r="M34" s="470">
        <f>$N$6</f>
        <v>0</v>
      </c>
      <c r="N34" s="430">
        <f>$N9</f>
        <v>0</v>
      </c>
      <c r="O34" s="430">
        <f>$N7</f>
        <v>0</v>
      </c>
      <c r="P34" s="430">
        <f>$N8</f>
        <v>0</v>
      </c>
      <c r="Q34" s="430">
        <f>N15+N16+N17+N18+N19+N21+N22+N23</f>
        <v>0</v>
      </c>
      <c r="R34" s="430">
        <f>$N20</f>
        <v>0</v>
      </c>
      <c r="S34" s="446">
        <f t="shared" si="22"/>
        <v>0</v>
      </c>
      <c r="T34" s="686"/>
      <c r="U34" s="26"/>
      <c r="V34" s="441" t="s">
        <v>183</v>
      </c>
      <c r="W34" s="440">
        <f>P$6</f>
        <v>0</v>
      </c>
      <c r="X34" s="430">
        <f>$P9</f>
        <v>0</v>
      </c>
      <c r="Y34" s="430">
        <f>$P7</f>
        <v>0</v>
      </c>
      <c r="Z34" s="430">
        <f>$P8</f>
        <v>0</v>
      </c>
      <c r="AA34" s="430">
        <f>P$15+P$16+P$17+P$18+P$19+P$21+P$22+P$23</f>
        <v>0</v>
      </c>
      <c r="AB34" s="719">
        <f>$P20</f>
        <v>0</v>
      </c>
      <c r="AC34" s="723">
        <f t="shared" si="23"/>
        <v>0</v>
      </c>
      <c r="AD34" s="587">
        <f>Q6+Q7+Q8+Q9+Q15+Q16+Q17+Q18+Q19+Q20+Q21+Q22+Q23</f>
        <v>0</v>
      </c>
      <c r="AE34" s="579">
        <f t="shared" ref="AE34:AE43" si="24">AC34+AD34</f>
        <v>0</v>
      </c>
      <c r="AG34" s="599"/>
      <c r="AH34" s="599"/>
      <c r="AI34" s="599"/>
      <c r="AJ34" s="579"/>
      <c r="AK34" s="579"/>
      <c r="AL34" s="464"/>
      <c r="AM34" s="580"/>
      <c r="AN34" s="579"/>
      <c r="AO34" s="579"/>
      <c r="AT34" s="25"/>
      <c r="AU34" s="25"/>
    </row>
    <row r="35" spans="1:59" ht="23.25">
      <c r="L35" s="441" t="s">
        <v>184</v>
      </c>
      <c r="M35" s="470">
        <f>$R$6</f>
        <v>0</v>
      </c>
      <c r="N35" s="430">
        <f>$R9</f>
        <v>0</v>
      </c>
      <c r="O35" s="430">
        <f>$R7</f>
        <v>0</v>
      </c>
      <c r="P35" s="430">
        <f>$R8</f>
        <v>0</v>
      </c>
      <c r="Q35" s="430">
        <f>R15+R16+R17+R18+R19+R21+R22+R23</f>
        <v>0</v>
      </c>
      <c r="R35" s="430">
        <f>$R20</f>
        <v>0</v>
      </c>
      <c r="S35" s="446">
        <f t="shared" si="22"/>
        <v>0</v>
      </c>
      <c r="T35" s="686"/>
      <c r="U35" s="26"/>
      <c r="V35" s="441" t="s">
        <v>184</v>
      </c>
      <c r="W35" s="440">
        <f>T$6</f>
        <v>0</v>
      </c>
      <c r="X35" s="430">
        <f>$T9</f>
        <v>0</v>
      </c>
      <c r="Y35" s="430">
        <f>$T7</f>
        <v>0</v>
      </c>
      <c r="Z35" s="430">
        <f>$T8</f>
        <v>0</v>
      </c>
      <c r="AA35" s="430">
        <f>T$15+T$16+T$17+T$18+T$19+T$21+T$22+T$23</f>
        <v>0</v>
      </c>
      <c r="AB35" s="719">
        <f>$T20</f>
        <v>0</v>
      </c>
      <c r="AC35" s="723">
        <f t="shared" si="23"/>
        <v>0</v>
      </c>
      <c r="AD35" s="587">
        <f>U6+U7+U8+U9+U15+U16+U17+U18+U19+U20+U21+U22+U23</f>
        <v>0</v>
      </c>
      <c r="AE35" s="579">
        <f t="shared" si="24"/>
        <v>0</v>
      </c>
      <c r="AF35" s="26"/>
      <c r="AG35" s="599"/>
      <c r="AH35" s="599"/>
      <c r="AI35" s="599"/>
      <c r="AL35" s="24"/>
      <c r="AN35" s="26"/>
      <c r="AP35" s="24"/>
      <c r="AT35" s="25"/>
      <c r="AU35" s="25"/>
      <c r="AX35" s="23"/>
      <c r="AY35" s="23"/>
      <c r="AZ35" s="23"/>
      <c r="BA35" s="23"/>
      <c r="BB35" s="23"/>
      <c r="BC35" s="23"/>
      <c r="BD35" s="23"/>
      <c r="BE35" s="23"/>
      <c r="BF35" s="23"/>
      <c r="BG35" s="23"/>
    </row>
    <row r="36" spans="1:59" ht="23.25">
      <c r="L36" s="441" t="s">
        <v>170</v>
      </c>
      <c r="M36" s="470">
        <f>$V$6</f>
        <v>0</v>
      </c>
      <c r="N36" s="430">
        <f>$V9</f>
        <v>0</v>
      </c>
      <c r="O36" s="430">
        <f>$V7</f>
        <v>0</v>
      </c>
      <c r="P36" s="430">
        <f>$V8</f>
        <v>0</v>
      </c>
      <c r="Q36" s="430">
        <f>V15+V16+V17+V18+V19+V21++V22+V23</f>
        <v>0</v>
      </c>
      <c r="R36" s="430">
        <f>$V20</f>
        <v>0</v>
      </c>
      <c r="S36" s="446">
        <f t="shared" si="22"/>
        <v>0</v>
      </c>
      <c r="T36" s="686"/>
      <c r="U36" s="26"/>
      <c r="V36" s="441" t="s">
        <v>170</v>
      </c>
      <c r="W36" s="440">
        <f>X$6</f>
        <v>0</v>
      </c>
      <c r="X36" s="430">
        <f>$X9</f>
        <v>0</v>
      </c>
      <c r="Y36" s="430">
        <f>$X7</f>
        <v>0</v>
      </c>
      <c r="Z36" s="430">
        <f>$X8</f>
        <v>0</v>
      </c>
      <c r="AA36" s="430">
        <f>X$15+X$16+X$17+X$18+X$19+X$21+X$22+X$23</f>
        <v>0</v>
      </c>
      <c r="AB36" s="719">
        <f>$X20</f>
        <v>0</v>
      </c>
      <c r="AC36" s="723">
        <f t="shared" si="23"/>
        <v>0</v>
      </c>
      <c r="AD36" s="587">
        <f>Y6+Y7+Y8+Y9+Y15+Y16+Y17+Y18+Y19+Y20+Y21+Y22+Y23</f>
        <v>0</v>
      </c>
      <c r="AE36" s="579">
        <f t="shared" si="24"/>
        <v>0</v>
      </c>
      <c r="AF36" s="26"/>
      <c r="AG36" s="599"/>
      <c r="AH36" s="599"/>
      <c r="AI36" s="599"/>
      <c r="AL36" s="24"/>
      <c r="AN36" s="26"/>
      <c r="AP36" s="24"/>
      <c r="AT36" s="25"/>
      <c r="AU36" s="25"/>
      <c r="AX36" s="23"/>
      <c r="AY36" s="23"/>
      <c r="AZ36" s="23"/>
      <c r="BA36" s="23"/>
      <c r="BB36" s="23"/>
      <c r="BC36" s="23"/>
      <c r="BD36" s="23"/>
      <c r="BE36" s="23"/>
      <c r="BF36" s="23"/>
      <c r="BG36" s="23"/>
    </row>
    <row r="37" spans="1:59" ht="23.25">
      <c r="L37" s="441" t="s">
        <v>171</v>
      </c>
      <c r="M37" s="470">
        <f>$Z$6</f>
        <v>0</v>
      </c>
      <c r="N37" s="430">
        <f>$Z9</f>
        <v>0</v>
      </c>
      <c r="O37" s="430">
        <f>$Z7</f>
        <v>0</v>
      </c>
      <c r="P37" s="430">
        <f>$Z8</f>
        <v>0</v>
      </c>
      <c r="Q37" s="430">
        <f>Z15+Z16+Z17+Z18+Z19+Z21+Z22+Z23</f>
        <v>0</v>
      </c>
      <c r="R37" s="430">
        <f>$Z20</f>
        <v>0</v>
      </c>
      <c r="S37" s="446">
        <f t="shared" si="22"/>
        <v>0</v>
      </c>
      <c r="T37" s="686"/>
      <c r="U37" s="26"/>
      <c r="V37" s="441" t="s">
        <v>171</v>
      </c>
      <c r="W37" s="440">
        <f>AB$6</f>
        <v>0</v>
      </c>
      <c r="X37" s="430">
        <f>$AB9</f>
        <v>0</v>
      </c>
      <c r="Y37" s="430">
        <f>$AB7</f>
        <v>0</v>
      </c>
      <c r="Z37" s="430">
        <f>$AB8</f>
        <v>0</v>
      </c>
      <c r="AA37" s="430">
        <f>AB$15+AB$16+AB$17+AB$18+AB$19+AB$21+AB$22+AB$23</f>
        <v>0</v>
      </c>
      <c r="AB37" s="719">
        <f>$AB20</f>
        <v>0</v>
      </c>
      <c r="AC37" s="723">
        <f t="shared" si="23"/>
        <v>0</v>
      </c>
      <c r="AD37" s="587">
        <f>AC6+AC7+AC8+AC9+AC15+AC17+AC16+AC18+AC19+AC20+AC21+AC22+AC23</f>
        <v>0</v>
      </c>
      <c r="AE37" s="579">
        <f t="shared" si="24"/>
        <v>0</v>
      </c>
      <c r="AF37" s="26"/>
      <c r="AG37" s="26"/>
      <c r="AI37" s="26"/>
      <c r="AJ37" s="26"/>
      <c r="AK37" s="26"/>
      <c r="AL37" s="24"/>
      <c r="AN37" s="26"/>
      <c r="AP37" s="24"/>
      <c r="AT37" s="24"/>
      <c r="AX37" s="23"/>
      <c r="AY37" s="23"/>
      <c r="AZ37" s="23"/>
      <c r="BA37" s="23"/>
      <c r="BB37" s="23"/>
      <c r="BC37" s="23"/>
      <c r="BD37" s="23"/>
      <c r="BE37" s="23"/>
      <c r="BF37" s="23"/>
      <c r="BG37" s="23"/>
    </row>
    <row r="38" spans="1:59" ht="23.25">
      <c r="L38" s="441" t="s">
        <v>190</v>
      </c>
      <c r="M38" s="492">
        <f>$AD$6</f>
        <v>0</v>
      </c>
      <c r="N38" s="471">
        <f>$AD9</f>
        <v>0</v>
      </c>
      <c r="O38" s="471">
        <f>$AD7</f>
        <v>0</v>
      </c>
      <c r="P38" s="471">
        <f>$AD8</f>
        <v>0</v>
      </c>
      <c r="Q38" s="430">
        <f>AD15+AD16+AD17+AD18+AD19+AD21+AD22+AD23</f>
        <v>0</v>
      </c>
      <c r="R38" s="471">
        <f>$AD20</f>
        <v>0</v>
      </c>
      <c r="S38" s="446">
        <f t="shared" si="22"/>
        <v>0</v>
      </c>
      <c r="T38" s="686"/>
      <c r="U38" s="26"/>
      <c r="V38" s="441" t="s">
        <v>190</v>
      </c>
      <c r="W38" s="440">
        <f>AF$6</f>
        <v>0</v>
      </c>
      <c r="X38" s="430">
        <f>$AF9</f>
        <v>0</v>
      </c>
      <c r="Y38" s="430">
        <f>$AF7</f>
        <v>0</v>
      </c>
      <c r="Z38" s="430">
        <f>$AF8</f>
        <v>0</v>
      </c>
      <c r="AA38" s="430">
        <f>AF$15+AF$16+AF$17+AF$18+AF$19+AF$21+AF$22+AF$23</f>
        <v>0</v>
      </c>
      <c r="AB38" s="719">
        <f>$AF20</f>
        <v>0</v>
      </c>
      <c r="AC38" s="723">
        <f t="shared" si="23"/>
        <v>0</v>
      </c>
      <c r="AD38" s="587">
        <f>AG6+AG7+AG8+AG9+AG15+AG16+AG17+AG18+AG19+AG20+AG21+AG22+AG23</f>
        <v>0</v>
      </c>
      <c r="AE38" s="579">
        <f t="shared" si="24"/>
        <v>0</v>
      </c>
      <c r="AF38" s="26"/>
      <c r="AG38" s="26"/>
      <c r="AI38" s="26"/>
      <c r="AJ38" s="26"/>
      <c r="AK38" s="26"/>
      <c r="AL38" s="24"/>
      <c r="AN38" s="26"/>
      <c r="AP38" s="24"/>
      <c r="AT38" s="24"/>
      <c r="AX38" s="23"/>
      <c r="AY38" s="23"/>
      <c r="AZ38" s="23"/>
      <c r="BA38" s="23"/>
      <c r="BB38" s="23"/>
      <c r="BC38" s="23"/>
      <c r="BD38" s="23"/>
      <c r="BE38" s="23"/>
      <c r="BF38" s="23"/>
      <c r="BG38" s="23"/>
    </row>
    <row r="39" spans="1:59" ht="23.25">
      <c r="L39" s="441" t="s">
        <v>185</v>
      </c>
      <c r="M39" s="470">
        <f>$AL$6</f>
        <v>0</v>
      </c>
      <c r="N39" s="430">
        <f>$AL9</f>
        <v>0</v>
      </c>
      <c r="O39" s="430">
        <f>$AL7</f>
        <v>0</v>
      </c>
      <c r="P39" s="430">
        <f>$AL8</f>
        <v>0</v>
      </c>
      <c r="Q39" s="430">
        <f>AL15+AL16+AL17+AL18+AL19+AL21+AL22+AL23</f>
        <v>0</v>
      </c>
      <c r="R39" s="430">
        <f>$AL20</f>
        <v>0</v>
      </c>
      <c r="S39" s="446">
        <f t="shared" si="22"/>
        <v>0</v>
      </c>
      <c r="T39" s="686"/>
      <c r="U39" s="26"/>
      <c r="V39" s="441" t="s">
        <v>185</v>
      </c>
      <c r="W39" s="469">
        <f>AN$6</f>
        <v>0</v>
      </c>
      <c r="X39" s="430">
        <f>$AN9</f>
        <v>0</v>
      </c>
      <c r="Y39" s="430">
        <f>$AN7</f>
        <v>0</v>
      </c>
      <c r="Z39" s="430">
        <f>$AN8</f>
        <v>0</v>
      </c>
      <c r="AA39" s="430">
        <f>AN$15+AN$16+AN$17+AN$18+AN$19+AN$21+AN$22+AN$23</f>
        <v>0</v>
      </c>
      <c r="AB39" s="719">
        <f>$AN20</f>
        <v>0</v>
      </c>
      <c r="AC39" s="723">
        <f t="shared" si="23"/>
        <v>0</v>
      </c>
      <c r="AD39" s="587">
        <f>AO6+AO7+AO8+AO9+AO15+AO16+AO17+AO18+AO19+AO20+AO21+AO22+AO23</f>
        <v>0</v>
      </c>
      <c r="AE39" s="579">
        <f t="shared" si="24"/>
        <v>0</v>
      </c>
      <c r="AF39" s="23"/>
      <c r="AG39" s="26"/>
      <c r="AI39" s="26"/>
      <c r="AJ39" s="26"/>
      <c r="AK39" s="26"/>
      <c r="AL39" s="24"/>
      <c r="AN39" s="26"/>
      <c r="AP39" s="24"/>
      <c r="AT39" s="24"/>
      <c r="AX39" s="23"/>
      <c r="AY39" s="23"/>
      <c r="AZ39" s="23"/>
      <c r="BA39" s="23"/>
      <c r="BB39" s="23"/>
      <c r="BC39" s="23"/>
      <c r="BD39" s="23"/>
      <c r="BE39" s="23"/>
      <c r="BF39" s="23"/>
      <c r="BG39" s="23"/>
    </row>
    <row r="40" spans="1:59" ht="23.25">
      <c r="L40" s="441" t="s">
        <v>202</v>
      </c>
      <c r="M40" s="470">
        <f>$AP$6</f>
        <v>0</v>
      </c>
      <c r="N40" s="430">
        <f>$AP9</f>
        <v>0</v>
      </c>
      <c r="O40" s="430">
        <f>$AP7</f>
        <v>0</v>
      </c>
      <c r="P40" s="430">
        <f>$AP8</f>
        <v>0</v>
      </c>
      <c r="Q40" s="430">
        <f>AP15+AP16+AP17+AP18+AP19+AP21+AP22+AP23</f>
        <v>0</v>
      </c>
      <c r="R40" s="430">
        <f>$AP20</f>
        <v>0</v>
      </c>
      <c r="S40" s="446">
        <f t="shared" si="22"/>
        <v>0</v>
      </c>
      <c r="T40" s="686"/>
      <c r="U40" s="26"/>
      <c r="V40" s="441" t="s">
        <v>202</v>
      </c>
      <c r="W40" s="440">
        <f>AR$6</f>
        <v>0</v>
      </c>
      <c r="X40" s="430">
        <f>$AR9</f>
        <v>0</v>
      </c>
      <c r="Y40" s="430">
        <f>$AR7</f>
        <v>0</v>
      </c>
      <c r="Z40" s="430">
        <f>$AR8</f>
        <v>0</v>
      </c>
      <c r="AA40" s="430">
        <f>AR$15+AR$16+AR$17+AR$18+AR$19+AR$21+AR$22+AR$23</f>
        <v>0</v>
      </c>
      <c r="AB40" s="719">
        <f>$AR20</f>
        <v>0</v>
      </c>
      <c r="AC40" s="723">
        <f t="shared" si="23"/>
        <v>0</v>
      </c>
      <c r="AD40" s="587">
        <f>AS6+AS7+AS8+AS9+AS15+AS16+AS17+AS18+AS19+AS20+AS21+AS22+AS23</f>
        <v>0</v>
      </c>
      <c r="AE40" s="579">
        <f t="shared" si="24"/>
        <v>0</v>
      </c>
      <c r="AF40" s="28"/>
      <c r="AG40" s="26"/>
      <c r="AI40" s="26"/>
      <c r="AJ40" s="26"/>
      <c r="AK40" s="26"/>
      <c r="AL40" s="24"/>
      <c r="AN40" s="26"/>
      <c r="AP40" s="24"/>
      <c r="AS40" s="23"/>
      <c r="AT40" s="24"/>
      <c r="AX40" s="23"/>
      <c r="AY40" s="23"/>
      <c r="AZ40" s="23"/>
      <c r="BA40" s="23"/>
      <c r="BB40" s="23"/>
      <c r="BC40" s="23"/>
      <c r="BD40" s="23"/>
      <c r="BE40" s="23"/>
      <c r="BF40" s="23"/>
      <c r="BG40" s="23"/>
    </row>
    <row r="41" spans="1:59" ht="23.25">
      <c r="L41" s="441" t="s">
        <v>186</v>
      </c>
      <c r="M41" s="470">
        <f>$AT$6</f>
        <v>0</v>
      </c>
      <c r="N41" s="430">
        <f>$AT9</f>
        <v>0</v>
      </c>
      <c r="O41" s="430">
        <f>$AT7</f>
        <v>0</v>
      </c>
      <c r="P41" s="430">
        <f>$AT8</f>
        <v>0</v>
      </c>
      <c r="Q41" s="430">
        <f>AT15+AT16+AT17+AT18+AT19+AT21+AT22+AT23</f>
        <v>0</v>
      </c>
      <c r="R41" s="430">
        <f>$AT20</f>
        <v>0</v>
      </c>
      <c r="S41" s="446">
        <f t="shared" si="22"/>
        <v>0</v>
      </c>
      <c r="T41" s="686"/>
      <c r="U41" s="26"/>
      <c r="V41" s="441" t="s">
        <v>186</v>
      </c>
      <c r="W41" s="440">
        <f>AV$6</f>
        <v>0</v>
      </c>
      <c r="X41" s="430">
        <f>$AV9</f>
        <v>0</v>
      </c>
      <c r="Y41" s="430">
        <f>$AV7</f>
        <v>0</v>
      </c>
      <c r="Z41" s="430">
        <f>$AV8</f>
        <v>0</v>
      </c>
      <c r="AA41" s="430">
        <f>AV$15+AV$16+AV$17+AV$18+AV$19+AV$21+AV$22+AV$23</f>
        <v>0</v>
      </c>
      <c r="AB41" s="719">
        <f>$AV20</f>
        <v>0</v>
      </c>
      <c r="AC41" s="723">
        <f t="shared" si="23"/>
        <v>0</v>
      </c>
      <c r="AD41" s="587">
        <f>AW6+AW7+AW8+AW9+AW15+AW16+AW17+AW18+AW20+AW19+AW21+AW22+AW23</f>
        <v>0</v>
      </c>
      <c r="AE41" s="579">
        <f t="shared" si="24"/>
        <v>0</v>
      </c>
      <c r="AH41" s="24"/>
      <c r="AJ41" s="25"/>
      <c r="AL41" s="24"/>
      <c r="AN41" s="25"/>
      <c r="AP41" s="24"/>
      <c r="AR41" s="25"/>
      <c r="AT41" s="24"/>
      <c r="AX41" s="23"/>
      <c r="AY41" s="23"/>
      <c r="AZ41" s="23"/>
      <c r="BA41" s="23"/>
      <c r="BB41" s="23"/>
      <c r="BC41" s="23"/>
      <c r="BD41" s="23"/>
      <c r="BE41" s="23"/>
      <c r="BF41" s="23"/>
      <c r="BG41" s="23"/>
    </row>
    <row r="42" spans="1:59" ht="23.25">
      <c r="L42" s="441" t="s">
        <v>203</v>
      </c>
      <c r="M42" s="470">
        <f>$AX$6</f>
        <v>0</v>
      </c>
      <c r="N42" s="430">
        <f>$AX9</f>
        <v>0</v>
      </c>
      <c r="O42" s="430">
        <f>$AX7</f>
        <v>0</v>
      </c>
      <c r="P42" s="430">
        <f>$AX8</f>
        <v>0</v>
      </c>
      <c r="Q42" s="430">
        <f>AX15+AX16+AX17+AX18+AX19+AX21+AX22+AX23</f>
        <v>0</v>
      </c>
      <c r="R42" s="430">
        <f>$AX20</f>
        <v>0</v>
      </c>
      <c r="S42" s="446">
        <f t="shared" si="22"/>
        <v>0</v>
      </c>
      <c r="T42" s="686"/>
      <c r="U42" s="26"/>
      <c r="V42" s="441" t="s">
        <v>203</v>
      </c>
      <c r="W42" s="440">
        <f>AZ$6</f>
        <v>0</v>
      </c>
      <c r="X42" s="430">
        <f>$AZ9</f>
        <v>0</v>
      </c>
      <c r="Y42" s="430">
        <f>$AZ7</f>
        <v>0</v>
      </c>
      <c r="Z42" s="430">
        <f>$AZ8</f>
        <v>0</v>
      </c>
      <c r="AA42" s="430">
        <f>AZ$15+AZ$16+AZ$17+AZ$18+AZ$19+AZ$21+AZ$22+AZ$23</f>
        <v>0</v>
      </c>
      <c r="AB42" s="719">
        <f>$AZ20</f>
        <v>0</v>
      </c>
      <c r="AC42" s="723">
        <f t="shared" si="23"/>
        <v>0</v>
      </c>
      <c r="AD42" s="587">
        <f>BA6+BA7+BA8+BA9+BA15+BA16+BA17+BA18+BA19+BA20+BA21+BA22+BA23</f>
        <v>0</v>
      </c>
      <c r="AE42" s="579">
        <f t="shared" si="24"/>
        <v>0</v>
      </c>
      <c r="AH42" s="24"/>
      <c r="AJ42" s="25"/>
      <c r="AL42" s="24"/>
      <c r="AN42" s="25"/>
      <c r="AP42" s="24"/>
      <c r="AR42" s="25"/>
      <c r="AT42" s="24"/>
      <c r="AV42" s="25"/>
      <c r="AX42" s="23"/>
      <c r="AY42" s="23"/>
      <c r="AZ42" s="23"/>
      <c r="BA42" s="23"/>
      <c r="BB42" s="23"/>
      <c r="BC42" s="23"/>
      <c r="BD42" s="23"/>
      <c r="BE42" s="23"/>
      <c r="BF42" s="23"/>
      <c r="BG42" s="23"/>
    </row>
    <row r="43" spans="1:59" ht="24" thickBot="1">
      <c r="L43" s="442" t="s">
        <v>191</v>
      </c>
      <c r="M43" s="443">
        <f t="shared" ref="M43" si="25">SUM(M33:M42)</f>
        <v>0</v>
      </c>
      <c r="N43" s="444">
        <f>SUM(N33:N42)</f>
        <v>0</v>
      </c>
      <c r="O43" s="443">
        <f t="shared" ref="O43" si="26">SUM(O33:O42)</f>
        <v>0</v>
      </c>
      <c r="P43" s="444">
        <f>SUM(P33:P42)</f>
        <v>0</v>
      </c>
      <c r="Q43" s="444">
        <f>SUM(Q33:Q42)</f>
        <v>0</v>
      </c>
      <c r="R43" s="445">
        <f>SUM(R33:R42)</f>
        <v>0</v>
      </c>
      <c r="S43" s="451">
        <f>SUM(S33:S42)</f>
        <v>0</v>
      </c>
      <c r="T43" s="687"/>
      <c r="U43" s="26"/>
      <c r="V43" s="442" t="s">
        <v>191</v>
      </c>
      <c r="W43" s="443">
        <f t="shared" ref="W43:Y43" si="27">SUM(W33:W42)</f>
        <v>0</v>
      </c>
      <c r="X43" s="444">
        <f>SUM(X33:X42)</f>
        <v>0</v>
      </c>
      <c r="Y43" s="443">
        <f t="shared" si="27"/>
        <v>0</v>
      </c>
      <c r="Z43" s="444">
        <f>SUM(Z33:Z42)</f>
        <v>0</v>
      </c>
      <c r="AA43" s="444">
        <f>SUM(AA33:AA42)</f>
        <v>0</v>
      </c>
      <c r="AB43" s="720">
        <f>SUM(AB33:AB42)</f>
        <v>0</v>
      </c>
      <c r="AC43" s="724">
        <f>SUM(AC33:AC42)</f>
        <v>0</v>
      </c>
      <c r="AD43" s="725">
        <f>SUM(AD33:AD42)</f>
        <v>0</v>
      </c>
      <c r="AE43" s="579">
        <f t="shared" si="24"/>
        <v>0</v>
      </c>
      <c r="AH43" s="24"/>
      <c r="AJ43" s="25"/>
      <c r="AL43" s="24"/>
      <c r="AN43" s="25"/>
      <c r="AP43" s="24"/>
      <c r="AR43" s="25"/>
      <c r="AT43" s="24"/>
      <c r="AV43" s="25"/>
      <c r="AX43" s="23"/>
      <c r="AY43" s="23"/>
      <c r="AZ43" s="23"/>
      <c r="BA43" s="23"/>
      <c r="BB43" s="23"/>
      <c r="BC43" s="23"/>
      <c r="BD43" s="23"/>
      <c r="BE43" s="23"/>
      <c r="BF43" s="23"/>
      <c r="BG43" s="23"/>
    </row>
    <row r="44" spans="1:59" ht="15" customHeight="1" thickBot="1">
      <c r="L44" s="26"/>
      <c r="M44" s="26"/>
      <c r="N44" s="24"/>
      <c r="P44" s="26"/>
      <c r="Q44" s="26"/>
      <c r="R44" s="24"/>
      <c r="T44" s="26"/>
      <c r="U44" s="26"/>
      <c r="V44" s="24"/>
      <c r="Z44" s="24"/>
      <c r="AD44" s="24"/>
      <c r="AE44" s="26"/>
      <c r="AF44" s="466"/>
      <c r="AG44" s="466"/>
      <c r="AH44" s="466"/>
      <c r="AI44" s="467"/>
      <c r="AL44" s="24"/>
      <c r="AM44" s="25"/>
      <c r="AP44" s="24"/>
      <c r="AQ44" s="25"/>
      <c r="AT44" s="24"/>
      <c r="AU44" s="25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</row>
    <row r="45" spans="1:59" ht="30" customHeight="1" thickBot="1">
      <c r="L45" s="1929" t="str">
        <f>L31</f>
        <v>Mode wise Collection Plan-9-12-2021</v>
      </c>
      <c r="M45" s="1930"/>
      <c r="N45" s="1930"/>
      <c r="O45" s="1930"/>
      <c r="P45" s="1930"/>
      <c r="Q45" s="1930"/>
      <c r="R45" s="1930"/>
      <c r="S45" s="1930"/>
      <c r="T45" s="1931"/>
      <c r="U45" s="26"/>
      <c r="V45" s="1923" t="s">
        <v>281</v>
      </c>
      <c r="W45" s="1937"/>
      <c r="X45" s="1937"/>
      <c r="Y45" s="1937"/>
      <c r="Z45" s="1937"/>
      <c r="AA45" s="1937"/>
      <c r="AB45" s="1937"/>
      <c r="AC45" s="1937"/>
      <c r="AD45" s="1937"/>
      <c r="AE45" s="1938"/>
      <c r="AF45" s="466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</row>
    <row r="46" spans="1:59" s="28" customFormat="1" ht="31.5">
      <c r="D46" s="29"/>
      <c r="E46" s="29"/>
      <c r="F46" s="29"/>
      <c r="I46" s="29"/>
      <c r="J46" s="1011" t="s">
        <v>270</v>
      </c>
      <c r="K46" s="1011" t="s">
        <v>196</v>
      </c>
      <c r="L46" s="450" t="s">
        <v>0</v>
      </c>
      <c r="M46" s="439" t="s">
        <v>200</v>
      </c>
      <c r="N46" s="454" t="s">
        <v>205</v>
      </c>
      <c r="O46" s="439" t="s">
        <v>31</v>
      </c>
      <c r="P46" s="448" t="s">
        <v>201</v>
      </c>
      <c r="Q46" s="455" t="s">
        <v>206</v>
      </c>
      <c r="R46" s="436" t="s">
        <v>22</v>
      </c>
      <c r="S46" s="438" t="s">
        <v>191</v>
      </c>
      <c r="T46" s="438" t="s">
        <v>244</v>
      </c>
      <c r="U46" s="26"/>
      <c r="V46" s="596" t="s">
        <v>0</v>
      </c>
      <c r="W46" s="436" t="s">
        <v>200</v>
      </c>
      <c r="X46" s="454" t="s">
        <v>205</v>
      </c>
      <c r="Y46" s="436" t="s">
        <v>31</v>
      </c>
      <c r="Z46" s="448" t="s">
        <v>201</v>
      </c>
      <c r="AA46" s="453" t="s">
        <v>206</v>
      </c>
      <c r="AB46" s="453" t="s">
        <v>210</v>
      </c>
      <c r="AC46" s="436" t="s">
        <v>22</v>
      </c>
      <c r="AD46" s="437" t="s">
        <v>191</v>
      </c>
      <c r="AE46" s="438" t="s">
        <v>244</v>
      </c>
      <c r="AF46" s="952" t="s">
        <v>32</v>
      </c>
      <c r="AG46" s="1022" t="s">
        <v>25</v>
      </c>
      <c r="AH46" s="1045" t="s">
        <v>285</v>
      </c>
      <c r="AI46" s="1022" t="s">
        <v>271</v>
      </c>
      <c r="AJ46" s="23"/>
      <c r="AK46" s="23"/>
      <c r="AL46" s="23"/>
      <c r="AM46" s="23"/>
      <c r="AN46" s="23"/>
      <c r="AO46" s="23"/>
      <c r="AP46" s="23"/>
      <c r="AQ46" s="23"/>
      <c r="AR46" s="23"/>
    </row>
    <row r="47" spans="1:59" ht="23.25">
      <c r="J47" s="441">
        <f>14</f>
        <v>14</v>
      </c>
      <c r="K47" s="441"/>
      <c r="L47" s="441" t="s">
        <v>189</v>
      </c>
      <c r="M47" s="470">
        <v>40</v>
      </c>
      <c r="N47" s="430">
        <v>0</v>
      </c>
      <c r="O47" s="430">
        <v>0</v>
      </c>
      <c r="P47" s="430">
        <v>6</v>
      </c>
      <c r="Q47" s="430">
        <v>43</v>
      </c>
      <c r="R47" s="430">
        <v>10</v>
      </c>
      <c r="S47" s="446">
        <f t="shared" ref="S47:S56" si="28">SUM(M47:R47)</f>
        <v>99</v>
      </c>
      <c r="T47" s="446"/>
      <c r="U47" s="26"/>
      <c r="V47" s="586" t="s">
        <v>189</v>
      </c>
      <c r="W47" s="430"/>
      <c r="X47" s="430"/>
      <c r="Y47" s="430"/>
      <c r="Z47" s="430"/>
      <c r="AA47" s="430"/>
      <c r="AB47" s="655"/>
      <c r="AC47" s="430"/>
      <c r="AD47" s="568">
        <f t="shared" ref="AD47:AD56" si="29">SUM(W47:AC47)</f>
        <v>0</v>
      </c>
      <c r="AE47" s="587"/>
      <c r="AF47" s="953"/>
      <c r="AG47" s="1017"/>
      <c r="AH47" s="1017"/>
      <c r="AI47" s="1017"/>
      <c r="AJ47" s="28"/>
      <c r="AK47" s="28"/>
      <c r="AL47" s="28"/>
      <c r="AM47" s="28"/>
      <c r="AN47" s="28"/>
      <c r="AO47" s="28"/>
      <c r="AP47" s="28"/>
      <c r="AQ47" s="28"/>
      <c r="AR47" s="28"/>
      <c r="AT47" s="24"/>
      <c r="AU47" s="25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</row>
    <row r="48" spans="1:59" ht="23.25">
      <c r="J48" s="441"/>
      <c r="K48" s="441"/>
      <c r="L48" s="441" t="s">
        <v>183</v>
      </c>
      <c r="M48" s="470">
        <v>15</v>
      </c>
      <c r="N48" s="430">
        <v>0</v>
      </c>
      <c r="O48" s="430">
        <v>0</v>
      </c>
      <c r="P48" s="430">
        <v>0</v>
      </c>
      <c r="Q48" s="430">
        <v>30</v>
      </c>
      <c r="R48" s="430">
        <v>15</v>
      </c>
      <c r="S48" s="446">
        <f t="shared" si="28"/>
        <v>60</v>
      </c>
      <c r="T48" s="446"/>
      <c r="U48" s="466"/>
      <c r="V48" s="586" t="s">
        <v>183</v>
      </c>
      <c r="W48" s="430"/>
      <c r="X48" s="430"/>
      <c r="Y48" s="430"/>
      <c r="Z48" s="430"/>
      <c r="AA48" s="430"/>
      <c r="AB48" s="655"/>
      <c r="AC48" s="430"/>
      <c r="AD48" s="568">
        <f t="shared" si="29"/>
        <v>0</v>
      </c>
      <c r="AE48" s="587"/>
      <c r="AF48" s="953"/>
      <c r="AG48" s="951"/>
      <c r="AH48" s="951">
        <v>8.3000000000000007</v>
      </c>
      <c r="AI48" s="655"/>
      <c r="AL48" s="24"/>
      <c r="AM48" s="25"/>
      <c r="AP48" s="24"/>
      <c r="AQ48" s="25"/>
      <c r="AT48" s="24"/>
      <c r="AU48" s="25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</row>
    <row r="49" spans="10:59" ht="23.25">
      <c r="J49" s="441"/>
      <c r="K49" s="441"/>
      <c r="L49" s="441" t="s">
        <v>184</v>
      </c>
      <c r="M49" s="470">
        <v>0</v>
      </c>
      <c r="N49" s="430">
        <v>0</v>
      </c>
      <c r="O49" s="430">
        <v>0</v>
      </c>
      <c r="P49" s="430">
        <v>5</v>
      </c>
      <c r="Q49" s="430">
        <v>0</v>
      </c>
      <c r="R49" s="430">
        <v>25</v>
      </c>
      <c r="S49" s="446">
        <f t="shared" si="28"/>
        <v>30</v>
      </c>
      <c r="T49" s="446"/>
      <c r="U49" s="466"/>
      <c r="V49" s="586" t="s">
        <v>184</v>
      </c>
      <c r="W49" s="430"/>
      <c r="X49" s="430"/>
      <c r="Y49" s="430"/>
      <c r="Z49" s="430"/>
      <c r="AA49" s="430"/>
      <c r="AB49" s="655"/>
      <c r="AC49" s="430"/>
      <c r="AD49" s="568">
        <f t="shared" si="29"/>
        <v>0</v>
      </c>
      <c r="AE49" s="587"/>
      <c r="AF49" s="953"/>
      <c r="AG49" s="951"/>
      <c r="AH49" s="951"/>
      <c r="AI49" s="655"/>
      <c r="AL49" s="24"/>
      <c r="AM49" s="25"/>
      <c r="AP49" s="24"/>
      <c r="AQ49" s="25"/>
      <c r="AT49" s="24"/>
      <c r="AU49" s="25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</row>
    <row r="50" spans="10:59" ht="23.25">
      <c r="J50" s="441">
        <v>21</v>
      </c>
      <c r="K50" s="441"/>
      <c r="L50" s="441" t="s">
        <v>170</v>
      </c>
      <c r="M50" s="470">
        <v>25</v>
      </c>
      <c r="N50" s="430">
        <v>0</v>
      </c>
      <c r="O50" s="430">
        <v>0</v>
      </c>
      <c r="P50" s="430">
        <v>0</v>
      </c>
      <c r="Q50" s="430">
        <v>35</v>
      </c>
      <c r="R50" s="430">
        <v>0</v>
      </c>
      <c r="S50" s="446">
        <f t="shared" si="28"/>
        <v>60</v>
      </c>
      <c r="T50" s="446"/>
      <c r="U50" s="466"/>
      <c r="V50" s="586" t="s">
        <v>170</v>
      </c>
      <c r="W50" s="430"/>
      <c r="X50" s="430"/>
      <c r="Y50" s="430"/>
      <c r="Z50" s="430"/>
      <c r="AA50" s="430"/>
      <c r="AB50" s="655"/>
      <c r="AC50" s="430"/>
      <c r="AD50" s="568">
        <f t="shared" si="29"/>
        <v>0</v>
      </c>
      <c r="AE50" s="587"/>
      <c r="AF50" s="953">
        <v>20.94</v>
      </c>
      <c r="AG50" s="951"/>
      <c r="AH50" s="951"/>
      <c r="AI50" s="655"/>
      <c r="AL50" s="24"/>
      <c r="AM50" s="25"/>
      <c r="AP50" s="24"/>
      <c r="AQ50" s="25"/>
      <c r="AT50" s="24"/>
      <c r="AU50" s="25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</row>
    <row r="51" spans="10:59" ht="23.25">
      <c r="J51" s="441"/>
      <c r="K51" s="441"/>
      <c r="L51" s="441" t="s">
        <v>171</v>
      </c>
      <c r="M51" s="470">
        <v>0</v>
      </c>
      <c r="N51" s="430">
        <v>0</v>
      </c>
      <c r="O51" s="430">
        <v>0</v>
      </c>
      <c r="P51" s="430">
        <v>0</v>
      </c>
      <c r="Q51" s="430">
        <v>0</v>
      </c>
      <c r="R51" s="430">
        <v>0</v>
      </c>
      <c r="S51" s="446">
        <f t="shared" si="28"/>
        <v>0</v>
      </c>
      <c r="T51" s="446"/>
      <c r="U51" s="466"/>
      <c r="V51" s="586" t="s">
        <v>171</v>
      </c>
      <c r="W51" s="430"/>
      <c r="X51" s="430"/>
      <c r="Y51" s="430"/>
      <c r="Z51" s="430"/>
      <c r="AA51" s="430"/>
      <c r="AB51" s="655"/>
      <c r="AC51" s="430"/>
      <c r="AD51" s="568">
        <f t="shared" si="29"/>
        <v>0</v>
      </c>
      <c r="AE51" s="587"/>
      <c r="AF51" s="953"/>
      <c r="AG51" s="951"/>
      <c r="AH51" s="951"/>
      <c r="AI51" s="655"/>
      <c r="AL51" s="24"/>
      <c r="AM51" s="25"/>
      <c r="AP51" s="24"/>
      <c r="AQ51" s="25"/>
      <c r="AT51" s="24"/>
      <c r="AU51" s="25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</row>
    <row r="52" spans="10:59" ht="23.25">
      <c r="J52" s="441"/>
      <c r="K52" s="441">
        <v>18</v>
      </c>
      <c r="L52" s="441" t="s">
        <v>190</v>
      </c>
      <c r="M52" s="492">
        <v>20</v>
      </c>
      <c r="N52" s="471">
        <v>0</v>
      </c>
      <c r="O52" s="471">
        <v>0</v>
      </c>
      <c r="P52" s="471">
        <v>20</v>
      </c>
      <c r="Q52" s="430">
        <v>10</v>
      </c>
      <c r="R52" s="471">
        <v>0</v>
      </c>
      <c r="S52" s="446">
        <f t="shared" si="28"/>
        <v>50</v>
      </c>
      <c r="T52" s="446"/>
      <c r="U52" s="466"/>
      <c r="V52" s="586" t="s">
        <v>190</v>
      </c>
      <c r="W52" s="430"/>
      <c r="X52" s="430"/>
      <c r="Y52" s="430"/>
      <c r="Z52" s="430"/>
      <c r="AA52" s="430"/>
      <c r="AB52" s="655"/>
      <c r="AC52" s="430"/>
      <c r="AD52" s="568">
        <f t="shared" si="29"/>
        <v>0</v>
      </c>
      <c r="AE52" s="587"/>
      <c r="AF52" s="954"/>
      <c r="AG52" s="951">
        <v>18</v>
      </c>
      <c r="AH52" s="951"/>
      <c r="AI52" s="655"/>
      <c r="AL52" s="24"/>
      <c r="AM52" s="25"/>
      <c r="AP52" s="24"/>
      <c r="AQ52" s="25"/>
      <c r="AT52" s="24"/>
      <c r="AU52" s="25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</row>
    <row r="53" spans="10:59" ht="23.25">
      <c r="J53" s="441">
        <f>7.84+7.8</f>
        <v>15.64</v>
      </c>
      <c r="K53" s="441">
        <v>19.2</v>
      </c>
      <c r="L53" s="441" t="s">
        <v>185</v>
      </c>
      <c r="M53" s="470">
        <v>20</v>
      </c>
      <c r="N53" s="430">
        <v>1</v>
      </c>
      <c r="O53" s="430">
        <v>0</v>
      </c>
      <c r="P53" s="430">
        <v>4</v>
      </c>
      <c r="Q53" s="430">
        <v>0</v>
      </c>
      <c r="R53" s="430">
        <v>0</v>
      </c>
      <c r="S53" s="446">
        <f t="shared" si="28"/>
        <v>25</v>
      </c>
      <c r="T53" s="446"/>
      <c r="U53" s="466"/>
      <c r="V53" s="586" t="s">
        <v>185</v>
      </c>
      <c r="W53" s="430"/>
      <c r="X53" s="430"/>
      <c r="Y53" s="430"/>
      <c r="Z53" s="430"/>
      <c r="AA53" s="430"/>
      <c r="AB53" s="655"/>
      <c r="AC53" s="430"/>
      <c r="AD53" s="568">
        <f t="shared" si="29"/>
        <v>0</v>
      </c>
      <c r="AE53" s="587"/>
      <c r="AF53" s="954"/>
      <c r="AG53" s="951"/>
      <c r="AH53" s="951"/>
      <c r="AI53" s="655">
        <v>7.84</v>
      </c>
      <c r="AL53" s="24"/>
      <c r="AM53" s="25"/>
      <c r="AP53" s="24"/>
      <c r="AQ53" s="25"/>
      <c r="AT53" s="24"/>
      <c r="AU53" s="25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</row>
    <row r="54" spans="10:59" ht="23.25">
      <c r="J54" s="441"/>
      <c r="K54" s="441"/>
      <c r="L54" s="441" t="s">
        <v>202</v>
      </c>
      <c r="M54" s="470">
        <v>20</v>
      </c>
      <c r="N54" s="430">
        <v>0</v>
      </c>
      <c r="O54" s="430">
        <v>0</v>
      </c>
      <c r="P54" s="430">
        <v>0</v>
      </c>
      <c r="Q54" s="430">
        <v>0</v>
      </c>
      <c r="R54" s="430">
        <v>0</v>
      </c>
      <c r="S54" s="446">
        <f t="shared" si="28"/>
        <v>20</v>
      </c>
      <c r="T54" s="446"/>
      <c r="U54" s="466"/>
      <c r="V54" s="586" t="s">
        <v>202</v>
      </c>
      <c r="W54" s="430"/>
      <c r="X54" s="430"/>
      <c r="Y54" s="430"/>
      <c r="Z54" s="430"/>
      <c r="AA54" s="430"/>
      <c r="AB54" s="655"/>
      <c r="AC54" s="430"/>
      <c r="AD54" s="568">
        <f t="shared" si="29"/>
        <v>0</v>
      </c>
      <c r="AE54" s="587"/>
      <c r="AF54" s="952"/>
      <c r="AG54" s="951"/>
      <c r="AH54" s="951"/>
      <c r="AI54" s="655"/>
      <c r="AL54" s="24"/>
      <c r="AM54" s="25"/>
      <c r="AP54" s="24"/>
      <c r="AQ54" s="25"/>
      <c r="AT54" s="24"/>
      <c r="AU54" s="25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</row>
    <row r="55" spans="10:59" ht="23.25">
      <c r="J55" s="441">
        <f>32.68</f>
        <v>32.68</v>
      </c>
      <c r="K55" s="441">
        <f>9.8+6.9</f>
        <v>16.700000000000003</v>
      </c>
      <c r="L55" s="441" t="s">
        <v>186</v>
      </c>
      <c r="M55" s="470">
        <v>30</v>
      </c>
      <c r="N55" s="430">
        <v>0</v>
      </c>
      <c r="O55" s="430">
        <v>0</v>
      </c>
      <c r="P55" s="430">
        <v>0</v>
      </c>
      <c r="Q55" s="430">
        <v>40</v>
      </c>
      <c r="R55" s="430">
        <v>0</v>
      </c>
      <c r="S55" s="446">
        <f t="shared" si="28"/>
        <v>70</v>
      </c>
      <c r="T55" s="446"/>
      <c r="U55" s="466"/>
      <c r="V55" s="586" t="s">
        <v>186</v>
      </c>
      <c r="W55" s="430"/>
      <c r="X55" s="430"/>
      <c r="Y55" s="430"/>
      <c r="Z55" s="430"/>
      <c r="AA55" s="430"/>
      <c r="AB55" s="655"/>
      <c r="AC55" s="430"/>
      <c r="AD55" s="568">
        <f t="shared" si="29"/>
        <v>0</v>
      </c>
      <c r="AE55" s="587"/>
      <c r="AF55" s="952">
        <v>16.82</v>
      </c>
      <c r="AG55" s="951"/>
      <c r="AH55" s="951"/>
      <c r="AI55" s="655">
        <v>32</v>
      </c>
      <c r="AL55" s="24"/>
      <c r="AM55" s="25"/>
      <c r="AP55" s="24"/>
      <c r="AQ55" s="25"/>
      <c r="AT55" s="24"/>
      <c r="AU55" s="25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</row>
    <row r="56" spans="10:59" ht="23.25">
      <c r="J56" s="441"/>
      <c r="K56" s="441"/>
      <c r="L56" s="441" t="s">
        <v>203</v>
      </c>
      <c r="M56" s="470">
        <v>10</v>
      </c>
      <c r="N56" s="430">
        <v>0</v>
      </c>
      <c r="O56" s="430">
        <v>0</v>
      </c>
      <c r="P56" s="430">
        <v>4</v>
      </c>
      <c r="Q56" s="430">
        <v>9.9</v>
      </c>
      <c r="R56" s="430">
        <v>0</v>
      </c>
      <c r="S56" s="446">
        <f t="shared" si="28"/>
        <v>23.9</v>
      </c>
      <c r="T56" s="446"/>
      <c r="U56" s="466"/>
      <c r="V56" s="586" t="s">
        <v>203</v>
      </c>
      <c r="W56" s="430"/>
      <c r="X56" s="430"/>
      <c r="Y56" s="430"/>
      <c r="Z56" s="430"/>
      <c r="AA56" s="430"/>
      <c r="AB56" s="655"/>
      <c r="AC56" s="430"/>
      <c r="AD56" s="568">
        <f t="shared" si="29"/>
        <v>0</v>
      </c>
      <c r="AE56" s="587"/>
      <c r="AF56" s="952"/>
      <c r="AG56" s="951"/>
      <c r="AH56" s="951"/>
      <c r="AI56" s="655"/>
      <c r="AL56" s="24"/>
      <c r="AM56" s="25"/>
      <c r="AP56" s="24"/>
      <c r="AQ56" s="25"/>
      <c r="AT56" s="24"/>
      <c r="AU56" s="25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</row>
    <row r="57" spans="10:59" ht="24" thickBot="1">
      <c r="J57" s="442">
        <f t="shared" ref="J57:K57" si="30">SUM(J47:J56)</f>
        <v>83.32</v>
      </c>
      <c r="K57" s="442">
        <f t="shared" si="30"/>
        <v>53.900000000000006</v>
      </c>
      <c r="L57" s="442" t="s">
        <v>191</v>
      </c>
      <c r="M57" s="443">
        <f t="shared" ref="M57" si="31">SUM(M47:M56)</f>
        <v>180</v>
      </c>
      <c r="N57" s="444">
        <f>SUM(N47:N56)</f>
        <v>1</v>
      </c>
      <c r="O57" s="443">
        <f t="shared" ref="O57" si="32">SUM(O47:O56)</f>
        <v>0</v>
      </c>
      <c r="P57" s="444">
        <f>SUM(P47:P56)</f>
        <v>39</v>
      </c>
      <c r="Q57" s="444">
        <f>SUM(Q47:Q56)</f>
        <v>167.9</v>
      </c>
      <c r="R57" s="445">
        <f>SUM(R47:R56)</f>
        <v>50</v>
      </c>
      <c r="S57" s="451">
        <f>SUM(S47:S56)</f>
        <v>437.9</v>
      </c>
      <c r="T57" s="451">
        <f>SUM(T47:T56)</f>
        <v>0</v>
      </c>
      <c r="U57" s="466"/>
      <c r="V57" s="588" t="s">
        <v>191</v>
      </c>
      <c r="W57" s="589">
        <f>SUM(W47:W56)</f>
        <v>0</v>
      </c>
      <c r="X57" s="444">
        <f>SUM(X47:X56)</f>
        <v>0</v>
      </c>
      <c r="Y57" s="444">
        <f>SUM(Y47:Y56)</f>
        <v>0</v>
      </c>
      <c r="Z57" s="444">
        <f>SUM(Z47:Z56)</f>
        <v>0</v>
      </c>
      <c r="AA57" s="444">
        <f>SUM(AA47:AA56)</f>
        <v>0</v>
      </c>
      <c r="AB57" s="444"/>
      <c r="AC57" s="444">
        <f>SUM(AC47:AC56)</f>
        <v>0</v>
      </c>
      <c r="AD57" s="630">
        <f>SUM(AD47:AD56)</f>
        <v>0</v>
      </c>
      <c r="AE57" s="631">
        <f>SUM(AE47:AE56)</f>
        <v>0</v>
      </c>
      <c r="AF57" s="1016">
        <f t="shared" ref="AF57:AI57" si="33">SUM(AF47:AF56)</f>
        <v>37.760000000000005</v>
      </c>
      <c r="AG57" s="1015">
        <f t="shared" si="33"/>
        <v>18</v>
      </c>
      <c r="AH57" s="1015">
        <f t="shared" si="33"/>
        <v>8.3000000000000007</v>
      </c>
      <c r="AI57" s="1015">
        <f t="shared" si="33"/>
        <v>39.840000000000003</v>
      </c>
      <c r="AL57" s="24"/>
      <c r="AM57" s="25"/>
      <c r="AP57" s="24"/>
      <c r="AQ57" s="25"/>
      <c r="AT57" s="24"/>
      <c r="AU57" s="25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</row>
    <row r="58" spans="10:59" ht="24" customHeight="1" thickBot="1">
      <c r="N58" s="24"/>
      <c r="O58" s="1924" t="s">
        <v>254</v>
      </c>
      <c r="P58" s="1925"/>
      <c r="Q58" s="1925"/>
      <c r="R58" s="1926"/>
      <c r="S58" s="1927">
        <f>S57+T57</f>
        <v>437.9</v>
      </c>
      <c r="T58" s="1928"/>
      <c r="U58" s="466"/>
      <c r="V58" s="1932" t="s">
        <v>221</v>
      </c>
      <c r="W58" s="1932"/>
      <c r="X58" s="1932"/>
      <c r="Y58" s="1932"/>
      <c r="Z58" s="1932"/>
      <c r="AA58" s="1932"/>
      <c r="AB58" s="1932"/>
      <c r="AC58" s="1932"/>
      <c r="AD58" s="1933">
        <f>AD57+AE57</f>
        <v>0</v>
      </c>
      <c r="AE58" s="1934"/>
      <c r="AF58" s="466"/>
      <c r="AH58" s="24"/>
      <c r="AI58" s="25"/>
      <c r="AL58" s="24"/>
      <c r="AM58" s="25"/>
      <c r="AP58" s="24"/>
      <c r="AQ58" s="25"/>
      <c r="AT58" s="24"/>
      <c r="AU58" s="25"/>
      <c r="AX58" s="24"/>
      <c r="AY58" s="24"/>
      <c r="AZ58" s="25"/>
      <c r="BA58" s="24"/>
      <c r="BB58" s="24"/>
      <c r="BC58" s="23"/>
      <c r="BD58" s="23"/>
      <c r="BE58" s="23"/>
      <c r="BF58" s="23"/>
      <c r="BG58" s="23"/>
    </row>
    <row r="59" spans="10:59" ht="33.75" customHeight="1" thickBot="1">
      <c r="J59" s="24"/>
      <c r="N59" s="24"/>
      <c r="R59" s="24"/>
      <c r="T59" s="26"/>
      <c r="U59" s="26"/>
      <c r="V59" s="966"/>
      <c r="W59" s="966"/>
      <c r="X59" s="966"/>
      <c r="Y59" s="1922" t="s">
        <v>235</v>
      </c>
      <c r="Z59" s="1922"/>
      <c r="AA59" s="1922"/>
      <c r="AB59" s="1922"/>
      <c r="AC59" s="1922"/>
      <c r="AD59" s="1920">
        <f>BH6+BI6+BD20+BE20+BH16+BH17+BI16</f>
        <v>0</v>
      </c>
      <c r="AE59" s="1921"/>
      <c r="AF59" s="466"/>
      <c r="AH59" s="24"/>
      <c r="AI59" s="25"/>
      <c r="AL59" s="24"/>
      <c r="AP59" s="25"/>
      <c r="AT59" s="25"/>
      <c r="AX59" s="25"/>
      <c r="AY59" s="24"/>
      <c r="AZ59" s="24"/>
      <c r="BA59" s="24"/>
      <c r="BB59" s="25"/>
      <c r="BE59" s="23"/>
      <c r="BF59" s="23"/>
      <c r="BG59" s="23"/>
    </row>
    <row r="60" spans="10:59" ht="30" customHeight="1" thickBot="1">
      <c r="J60" s="24"/>
      <c r="L60" s="1923" t="s">
        <v>321</v>
      </c>
      <c r="M60" s="1937"/>
      <c r="N60" s="1937"/>
      <c r="O60" s="1937"/>
      <c r="P60" s="1937"/>
      <c r="Q60" s="1937"/>
      <c r="R60" s="1937"/>
      <c r="S60" s="1937"/>
      <c r="T60" s="1937"/>
      <c r="U60" s="1938"/>
      <c r="V60" s="466"/>
      <c r="W60" s="466"/>
      <c r="X60" s="466"/>
      <c r="Y60" s="465"/>
      <c r="Z60" s="466"/>
      <c r="AA60" s="466"/>
      <c r="AB60" s="466"/>
      <c r="AC60" s="465"/>
      <c r="AD60" s="466"/>
      <c r="AF60" s="466"/>
      <c r="AH60" s="24"/>
      <c r="AI60" s="25"/>
      <c r="AL60" s="24"/>
      <c r="AM60" s="26"/>
      <c r="AN60" s="26"/>
      <c r="AP60" s="24"/>
      <c r="AQ60" s="26"/>
      <c r="AR60" s="26"/>
      <c r="AT60" s="24"/>
      <c r="AU60" s="26"/>
      <c r="AV60" s="26"/>
      <c r="AX60" s="24"/>
      <c r="AY60" s="26"/>
      <c r="AZ60" s="26"/>
      <c r="BA60" s="24"/>
      <c r="BB60" s="24"/>
      <c r="BC60" s="25"/>
      <c r="BD60" s="25"/>
      <c r="BF60" s="23"/>
      <c r="BG60" s="23"/>
    </row>
    <row r="61" spans="10:59" ht="36.75" customHeight="1">
      <c r="J61" s="24"/>
      <c r="L61" s="596" t="s">
        <v>0</v>
      </c>
      <c r="M61" s="436" t="s">
        <v>200</v>
      </c>
      <c r="N61" s="454" t="s">
        <v>205</v>
      </c>
      <c r="O61" s="436" t="s">
        <v>31</v>
      </c>
      <c r="P61" s="448" t="s">
        <v>201</v>
      </c>
      <c r="Q61" s="453" t="s">
        <v>206</v>
      </c>
      <c r="R61" s="453" t="s">
        <v>210</v>
      </c>
      <c r="S61" s="436" t="s">
        <v>22</v>
      </c>
      <c r="T61" s="437" t="s">
        <v>191</v>
      </c>
      <c r="U61" s="438" t="s">
        <v>244</v>
      </c>
      <c r="V61" s="466"/>
      <c r="W61" s="466"/>
      <c r="X61" s="466"/>
      <c r="Y61" s="465"/>
      <c r="Z61" s="466"/>
      <c r="AA61" s="466"/>
      <c r="AB61" s="466"/>
      <c r="AC61" s="465"/>
      <c r="AD61" s="466"/>
      <c r="AF61" s="466"/>
      <c r="AH61" s="24"/>
      <c r="AI61" s="25"/>
      <c r="AL61" s="24"/>
      <c r="AM61" s="26"/>
      <c r="AN61" s="26"/>
      <c r="AP61" s="24"/>
      <c r="AQ61" s="26"/>
      <c r="AR61" s="26"/>
      <c r="AT61" s="24"/>
      <c r="AU61" s="26"/>
      <c r="AV61" s="26"/>
      <c r="AX61" s="24"/>
      <c r="AY61" s="26"/>
      <c r="AZ61" s="26"/>
      <c r="BA61" s="24"/>
      <c r="BB61" s="24"/>
      <c r="BC61" s="25"/>
      <c r="BD61" s="25"/>
      <c r="BF61" s="23"/>
      <c r="BG61" s="23"/>
    </row>
    <row r="62" spans="10:59" ht="23.25">
      <c r="J62" s="24"/>
      <c r="L62" s="586" t="s">
        <v>189</v>
      </c>
      <c r="M62" s="430">
        <v>0</v>
      </c>
      <c r="N62" s="430">
        <v>0</v>
      </c>
      <c r="O62" s="430">
        <v>0</v>
      </c>
      <c r="P62" s="430">
        <v>0</v>
      </c>
      <c r="Q62" s="430">
        <v>0</v>
      </c>
      <c r="R62" s="655">
        <v>0</v>
      </c>
      <c r="S62" s="430"/>
      <c r="T62" s="568">
        <f t="shared" ref="T62:T71" si="34">SUM(M62:S62)</f>
        <v>0</v>
      </c>
      <c r="U62" s="587">
        <v>7</v>
      </c>
      <c r="V62" s="466"/>
      <c r="W62" s="466"/>
      <c r="X62" s="466"/>
      <c r="Y62" s="465"/>
      <c r="Z62" s="466"/>
      <c r="AA62" s="466"/>
      <c r="AB62" s="466"/>
      <c r="AC62" s="465"/>
      <c r="AD62" s="466"/>
      <c r="AG62" s="26"/>
      <c r="AH62" s="24"/>
      <c r="AK62" s="49"/>
      <c r="AL62" s="24"/>
      <c r="AM62" s="26"/>
      <c r="AN62" s="26"/>
      <c r="AP62" s="24"/>
      <c r="AQ62" s="26"/>
      <c r="AR62" s="26"/>
      <c r="AT62" s="24"/>
      <c r="AU62" s="26"/>
      <c r="AV62" s="26"/>
      <c r="AX62" s="24"/>
      <c r="AY62" s="26"/>
      <c r="AZ62" s="26"/>
      <c r="BA62" s="24"/>
      <c r="BB62" s="24"/>
      <c r="BC62" s="25"/>
      <c r="BD62" s="25"/>
      <c r="BF62" s="23"/>
      <c r="BG62" s="23"/>
    </row>
    <row r="63" spans="10:59" ht="23.25">
      <c r="J63" s="24"/>
      <c r="L63" s="586" t="s">
        <v>183</v>
      </c>
      <c r="M63" s="430">
        <v>7</v>
      </c>
      <c r="N63" s="430">
        <v>0</v>
      </c>
      <c r="O63" s="430">
        <v>0</v>
      </c>
      <c r="P63" s="430">
        <v>0</v>
      </c>
      <c r="Q63" s="430">
        <v>3.54</v>
      </c>
      <c r="R63" s="655">
        <v>0</v>
      </c>
      <c r="S63" s="430"/>
      <c r="T63" s="568">
        <f t="shared" si="34"/>
        <v>10.54</v>
      </c>
      <c r="U63" s="587">
        <v>0</v>
      </c>
      <c r="V63" s="466"/>
      <c r="W63" s="466"/>
      <c r="X63" s="466"/>
      <c r="Y63" s="465"/>
      <c r="Z63" s="466"/>
      <c r="AA63" s="466"/>
      <c r="AB63" s="466"/>
      <c r="AC63" s="465"/>
      <c r="AD63" s="466"/>
      <c r="AG63" s="26"/>
      <c r="AH63" s="24"/>
      <c r="AK63" s="49"/>
      <c r="AL63" s="24"/>
      <c r="AO63" s="26"/>
      <c r="AP63" s="24"/>
      <c r="AQ63" s="26"/>
      <c r="AR63" s="26"/>
      <c r="AT63" s="24"/>
      <c r="AU63" s="26"/>
      <c r="AV63" s="26"/>
      <c r="AX63" s="24"/>
      <c r="AY63" s="26"/>
      <c r="AZ63" s="26"/>
      <c r="BA63" s="24"/>
      <c r="BB63" s="24"/>
      <c r="BE63" s="25"/>
      <c r="BF63" s="24"/>
      <c r="BG63" s="23"/>
    </row>
    <row r="64" spans="10:59" ht="23.25">
      <c r="J64" s="24"/>
      <c r="L64" s="586" t="s">
        <v>184</v>
      </c>
      <c r="M64" s="430">
        <v>5</v>
      </c>
      <c r="N64" s="430">
        <v>0</v>
      </c>
      <c r="O64" s="430">
        <v>0</v>
      </c>
      <c r="P64" s="430">
        <v>0</v>
      </c>
      <c r="Q64" s="430">
        <v>0</v>
      </c>
      <c r="R64" s="655">
        <v>0</v>
      </c>
      <c r="S64" s="430"/>
      <c r="T64" s="568">
        <f t="shared" si="34"/>
        <v>5</v>
      </c>
      <c r="U64" s="587">
        <v>0</v>
      </c>
      <c r="V64" s="466"/>
      <c r="W64" s="466"/>
      <c r="X64" s="466"/>
      <c r="Y64" s="465"/>
      <c r="Z64" s="466"/>
      <c r="AA64" s="466"/>
      <c r="AB64" s="466"/>
      <c r="AC64" s="465"/>
      <c r="AD64" s="466"/>
      <c r="AG64" s="26"/>
      <c r="AH64" s="24"/>
      <c r="AK64" s="49"/>
      <c r="AL64" s="24"/>
      <c r="AO64" s="26"/>
      <c r="AP64" s="24"/>
      <c r="AQ64" s="26"/>
      <c r="AR64" s="26"/>
      <c r="AT64" s="24"/>
      <c r="AU64" s="26"/>
      <c r="AV64" s="26"/>
      <c r="AX64" s="24"/>
      <c r="AY64" s="26"/>
      <c r="AZ64" s="26"/>
      <c r="BA64" s="24"/>
      <c r="BB64" s="24"/>
      <c r="BE64" s="25"/>
      <c r="BF64" s="24"/>
      <c r="BG64" s="23"/>
    </row>
    <row r="65" spans="10:59" ht="23.25">
      <c r="J65" s="24"/>
      <c r="L65" s="586" t="s">
        <v>170</v>
      </c>
      <c r="M65" s="430">
        <v>31</v>
      </c>
      <c r="N65" s="430">
        <v>0</v>
      </c>
      <c r="O65" s="430">
        <v>0</v>
      </c>
      <c r="P65" s="430">
        <v>0</v>
      </c>
      <c r="Q65" s="430">
        <v>0</v>
      </c>
      <c r="R65" s="655">
        <v>0</v>
      </c>
      <c r="S65" s="430"/>
      <c r="T65" s="568">
        <f t="shared" si="34"/>
        <v>31</v>
      </c>
      <c r="U65" s="587">
        <v>0</v>
      </c>
      <c r="V65" s="466"/>
      <c r="W65" s="466"/>
      <c r="X65" s="466" t="s">
        <v>304</v>
      </c>
      <c r="Y65" s="465"/>
      <c r="Z65" s="466"/>
      <c r="AA65" s="466"/>
      <c r="AB65" s="466"/>
      <c r="AC65" s="465"/>
      <c r="AD65" s="466"/>
      <c r="AG65" s="26"/>
      <c r="AH65" s="24"/>
      <c r="AK65" s="49"/>
      <c r="AL65" s="24"/>
      <c r="AO65" s="26"/>
      <c r="AP65" s="24"/>
      <c r="AQ65" s="26"/>
      <c r="AR65" s="26"/>
      <c r="AT65" s="24"/>
      <c r="AU65" s="26"/>
      <c r="AV65" s="26"/>
      <c r="AX65" s="24"/>
      <c r="AY65" s="26"/>
      <c r="AZ65" s="26"/>
      <c r="BA65" s="24"/>
      <c r="BB65" s="24"/>
      <c r="BE65" s="25"/>
      <c r="BF65" s="24"/>
      <c r="BG65" s="23"/>
    </row>
    <row r="66" spans="10:59" ht="23.25">
      <c r="J66" s="24"/>
      <c r="L66" s="586" t="s">
        <v>171</v>
      </c>
      <c r="M66" s="430">
        <v>0</v>
      </c>
      <c r="N66" s="430">
        <v>2</v>
      </c>
      <c r="O66" s="430">
        <v>0</v>
      </c>
      <c r="P66" s="430">
        <v>0</v>
      </c>
      <c r="Q66" s="430">
        <v>0</v>
      </c>
      <c r="R66" s="655">
        <v>0</v>
      </c>
      <c r="S66" s="430"/>
      <c r="T66" s="568">
        <f t="shared" si="34"/>
        <v>2</v>
      </c>
      <c r="U66" s="587">
        <v>0</v>
      </c>
      <c r="V66" s="466"/>
      <c r="W66" s="466"/>
      <c r="X66" s="466">
        <v>16.5</v>
      </c>
      <c r="Y66" s="465"/>
      <c r="Z66" s="466"/>
      <c r="AA66" s="466"/>
      <c r="AB66" s="466"/>
      <c r="AC66" s="465"/>
      <c r="AD66" s="466"/>
      <c r="AG66" s="26"/>
      <c r="AH66" s="24"/>
      <c r="AK66" s="49"/>
      <c r="AL66" s="24"/>
      <c r="AO66" s="26"/>
      <c r="AP66" s="24"/>
      <c r="AQ66" s="26"/>
      <c r="AR66" s="26"/>
      <c r="AT66" s="24"/>
      <c r="AU66" s="26"/>
      <c r="AV66" s="26"/>
      <c r="AX66" s="24"/>
      <c r="AY66" s="26"/>
      <c r="AZ66" s="26"/>
      <c r="BA66" s="24"/>
      <c r="BB66" s="24"/>
      <c r="BE66" s="25"/>
      <c r="BF66" s="24"/>
      <c r="BG66" s="23"/>
    </row>
    <row r="67" spans="10:59" ht="23.25">
      <c r="J67" s="24"/>
      <c r="L67" s="586" t="s">
        <v>190</v>
      </c>
      <c r="M67" s="430">
        <v>1.74</v>
      </c>
      <c r="N67" s="430">
        <v>0</v>
      </c>
      <c r="O67" s="430">
        <v>0</v>
      </c>
      <c r="P67" s="430">
        <v>0</v>
      </c>
      <c r="Q67" s="430">
        <v>0</v>
      </c>
      <c r="R67" s="655">
        <v>0</v>
      </c>
      <c r="S67" s="430"/>
      <c r="T67" s="568">
        <f t="shared" si="34"/>
        <v>1.74</v>
      </c>
      <c r="U67" s="587">
        <v>16.899999999999999</v>
      </c>
      <c r="V67" s="466"/>
      <c r="W67" s="466"/>
      <c r="X67" s="466">
        <v>18.5</v>
      </c>
      <c r="Y67" s="465"/>
      <c r="Z67" s="466"/>
      <c r="AA67" s="466"/>
      <c r="AB67" s="466"/>
      <c r="AC67" s="465"/>
      <c r="AD67" s="466"/>
      <c r="AG67" s="26"/>
      <c r="AH67" s="24"/>
      <c r="AK67" s="49"/>
      <c r="AL67" s="24"/>
      <c r="AO67" s="26"/>
      <c r="AP67" s="24"/>
      <c r="AQ67" s="26"/>
      <c r="AR67" s="26"/>
      <c r="AT67" s="24"/>
      <c r="AU67" s="26"/>
      <c r="AV67" s="26"/>
      <c r="AX67" s="24"/>
      <c r="AY67" s="26"/>
      <c r="AZ67" s="26"/>
      <c r="BA67" s="24"/>
      <c r="BB67" s="24"/>
      <c r="BE67" s="25"/>
      <c r="BF67" s="24"/>
      <c r="BG67" s="23"/>
    </row>
    <row r="68" spans="10:59" ht="23.25">
      <c r="L68" s="586" t="s">
        <v>185</v>
      </c>
      <c r="M68" s="430">
        <v>13.8</v>
      </c>
      <c r="N68" s="430">
        <v>0</v>
      </c>
      <c r="O68" s="430">
        <v>0</v>
      </c>
      <c r="P68" s="430">
        <v>0</v>
      </c>
      <c r="Q68" s="430">
        <v>0</v>
      </c>
      <c r="R68" s="655">
        <v>0</v>
      </c>
      <c r="S68" s="430"/>
      <c r="T68" s="568">
        <f t="shared" si="34"/>
        <v>13.8</v>
      </c>
      <c r="U68" s="587">
        <v>18</v>
      </c>
      <c r="V68" s="466"/>
      <c r="W68" s="466"/>
      <c r="X68" s="466">
        <v>46</v>
      </c>
      <c r="Y68" s="465"/>
      <c r="Z68" s="466"/>
      <c r="AA68" s="466"/>
      <c r="AB68" s="466"/>
      <c r="AC68" s="465"/>
      <c r="AD68" s="466"/>
      <c r="AG68" s="26"/>
      <c r="AH68" s="24"/>
      <c r="AK68" s="49"/>
      <c r="AL68" s="24"/>
      <c r="AO68" s="26"/>
      <c r="AP68" s="24"/>
      <c r="AQ68" s="26"/>
      <c r="AR68" s="26"/>
      <c r="AT68" s="24"/>
      <c r="AU68" s="26"/>
      <c r="AV68" s="26"/>
      <c r="AX68" s="24"/>
      <c r="AY68" s="26"/>
      <c r="AZ68" s="26"/>
      <c r="BA68" s="24"/>
      <c r="BB68" s="24"/>
      <c r="BE68" s="25"/>
      <c r="BF68" s="24"/>
      <c r="BG68" s="23"/>
    </row>
    <row r="69" spans="10:59" ht="23.25">
      <c r="L69" s="586" t="s">
        <v>202</v>
      </c>
      <c r="M69" s="430">
        <v>0</v>
      </c>
      <c r="N69" s="430">
        <v>0</v>
      </c>
      <c r="O69" s="430">
        <v>0</v>
      </c>
      <c r="P69" s="430">
        <v>0</v>
      </c>
      <c r="Q69" s="430">
        <v>0</v>
      </c>
      <c r="R69" s="655">
        <v>0</v>
      </c>
      <c r="S69" s="430"/>
      <c r="T69" s="568">
        <f t="shared" si="34"/>
        <v>0</v>
      </c>
      <c r="U69" s="587">
        <v>0</v>
      </c>
      <c r="V69" s="466"/>
      <c r="W69" s="466"/>
      <c r="X69" s="466"/>
      <c r="Y69" s="465"/>
      <c r="Z69" s="466"/>
      <c r="AA69" s="466"/>
      <c r="AB69" s="466"/>
      <c r="AC69" s="465"/>
      <c r="AD69" s="466"/>
      <c r="AG69" s="26"/>
      <c r="AH69" s="24"/>
      <c r="AK69" s="49"/>
      <c r="AL69" s="24"/>
      <c r="AM69" s="26"/>
      <c r="AN69" s="26"/>
      <c r="AY69" s="24"/>
      <c r="AZ69" s="24"/>
      <c r="BA69" s="24"/>
      <c r="BB69" s="24"/>
      <c r="BC69" s="25"/>
      <c r="BD69" s="25"/>
      <c r="BF69" s="23"/>
      <c r="BG69" s="23"/>
    </row>
    <row r="70" spans="10:59" ht="23.25">
      <c r="L70" s="586" t="s">
        <v>186</v>
      </c>
      <c r="M70" s="430">
        <v>33</v>
      </c>
      <c r="N70" s="430">
        <v>1</v>
      </c>
      <c r="O70" s="430">
        <v>0</v>
      </c>
      <c r="P70" s="430">
        <v>0</v>
      </c>
      <c r="Q70" s="430">
        <v>0</v>
      </c>
      <c r="R70" s="655">
        <v>0</v>
      </c>
      <c r="S70" s="430"/>
      <c r="T70" s="568">
        <f t="shared" si="34"/>
        <v>34</v>
      </c>
      <c r="U70" s="587">
        <v>0</v>
      </c>
      <c r="V70" s="466"/>
      <c r="W70" s="466"/>
      <c r="X70" s="466"/>
      <c r="Y70" s="465"/>
      <c r="Z70" s="466"/>
      <c r="AA70" s="466"/>
      <c r="AB70" s="466"/>
      <c r="AC70" s="465"/>
      <c r="AD70" s="466"/>
      <c r="AG70" s="26"/>
      <c r="AH70" s="24"/>
      <c r="AK70" s="49"/>
      <c r="AL70" s="24"/>
      <c r="AM70" s="26"/>
      <c r="AN70" s="26"/>
      <c r="AY70" s="24"/>
      <c r="AZ70" s="24"/>
      <c r="BA70" s="24"/>
      <c r="BB70" s="24"/>
      <c r="BC70" s="25"/>
      <c r="BD70" s="25"/>
      <c r="BF70" s="23"/>
      <c r="BG70" s="23"/>
    </row>
    <row r="71" spans="10:59" ht="23.25">
      <c r="L71" s="586" t="s">
        <v>203</v>
      </c>
      <c r="M71" s="430">
        <v>10</v>
      </c>
      <c r="N71" s="430">
        <v>0</v>
      </c>
      <c r="O71" s="430">
        <v>0</v>
      </c>
      <c r="P71" s="430">
        <v>0</v>
      </c>
      <c r="Q71" s="430">
        <v>0</v>
      </c>
      <c r="R71" s="655">
        <v>0</v>
      </c>
      <c r="S71" s="430"/>
      <c r="T71" s="568">
        <f t="shared" si="34"/>
        <v>10</v>
      </c>
      <c r="U71" s="587">
        <v>0</v>
      </c>
      <c r="V71" s="466"/>
      <c r="W71" s="466"/>
      <c r="X71" s="466"/>
      <c r="Y71" s="465"/>
      <c r="Z71" s="466"/>
      <c r="AA71" s="466"/>
      <c r="AB71" s="466"/>
      <c r="AC71" s="465"/>
      <c r="AD71" s="466"/>
      <c r="AG71" s="26"/>
      <c r="AH71" s="24"/>
      <c r="AK71" s="49"/>
      <c r="AL71" s="24"/>
      <c r="AM71" s="26"/>
      <c r="AN71" s="26"/>
      <c r="AY71" s="24"/>
      <c r="AZ71" s="24"/>
      <c r="BA71" s="24"/>
      <c r="BB71" s="24"/>
      <c r="BC71" s="25"/>
      <c r="BD71" s="25"/>
      <c r="BF71" s="23"/>
      <c r="BG71" s="23"/>
    </row>
    <row r="72" spans="10:59" ht="27" customHeight="1" thickBot="1">
      <c r="L72" s="588" t="s">
        <v>191</v>
      </c>
      <c r="M72" s="589">
        <f>SUM(M62:M71)</f>
        <v>101.54</v>
      </c>
      <c r="N72" s="444">
        <f>SUM(N62:N71)</f>
        <v>3</v>
      </c>
      <c r="O72" s="444">
        <f>SUM(O62:O71)</f>
        <v>0</v>
      </c>
      <c r="P72" s="444">
        <f>SUM(P62:P71)</f>
        <v>0</v>
      </c>
      <c r="Q72" s="444">
        <f>SUM(Q62:Q71)</f>
        <v>3.54</v>
      </c>
      <c r="R72" s="444"/>
      <c r="S72" s="444">
        <f>SUM(S62:S71)</f>
        <v>0</v>
      </c>
      <c r="T72" s="630">
        <f>SUM(T62:T71)</f>
        <v>108.08</v>
      </c>
      <c r="U72" s="631">
        <f>SUM(U62:U71)</f>
        <v>41.9</v>
      </c>
      <c r="V72" s="466"/>
      <c r="W72" s="466"/>
      <c r="X72" s="466"/>
      <c r="Y72" s="465"/>
      <c r="Z72" s="466"/>
      <c r="AA72" s="466"/>
      <c r="AB72" s="466"/>
      <c r="AC72" s="465"/>
      <c r="AD72" s="466"/>
      <c r="AG72" s="26"/>
      <c r="AH72" s="24"/>
      <c r="AK72" s="49"/>
      <c r="AL72" s="24"/>
      <c r="AM72" s="26"/>
      <c r="AN72" s="26"/>
      <c r="AY72" s="24"/>
      <c r="AZ72" s="24"/>
      <c r="BA72" s="24"/>
      <c r="BB72" s="24"/>
      <c r="BC72" s="25"/>
      <c r="BD72" s="25"/>
      <c r="BF72" s="23"/>
      <c r="BG72" s="23"/>
    </row>
    <row r="73" spans="10:59" ht="27" customHeight="1" thickBot="1">
      <c r="L73" s="1932" t="s">
        <v>221</v>
      </c>
      <c r="M73" s="1932"/>
      <c r="N73" s="1932"/>
      <c r="O73" s="1932"/>
      <c r="P73" s="1932"/>
      <c r="Q73" s="1932"/>
      <c r="R73" s="1932"/>
      <c r="S73" s="1932"/>
      <c r="T73" s="1933">
        <f>T72+U72</f>
        <v>149.97999999999999</v>
      </c>
      <c r="U73" s="1934"/>
      <c r="V73" s="466"/>
      <c r="W73" s="466"/>
      <c r="X73" s="466"/>
      <c r="Y73" s="465"/>
      <c r="Z73" s="466"/>
      <c r="AA73" s="466"/>
      <c r="AB73" s="466"/>
      <c r="AC73" s="465"/>
      <c r="AD73" s="466"/>
      <c r="AG73" s="26"/>
      <c r="AH73" s="24"/>
      <c r="AK73" s="49"/>
      <c r="AL73" s="24"/>
      <c r="AM73" s="26"/>
      <c r="AN73" s="26"/>
      <c r="AP73" s="24"/>
      <c r="AQ73" s="26"/>
      <c r="AR73" s="26"/>
      <c r="AT73" s="24"/>
      <c r="AU73" s="26"/>
      <c r="AV73" s="26"/>
      <c r="AW73" s="50"/>
      <c r="AX73" s="50"/>
      <c r="AY73" s="26"/>
      <c r="AZ73" s="26"/>
      <c r="BA73" s="24"/>
      <c r="BB73" s="24"/>
      <c r="BC73" s="25"/>
      <c r="BD73" s="25"/>
      <c r="BF73" s="23"/>
      <c r="BG73" s="23"/>
    </row>
    <row r="74" spans="10:59" ht="26.25">
      <c r="L74" s="26"/>
      <c r="M74" s="26"/>
      <c r="N74" s="24"/>
      <c r="O74" s="1922" t="s">
        <v>235</v>
      </c>
      <c r="P74" s="1922"/>
      <c r="Q74" s="1922"/>
      <c r="R74" s="1922"/>
      <c r="S74" s="1922"/>
      <c r="T74" s="1920">
        <f>M72+28</f>
        <v>129.54000000000002</v>
      </c>
      <c r="U74" s="1921"/>
      <c r="V74" s="24"/>
      <c r="W74" s="466"/>
      <c r="X74" s="466"/>
      <c r="Y74" s="466"/>
      <c r="Z74" s="465"/>
      <c r="AA74" s="466"/>
      <c r="AB74" s="466"/>
      <c r="AC74" s="466"/>
      <c r="AD74" s="465"/>
      <c r="AE74" s="466"/>
      <c r="AN74" s="26"/>
      <c r="AO74" s="26"/>
      <c r="AP74" s="24"/>
      <c r="AR74" s="26"/>
      <c r="AS74" s="26"/>
      <c r="AT74" s="24"/>
      <c r="AV74" s="26"/>
      <c r="AW74" s="26"/>
      <c r="AX74" s="50"/>
      <c r="AZ74" s="26"/>
      <c r="BA74" s="26"/>
      <c r="BB74" s="24"/>
      <c r="BD74" s="25"/>
      <c r="BE74" s="25"/>
      <c r="BF74" s="24"/>
      <c r="BG74" s="23"/>
    </row>
    <row r="75" spans="10:59">
      <c r="L75" s="26"/>
      <c r="M75" s="26"/>
      <c r="N75" s="24"/>
      <c r="P75" s="26"/>
      <c r="Q75" s="26"/>
      <c r="R75" s="24"/>
      <c r="T75" s="26"/>
      <c r="U75" s="26"/>
      <c r="V75" s="24"/>
      <c r="W75" s="466"/>
      <c r="X75" s="466"/>
      <c r="Y75" s="466"/>
      <c r="Z75" s="465"/>
      <c r="AA75" s="466"/>
      <c r="AB75" s="466"/>
      <c r="AC75" s="466"/>
      <c r="AD75" s="465"/>
      <c r="AE75" s="466"/>
      <c r="AN75" s="26"/>
      <c r="AO75" s="26"/>
      <c r="AP75" s="24"/>
      <c r="AR75" s="26"/>
      <c r="AS75" s="26"/>
      <c r="AT75" s="24"/>
      <c r="AV75" s="26"/>
      <c r="AW75" s="26"/>
      <c r="AX75" s="50"/>
      <c r="AZ75" s="26"/>
      <c r="BA75" s="26"/>
      <c r="BB75" s="24"/>
      <c r="BD75" s="25"/>
      <c r="BE75" s="25"/>
      <c r="BF75" s="24"/>
      <c r="BG75" s="23"/>
    </row>
    <row r="76" spans="10:59">
      <c r="L76" s="26"/>
      <c r="M76" s="26"/>
      <c r="N76" s="24"/>
      <c r="P76" s="26"/>
      <c r="Q76" s="26"/>
      <c r="R76" s="24"/>
      <c r="T76" s="26"/>
      <c r="U76" s="26"/>
      <c r="V76" s="24"/>
      <c r="W76" s="466"/>
      <c r="X76" s="466"/>
      <c r="Y76" s="466"/>
      <c r="Z76" s="465"/>
      <c r="AA76" s="466"/>
      <c r="AB76" s="466"/>
      <c r="AC76" s="466"/>
      <c r="AD76" s="465"/>
      <c r="AE76" s="466"/>
      <c r="AN76" s="26"/>
      <c r="AO76" s="26"/>
      <c r="AP76" s="24"/>
      <c r="AR76" s="26"/>
      <c r="AS76" s="26"/>
      <c r="AT76" s="24"/>
      <c r="AV76" s="26"/>
      <c r="AW76" s="26"/>
      <c r="AX76" s="50"/>
      <c r="AZ76" s="26"/>
      <c r="BA76" s="26"/>
      <c r="BB76" s="24"/>
      <c r="BD76" s="25"/>
      <c r="BE76" s="25"/>
      <c r="BF76" s="24"/>
      <c r="BG76" s="23"/>
    </row>
    <row r="77" spans="10:59">
      <c r="L77" s="26"/>
      <c r="M77" s="26"/>
      <c r="N77" s="24"/>
      <c r="P77" s="26"/>
      <c r="Q77" s="26"/>
      <c r="R77" s="24"/>
      <c r="T77" s="26"/>
      <c r="U77" s="26"/>
      <c r="V77" s="24"/>
      <c r="W77" s="466"/>
      <c r="X77" s="466"/>
      <c r="Y77" s="466"/>
      <c r="Z77" s="465"/>
      <c r="AA77" s="466"/>
      <c r="AB77" s="466"/>
      <c r="AC77" s="466"/>
      <c r="AD77" s="465"/>
      <c r="AE77" s="466"/>
      <c r="AN77" s="26"/>
      <c r="AO77" s="26"/>
      <c r="AP77" s="24"/>
      <c r="AR77" s="26"/>
      <c r="AS77" s="26"/>
      <c r="AT77" s="24"/>
      <c r="AV77" s="26"/>
      <c r="AW77" s="26"/>
      <c r="AX77" s="50"/>
      <c r="AZ77" s="26"/>
      <c r="BA77" s="26"/>
      <c r="BB77" s="24"/>
      <c r="BD77" s="25"/>
      <c r="BE77" s="25"/>
      <c r="BF77" s="24"/>
      <c r="BG77" s="23"/>
    </row>
    <row r="78" spans="10:59">
      <c r="L78" s="26"/>
      <c r="M78" s="26"/>
      <c r="N78" s="24"/>
      <c r="P78" s="26"/>
      <c r="Q78" s="26"/>
      <c r="R78" s="24"/>
      <c r="T78" s="26"/>
      <c r="U78" s="26"/>
      <c r="V78" s="24"/>
      <c r="X78" s="26"/>
      <c r="Y78" s="26"/>
      <c r="Z78" s="24"/>
      <c r="AB78" s="26"/>
      <c r="AC78" s="26"/>
      <c r="AD78" s="24"/>
      <c r="AF78" s="26"/>
      <c r="AG78" s="26"/>
      <c r="AH78" s="24"/>
      <c r="AJ78" s="49"/>
      <c r="AK78" s="49"/>
      <c r="AL78" s="24"/>
      <c r="AN78" s="26"/>
      <c r="AO78" s="26"/>
      <c r="AP78" s="24"/>
      <c r="AR78" s="26"/>
      <c r="AS78" s="26"/>
      <c r="AT78" s="24"/>
      <c r="AV78" s="26"/>
      <c r="AW78" s="26"/>
      <c r="AX78" s="50"/>
      <c r="AZ78" s="26"/>
      <c r="BA78" s="26"/>
      <c r="BB78" s="24"/>
      <c r="BD78" s="25"/>
      <c r="BE78" s="25"/>
      <c r="BF78" s="24"/>
      <c r="BG78" s="23"/>
    </row>
    <row r="79" spans="10:59">
      <c r="L79" s="26"/>
      <c r="M79" s="26"/>
      <c r="N79" s="24"/>
      <c r="P79" s="26"/>
      <c r="Q79" s="26"/>
      <c r="R79" s="24"/>
      <c r="T79" s="26"/>
      <c r="U79" s="26"/>
      <c r="V79" s="24"/>
      <c r="X79" s="26"/>
      <c r="Y79" s="26"/>
      <c r="Z79" s="24"/>
      <c r="AB79" s="26"/>
      <c r="AC79" s="26"/>
      <c r="AD79" s="24"/>
      <c r="AF79" s="26"/>
      <c r="AG79" s="26"/>
      <c r="AH79" s="24"/>
      <c r="AJ79" s="49"/>
      <c r="AK79" s="49"/>
      <c r="AL79" s="24"/>
      <c r="AN79" s="26"/>
      <c r="AO79" s="26"/>
      <c r="AP79" s="24"/>
      <c r="AR79" s="26"/>
      <c r="AS79" s="26"/>
      <c r="AT79" s="24"/>
      <c r="AV79" s="26"/>
      <c r="AW79" s="26"/>
      <c r="AX79" s="50"/>
      <c r="AZ79" s="26"/>
      <c r="BA79" s="26"/>
      <c r="BB79" s="24"/>
      <c r="BD79" s="25"/>
      <c r="BE79" s="25"/>
      <c r="BF79" s="24"/>
      <c r="BG79" s="23"/>
    </row>
  </sheetData>
  <mergeCells count="62">
    <mergeCell ref="O74:S74"/>
    <mergeCell ref="T74:U74"/>
    <mergeCell ref="H26:I26"/>
    <mergeCell ref="V31:AD31"/>
    <mergeCell ref="AD59:AE59"/>
    <mergeCell ref="L31:S31"/>
    <mergeCell ref="L45:T45"/>
    <mergeCell ref="V45:AE45"/>
    <mergeCell ref="V58:AC58"/>
    <mergeCell ref="AD58:AE58"/>
    <mergeCell ref="Y59:AC59"/>
    <mergeCell ref="H10:I10"/>
    <mergeCell ref="C15:C24"/>
    <mergeCell ref="H15:H23"/>
    <mergeCell ref="H24:I24"/>
    <mergeCell ref="D13:F13"/>
    <mergeCell ref="H13:I14"/>
    <mergeCell ref="C14:D14"/>
    <mergeCell ref="H12:BI12"/>
    <mergeCell ref="J13:M13"/>
    <mergeCell ref="N13:Q13"/>
    <mergeCell ref="BF13:BI13"/>
    <mergeCell ref="R13:U13"/>
    <mergeCell ref="V13:Y13"/>
    <mergeCell ref="Z13:AC13"/>
    <mergeCell ref="AD13:AG13"/>
    <mergeCell ref="AH13:AK13"/>
    <mergeCell ref="C2:F2"/>
    <mergeCell ref="H2:K2"/>
    <mergeCell ref="C6:C9"/>
    <mergeCell ref="H6:H9"/>
    <mergeCell ref="D4:F4"/>
    <mergeCell ref="H4:I5"/>
    <mergeCell ref="C5:D5"/>
    <mergeCell ref="N2:AZ2"/>
    <mergeCell ref="BB2:BI2"/>
    <mergeCell ref="H3:BI3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AL13:AO13"/>
    <mergeCell ref="AP13:AS13"/>
    <mergeCell ref="AT13:AW13"/>
    <mergeCell ref="AX13:BA13"/>
    <mergeCell ref="BB13:BE13"/>
    <mergeCell ref="BC27:BC28"/>
    <mergeCell ref="BH27:BI27"/>
    <mergeCell ref="L60:U60"/>
    <mergeCell ref="L73:S73"/>
    <mergeCell ref="T73:U73"/>
    <mergeCell ref="O58:R58"/>
    <mergeCell ref="S58:T58"/>
  </mergeCells>
  <conditionalFormatting sqref="M47:R56">
    <cfRule type="cellIs" dxfId="51" priority="2" operator="equal">
      <formula>0</formula>
    </cfRule>
  </conditionalFormatting>
  <conditionalFormatting sqref="M62:R71">
    <cfRule type="cellIs" dxfId="50" priority="1" operator="equal">
      <formula>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BI80"/>
  <sheetViews>
    <sheetView showGridLines="0" topLeftCell="I1" zoomScale="60" zoomScaleNormal="60" workbookViewId="0">
      <pane xSplit="1" topLeftCell="AF1" activePane="topRight" state="frozen"/>
      <selection activeCell="I1" sqref="I1"/>
      <selection pane="topRight" activeCell="BG32" sqref="BG32"/>
    </sheetView>
  </sheetViews>
  <sheetFormatPr defaultColWidth="10.42578125" defaultRowHeight="15"/>
  <cols>
    <col min="1" max="3" width="10.42578125" style="23"/>
    <col min="4" max="6" width="10.42578125" style="27"/>
    <col min="7" max="8" width="10.42578125" style="23"/>
    <col min="9" max="9" width="15.28515625" style="27" bestFit="1" customWidth="1"/>
    <col min="10" max="10" width="10.42578125" style="26"/>
    <col min="11" max="13" width="10.42578125" style="24"/>
    <col min="14" max="14" width="10.42578125" style="26"/>
    <col min="15" max="17" width="10.42578125" style="24"/>
    <col min="18" max="18" width="10.42578125" style="26"/>
    <col min="19" max="21" width="10.42578125" style="24"/>
    <col min="22" max="22" width="10.42578125" style="26"/>
    <col min="23" max="25" width="10.42578125" style="24"/>
    <col min="26" max="26" width="10.42578125" style="26"/>
    <col min="27" max="29" width="10.42578125" style="24"/>
    <col min="30" max="30" width="10.42578125" style="26"/>
    <col min="31" max="33" width="10.42578125" style="24"/>
    <col min="34" max="34" width="10.42578125" style="26"/>
    <col min="35" max="37" width="10.42578125" style="24"/>
    <col min="38" max="38" width="10.42578125" style="49"/>
    <col min="39" max="41" width="10.42578125" style="24"/>
    <col min="42" max="42" width="10.42578125" style="26"/>
    <col min="43" max="45" width="10.42578125" style="24"/>
    <col min="46" max="46" width="10.42578125" style="26"/>
    <col min="47" max="49" width="10.42578125" style="24"/>
    <col min="50" max="50" width="10.42578125" style="26"/>
    <col min="51" max="53" width="10.42578125" style="50"/>
    <col min="54" max="54" width="10.42578125" style="26"/>
    <col min="55" max="57" width="10.42578125" style="24"/>
    <col min="58" max="58" width="10.42578125" style="25"/>
    <col min="59" max="59" width="10.42578125" style="24"/>
    <col min="60" max="16384" width="10.42578125" style="23"/>
  </cols>
  <sheetData>
    <row r="1" spans="3:61" ht="15" customHeight="1" thickBot="1"/>
    <row r="2" spans="3:61" ht="21.75" thickBot="1">
      <c r="C2" s="1899" t="s">
        <v>45</v>
      </c>
      <c r="D2" s="1900"/>
      <c r="E2" s="1900"/>
      <c r="F2" s="1901"/>
      <c r="H2" s="1915"/>
      <c r="I2" s="1567"/>
      <c r="J2" s="1567"/>
      <c r="K2" s="1567"/>
      <c r="L2" s="1020"/>
      <c r="M2" s="1020"/>
      <c r="N2" s="1916" t="s">
        <v>249</v>
      </c>
      <c r="O2" s="1916"/>
      <c r="P2" s="1916"/>
      <c r="Q2" s="1916"/>
      <c r="R2" s="1916"/>
      <c r="S2" s="1916"/>
      <c r="T2" s="1916"/>
      <c r="U2" s="1916"/>
      <c r="V2" s="1916"/>
      <c r="W2" s="1916"/>
      <c r="X2" s="1916"/>
      <c r="Y2" s="1916"/>
      <c r="Z2" s="1916"/>
      <c r="AA2" s="1916"/>
      <c r="AB2" s="1916"/>
      <c r="AC2" s="1916"/>
      <c r="AD2" s="1916"/>
      <c r="AE2" s="1916"/>
      <c r="AF2" s="1916"/>
      <c r="AG2" s="1916"/>
      <c r="AH2" s="1916"/>
      <c r="AI2" s="1916"/>
      <c r="AJ2" s="1916"/>
      <c r="AK2" s="1916"/>
      <c r="AL2" s="1916"/>
      <c r="AM2" s="1916"/>
      <c r="AN2" s="1916"/>
      <c r="AO2" s="1916"/>
      <c r="AP2" s="1916"/>
      <c r="AQ2" s="1916"/>
      <c r="AR2" s="1916"/>
      <c r="AS2" s="1916"/>
      <c r="AT2" s="1916"/>
      <c r="AU2" s="1916"/>
      <c r="AV2" s="1916"/>
      <c r="AW2" s="1916"/>
      <c r="AX2" s="1916"/>
      <c r="AY2" s="1916"/>
      <c r="AZ2" s="1916"/>
      <c r="BA2" s="1020"/>
      <c r="BB2" s="1902" t="s">
        <v>118</v>
      </c>
      <c r="BC2" s="1903"/>
      <c r="BD2" s="1903"/>
      <c r="BE2" s="1903"/>
      <c r="BF2" s="1903"/>
      <c r="BG2" s="1903"/>
      <c r="BH2" s="1903"/>
      <c r="BI2" s="1904"/>
    </row>
    <row r="3" spans="3:61" ht="19.5" thickBot="1">
      <c r="C3" s="1019"/>
      <c r="D3" s="1017"/>
      <c r="E3" s="1017"/>
      <c r="F3" s="1023"/>
      <c r="H3" s="1905" t="s">
        <v>115</v>
      </c>
      <c r="I3" s="1906"/>
      <c r="J3" s="1906"/>
      <c r="K3" s="1906"/>
      <c r="L3" s="1906"/>
      <c r="M3" s="1906"/>
      <c r="N3" s="1906"/>
      <c r="O3" s="1906"/>
      <c r="P3" s="1906"/>
      <c r="Q3" s="1906"/>
      <c r="R3" s="1906"/>
      <c r="S3" s="1906"/>
      <c r="T3" s="1906"/>
      <c r="U3" s="1906"/>
      <c r="V3" s="1906"/>
      <c r="W3" s="1906"/>
      <c r="X3" s="1906"/>
      <c r="Y3" s="1906"/>
      <c r="Z3" s="1906"/>
      <c r="AA3" s="1906"/>
      <c r="AB3" s="1906"/>
      <c r="AC3" s="1906"/>
      <c r="AD3" s="1906"/>
      <c r="AE3" s="1906"/>
      <c r="AF3" s="1906"/>
      <c r="AG3" s="1906"/>
      <c r="AH3" s="1906"/>
      <c r="AI3" s="1906"/>
      <c r="AJ3" s="1906"/>
      <c r="AK3" s="1906"/>
      <c r="AL3" s="1906"/>
      <c r="AM3" s="1906"/>
      <c r="AN3" s="1906"/>
      <c r="AO3" s="1906"/>
      <c r="AP3" s="1906"/>
      <c r="AQ3" s="1906"/>
      <c r="AR3" s="1906"/>
      <c r="AS3" s="1906"/>
      <c r="AT3" s="1906"/>
      <c r="AU3" s="1906"/>
      <c r="AV3" s="1906"/>
      <c r="AW3" s="1906"/>
      <c r="AX3" s="1906"/>
      <c r="AY3" s="1906"/>
      <c r="AZ3" s="1906"/>
      <c r="BA3" s="1906"/>
      <c r="BB3" s="1906"/>
      <c r="BC3" s="1906"/>
      <c r="BD3" s="1906"/>
      <c r="BE3" s="1906"/>
      <c r="BF3" s="1906"/>
      <c r="BG3" s="1906"/>
      <c r="BH3" s="1906"/>
      <c r="BI3" s="1907"/>
    </row>
    <row r="4" spans="3:61" ht="18.75">
      <c r="C4" s="37" t="s">
        <v>44</v>
      </c>
      <c r="D4" s="1869"/>
      <c r="E4" s="1869"/>
      <c r="F4" s="1870"/>
      <c r="H4" s="1908" t="s">
        <v>33</v>
      </c>
      <c r="I4" s="1909"/>
      <c r="J4" s="1871" t="s">
        <v>43</v>
      </c>
      <c r="K4" s="1872"/>
      <c r="L4" s="1872"/>
      <c r="M4" s="1873"/>
      <c r="N4" s="1871" t="s">
        <v>42</v>
      </c>
      <c r="O4" s="1872"/>
      <c r="P4" s="1872"/>
      <c r="Q4" s="1873"/>
      <c r="R4" s="1871" t="s">
        <v>41</v>
      </c>
      <c r="S4" s="1872"/>
      <c r="T4" s="1872"/>
      <c r="U4" s="1873"/>
      <c r="V4" s="1871" t="s">
        <v>40</v>
      </c>
      <c r="W4" s="1872"/>
      <c r="X4" s="1872"/>
      <c r="Y4" s="1873"/>
      <c r="Z4" s="1871" t="s">
        <v>39</v>
      </c>
      <c r="AA4" s="1872"/>
      <c r="AB4" s="1872"/>
      <c r="AC4" s="1873"/>
      <c r="AD4" s="1871" t="s">
        <v>38</v>
      </c>
      <c r="AE4" s="1872"/>
      <c r="AF4" s="1872"/>
      <c r="AG4" s="1873"/>
      <c r="AH4" s="1874" t="s">
        <v>122</v>
      </c>
      <c r="AI4" s="1875"/>
      <c r="AJ4" s="1875"/>
      <c r="AK4" s="1876"/>
      <c r="AL4" s="1871" t="s">
        <v>37</v>
      </c>
      <c r="AM4" s="1872"/>
      <c r="AN4" s="1872"/>
      <c r="AO4" s="1873"/>
      <c r="AP4" s="1871" t="s">
        <v>36</v>
      </c>
      <c r="AQ4" s="1872"/>
      <c r="AR4" s="1872"/>
      <c r="AS4" s="1873"/>
      <c r="AT4" s="1871" t="s">
        <v>35</v>
      </c>
      <c r="AU4" s="1872"/>
      <c r="AV4" s="1872"/>
      <c r="AW4" s="1873"/>
      <c r="AX4" s="1871" t="s">
        <v>34</v>
      </c>
      <c r="AY4" s="1872"/>
      <c r="AZ4" s="1872"/>
      <c r="BA4" s="1873"/>
      <c r="BB4" s="1874" t="s">
        <v>123</v>
      </c>
      <c r="BC4" s="1875"/>
      <c r="BD4" s="1875"/>
      <c r="BE4" s="1876"/>
      <c r="BF4" s="1877" t="s">
        <v>17</v>
      </c>
      <c r="BG4" s="1878"/>
      <c r="BH4" s="1878"/>
      <c r="BI4" s="1878"/>
    </row>
    <row r="5" spans="3:61" ht="15.75" customHeight="1">
      <c r="C5" s="1879" t="s">
        <v>33</v>
      </c>
      <c r="D5" s="1869"/>
      <c r="E5" s="1017" t="s">
        <v>1</v>
      </c>
      <c r="F5" s="1023" t="s">
        <v>2</v>
      </c>
      <c r="H5" s="1910"/>
      <c r="I5" s="1911"/>
      <c r="J5" s="36" t="s">
        <v>1</v>
      </c>
      <c r="K5" s="271" t="s">
        <v>2</v>
      </c>
      <c r="L5" s="693" t="s">
        <v>182</v>
      </c>
      <c r="M5" s="35" t="s">
        <v>247</v>
      </c>
      <c r="N5" s="36" t="s">
        <v>1</v>
      </c>
      <c r="O5" s="271" t="s">
        <v>2</v>
      </c>
      <c r="P5" s="693" t="s">
        <v>182</v>
      </c>
      <c r="Q5" s="35" t="s">
        <v>247</v>
      </c>
      <c r="R5" s="36" t="s">
        <v>1</v>
      </c>
      <c r="S5" s="271" t="s">
        <v>2</v>
      </c>
      <c r="T5" s="693" t="s">
        <v>182</v>
      </c>
      <c r="U5" s="35" t="s">
        <v>247</v>
      </c>
      <c r="V5" s="36" t="s">
        <v>1</v>
      </c>
      <c r="W5" s="271" t="s">
        <v>2</v>
      </c>
      <c r="X5" s="693" t="s">
        <v>182</v>
      </c>
      <c r="Y5" s="35" t="s">
        <v>247</v>
      </c>
      <c r="Z5" s="36" t="s">
        <v>1</v>
      </c>
      <c r="AA5" s="271" t="s">
        <v>2</v>
      </c>
      <c r="AB5" s="693" t="s">
        <v>182</v>
      </c>
      <c r="AC5" s="35" t="s">
        <v>247</v>
      </c>
      <c r="AD5" s="36" t="s">
        <v>1</v>
      </c>
      <c r="AE5" s="271" t="s">
        <v>2</v>
      </c>
      <c r="AF5" s="693" t="s">
        <v>182</v>
      </c>
      <c r="AG5" s="35" t="s">
        <v>247</v>
      </c>
      <c r="AH5" s="36" t="s">
        <v>1</v>
      </c>
      <c r="AI5" s="271" t="s">
        <v>2</v>
      </c>
      <c r="AJ5" s="271" t="s">
        <v>182</v>
      </c>
      <c r="AK5" s="690" t="s">
        <v>196</v>
      </c>
      <c r="AL5" s="36" t="s">
        <v>1</v>
      </c>
      <c r="AM5" s="271" t="s">
        <v>2</v>
      </c>
      <c r="AN5" s="693" t="s">
        <v>182</v>
      </c>
      <c r="AO5" s="35" t="s">
        <v>247</v>
      </c>
      <c r="AP5" s="36" t="s">
        <v>1</v>
      </c>
      <c r="AQ5" s="271" t="s">
        <v>2</v>
      </c>
      <c r="AR5" s="693" t="s">
        <v>182</v>
      </c>
      <c r="AS5" s="35" t="s">
        <v>247</v>
      </c>
      <c r="AT5" s="36" t="s">
        <v>1</v>
      </c>
      <c r="AU5" s="271" t="s">
        <v>2</v>
      </c>
      <c r="AV5" s="693" t="s">
        <v>182</v>
      </c>
      <c r="AW5" s="35" t="s">
        <v>247</v>
      </c>
      <c r="AX5" s="36" t="s">
        <v>1</v>
      </c>
      <c r="AY5" s="271" t="s">
        <v>2</v>
      </c>
      <c r="AZ5" s="693" t="s">
        <v>182</v>
      </c>
      <c r="BA5" s="35" t="s">
        <v>247</v>
      </c>
      <c r="BB5" s="36" t="s">
        <v>1</v>
      </c>
      <c r="BC5" s="271" t="s">
        <v>2</v>
      </c>
      <c r="BD5" s="271" t="s">
        <v>182</v>
      </c>
      <c r="BE5" s="690" t="s">
        <v>196</v>
      </c>
      <c r="BF5" s="274" t="s">
        <v>1</v>
      </c>
      <c r="BG5" s="275" t="s">
        <v>2</v>
      </c>
      <c r="BH5" s="275" t="s">
        <v>182</v>
      </c>
      <c r="BI5" s="698" t="s">
        <v>196</v>
      </c>
    </row>
    <row r="6" spans="3:61" s="28" customFormat="1" ht="20.100000000000001" customHeight="1">
      <c r="C6" s="1879" t="s">
        <v>19</v>
      </c>
      <c r="D6" s="1017" t="s">
        <v>32</v>
      </c>
      <c r="E6" s="1017"/>
      <c r="F6" s="1018"/>
      <c r="H6" s="1886" t="s">
        <v>32</v>
      </c>
      <c r="I6" s="33" t="s">
        <v>32</v>
      </c>
      <c r="J6" s="462">
        <v>30</v>
      </c>
      <c r="K6" s="463">
        <v>20</v>
      </c>
      <c r="L6" s="463">
        <v>20</v>
      </c>
      <c r="M6" s="691">
        <v>9</v>
      </c>
      <c r="N6" s="462">
        <v>15</v>
      </c>
      <c r="O6" s="463">
        <v>7</v>
      </c>
      <c r="P6" s="463">
        <v>7</v>
      </c>
      <c r="Q6" s="691"/>
      <c r="R6" s="462">
        <v>20</v>
      </c>
      <c r="S6" s="463">
        <v>20</v>
      </c>
      <c r="T6" s="463"/>
      <c r="U6" s="691">
        <v>32.299999999999997</v>
      </c>
      <c r="V6" s="462">
        <v>5</v>
      </c>
      <c r="W6" s="463">
        <v>2</v>
      </c>
      <c r="X6" s="463">
        <v>2</v>
      </c>
      <c r="Y6" s="691"/>
      <c r="Z6" s="462">
        <v>2</v>
      </c>
      <c r="AA6" s="463"/>
      <c r="AB6" s="463"/>
      <c r="AC6" s="691"/>
      <c r="AD6" s="462">
        <v>30</v>
      </c>
      <c r="AE6" s="463">
        <v>20</v>
      </c>
      <c r="AF6" s="463">
        <v>20</v>
      </c>
      <c r="AG6" s="691"/>
      <c r="AH6" s="128">
        <f>J6+N6+R6+V6+Z6+AD6</f>
        <v>102</v>
      </c>
      <c r="AI6" s="273">
        <f>K6+O6+S6+W6+AA6+AE6</f>
        <v>69</v>
      </c>
      <c r="AJ6" s="273">
        <f>L6+P6+T6+X6+AB6+AF6</f>
        <v>49</v>
      </c>
      <c r="AK6" s="694">
        <f>M6+Q6+U6+Y6+AC6+AG6</f>
        <v>41.3</v>
      </c>
      <c r="AL6" s="462">
        <v>30</v>
      </c>
      <c r="AM6" s="463">
        <v>2</v>
      </c>
      <c r="AN6" s="463">
        <v>2</v>
      </c>
      <c r="AO6" s="691"/>
      <c r="AP6" s="462">
        <v>25</v>
      </c>
      <c r="AQ6" s="463">
        <f>7.35+1</f>
        <v>8.35</v>
      </c>
      <c r="AR6" s="463">
        <v>8.35</v>
      </c>
      <c r="AS6" s="691"/>
      <c r="AT6" s="462"/>
      <c r="AU6" s="463"/>
      <c r="AV6" s="463"/>
      <c r="AW6" s="691"/>
      <c r="AX6" s="462">
        <v>12</v>
      </c>
      <c r="AY6" s="463"/>
      <c r="AZ6" s="463"/>
      <c r="BA6" s="691"/>
      <c r="BB6" s="128">
        <f>AL6+AP6+AT6+AX6</f>
        <v>67</v>
      </c>
      <c r="BC6" s="273">
        <f>AM6+AQ6+AU6+AY6</f>
        <v>10.35</v>
      </c>
      <c r="BD6" s="273">
        <f>AN6+AR6+AV6+AZ6</f>
        <v>10.35</v>
      </c>
      <c r="BE6" s="273">
        <f>AO6+AS6+AW6+BA6</f>
        <v>0</v>
      </c>
      <c r="BF6" s="276">
        <f>AH6+BB6</f>
        <v>169</v>
      </c>
      <c r="BG6" s="277">
        <f>AI6+BC6</f>
        <v>79.349999999999994</v>
      </c>
      <c r="BH6" s="701">
        <f>AJ6+BD6</f>
        <v>59.35</v>
      </c>
      <c r="BI6" s="699">
        <f>AK6+BE6</f>
        <v>41.3</v>
      </c>
    </row>
    <row r="7" spans="3:61" s="28" customFormat="1" ht="20.100000000000001" customHeight="1">
      <c r="C7" s="1879"/>
      <c r="D7" s="1017" t="s">
        <v>31</v>
      </c>
      <c r="E7" s="1017"/>
      <c r="F7" s="1018"/>
      <c r="H7" s="1887"/>
      <c r="I7" s="33" t="s">
        <v>31</v>
      </c>
      <c r="J7" s="462"/>
      <c r="K7" s="463"/>
      <c r="L7" s="463"/>
      <c r="M7" s="691"/>
      <c r="N7" s="462"/>
      <c r="O7" s="463"/>
      <c r="P7" s="463"/>
      <c r="Q7" s="691"/>
      <c r="R7" s="462"/>
      <c r="S7" s="463"/>
      <c r="T7" s="463"/>
      <c r="U7" s="691"/>
      <c r="V7" s="462"/>
      <c r="W7" s="463"/>
      <c r="X7" s="463"/>
      <c r="Y7" s="691"/>
      <c r="Z7" s="462"/>
      <c r="AA7" s="463"/>
      <c r="AB7" s="463"/>
      <c r="AC7" s="691"/>
      <c r="AD7" s="462"/>
      <c r="AE7" s="463"/>
      <c r="AF7" s="463"/>
      <c r="AG7" s="691"/>
      <c r="AH7" s="128">
        <f t="shared" ref="AH7:AK9" si="0">J7+N7+R7+V7+Z7+AD7</f>
        <v>0</v>
      </c>
      <c r="AI7" s="273">
        <f t="shared" si="0"/>
        <v>0</v>
      </c>
      <c r="AJ7" s="273">
        <f t="shared" si="0"/>
        <v>0</v>
      </c>
      <c r="AK7" s="694">
        <f t="shared" si="0"/>
        <v>0</v>
      </c>
      <c r="AL7" s="462"/>
      <c r="AM7" s="463"/>
      <c r="AN7" s="463"/>
      <c r="AO7" s="691"/>
      <c r="AP7" s="462"/>
      <c r="AQ7" s="463"/>
      <c r="AR7" s="463"/>
      <c r="AS7" s="691"/>
      <c r="AT7" s="462"/>
      <c r="AU7" s="463"/>
      <c r="AV7" s="463"/>
      <c r="AW7" s="691"/>
      <c r="AX7" s="462"/>
      <c r="AY7" s="463"/>
      <c r="AZ7" s="463"/>
      <c r="BA7" s="691"/>
      <c r="BB7" s="128">
        <f t="shared" ref="BB7:BE9" si="1">AL7+AP7+AT7+AX7</f>
        <v>0</v>
      </c>
      <c r="BC7" s="273">
        <f t="shared" si="1"/>
        <v>0</v>
      </c>
      <c r="BD7" s="273">
        <f t="shared" si="1"/>
        <v>0</v>
      </c>
      <c r="BE7" s="273">
        <f t="shared" si="1"/>
        <v>0</v>
      </c>
      <c r="BF7" s="276">
        <f t="shared" ref="BF7:BI9" si="2">AH7+BB7</f>
        <v>0</v>
      </c>
      <c r="BG7" s="277">
        <f t="shared" si="2"/>
        <v>0</v>
      </c>
      <c r="BH7" s="277">
        <f t="shared" si="2"/>
        <v>0</v>
      </c>
      <c r="BI7" s="699">
        <f t="shared" si="2"/>
        <v>0</v>
      </c>
    </row>
    <row r="8" spans="3:61" s="28" customFormat="1" ht="20.100000000000001" customHeight="1">
      <c r="C8" s="1879"/>
      <c r="D8" s="1017" t="s">
        <v>30</v>
      </c>
      <c r="E8" s="1017"/>
      <c r="F8" s="1018"/>
      <c r="H8" s="1887"/>
      <c r="I8" s="33" t="s">
        <v>30</v>
      </c>
      <c r="J8" s="462"/>
      <c r="K8" s="463">
        <v>1</v>
      </c>
      <c r="L8" s="463">
        <v>1</v>
      </c>
      <c r="M8" s="691"/>
      <c r="N8" s="462">
        <v>5</v>
      </c>
      <c r="O8" s="463"/>
      <c r="P8" s="463"/>
      <c r="Q8" s="691"/>
      <c r="R8" s="462">
        <v>5</v>
      </c>
      <c r="S8" s="463"/>
      <c r="T8" s="463"/>
      <c r="U8" s="691"/>
      <c r="V8" s="462">
        <v>4</v>
      </c>
      <c r="W8" s="463"/>
      <c r="X8" s="463"/>
      <c r="Y8" s="691"/>
      <c r="Z8" s="462"/>
      <c r="AA8" s="463"/>
      <c r="AB8" s="463"/>
      <c r="AC8" s="691"/>
      <c r="AD8" s="462">
        <v>30</v>
      </c>
      <c r="AE8" s="463"/>
      <c r="AF8" s="463"/>
      <c r="AG8" s="691"/>
      <c r="AH8" s="128">
        <f t="shared" si="0"/>
        <v>44</v>
      </c>
      <c r="AI8" s="273">
        <f t="shared" si="0"/>
        <v>1</v>
      </c>
      <c r="AJ8" s="273">
        <f t="shared" si="0"/>
        <v>1</v>
      </c>
      <c r="AK8" s="694">
        <f t="shared" si="0"/>
        <v>0</v>
      </c>
      <c r="AL8" s="462">
        <v>3</v>
      </c>
      <c r="AM8" s="463">
        <v>20</v>
      </c>
      <c r="AN8" s="463">
        <v>20</v>
      </c>
      <c r="AO8" s="691"/>
      <c r="AP8" s="462"/>
      <c r="AQ8" s="463"/>
      <c r="AR8" s="463"/>
      <c r="AS8" s="691"/>
      <c r="AT8" s="462"/>
      <c r="AU8" s="463"/>
      <c r="AV8" s="463"/>
      <c r="AW8" s="691"/>
      <c r="AX8" s="462"/>
      <c r="AY8" s="463"/>
      <c r="AZ8" s="463"/>
      <c r="BA8" s="691"/>
      <c r="BB8" s="128">
        <f t="shared" si="1"/>
        <v>3</v>
      </c>
      <c r="BC8" s="273">
        <f t="shared" si="1"/>
        <v>20</v>
      </c>
      <c r="BD8" s="273">
        <f t="shared" si="1"/>
        <v>20</v>
      </c>
      <c r="BE8" s="273">
        <f t="shared" si="1"/>
        <v>0</v>
      </c>
      <c r="BF8" s="276">
        <f t="shared" si="2"/>
        <v>47</v>
      </c>
      <c r="BG8" s="277">
        <f t="shared" si="2"/>
        <v>21</v>
      </c>
      <c r="BH8" s="277">
        <f t="shared" si="2"/>
        <v>21</v>
      </c>
      <c r="BI8" s="699">
        <f t="shared" si="2"/>
        <v>0</v>
      </c>
    </row>
    <row r="9" spans="3:61" s="28" customFormat="1" ht="20.100000000000001" customHeight="1">
      <c r="C9" s="1885"/>
      <c r="D9" s="1017" t="s">
        <v>29</v>
      </c>
      <c r="E9" s="1017"/>
      <c r="F9" s="1018"/>
      <c r="H9" s="1887"/>
      <c r="I9" s="33" t="s">
        <v>109</v>
      </c>
      <c r="J9" s="462"/>
      <c r="K9" s="463">
        <v>0.21</v>
      </c>
      <c r="L9" s="463">
        <v>0.21</v>
      </c>
      <c r="M9" s="691"/>
      <c r="N9" s="462"/>
      <c r="O9" s="463"/>
      <c r="P9" s="463"/>
      <c r="Q9" s="691"/>
      <c r="R9" s="462"/>
      <c r="S9" s="463"/>
      <c r="T9" s="463"/>
      <c r="U9" s="691"/>
      <c r="V9" s="462">
        <v>1</v>
      </c>
      <c r="W9" s="463">
        <v>1</v>
      </c>
      <c r="X9" s="463"/>
      <c r="Y9" s="691"/>
      <c r="Z9" s="462"/>
      <c r="AA9" s="463">
        <v>0.5</v>
      </c>
      <c r="AB9" s="463"/>
      <c r="AC9" s="691"/>
      <c r="AD9" s="462">
        <v>10</v>
      </c>
      <c r="AE9" s="463"/>
      <c r="AF9" s="463"/>
      <c r="AG9" s="691"/>
      <c r="AH9" s="128">
        <f t="shared" si="0"/>
        <v>11</v>
      </c>
      <c r="AI9" s="273">
        <f t="shared" si="0"/>
        <v>1.71</v>
      </c>
      <c r="AJ9" s="273">
        <f t="shared" si="0"/>
        <v>0.21</v>
      </c>
      <c r="AK9" s="694">
        <f t="shared" si="0"/>
        <v>0</v>
      </c>
      <c r="AL9" s="462"/>
      <c r="AM9" s="463"/>
      <c r="AN9" s="463"/>
      <c r="AO9" s="691"/>
      <c r="AP9" s="462"/>
      <c r="AQ9" s="463"/>
      <c r="AR9" s="463"/>
      <c r="AS9" s="691"/>
      <c r="AT9" s="462"/>
      <c r="AU9" s="463">
        <v>2</v>
      </c>
      <c r="AV9" s="463">
        <v>2</v>
      </c>
      <c r="AW9" s="691"/>
      <c r="AX9" s="462"/>
      <c r="AY9" s="463"/>
      <c r="AZ9" s="463"/>
      <c r="BA9" s="691"/>
      <c r="BB9" s="128">
        <f t="shared" si="1"/>
        <v>0</v>
      </c>
      <c r="BC9" s="273">
        <f t="shared" si="1"/>
        <v>2</v>
      </c>
      <c r="BD9" s="273">
        <f t="shared" si="1"/>
        <v>2</v>
      </c>
      <c r="BE9" s="273">
        <f t="shared" si="1"/>
        <v>0</v>
      </c>
      <c r="BF9" s="276">
        <f t="shared" si="2"/>
        <v>11</v>
      </c>
      <c r="BG9" s="277">
        <f t="shared" si="2"/>
        <v>3.71</v>
      </c>
      <c r="BH9" s="277">
        <f t="shared" si="2"/>
        <v>2.21</v>
      </c>
      <c r="BI9" s="699">
        <f t="shared" si="2"/>
        <v>0</v>
      </c>
    </row>
    <row r="10" spans="3:61" s="28" customFormat="1" ht="19.5" customHeight="1" thickBot="1">
      <c r="C10" s="32"/>
      <c r="D10" s="31" t="s">
        <v>18</v>
      </c>
      <c r="E10" s="31"/>
      <c r="F10" s="30"/>
      <c r="H10" s="1865" t="s">
        <v>47</v>
      </c>
      <c r="I10" s="1866"/>
      <c r="J10" s="118">
        <f t="shared" ref="J10:BG10" si="3">SUM(J6:J9)</f>
        <v>30</v>
      </c>
      <c r="K10" s="272">
        <f t="shared" si="3"/>
        <v>21.21</v>
      </c>
      <c r="L10" s="272">
        <f t="shared" si="3"/>
        <v>21.21</v>
      </c>
      <c r="M10" s="272">
        <f t="shared" si="3"/>
        <v>9</v>
      </c>
      <c r="N10" s="118">
        <f t="shared" si="3"/>
        <v>20</v>
      </c>
      <c r="O10" s="272">
        <f t="shared" si="3"/>
        <v>7</v>
      </c>
      <c r="P10" s="272">
        <f t="shared" si="3"/>
        <v>7</v>
      </c>
      <c r="Q10" s="272">
        <f t="shared" si="3"/>
        <v>0</v>
      </c>
      <c r="R10" s="118">
        <f t="shared" si="3"/>
        <v>25</v>
      </c>
      <c r="S10" s="272">
        <f t="shared" si="3"/>
        <v>20</v>
      </c>
      <c r="T10" s="272">
        <f t="shared" si="3"/>
        <v>0</v>
      </c>
      <c r="U10" s="272">
        <f t="shared" si="3"/>
        <v>32.299999999999997</v>
      </c>
      <c r="V10" s="118">
        <f t="shared" si="3"/>
        <v>10</v>
      </c>
      <c r="W10" s="272">
        <f t="shared" si="3"/>
        <v>3</v>
      </c>
      <c r="X10" s="272">
        <f t="shared" si="3"/>
        <v>2</v>
      </c>
      <c r="Y10" s="272">
        <f t="shared" si="3"/>
        <v>0</v>
      </c>
      <c r="Z10" s="118">
        <f t="shared" si="3"/>
        <v>2</v>
      </c>
      <c r="AA10" s="272">
        <f t="shared" si="3"/>
        <v>0.5</v>
      </c>
      <c r="AB10" s="272">
        <f t="shared" si="3"/>
        <v>0</v>
      </c>
      <c r="AC10" s="272">
        <f t="shared" si="3"/>
        <v>0</v>
      </c>
      <c r="AD10" s="118">
        <f t="shared" si="3"/>
        <v>70</v>
      </c>
      <c r="AE10" s="272">
        <f t="shared" si="3"/>
        <v>20</v>
      </c>
      <c r="AF10" s="272">
        <f t="shared" si="3"/>
        <v>20</v>
      </c>
      <c r="AG10" s="272">
        <f t="shared" si="3"/>
        <v>0</v>
      </c>
      <c r="AH10" s="118">
        <f t="shared" si="3"/>
        <v>157</v>
      </c>
      <c r="AI10" s="272">
        <f t="shared" si="3"/>
        <v>71.709999999999994</v>
      </c>
      <c r="AJ10" s="272">
        <f>SUM(AJ6:AJ9)</f>
        <v>50.21</v>
      </c>
      <c r="AK10" s="695">
        <f>SUM(AK6:AK9)</f>
        <v>41.3</v>
      </c>
      <c r="AL10" s="118">
        <f t="shared" si="3"/>
        <v>33</v>
      </c>
      <c r="AM10" s="272">
        <f t="shared" si="3"/>
        <v>22</v>
      </c>
      <c r="AN10" s="272">
        <f t="shared" si="3"/>
        <v>22</v>
      </c>
      <c r="AO10" s="272">
        <f t="shared" si="3"/>
        <v>0</v>
      </c>
      <c r="AP10" s="118">
        <f t="shared" si="3"/>
        <v>25</v>
      </c>
      <c r="AQ10" s="272">
        <f t="shared" si="3"/>
        <v>8.35</v>
      </c>
      <c r="AR10" s="272">
        <f t="shared" si="3"/>
        <v>8.35</v>
      </c>
      <c r="AS10" s="272">
        <f t="shared" si="3"/>
        <v>0</v>
      </c>
      <c r="AT10" s="118">
        <f t="shared" si="3"/>
        <v>0</v>
      </c>
      <c r="AU10" s="272">
        <f t="shared" si="3"/>
        <v>2</v>
      </c>
      <c r="AV10" s="272">
        <f t="shared" si="3"/>
        <v>2</v>
      </c>
      <c r="AW10" s="272">
        <f t="shared" si="3"/>
        <v>0</v>
      </c>
      <c r="AX10" s="118">
        <f t="shared" si="3"/>
        <v>12</v>
      </c>
      <c r="AY10" s="272">
        <f t="shared" si="3"/>
        <v>0</v>
      </c>
      <c r="AZ10" s="272">
        <f t="shared" si="3"/>
        <v>0</v>
      </c>
      <c r="BA10" s="272">
        <f t="shared" si="3"/>
        <v>0</v>
      </c>
      <c r="BB10" s="118">
        <f t="shared" si="3"/>
        <v>70</v>
      </c>
      <c r="BC10" s="272">
        <f t="shared" si="3"/>
        <v>32.35</v>
      </c>
      <c r="BD10" s="272">
        <f t="shared" si="3"/>
        <v>32.35</v>
      </c>
      <c r="BE10" s="272">
        <f t="shared" si="3"/>
        <v>0</v>
      </c>
      <c r="BF10" s="278">
        <f t="shared" si="3"/>
        <v>227</v>
      </c>
      <c r="BG10" s="279">
        <f t="shared" si="3"/>
        <v>104.05999999999999</v>
      </c>
      <c r="BH10" s="702">
        <f>AJ10+BD10</f>
        <v>82.56</v>
      </c>
      <c r="BI10" s="700">
        <f>AK10+BE10</f>
        <v>41.3</v>
      </c>
    </row>
    <row r="11" spans="3:61" s="119" customFormat="1" ht="5.25" customHeight="1">
      <c r="D11" s="120"/>
      <c r="E11" s="120"/>
      <c r="F11" s="120"/>
      <c r="H11" s="122"/>
      <c r="I11" s="122"/>
      <c r="J11" s="125"/>
      <c r="K11" s="126"/>
      <c r="L11" s="126"/>
      <c r="M11" s="126"/>
      <c r="N11" s="125"/>
      <c r="O11" s="126"/>
      <c r="P11" s="126"/>
      <c r="Q11" s="126"/>
      <c r="R11" s="125"/>
      <c r="S11" s="126"/>
      <c r="T11" s="126"/>
      <c r="U11" s="126"/>
      <c r="V11" s="125"/>
      <c r="W11" s="126"/>
      <c r="X11" s="126"/>
      <c r="Y11" s="126"/>
      <c r="Z11" s="125"/>
      <c r="AA11" s="126"/>
      <c r="AB11" s="126"/>
      <c r="AC11" s="126"/>
      <c r="AD11" s="125"/>
      <c r="AE11" s="126"/>
      <c r="AF11" s="126"/>
      <c r="AG11" s="126"/>
      <c r="AH11" s="125"/>
      <c r="AI11" s="126"/>
      <c r="AJ11" s="126"/>
      <c r="AK11" s="126"/>
      <c r="AL11" s="125"/>
      <c r="AM11" s="126"/>
      <c r="AN11" s="126"/>
      <c r="AO11" s="126"/>
      <c r="AP11" s="125"/>
      <c r="AQ11" s="126"/>
      <c r="AR11" s="126"/>
      <c r="AS11" s="126"/>
      <c r="AT11" s="125"/>
      <c r="AU11" s="126"/>
      <c r="AV11" s="126"/>
      <c r="AW11" s="126"/>
      <c r="AX11" s="125"/>
      <c r="AY11" s="126"/>
      <c r="AZ11" s="126"/>
      <c r="BA11" s="126"/>
      <c r="BB11" s="125"/>
      <c r="BC11" s="126"/>
      <c r="BD11" s="126"/>
      <c r="BE11" s="126"/>
      <c r="BF11" s="125"/>
      <c r="BG11" s="126"/>
    </row>
    <row r="12" spans="3:61" ht="19.5" thickBot="1">
      <c r="C12" s="1019"/>
      <c r="D12" s="1017"/>
      <c r="E12" s="1017"/>
      <c r="F12" s="1023"/>
      <c r="H12" s="1867" t="s">
        <v>114</v>
      </c>
      <c r="I12" s="1868"/>
      <c r="J12" s="1868"/>
      <c r="K12" s="1868"/>
      <c r="L12" s="1868"/>
      <c r="M12" s="1868"/>
      <c r="N12" s="1868"/>
      <c r="O12" s="1868"/>
      <c r="P12" s="1868"/>
      <c r="Q12" s="1868"/>
      <c r="R12" s="1868"/>
      <c r="S12" s="1868"/>
      <c r="T12" s="1868"/>
      <c r="U12" s="1868"/>
      <c r="V12" s="1868"/>
      <c r="W12" s="1868"/>
      <c r="X12" s="1868"/>
      <c r="Y12" s="1868"/>
      <c r="Z12" s="1868"/>
      <c r="AA12" s="1868"/>
      <c r="AB12" s="1868"/>
      <c r="AC12" s="1868"/>
      <c r="AD12" s="1868"/>
      <c r="AE12" s="1868"/>
      <c r="AF12" s="1868"/>
      <c r="AG12" s="1868"/>
      <c r="AH12" s="1868"/>
      <c r="AI12" s="1868"/>
      <c r="AJ12" s="1868"/>
      <c r="AK12" s="1868"/>
      <c r="AL12" s="1868"/>
      <c r="AM12" s="1868"/>
      <c r="AN12" s="1868"/>
      <c r="AO12" s="1868"/>
      <c r="AP12" s="1868"/>
      <c r="AQ12" s="1868"/>
      <c r="AR12" s="1868"/>
      <c r="AS12" s="1868"/>
      <c r="AT12" s="1868"/>
      <c r="AU12" s="1868"/>
      <c r="AV12" s="1868"/>
      <c r="AW12" s="1868"/>
      <c r="AX12" s="1868"/>
      <c r="AY12" s="1868"/>
      <c r="AZ12" s="1868"/>
      <c r="BA12" s="1868"/>
      <c r="BB12" s="1868"/>
      <c r="BC12" s="1868"/>
      <c r="BD12" s="1868"/>
      <c r="BE12" s="1868"/>
      <c r="BF12" s="1868"/>
      <c r="BG12" s="1868"/>
      <c r="BH12" s="1868"/>
      <c r="BI12" s="1868"/>
    </row>
    <row r="13" spans="3:61" ht="18.75" customHeight="1">
      <c r="C13" s="37" t="s">
        <v>44</v>
      </c>
      <c r="D13" s="1869"/>
      <c r="E13" s="1869"/>
      <c r="F13" s="1870"/>
      <c r="H13" s="1895" t="s">
        <v>117</v>
      </c>
      <c r="I13" s="1896"/>
      <c r="J13" s="1890" t="s">
        <v>43</v>
      </c>
      <c r="K13" s="1891"/>
      <c r="L13" s="1891"/>
      <c r="M13" s="1892"/>
      <c r="N13" s="1890" t="s">
        <v>42</v>
      </c>
      <c r="O13" s="1891"/>
      <c r="P13" s="1891"/>
      <c r="Q13" s="1892"/>
      <c r="R13" s="1890" t="s">
        <v>41</v>
      </c>
      <c r="S13" s="1891"/>
      <c r="T13" s="1891"/>
      <c r="U13" s="1892"/>
      <c r="V13" s="1890" t="s">
        <v>40</v>
      </c>
      <c r="W13" s="1891"/>
      <c r="X13" s="1891"/>
      <c r="Y13" s="1892"/>
      <c r="Z13" s="1890" t="s">
        <v>39</v>
      </c>
      <c r="AA13" s="1891"/>
      <c r="AB13" s="1891"/>
      <c r="AC13" s="1892"/>
      <c r="AD13" s="1890" t="s">
        <v>38</v>
      </c>
      <c r="AE13" s="1891"/>
      <c r="AF13" s="1891"/>
      <c r="AG13" s="1892"/>
      <c r="AH13" s="1882" t="s">
        <v>122</v>
      </c>
      <c r="AI13" s="1883"/>
      <c r="AJ13" s="1883"/>
      <c r="AK13" s="1884"/>
      <c r="AL13" s="1890" t="s">
        <v>37</v>
      </c>
      <c r="AM13" s="1891"/>
      <c r="AN13" s="1891"/>
      <c r="AO13" s="1892"/>
      <c r="AP13" s="1890" t="s">
        <v>36</v>
      </c>
      <c r="AQ13" s="1891"/>
      <c r="AR13" s="1891"/>
      <c r="AS13" s="1892"/>
      <c r="AT13" s="1890" t="s">
        <v>35</v>
      </c>
      <c r="AU13" s="1891"/>
      <c r="AV13" s="1891"/>
      <c r="AW13" s="1892"/>
      <c r="AX13" s="1890" t="s">
        <v>34</v>
      </c>
      <c r="AY13" s="1891"/>
      <c r="AZ13" s="1891"/>
      <c r="BA13" s="1892"/>
      <c r="BB13" s="1882" t="s">
        <v>123</v>
      </c>
      <c r="BC13" s="1883"/>
      <c r="BD13" s="1883"/>
      <c r="BE13" s="1884"/>
      <c r="BF13" s="1880" t="s">
        <v>17</v>
      </c>
      <c r="BG13" s="1881"/>
      <c r="BH13" s="1881"/>
      <c r="BI13" s="1881"/>
    </row>
    <row r="14" spans="3:61" ht="27" customHeight="1">
      <c r="C14" s="1879" t="s">
        <v>33</v>
      </c>
      <c r="D14" s="1869"/>
      <c r="E14" s="1017" t="s">
        <v>1</v>
      </c>
      <c r="F14" s="1023" t="s">
        <v>2</v>
      </c>
      <c r="H14" s="1897"/>
      <c r="I14" s="1898"/>
      <c r="J14" s="36" t="s">
        <v>1</v>
      </c>
      <c r="K14" s="271" t="s">
        <v>2</v>
      </c>
      <c r="L14" s="271" t="s">
        <v>182</v>
      </c>
      <c r="M14" s="35" t="s">
        <v>247</v>
      </c>
      <c r="N14" s="36" t="s">
        <v>1</v>
      </c>
      <c r="O14" s="271" t="s">
        <v>2</v>
      </c>
      <c r="P14" s="271" t="s">
        <v>182</v>
      </c>
      <c r="Q14" s="35" t="s">
        <v>247</v>
      </c>
      <c r="R14" s="36" t="s">
        <v>1</v>
      </c>
      <c r="S14" s="271" t="s">
        <v>2</v>
      </c>
      <c r="T14" s="271" t="s">
        <v>182</v>
      </c>
      <c r="U14" s="35" t="s">
        <v>247</v>
      </c>
      <c r="V14" s="36" t="s">
        <v>1</v>
      </c>
      <c r="W14" s="271" t="s">
        <v>2</v>
      </c>
      <c r="X14" s="271" t="s">
        <v>182</v>
      </c>
      <c r="Y14" s="35" t="s">
        <v>247</v>
      </c>
      <c r="Z14" s="36" t="s">
        <v>1</v>
      </c>
      <c r="AA14" s="271" t="s">
        <v>2</v>
      </c>
      <c r="AB14" s="271" t="s">
        <v>182</v>
      </c>
      <c r="AC14" s="35" t="s">
        <v>247</v>
      </c>
      <c r="AD14" s="36" t="s">
        <v>1</v>
      </c>
      <c r="AE14" s="271" t="s">
        <v>2</v>
      </c>
      <c r="AF14" s="271" t="s">
        <v>182</v>
      </c>
      <c r="AG14" s="35" t="s">
        <v>247</v>
      </c>
      <c r="AH14" s="36" t="s">
        <v>1</v>
      </c>
      <c r="AI14" s="271" t="s">
        <v>2</v>
      </c>
      <c r="AJ14" s="271" t="s">
        <v>182</v>
      </c>
      <c r="AK14" s="690" t="s">
        <v>196</v>
      </c>
      <c r="AL14" s="36" t="s">
        <v>1</v>
      </c>
      <c r="AM14" s="271" t="s">
        <v>2</v>
      </c>
      <c r="AN14" s="271" t="s">
        <v>182</v>
      </c>
      <c r="AO14" s="35" t="s">
        <v>247</v>
      </c>
      <c r="AP14" s="36" t="s">
        <v>1</v>
      </c>
      <c r="AQ14" s="271" t="s">
        <v>2</v>
      </c>
      <c r="AR14" s="271" t="s">
        <v>182</v>
      </c>
      <c r="AS14" s="35" t="s">
        <v>247</v>
      </c>
      <c r="AT14" s="36" t="s">
        <v>1</v>
      </c>
      <c r="AU14" s="271" t="s">
        <v>2</v>
      </c>
      <c r="AV14" s="271" t="s">
        <v>182</v>
      </c>
      <c r="AW14" s="35" t="s">
        <v>247</v>
      </c>
      <c r="AX14" s="36" t="s">
        <v>1</v>
      </c>
      <c r="AY14" s="271" t="s">
        <v>2</v>
      </c>
      <c r="AZ14" s="271" t="s">
        <v>182</v>
      </c>
      <c r="BA14" s="35" t="s">
        <v>247</v>
      </c>
      <c r="BB14" s="36" t="s">
        <v>1</v>
      </c>
      <c r="BC14" s="271" t="s">
        <v>2</v>
      </c>
      <c r="BD14" s="271" t="s">
        <v>182</v>
      </c>
      <c r="BE14" s="690" t="s">
        <v>196</v>
      </c>
      <c r="BF14" s="274" t="s">
        <v>1</v>
      </c>
      <c r="BG14" s="275" t="s">
        <v>2</v>
      </c>
      <c r="BH14" s="275" t="s">
        <v>182</v>
      </c>
      <c r="BI14" s="703" t="s">
        <v>196</v>
      </c>
    </row>
    <row r="15" spans="3:61" s="28" customFormat="1" ht="20.100000000000001" customHeight="1">
      <c r="C15" s="1879" t="s">
        <v>28</v>
      </c>
      <c r="D15" s="1017" t="s">
        <v>27</v>
      </c>
      <c r="E15" s="1021"/>
      <c r="F15" s="34"/>
      <c r="H15" s="1888" t="s">
        <v>112</v>
      </c>
      <c r="I15" s="33" t="s">
        <v>27</v>
      </c>
      <c r="J15" s="462"/>
      <c r="K15" s="463"/>
      <c r="L15" s="463"/>
      <c r="M15" s="692"/>
      <c r="N15" s="462"/>
      <c r="O15" s="463"/>
      <c r="P15" s="463"/>
      <c r="Q15" s="692"/>
      <c r="R15" s="462"/>
      <c r="S15" s="463"/>
      <c r="T15" s="463"/>
      <c r="U15" s="692"/>
      <c r="V15" s="462"/>
      <c r="W15" s="463"/>
      <c r="X15" s="463"/>
      <c r="Y15" s="692"/>
      <c r="Z15" s="462"/>
      <c r="AA15" s="463"/>
      <c r="AB15" s="463"/>
      <c r="AC15" s="692"/>
      <c r="AD15" s="462"/>
      <c r="AE15" s="463"/>
      <c r="AF15" s="463"/>
      <c r="AG15" s="692"/>
      <c r="AH15" s="128">
        <f>J15+N15+R15+V15+Z15+AD15</f>
        <v>0</v>
      </c>
      <c r="AI15" s="273">
        <f>K15+O15+S15+W15+AA15+AE15</f>
        <v>0</v>
      </c>
      <c r="AJ15" s="273">
        <f>L15+P15+T15+X15+AB15+AF15</f>
        <v>0</v>
      </c>
      <c r="AK15" s="694">
        <f>M15+Q15+U15+Y15+AC15+AG15</f>
        <v>0</v>
      </c>
      <c r="AL15" s="462"/>
      <c r="AM15" s="463"/>
      <c r="AN15" s="463"/>
      <c r="AO15" s="692"/>
      <c r="AP15" s="462"/>
      <c r="AQ15" s="463"/>
      <c r="AR15" s="463"/>
      <c r="AS15" s="692"/>
      <c r="AT15" s="462"/>
      <c r="AU15" s="463"/>
      <c r="AV15" s="463"/>
      <c r="AW15" s="692"/>
      <c r="AX15" s="462"/>
      <c r="AY15" s="463"/>
      <c r="AZ15" s="463"/>
      <c r="BA15" s="692"/>
      <c r="BB15" s="128">
        <f>AL15+AP15+AT15+AX15</f>
        <v>0</v>
      </c>
      <c r="BC15" s="273">
        <f>AM15+AQ15+AU15+AY15</f>
        <v>0</v>
      </c>
      <c r="BD15" s="273">
        <f>AN15+AR15+AV15+AZ15</f>
        <v>0</v>
      </c>
      <c r="BE15" s="273">
        <f>AO15+AS15+AW15+BA15</f>
        <v>0</v>
      </c>
      <c r="BF15" s="276">
        <f t="shared" ref="BF15:BI23" si="4">AH15+BB15</f>
        <v>0</v>
      </c>
      <c r="BG15" s="277">
        <f t="shared" si="4"/>
        <v>0</v>
      </c>
      <c r="BH15" s="277">
        <f t="shared" si="4"/>
        <v>0</v>
      </c>
      <c r="BI15" s="704">
        <f t="shared" si="4"/>
        <v>0</v>
      </c>
    </row>
    <row r="16" spans="3:61" s="28" customFormat="1" ht="20.100000000000001" customHeight="1">
      <c r="C16" s="1879"/>
      <c r="D16" s="1017" t="s">
        <v>26</v>
      </c>
      <c r="E16" s="1017"/>
      <c r="F16" s="1018"/>
      <c r="H16" s="1889"/>
      <c r="I16" s="33" t="s">
        <v>26</v>
      </c>
      <c r="J16" s="462"/>
      <c r="K16" s="463"/>
      <c r="L16" s="463"/>
      <c r="M16" s="692"/>
      <c r="N16" s="462"/>
      <c r="O16" s="463"/>
      <c r="P16" s="463"/>
      <c r="Q16" s="692"/>
      <c r="R16" s="462"/>
      <c r="S16" s="463"/>
      <c r="T16" s="463"/>
      <c r="U16" s="692"/>
      <c r="V16" s="462"/>
      <c r="W16" s="463"/>
      <c r="X16" s="463"/>
      <c r="Y16" s="692"/>
      <c r="Z16" s="462"/>
      <c r="AA16" s="463"/>
      <c r="AB16" s="463"/>
      <c r="AC16" s="692"/>
      <c r="AD16" s="462"/>
      <c r="AE16" s="463"/>
      <c r="AF16" s="463"/>
      <c r="AG16" s="692"/>
      <c r="AH16" s="128">
        <f t="shared" ref="AH16:AK23" si="5">J16+N16+R16+V16+Z16+AD16</f>
        <v>0</v>
      </c>
      <c r="AI16" s="273">
        <f t="shared" si="5"/>
        <v>0</v>
      </c>
      <c r="AJ16" s="273">
        <f t="shared" si="5"/>
        <v>0</v>
      </c>
      <c r="AK16" s="694">
        <f t="shared" si="5"/>
        <v>0</v>
      </c>
      <c r="AL16" s="462"/>
      <c r="AM16" s="463"/>
      <c r="AN16" s="463"/>
      <c r="AO16" s="692"/>
      <c r="AP16" s="462"/>
      <c r="AQ16" s="463"/>
      <c r="AR16" s="463"/>
      <c r="AS16" s="692"/>
      <c r="AT16" s="462"/>
      <c r="AU16" s="463"/>
      <c r="AV16" s="463"/>
      <c r="AW16" s="692"/>
      <c r="AX16" s="462"/>
      <c r="AY16" s="463"/>
      <c r="AZ16" s="463"/>
      <c r="BA16" s="692"/>
      <c r="BB16" s="128">
        <f t="shared" ref="BB16:BE23" si="6">AL16+AP16+AT16+AX16</f>
        <v>0</v>
      </c>
      <c r="BC16" s="273">
        <f t="shared" si="6"/>
        <v>0</v>
      </c>
      <c r="BD16" s="273">
        <f t="shared" si="6"/>
        <v>0</v>
      </c>
      <c r="BE16" s="273">
        <f t="shared" si="6"/>
        <v>0</v>
      </c>
      <c r="BF16" s="276">
        <f t="shared" si="4"/>
        <v>0</v>
      </c>
      <c r="BG16" s="277">
        <f t="shared" si="4"/>
        <v>0</v>
      </c>
      <c r="BH16" s="277">
        <f t="shared" si="4"/>
        <v>0</v>
      </c>
      <c r="BI16" s="704">
        <f t="shared" si="4"/>
        <v>0</v>
      </c>
    </row>
    <row r="17" spans="3:61" s="28" customFormat="1" ht="23.25" customHeight="1">
      <c r="C17" s="1879"/>
      <c r="D17" s="1017" t="s">
        <v>25</v>
      </c>
      <c r="E17" s="1017"/>
      <c r="F17" s="1018"/>
      <c r="H17" s="1889"/>
      <c r="I17" s="33" t="s">
        <v>25</v>
      </c>
      <c r="J17" s="462"/>
      <c r="K17" s="463"/>
      <c r="L17" s="463"/>
      <c r="M17" s="692"/>
      <c r="N17" s="462"/>
      <c r="O17" s="463"/>
      <c r="P17" s="463"/>
      <c r="Q17" s="692"/>
      <c r="R17" s="462"/>
      <c r="S17" s="463"/>
      <c r="T17" s="463"/>
      <c r="U17" s="692"/>
      <c r="V17" s="462"/>
      <c r="W17" s="463"/>
      <c r="X17" s="463"/>
      <c r="Y17" s="692"/>
      <c r="Z17" s="462"/>
      <c r="AA17" s="463"/>
      <c r="AB17" s="463"/>
      <c r="AC17" s="692"/>
      <c r="AD17" s="462"/>
      <c r="AE17" s="463"/>
      <c r="AF17" s="463"/>
      <c r="AG17" s="692"/>
      <c r="AH17" s="128">
        <f t="shared" si="5"/>
        <v>0</v>
      </c>
      <c r="AI17" s="273">
        <f t="shared" si="5"/>
        <v>0</v>
      </c>
      <c r="AJ17" s="273">
        <f t="shared" si="5"/>
        <v>0</v>
      </c>
      <c r="AK17" s="694">
        <f t="shared" si="5"/>
        <v>0</v>
      </c>
      <c r="AL17" s="462">
        <v>18</v>
      </c>
      <c r="AM17" s="463"/>
      <c r="AN17" s="463"/>
      <c r="AO17" s="692"/>
      <c r="AP17" s="462"/>
      <c r="AQ17" s="463"/>
      <c r="AR17" s="463"/>
      <c r="AS17" s="692"/>
      <c r="AT17" s="462"/>
      <c r="AU17" s="463"/>
      <c r="AV17" s="463"/>
      <c r="AW17" s="692"/>
      <c r="AX17" s="462"/>
      <c r="AY17" s="463"/>
      <c r="AZ17" s="463"/>
      <c r="BA17" s="692"/>
      <c r="BB17" s="128">
        <f t="shared" si="6"/>
        <v>18</v>
      </c>
      <c r="BC17" s="273">
        <f t="shared" si="6"/>
        <v>0</v>
      </c>
      <c r="BD17" s="273">
        <f t="shared" si="6"/>
        <v>0</v>
      </c>
      <c r="BE17" s="273">
        <f t="shared" si="6"/>
        <v>0</v>
      </c>
      <c r="BF17" s="276">
        <f t="shared" si="4"/>
        <v>18</v>
      </c>
      <c r="BG17" s="277">
        <f t="shared" si="4"/>
        <v>0</v>
      </c>
      <c r="BH17" s="277">
        <f t="shared" si="4"/>
        <v>0</v>
      </c>
      <c r="BI17" s="704">
        <f t="shared" si="4"/>
        <v>0</v>
      </c>
    </row>
    <row r="18" spans="3:61" s="28" customFormat="1" ht="21">
      <c r="C18" s="1879"/>
      <c r="D18" s="1017" t="s">
        <v>24</v>
      </c>
      <c r="E18" s="1017"/>
      <c r="F18" s="1018"/>
      <c r="H18" s="1889"/>
      <c r="I18" s="33" t="s">
        <v>24</v>
      </c>
      <c r="J18" s="462"/>
      <c r="K18" s="463"/>
      <c r="L18" s="463"/>
      <c r="M18" s="692"/>
      <c r="N18" s="462"/>
      <c r="O18" s="463"/>
      <c r="P18" s="463"/>
      <c r="Q18" s="692"/>
      <c r="R18" s="462"/>
      <c r="S18" s="463"/>
      <c r="T18" s="463"/>
      <c r="U18" s="692"/>
      <c r="V18" s="462"/>
      <c r="W18" s="463"/>
      <c r="X18" s="463"/>
      <c r="Y18" s="692"/>
      <c r="Z18" s="462"/>
      <c r="AA18" s="463"/>
      <c r="AB18" s="463"/>
      <c r="AC18" s="692"/>
      <c r="AD18" s="462"/>
      <c r="AE18" s="463"/>
      <c r="AF18" s="463"/>
      <c r="AG18" s="692"/>
      <c r="AH18" s="128">
        <f t="shared" si="5"/>
        <v>0</v>
      </c>
      <c r="AI18" s="273">
        <f t="shared" si="5"/>
        <v>0</v>
      </c>
      <c r="AJ18" s="273">
        <f t="shared" si="5"/>
        <v>0</v>
      </c>
      <c r="AK18" s="694">
        <f t="shared" si="5"/>
        <v>0</v>
      </c>
      <c r="AL18" s="462"/>
      <c r="AM18" s="463"/>
      <c r="AN18" s="463"/>
      <c r="AO18" s="692"/>
      <c r="AP18" s="462"/>
      <c r="AQ18" s="463"/>
      <c r="AR18" s="463"/>
      <c r="AS18" s="692"/>
      <c r="AT18" s="462"/>
      <c r="AU18" s="463"/>
      <c r="AV18" s="463"/>
      <c r="AW18" s="692"/>
      <c r="AX18" s="462"/>
      <c r="AY18" s="463"/>
      <c r="AZ18" s="463"/>
      <c r="BA18" s="692"/>
      <c r="BB18" s="128">
        <f t="shared" si="6"/>
        <v>0</v>
      </c>
      <c r="BC18" s="273">
        <f t="shared" si="6"/>
        <v>0</v>
      </c>
      <c r="BD18" s="273">
        <f t="shared" si="6"/>
        <v>0</v>
      </c>
      <c r="BE18" s="273">
        <f t="shared" si="6"/>
        <v>0</v>
      </c>
      <c r="BF18" s="276">
        <f t="shared" si="4"/>
        <v>0</v>
      </c>
      <c r="BG18" s="277">
        <f t="shared" si="4"/>
        <v>0</v>
      </c>
      <c r="BH18" s="277">
        <f t="shared" si="4"/>
        <v>0</v>
      </c>
      <c r="BI18" s="704">
        <f t="shared" si="4"/>
        <v>0</v>
      </c>
    </row>
    <row r="19" spans="3:61" s="28" customFormat="1" ht="20.100000000000001" customHeight="1">
      <c r="C19" s="1879"/>
      <c r="D19" s="1017" t="s">
        <v>23</v>
      </c>
      <c r="E19" s="1017"/>
      <c r="F19" s="1018"/>
      <c r="H19" s="1889"/>
      <c r="I19" s="33" t="s">
        <v>23</v>
      </c>
      <c r="J19" s="462"/>
      <c r="K19" s="463"/>
      <c r="L19" s="463"/>
      <c r="M19" s="692"/>
      <c r="N19" s="462"/>
      <c r="O19" s="463"/>
      <c r="P19" s="463"/>
      <c r="Q19" s="692"/>
      <c r="R19" s="462"/>
      <c r="S19" s="463"/>
      <c r="T19" s="463"/>
      <c r="U19" s="692"/>
      <c r="V19" s="462"/>
      <c r="W19" s="463"/>
      <c r="X19" s="463"/>
      <c r="Y19" s="692"/>
      <c r="Z19" s="462"/>
      <c r="AA19" s="463"/>
      <c r="AB19" s="463"/>
      <c r="AC19" s="692"/>
      <c r="AD19" s="462"/>
      <c r="AE19" s="463"/>
      <c r="AF19" s="463"/>
      <c r="AG19" s="692"/>
      <c r="AH19" s="128">
        <f t="shared" si="5"/>
        <v>0</v>
      </c>
      <c r="AI19" s="273">
        <f t="shared" si="5"/>
        <v>0</v>
      </c>
      <c r="AJ19" s="273">
        <f t="shared" si="5"/>
        <v>0</v>
      </c>
      <c r="AK19" s="694">
        <f t="shared" si="5"/>
        <v>0</v>
      </c>
      <c r="AL19" s="1012"/>
      <c r="AM19" s="463"/>
      <c r="AN19" s="463"/>
      <c r="AO19" s="692"/>
      <c r="AP19" s="462"/>
      <c r="AQ19" s="463"/>
      <c r="AR19" s="463"/>
      <c r="AS19" s="692"/>
      <c r="AT19" s="462"/>
      <c r="AU19" s="463"/>
      <c r="AV19" s="463"/>
      <c r="AW19" s="692"/>
      <c r="AX19" s="462"/>
      <c r="AY19" s="463"/>
      <c r="AZ19" s="463"/>
      <c r="BA19" s="692"/>
      <c r="BB19" s="128">
        <f t="shared" si="6"/>
        <v>0</v>
      </c>
      <c r="BC19" s="273">
        <f t="shared" si="6"/>
        <v>0</v>
      </c>
      <c r="BD19" s="273">
        <f t="shared" si="6"/>
        <v>0</v>
      </c>
      <c r="BE19" s="273">
        <f t="shared" si="6"/>
        <v>0</v>
      </c>
      <c r="BF19" s="276">
        <f t="shared" si="4"/>
        <v>0</v>
      </c>
      <c r="BG19" s="277">
        <f t="shared" si="4"/>
        <v>0</v>
      </c>
      <c r="BH19" s="277">
        <f t="shared" si="4"/>
        <v>0</v>
      </c>
      <c r="BI19" s="704">
        <f t="shared" si="4"/>
        <v>0</v>
      </c>
    </row>
    <row r="20" spans="3:61" s="28" customFormat="1" ht="20.100000000000001" customHeight="1">
      <c r="C20" s="1879"/>
      <c r="D20" s="1017" t="s">
        <v>22</v>
      </c>
      <c r="E20" s="1017"/>
      <c r="F20" s="1018"/>
      <c r="H20" s="1889"/>
      <c r="I20" s="33" t="s">
        <v>22</v>
      </c>
      <c r="J20" s="462"/>
      <c r="K20" s="463"/>
      <c r="L20" s="463"/>
      <c r="M20" s="692"/>
      <c r="N20" s="462"/>
      <c r="O20" s="463"/>
      <c r="P20" s="463"/>
      <c r="Q20" s="692"/>
      <c r="R20" s="462"/>
      <c r="S20" s="463"/>
      <c r="T20" s="463"/>
      <c r="U20" s="692"/>
      <c r="V20" s="462"/>
      <c r="W20" s="463"/>
      <c r="X20" s="463"/>
      <c r="Y20" s="692"/>
      <c r="Z20" s="462"/>
      <c r="AA20" s="463"/>
      <c r="AB20" s="463"/>
      <c r="AC20" s="692"/>
      <c r="AD20" s="462"/>
      <c r="AE20" s="463"/>
      <c r="AF20" s="463"/>
      <c r="AG20" s="692"/>
      <c r="AH20" s="128">
        <f t="shared" si="5"/>
        <v>0</v>
      </c>
      <c r="AI20" s="273">
        <f t="shared" si="5"/>
        <v>0</v>
      </c>
      <c r="AJ20" s="273">
        <f t="shared" si="5"/>
        <v>0</v>
      </c>
      <c r="AK20" s="694">
        <f t="shared" si="5"/>
        <v>0</v>
      </c>
      <c r="AL20" s="462"/>
      <c r="AM20" s="463"/>
      <c r="AN20" s="463"/>
      <c r="AO20" s="692"/>
      <c r="AP20" s="462"/>
      <c r="AQ20" s="463"/>
      <c r="AR20" s="463"/>
      <c r="AS20" s="692"/>
      <c r="AT20" s="462">
        <v>13</v>
      </c>
      <c r="AU20" s="463">
        <v>14</v>
      </c>
      <c r="AV20" s="463"/>
      <c r="AW20" s="692"/>
      <c r="AX20" s="462"/>
      <c r="AY20" s="463"/>
      <c r="AZ20" s="463"/>
      <c r="BA20" s="692"/>
      <c r="BB20" s="128">
        <f t="shared" si="6"/>
        <v>13</v>
      </c>
      <c r="BC20" s="273">
        <f t="shared" si="6"/>
        <v>14</v>
      </c>
      <c r="BD20" s="273">
        <f t="shared" si="6"/>
        <v>0</v>
      </c>
      <c r="BE20" s="273">
        <f t="shared" si="6"/>
        <v>0</v>
      </c>
      <c r="BF20" s="276">
        <f t="shared" si="4"/>
        <v>13</v>
      </c>
      <c r="BG20" s="277">
        <f t="shared" si="4"/>
        <v>14</v>
      </c>
      <c r="BH20" s="277">
        <f t="shared" si="4"/>
        <v>0</v>
      </c>
      <c r="BI20" s="704">
        <f t="shared" si="4"/>
        <v>0</v>
      </c>
    </row>
    <row r="21" spans="3:61" s="28" customFormat="1" ht="20.100000000000001" customHeight="1">
      <c r="C21" s="1885"/>
      <c r="D21" s="1017"/>
      <c r="E21" s="1017"/>
      <c r="F21" s="1018"/>
      <c r="H21" s="1889"/>
      <c r="I21" s="33" t="s">
        <v>21</v>
      </c>
      <c r="J21" s="462"/>
      <c r="K21" s="463"/>
      <c r="L21" s="463"/>
      <c r="M21" s="692"/>
      <c r="N21" s="462"/>
      <c r="O21" s="463"/>
      <c r="P21" s="463"/>
      <c r="Q21" s="692"/>
      <c r="R21" s="462"/>
      <c r="S21" s="463"/>
      <c r="T21" s="463"/>
      <c r="U21" s="692"/>
      <c r="V21" s="462"/>
      <c r="W21" s="463"/>
      <c r="X21" s="463"/>
      <c r="Y21" s="692"/>
      <c r="Z21" s="462"/>
      <c r="AA21" s="463"/>
      <c r="AB21" s="463"/>
      <c r="AC21" s="692"/>
      <c r="AD21" s="462"/>
      <c r="AE21" s="463"/>
      <c r="AF21" s="463"/>
      <c r="AG21" s="692"/>
      <c r="AH21" s="128">
        <f t="shared" si="5"/>
        <v>0</v>
      </c>
      <c r="AI21" s="273">
        <f t="shared" si="5"/>
        <v>0</v>
      </c>
      <c r="AJ21" s="273">
        <f t="shared" si="5"/>
        <v>0</v>
      </c>
      <c r="AK21" s="694">
        <f t="shared" si="5"/>
        <v>0</v>
      </c>
      <c r="AL21" s="462"/>
      <c r="AM21" s="463"/>
      <c r="AN21" s="463"/>
      <c r="AO21" s="692"/>
      <c r="AP21" s="462"/>
      <c r="AQ21" s="463"/>
      <c r="AR21" s="463"/>
      <c r="AS21" s="692"/>
      <c r="AT21" s="462"/>
      <c r="AU21" s="463"/>
      <c r="AV21" s="463"/>
      <c r="AW21" s="692"/>
      <c r="AX21" s="462"/>
      <c r="AY21" s="463"/>
      <c r="AZ21" s="463"/>
      <c r="BA21" s="692"/>
      <c r="BB21" s="128">
        <f t="shared" si="6"/>
        <v>0</v>
      </c>
      <c r="BC21" s="273">
        <f t="shared" si="6"/>
        <v>0</v>
      </c>
      <c r="BD21" s="273">
        <f t="shared" si="6"/>
        <v>0</v>
      </c>
      <c r="BE21" s="273">
        <f t="shared" si="6"/>
        <v>0</v>
      </c>
      <c r="BF21" s="276">
        <f t="shared" si="4"/>
        <v>0</v>
      </c>
      <c r="BG21" s="277">
        <f t="shared" si="4"/>
        <v>0</v>
      </c>
      <c r="BH21" s="277">
        <f t="shared" si="4"/>
        <v>0</v>
      </c>
      <c r="BI21" s="704">
        <f t="shared" si="4"/>
        <v>0</v>
      </c>
    </row>
    <row r="22" spans="3:61" s="28" customFormat="1" ht="20.100000000000001" customHeight="1">
      <c r="C22" s="1885"/>
      <c r="D22" s="1017"/>
      <c r="E22" s="1017"/>
      <c r="F22" s="1018"/>
      <c r="H22" s="1889"/>
      <c r="I22" s="33" t="s">
        <v>20</v>
      </c>
      <c r="J22" s="462"/>
      <c r="K22" s="463"/>
      <c r="L22" s="463"/>
      <c r="M22" s="692"/>
      <c r="N22" s="462"/>
      <c r="O22" s="463"/>
      <c r="P22" s="463"/>
      <c r="Q22" s="692"/>
      <c r="R22" s="462"/>
      <c r="S22" s="463"/>
      <c r="T22" s="463"/>
      <c r="U22" s="692"/>
      <c r="V22" s="462"/>
      <c r="W22" s="463"/>
      <c r="X22" s="463"/>
      <c r="Y22" s="692"/>
      <c r="Z22" s="462"/>
      <c r="AA22" s="463"/>
      <c r="AB22" s="463"/>
      <c r="AC22" s="692"/>
      <c r="AD22" s="462"/>
      <c r="AE22" s="463"/>
      <c r="AF22" s="463"/>
      <c r="AG22" s="692"/>
      <c r="AH22" s="128">
        <f t="shared" si="5"/>
        <v>0</v>
      </c>
      <c r="AI22" s="273">
        <f t="shared" si="5"/>
        <v>0</v>
      </c>
      <c r="AJ22" s="273">
        <f t="shared" si="5"/>
        <v>0</v>
      </c>
      <c r="AK22" s="694">
        <f t="shared" si="5"/>
        <v>0</v>
      </c>
      <c r="AL22" s="462"/>
      <c r="AM22" s="463"/>
      <c r="AN22" s="463"/>
      <c r="AO22" s="692"/>
      <c r="AP22" s="462"/>
      <c r="AQ22" s="463"/>
      <c r="AR22" s="463"/>
      <c r="AS22" s="692"/>
      <c r="AT22" s="462"/>
      <c r="AU22" s="463"/>
      <c r="AV22" s="463"/>
      <c r="AW22" s="692"/>
      <c r="AX22" s="462"/>
      <c r="AY22" s="463"/>
      <c r="AZ22" s="463"/>
      <c r="BA22" s="692"/>
      <c r="BB22" s="128">
        <f t="shared" si="6"/>
        <v>0</v>
      </c>
      <c r="BC22" s="273">
        <f t="shared" si="6"/>
        <v>0</v>
      </c>
      <c r="BD22" s="273">
        <f t="shared" si="6"/>
        <v>0</v>
      </c>
      <c r="BE22" s="273">
        <f t="shared" si="6"/>
        <v>0</v>
      </c>
      <c r="BF22" s="276">
        <f t="shared" si="4"/>
        <v>0</v>
      </c>
      <c r="BG22" s="277">
        <f t="shared" si="4"/>
        <v>0</v>
      </c>
      <c r="BH22" s="277">
        <f t="shared" si="4"/>
        <v>0</v>
      </c>
      <c r="BI22" s="704">
        <f t="shared" si="4"/>
        <v>0</v>
      </c>
    </row>
    <row r="23" spans="3:61" s="28" customFormat="1" ht="20.100000000000001" customHeight="1">
      <c r="C23" s="1885"/>
      <c r="D23" s="1017"/>
      <c r="E23" s="1017"/>
      <c r="F23" s="1018"/>
      <c r="H23" s="1889"/>
      <c r="I23" s="33" t="s">
        <v>19</v>
      </c>
      <c r="J23" s="462">
        <v>30</v>
      </c>
      <c r="K23" s="463"/>
      <c r="L23" s="463"/>
      <c r="M23" s="692"/>
      <c r="N23" s="462"/>
      <c r="O23" s="463"/>
      <c r="P23" s="463"/>
      <c r="Q23" s="692"/>
      <c r="R23" s="462"/>
      <c r="S23" s="463"/>
      <c r="T23" s="463"/>
      <c r="U23" s="692"/>
      <c r="V23" s="462"/>
      <c r="W23" s="463"/>
      <c r="X23" s="463"/>
      <c r="Y23" s="692"/>
      <c r="Z23" s="462"/>
      <c r="AA23" s="463"/>
      <c r="AB23" s="463"/>
      <c r="AC23" s="692"/>
      <c r="AD23" s="462"/>
      <c r="AE23" s="463"/>
      <c r="AF23" s="463"/>
      <c r="AG23" s="692"/>
      <c r="AH23" s="128">
        <f t="shared" si="5"/>
        <v>30</v>
      </c>
      <c r="AI23" s="273">
        <f t="shared" si="5"/>
        <v>0</v>
      </c>
      <c r="AJ23" s="273">
        <f t="shared" si="5"/>
        <v>0</v>
      </c>
      <c r="AK23" s="694">
        <f t="shared" si="5"/>
        <v>0</v>
      </c>
      <c r="AL23" s="462"/>
      <c r="AM23" s="463"/>
      <c r="AN23" s="463"/>
      <c r="AO23" s="692"/>
      <c r="AP23" s="462"/>
      <c r="AQ23" s="463"/>
      <c r="AR23" s="463"/>
      <c r="AS23" s="692"/>
      <c r="AT23" s="462"/>
      <c r="AU23" s="463"/>
      <c r="AV23" s="463"/>
      <c r="AW23" s="692"/>
      <c r="AX23" s="462"/>
      <c r="AY23" s="463"/>
      <c r="AZ23" s="463"/>
      <c r="BA23" s="692"/>
      <c r="BB23" s="128">
        <f t="shared" si="6"/>
        <v>0</v>
      </c>
      <c r="BC23" s="273">
        <f t="shared" si="6"/>
        <v>0</v>
      </c>
      <c r="BD23" s="273">
        <f t="shared" si="6"/>
        <v>0</v>
      </c>
      <c r="BE23" s="273">
        <f t="shared" si="6"/>
        <v>0</v>
      </c>
      <c r="BF23" s="276">
        <f t="shared" si="4"/>
        <v>30</v>
      </c>
      <c r="BG23" s="277">
        <f t="shared" si="4"/>
        <v>0</v>
      </c>
      <c r="BH23" s="277">
        <f t="shared" si="4"/>
        <v>0</v>
      </c>
      <c r="BI23" s="704">
        <f t="shared" si="4"/>
        <v>0</v>
      </c>
    </row>
    <row r="24" spans="3:61" s="28" customFormat="1" ht="20.100000000000001" customHeight="1" thickBot="1">
      <c r="C24" s="1885"/>
      <c r="D24" s="1017"/>
      <c r="E24" s="1017"/>
      <c r="F24" s="1018"/>
      <c r="H24" s="1865" t="s">
        <v>116</v>
      </c>
      <c r="I24" s="1866"/>
      <c r="J24" s="118">
        <f t="shared" ref="J24:BI24" si="7">SUM(J15:J23)</f>
        <v>30</v>
      </c>
      <c r="K24" s="272">
        <f t="shared" si="7"/>
        <v>0</v>
      </c>
      <c r="L24" s="272">
        <f>SUM(L15:L23)</f>
        <v>0</v>
      </c>
      <c r="M24" s="272">
        <f>SUM(M15:M23)</f>
        <v>0</v>
      </c>
      <c r="N24" s="118">
        <f t="shared" ref="N24:AI24" si="8">SUM(N15:N23)</f>
        <v>0</v>
      </c>
      <c r="O24" s="272">
        <f t="shared" si="8"/>
        <v>0</v>
      </c>
      <c r="P24" s="272">
        <f t="shared" si="8"/>
        <v>0</v>
      </c>
      <c r="Q24" s="272">
        <f t="shared" si="8"/>
        <v>0</v>
      </c>
      <c r="R24" s="118">
        <f t="shared" si="8"/>
        <v>0</v>
      </c>
      <c r="S24" s="272">
        <f t="shared" si="8"/>
        <v>0</v>
      </c>
      <c r="T24" s="272">
        <f t="shared" si="8"/>
        <v>0</v>
      </c>
      <c r="U24" s="272">
        <f t="shared" si="8"/>
        <v>0</v>
      </c>
      <c r="V24" s="118">
        <f t="shared" si="8"/>
        <v>0</v>
      </c>
      <c r="W24" s="272">
        <f t="shared" si="8"/>
        <v>0</v>
      </c>
      <c r="X24" s="272">
        <f t="shared" si="8"/>
        <v>0</v>
      </c>
      <c r="Y24" s="272">
        <f t="shared" si="8"/>
        <v>0</v>
      </c>
      <c r="Z24" s="118">
        <f t="shared" si="8"/>
        <v>0</v>
      </c>
      <c r="AA24" s="272">
        <f t="shared" si="8"/>
        <v>0</v>
      </c>
      <c r="AB24" s="272">
        <f t="shared" si="8"/>
        <v>0</v>
      </c>
      <c r="AC24" s="272">
        <f t="shared" si="8"/>
        <v>0</v>
      </c>
      <c r="AD24" s="118">
        <f t="shared" si="8"/>
        <v>0</v>
      </c>
      <c r="AE24" s="272">
        <f t="shared" si="8"/>
        <v>0</v>
      </c>
      <c r="AF24" s="272">
        <f t="shared" si="8"/>
        <v>0</v>
      </c>
      <c r="AG24" s="272">
        <f t="shared" si="8"/>
        <v>0</v>
      </c>
      <c r="AH24" s="118">
        <f t="shared" si="8"/>
        <v>30</v>
      </c>
      <c r="AI24" s="272">
        <f t="shared" si="8"/>
        <v>0</v>
      </c>
      <c r="AJ24" s="272">
        <f>SUM(AJ15:AJ23)</f>
        <v>0</v>
      </c>
      <c r="AK24" s="695">
        <f>SUM(AK15:AK23)</f>
        <v>0</v>
      </c>
      <c r="AL24" s="118">
        <f t="shared" ref="AL24:BC24" si="9">SUM(AL15:AL23)</f>
        <v>18</v>
      </c>
      <c r="AM24" s="272">
        <f t="shared" si="9"/>
        <v>0</v>
      </c>
      <c r="AN24" s="272">
        <f t="shared" si="9"/>
        <v>0</v>
      </c>
      <c r="AO24" s="272">
        <f t="shared" si="9"/>
        <v>0</v>
      </c>
      <c r="AP24" s="118">
        <f t="shared" si="9"/>
        <v>0</v>
      </c>
      <c r="AQ24" s="272">
        <f t="shared" si="9"/>
        <v>0</v>
      </c>
      <c r="AR24" s="272">
        <f t="shared" si="9"/>
        <v>0</v>
      </c>
      <c r="AS24" s="272">
        <f t="shared" si="9"/>
        <v>0</v>
      </c>
      <c r="AT24" s="118">
        <f t="shared" si="9"/>
        <v>13</v>
      </c>
      <c r="AU24" s="272">
        <f t="shared" si="9"/>
        <v>14</v>
      </c>
      <c r="AV24" s="272">
        <f t="shared" si="9"/>
        <v>0</v>
      </c>
      <c r="AW24" s="272">
        <f t="shared" si="9"/>
        <v>0</v>
      </c>
      <c r="AX24" s="118">
        <f t="shared" si="9"/>
        <v>0</v>
      </c>
      <c r="AY24" s="272">
        <f t="shared" si="9"/>
        <v>0</v>
      </c>
      <c r="AZ24" s="272">
        <f t="shared" si="9"/>
        <v>0</v>
      </c>
      <c r="BA24" s="272">
        <f t="shared" si="9"/>
        <v>0</v>
      </c>
      <c r="BB24" s="118">
        <f t="shared" si="9"/>
        <v>31</v>
      </c>
      <c r="BC24" s="272">
        <f t="shared" si="9"/>
        <v>14</v>
      </c>
      <c r="BD24" s="272">
        <f>SUM(BD15:BD23)</f>
        <v>0</v>
      </c>
      <c r="BE24" s="272">
        <f>SUM(BE15:BE23)</f>
        <v>0</v>
      </c>
      <c r="BF24" s="278">
        <f t="shared" si="7"/>
        <v>61</v>
      </c>
      <c r="BG24" s="279">
        <f t="shared" si="7"/>
        <v>14</v>
      </c>
      <c r="BH24" s="279">
        <f t="shared" si="7"/>
        <v>0</v>
      </c>
      <c r="BI24" s="705">
        <f t="shared" si="7"/>
        <v>0</v>
      </c>
    </row>
    <row r="25" spans="3:61" s="119" customFormat="1" ht="9" customHeight="1" thickBot="1">
      <c r="C25" s="121"/>
      <c r="D25" s="121"/>
      <c r="E25" s="121"/>
      <c r="F25" s="121"/>
      <c r="H25" s="122"/>
      <c r="I25" s="122"/>
      <c r="J25" s="125"/>
      <c r="K25" s="126"/>
      <c r="L25" s="126"/>
      <c r="M25" s="126"/>
      <c r="N25" s="125"/>
      <c r="O25" s="126"/>
      <c r="P25" s="126"/>
      <c r="Q25" s="126"/>
      <c r="R25" s="125"/>
      <c r="S25" s="126"/>
      <c r="T25" s="126"/>
      <c r="U25" s="126"/>
      <c r="V25" s="125"/>
      <c r="W25" s="126"/>
      <c r="X25" s="126"/>
      <c r="Y25" s="126"/>
      <c r="Z25" s="125"/>
      <c r="AA25" s="126"/>
      <c r="AB25" s="126"/>
      <c r="AC25" s="126"/>
      <c r="AD25" s="125"/>
      <c r="AE25" s="126"/>
      <c r="AF25" s="126"/>
      <c r="AG25" s="126"/>
      <c r="AH25" s="125"/>
      <c r="AI25" s="126"/>
      <c r="AJ25" s="126"/>
      <c r="AK25" s="126"/>
      <c r="AL25" s="125"/>
      <c r="AM25" s="126"/>
      <c r="AN25" s="126"/>
      <c r="AO25" s="126"/>
      <c r="AP25" s="125"/>
      <c r="AQ25" s="126"/>
      <c r="AR25" s="126"/>
      <c r="AS25" s="126"/>
      <c r="AT25" s="125"/>
      <c r="AU25" s="126"/>
      <c r="AV25" s="126"/>
      <c r="AW25" s="126"/>
      <c r="AX25" s="125"/>
      <c r="AY25" s="126"/>
      <c r="AZ25" s="126"/>
      <c r="BA25" s="126"/>
      <c r="BB25" s="125"/>
      <c r="BC25" s="126"/>
      <c r="BD25" s="126"/>
      <c r="BE25" s="126"/>
      <c r="BF25" s="125"/>
      <c r="BG25" s="126"/>
    </row>
    <row r="26" spans="3:61" s="28" customFormat="1" ht="26.25" customHeight="1" thickBot="1">
      <c r="D26" s="29"/>
      <c r="E26" s="29"/>
      <c r="F26" s="29"/>
      <c r="H26" s="1893" t="s">
        <v>49</v>
      </c>
      <c r="I26" s="1894"/>
      <c r="J26" s="123">
        <f t="shared" ref="J26:BI26" si="10">J10+J24</f>
        <v>60</v>
      </c>
      <c r="K26" s="280">
        <f t="shared" si="10"/>
        <v>21.21</v>
      </c>
      <c r="L26" s="280">
        <f>L10+L24</f>
        <v>21.21</v>
      </c>
      <c r="M26" s="280">
        <f>M10+M24</f>
        <v>9</v>
      </c>
      <c r="N26" s="123">
        <f t="shared" ref="N26:O26" si="11">N10+N24</f>
        <v>20</v>
      </c>
      <c r="O26" s="280">
        <f t="shared" si="11"/>
        <v>7</v>
      </c>
      <c r="P26" s="280">
        <f>P10+P24</f>
        <v>7</v>
      </c>
      <c r="Q26" s="280">
        <f>Q10+Q24</f>
        <v>0</v>
      </c>
      <c r="R26" s="123">
        <f t="shared" ref="R26:S26" si="12">R10+R24</f>
        <v>25</v>
      </c>
      <c r="S26" s="280">
        <f t="shared" si="12"/>
        <v>20</v>
      </c>
      <c r="T26" s="280">
        <f>T10+T24</f>
        <v>0</v>
      </c>
      <c r="U26" s="280">
        <f>U10+U24</f>
        <v>32.299999999999997</v>
      </c>
      <c r="V26" s="123">
        <f t="shared" ref="V26:W26" si="13">V10+V24</f>
        <v>10</v>
      </c>
      <c r="W26" s="280">
        <f t="shared" si="13"/>
        <v>3</v>
      </c>
      <c r="X26" s="280">
        <f>X10+X24</f>
        <v>2</v>
      </c>
      <c r="Y26" s="280">
        <f>Y10+Y24</f>
        <v>0</v>
      </c>
      <c r="Z26" s="123">
        <f t="shared" ref="Z26:AA26" si="14">Z10+Z24</f>
        <v>2</v>
      </c>
      <c r="AA26" s="280">
        <f t="shared" si="14"/>
        <v>0.5</v>
      </c>
      <c r="AB26" s="280">
        <f>AB10+AB24</f>
        <v>0</v>
      </c>
      <c r="AC26" s="280">
        <f>AC10+AC24</f>
        <v>0</v>
      </c>
      <c r="AD26" s="123">
        <f t="shared" ref="AD26:AE26" si="15">AD10+AD24</f>
        <v>70</v>
      </c>
      <c r="AE26" s="280">
        <f t="shared" si="15"/>
        <v>20</v>
      </c>
      <c r="AF26" s="280">
        <f>AF10+AF24</f>
        <v>20</v>
      </c>
      <c r="AG26" s="280">
        <f>AG10+AG24</f>
        <v>0</v>
      </c>
      <c r="AH26" s="127">
        <f t="shared" ref="AH26:AI26" si="16">AH10+AH24</f>
        <v>187</v>
      </c>
      <c r="AI26" s="280">
        <f t="shared" si="16"/>
        <v>71.709999999999994</v>
      </c>
      <c r="AJ26" s="697">
        <f>AJ10+AJ24</f>
        <v>50.21</v>
      </c>
      <c r="AK26" s="696">
        <f>AK10+AK24</f>
        <v>41.3</v>
      </c>
      <c r="AL26" s="123">
        <f t="shared" ref="AL26:AM26" si="17">AL10+AL24</f>
        <v>51</v>
      </c>
      <c r="AM26" s="280">
        <f t="shared" si="17"/>
        <v>22</v>
      </c>
      <c r="AN26" s="280">
        <f>AN10+AN24</f>
        <v>22</v>
      </c>
      <c r="AO26" s="280">
        <f>AO10+AO24</f>
        <v>0</v>
      </c>
      <c r="AP26" s="123">
        <f t="shared" ref="AP26:AQ26" si="18">AP10+AP24</f>
        <v>25</v>
      </c>
      <c r="AQ26" s="280">
        <f t="shared" si="18"/>
        <v>8.35</v>
      </c>
      <c r="AR26" s="280">
        <f>AR10+AR24</f>
        <v>8.35</v>
      </c>
      <c r="AS26" s="280">
        <f>AS10+AS24</f>
        <v>0</v>
      </c>
      <c r="AT26" s="123">
        <f t="shared" ref="AT26:AU26" si="19">AT10+AT24</f>
        <v>13</v>
      </c>
      <c r="AU26" s="280">
        <f t="shared" si="19"/>
        <v>16</v>
      </c>
      <c r="AV26" s="280">
        <f>AV10+AV24</f>
        <v>2</v>
      </c>
      <c r="AW26" s="280">
        <f>AW10+AW24</f>
        <v>0</v>
      </c>
      <c r="AX26" s="123">
        <f t="shared" ref="AX26:AY26" si="20">AX10+AX24</f>
        <v>12</v>
      </c>
      <c r="AY26" s="280">
        <f t="shared" si="20"/>
        <v>0</v>
      </c>
      <c r="AZ26" s="280">
        <f>AZ10+AZ24</f>
        <v>0</v>
      </c>
      <c r="BA26" s="280">
        <f>BA10+BA24</f>
        <v>0</v>
      </c>
      <c r="BB26" s="127">
        <f t="shared" ref="BB26:BC26" si="21">BB10+BB24</f>
        <v>101</v>
      </c>
      <c r="BC26" s="280">
        <f t="shared" si="21"/>
        <v>46.35</v>
      </c>
      <c r="BD26" s="697">
        <f>BD10+BD24</f>
        <v>32.35</v>
      </c>
      <c r="BE26" s="697">
        <f>BE10+BE24</f>
        <v>0</v>
      </c>
      <c r="BF26" s="124">
        <f>BF10+BF24</f>
        <v>288</v>
      </c>
      <c r="BG26" s="707">
        <f t="shared" si="10"/>
        <v>118.05999999999999</v>
      </c>
      <c r="BH26" s="706">
        <f t="shared" si="10"/>
        <v>82.56</v>
      </c>
      <c r="BI26" s="284">
        <f t="shared" si="10"/>
        <v>41.3</v>
      </c>
    </row>
    <row r="27" spans="3:61" ht="21" customHeight="1">
      <c r="H27" s="320"/>
      <c r="I27" s="320"/>
      <c r="J27" s="321"/>
      <c r="K27" s="321"/>
      <c r="L27" s="321">
        <v>9</v>
      </c>
      <c r="M27" s="321" t="s">
        <v>32</v>
      </c>
      <c r="N27" s="321"/>
      <c r="O27" s="321"/>
      <c r="P27" s="321"/>
      <c r="Q27" s="321"/>
      <c r="R27" s="321"/>
      <c r="S27" s="321"/>
      <c r="T27" s="321">
        <v>32.299999999999997</v>
      </c>
      <c r="U27" s="321" t="s">
        <v>32</v>
      </c>
      <c r="V27" s="321"/>
      <c r="W27" s="321"/>
      <c r="X27" s="323"/>
      <c r="Y27" s="323"/>
      <c r="Z27" s="321"/>
      <c r="AA27" s="321"/>
      <c r="AB27" s="323"/>
      <c r="AC27" s="323"/>
      <c r="AD27" s="321"/>
      <c r="AE27" s="321"/>
      <c r="AF27" s="321"/>
      <c r="AG27" s="321"/>
      <c r="AH27" s="321"/>
      <c r="AI27" s="321"/>
      <c r="AJ27" s="321"/>
      <c r="AK27" s="321"/>
      <c r="AL27" s="321"/>
      <c r="AM27" s="321"/>
      <c r="AN27" s="321"/>
      <c r="AO27" s="321"/>
      <c r="AP27" s="321"/>
      <c r="AQ27" s="321"/>
      <c r="AR27" s="321"/>
      <c r="AS27" s="321"/>
      <c r="AT27" s="321"/>
      <c r="AU27" s="321"/>
      <c r="AV27" s="321"/>
      <c r="AW27" s="321"/>
      <c r="AX27" s="321"/>
      <c r="AY27" s="321"/>
      <c r="AZ27" s="321"/>
      <c r="BA27" s="321"/>
      <c r="BB27" s="335"/>
      <c r="BC27" s="1918">
        <f>SUM(I27:AZ29)</f>
        <v>41.3</v>
      </c>
      <c r="BD27" s="335"/>
      <c r="BE27" s="335"/>
      <c r="BF27" s="335"/>
      <c r="BG27" s="335"/>
      <c r="BH27" s="1917">
        <f>BH26+BI26</f>
        <v>123.86</v>
      </c>
      <c r="BI27" s="1917"/>
    </row>
    <row r="28" spans="3:61" ht="21" customHeight="1">
      <c r="H28" s="320"/>
      <c r="I28" s="320"/>
      <c r="J28" s="322"/>
      <c r="K28" s="323"/>
      <c r="L28" s="323"/>
      <c r="M28" s="323"/>
      <c r="N28" s="322"/>
      <c r="O28" s="323"/>
      <c r="P28" s="323"/>
      <c r="Q28" s="323"/>
      <c r="R28" s="322"/>
      <c r="S28" s="323"/>
      <c r="T28" s="323"/>
      <c r="U28" s="323"/>
      <c r="V28" s="321"/>
      <c r="W28" s="323"/>
      <c r="X28" s="323"/>
      <c r="Y28" s="323"/>
      <c r="Z28" s="322"/>
      <c r="AA28" s="323"/>
      <c r="AB28" s="323"/>
      <c r="AC28" s="323"/>
      <c r="AD28" s="322"/>
      <c r="AE28" s="323"/>
      <c r="AF28" s="323"/>
      <c r="AG28" s="322"/>
      <c r="AH28" s="322"/>
      <c r="AI28" s="323"/>
      <c r="AJ28" s="323"/>
      <c r="AK28" s="323"/>
      <c r="AL28" s="321"/>
      <c r="AM28" s="323"/>
      <c r="AN28" s="622"/>
      <c r="AO28" s="622"/>
      <c r="AP28" s="321"/>
      <c r="AQ28" s="323"/>
      <c r="AR28" s="323"/>
      <c r="AS28" s="323"/>
      <c r="AT28" s="322"/>
      <c r="AU28" s="323"/>
      <c r="AV28" s="323"/>
      <c r="AW28" s="323"/>
      <c r="AX28" s="322"/>
      <c r="AY28" s="468"/>
      <c r="AZ28" s="468"/>
      <c r="BA28" s="468"/>
      <c r="BB28" s="392"/>
      <c r="BC28" s="1919"/>
      <c r="BD28" s="434"/>
      <c r="BE28" s="434"/>
      <c r="BF28" s="435"/>
      <c r="BG28" s="434"/>
      <c r="BH28" s="726"/>
      <c r="BI28" s="434"/>
    </row>
    <row r="29" spans="3:61" ht="23.25">
      <c r="H29" s="320"/>
      <c r="I29" s="320"/>
      <c r="J29" s="322"/>
      <c r="K29" s="323"/>
      <c r="L29" s="323"/>
      <c r="M29" s="323"/>
      <c r="N29" s="322"/>
      <c r="O29" s="323"/>
      <c r="P29" s="323"/>
      <c r="Q29" s="323"/>
      <c r="R29" s="322"/>
      <c r="S29" s="323"/>
      <c r="T29" s="323"/>
      <c r="U29" s="323"/>
      <c r="V29" s="322"/>
      <c r="W29" s="323"/>
      <c r="X29" s="323"/>
      <c r="Y29" s="323"/>
      <c r="Z29" s="322"/>
      <c r="AA29" s="323"/>
      <c r="AB29" s="323"/>
      <c r="AC29" s="323"/>
      <c r="AD29" s="322"/>
      <c r="AE29" s="323"/>
      <c r="AF29" s="688"/>
      <c r="AG29" s="688"/>
      <c r="AH29" s="322"/>
      <c r="AI29" s="322"/>
      <c r="AJ29" s="323"/>
      <c r="AK29" s="323"/>
      <c r="AL29" s="321"/>
      <c r="AM29" s="323"/>
      <c r="AN29" s="321"/>
      <c r="AO29" s="321"/>
      <c r="AP29" s="322"/>
      <c r="AQ29" s="323"/>
      <c r="AR29" s="323"/>
      <c r="AS29" s="323"/>
      <c r="AT29" s="322"/>
      <c r="AU29" s="323"/>
      <c r="AV29" s="323"/>
      <c r="AW29" s="323"/>
      <c r="AX29" s="322"/>
      <c r="AY29" s="468"/>
      <c r="AZ29" s="468"/>
      <c r="BA29" s="468"/>
      <c r="BB29" s="392"/>
      <c r="BC29" s="434"/>
      <c r="BD29" s="434"/>
      <c r="BE29" s="434"/>
      <c r="BF29" s="435"/>
      <c r="BG29" s="434"/>
      <c r="BH29" s="682"/>
      <c r="BI29" s="434"/>
    </row>
    <row r="30" spans="3:61" s="464" customFormat="1" ht="21.75" thickBot="1">
      <c r="D30" s="576"/>
      <c r="E30" s="576"/>
      <c r="F30" s="576"/>
      <c r="I30" s="577"/>
      <c r="J30" s="578">
        <f>61-19</f>
        <v>42</v>
      </c>
      <c r="K30" s="579"/>
      <c r="L30" s="579"/>
      <c r="M30" s="579"/>
      <c r="N30" s="578"/>
      <c r="O30" s="579"/>
      <c r="P30" s="579"/>
      <c r="Q30" s="579"/>
      <c r="R30" s="578"/>
      <c r="S30" s="579"/>
      <c r="T30" s="579"/>
      <c r="U30" s="579"/>
      <c r="V30" s="578"/>
      <c r="W30" s="578"/>
      <c r="X30" s="579"/>
      <c r="Y30" s="579"/>
      <c r="Z30" s="579"/>
      <c r="AA30" s="578"/>
      <c r="AB30" s="579"/>
      <c r="AC30" s="579"/>
      <c r="AD30" s="579"/>
      <c r="AE30" s="578"/>
      <c r="AF30" s="579"/>
      <c r="AG30" s="579"/>
      <c r="AH30" s="621"/>
      <c r="AI30" s="578"/>
      <c r="AJ30" s="579"/>
      <c r="AK30" s="579"/>
      <c r="AM30" s="580"/>
      <c r="AN30" s="579"/>
      <c r="AO30" s="579"/>
      <c r="AP30" s="579"/>
      <c r="AQ30" s="578"/>
      <c r="AR30" s="579"/>
      <c r="AS30" s="579"/>
      <c r="AT30" s="579"/>
      <c r="AU30" s="578"/>
      <c r="AV30" s="579"/>
      <c r="AW30" s="579"/>
      <c r="AZ30" s="581"/>
      <c r="BA30" s="581"/>
      <c r="BB30" s="581"/>
      <c r="BC30" s="582"/>
      <c r="BD30" s="583"/>
      <c r="BE30" s="583"/>
      <c r="BF30" s="1053"/>
      <c r="BG30" s="584"/>
      <c r="BH30" s="583"/>
      <c r="BI30" s="585"/>
    </row>
    <row r="31" spans="3:61" ht="35.25" customHeight="1" thickBot="1">
      <c r="L31" s="1929" t="s">
        <v>386</v>
      </c>
      <c r="M31" s="1930"/>
      <c r="N31" s="1930"/>
      <c r="O31" s="1930"/>
      <c r="P31" s="1930"/>
      <c r="Q31" s="1930"/>
      <c r="R31" s="1930"/>
      <c r="S31" s="1931"/>
      <c r="T31" s="579"/>
      <c r="U31" s="579"/>
      <c r="V31" s="1929" t="s">
        <v>204</v>
      </c>
      <c r="W31" s="1930"/>
      <c r="X31" s="1930"/>
      <c r="Y31" s="1930"/>
      <c r="Z31" s="1930"/>
      <c r="AA31" s="1930"/>
      <c r="AB31" s="1930"/>
      <c r="AC31" s="1935"/>
      <c r="AD31" s="1936"/>
      <c r="AE31" s="579"/>
      <c r="AF31" s="579"/>
      <c r="AG31" s="26"/>
      <c r="AH31" s="24"/>
      <c r="AJ31" s="685"/>
      <c r="AL31" s="24"/>
      <c r="AM31" s="599"/>
      <c r="AN31" s="579"/>
      <c r="AP31" s="24"/>
      <c r="AS31" s="26"/>
      <c r="AT31" s="24"/>
      <c r="AX31" s="24"/>
      <c r="AY31" s="25"/>
      <c r="AZ31" s="25"/>
      <c r="BA31" s="24"/>
      <c r="BB31" s="24"/>
      <c r="BE31" s="23"/>
      <c r="BF31" s="23"/>
      <c r="BG31" s="23"/>
    </row>
    <row r="32" spans="3:61" s="24" customFormat="1" ht="28.5" customHeight="1" thickBot="1">
      <c r="C32" s="23"/>
      <c r="D32" s="27"/>
      <c r="E32" s="27"/>
      <c r="F32" s="27"/>
      <c r="G32" s="23"/>
      <c r="H32" s="23"/>
      <c r="I32" s="27"/>
      <c r="L32" s="450" t="s">
        <v>0</v>
      </c>
      <c r="M32" s="439" t="s">
        <v>200</v>
      </c>
      <c r="N32" s="454" t="s">
        <v>205</v>
      </c>
      <c r="O32" s="439" t="s">
        <v>31</v>
      </c>
      <c r="P32" s="448" t="s">
        <v>201</v>
      </c>
      <c r="Q32" s="455" t="s">
        <v>206</v>
      </c>
      <c r="R32" s="436" t="s">
        <v>22</v>
      </c>
      <c r="S32" s="438" t="s">
        <v>191</v>
      </c>
      <c r="T32" s="579"/>
      <c r="U32" s="579"/>
      <c r="V32" s="571" t="s">
        <v>0</v>
      </c>
      <c r="W32" s="572" t="s">
        <v>200</v>
      </c>
      <c r="X32" s="623" t="s">
        <v>205</v>
      </c>
      <c r="Y32" s="572" t="s">
        <v>31</v>
      </c>
      <c r="Z32" s="573" t="s">
        <v>201</v>
      </c>
      <c r="AA32" s="574" t="s">
        <v>206</v>
      </c>
      <c r="AB32" s="717" t="s">
        <v>22</v>
      </c>
      <c r="AC32" s="721" t="s">
        <v>191</v>
      </c>
      <c r="AD32" s="722" t="s">
        <v>226</v>
      </c>
      <c r="AE32" s="579"/>
      <c r="AF32" s="579"/>
      <c r="AG32" s="599"/>
      <c r="AH32" s="599"/>
      <c r="AI32" s="599"/>
      <c r="AN32" s="26"/>
      <c r="AT32" s="25"/>
      <c r="AU32" s="25"/>
      <c r="AW32" s="23"/>
      <c r="AX32" s="23"/>
      <c r="BF32" s="1054"/>
    </row>
    <row r="33" spans="1:59" ht="23.25">
      <c r="L33" s="441" t="s">
        <v>189</v>
      </c>
      <c r="M33" s="470">
        <f>$J$6</f>
        <v>30</v>
      </c>
      <c r="N33" s="430">
        <f>$J9</f>
        <v>0</v>
      </c>
      <c r="O33" s="430">
        <f>$J7</f>
        <v>0</v>
      </c>
      <c r="P33" s="430">
        <f>$J8</f>
        <v>0</v>
      </c>
      <c r="Q33" s="430">
        <f>J15+J16+J17+J18+J19+J21+J22+J23</f>
        <v>30</v>
      </c>
      <c r="R33" s="430">
        <f>$J20</f>
        <v>0</v>
      </c>
      <c r="S33" s="446">
        <f t="shared" ref="S33:S42" si="22">SUM(M33:R33)</f>
        <v>60</v>
      </c>
      <c r="T33" s="579"/>
      <c r="U33" s="579"/>
      <c r="V33" s="447" t="s">
        <v>189</v>
      </c>
      <c r="W33" s="569">
        <f>L$6</f>
        <v>20</v>
      </c>
      <c r="X33" s="570">
        <f>$L9</f>
        <v>0.21</v>
      </c>
      <c r="Y33" s="570">
        <f>$L7</f>
        <v>0</v>
      </c>
      <c r="Z33" s="570">
        <f>$L8</f>
        <v>1</v>
      </c>
      <c r="AA33" s="570">
        <f>L$15+L$16+L$17+L$18+L$19+L$21+L$22+L$23</f>
        <v>0</v>
      </c>
      <c r="AB33" s="718">
        <f>$L20</f>
        <v>0</v>
      </c>
      <c r="AC33" s="723">
        <f t="shared" ref="AC33:AC42" si="23">SUM(W33:AB33)</f>
        <v>21.21</v>
      </c>
      <c r="AD33" s="587">
        <f>M6+M7+M8++M9+M15+M16+M17+M18+M19+M21+M20+M22+M23</f>
        <v>9</v>
      </c>
      <c r="AE33" s="579">
        <f>AC33+AD33</f>
        <v>30.21</v>
      </c>
      <c r="AF33" s="579"/>
      <c r="AG33" s="599"/>
      <c r="AH33" s="599"/>
      <c r="AI33" s="599"/>
      <c r="AL33" s="24"/>
      <c r="AN33" s="26"/>
      <c r="AP33" s="24"/>
      <c r="AT33" s="25"/>
      <c r="AU33" s="25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</row>
    <row r="34" spans="1:59" s="24" customFormat="1" ht="23.25">
      <c r="A34" s="23"/>
      <c r="B34" s="23"/>
      <c r="C34" s="23"/>
      <c r="D34" s="27"/>
      <c r="E34" s="27"/>
      <c r="F34" s="27"/>
      <c r="G34" s="23"/>
      <c r="H34" s="23"/>
      <c r="I34" s="27"/>
      <c r="L34" s="441" t="s">
        <v>183</v>
      </c>
      <c r="M34" s="470">
        <f>$N$6</f>
        <v>15</v>
      </c>
      <c r="N34" s="430">
        <f>$N9</f>
        <v>0</v>
      </c>
      <c r="O34" s="430">
        <f>$N7</f>
        <v>0</v>
      </c>
      <c r="P34" s="430">
        <f>$N8</f>
        <v>5</v>
      </c>
      <c r="Q34" s="430">
        <f>N15+N16+N17+N18+N19+N21+N22+N23</f>
        <v>0</v>
      </c>
      <c r="R34" s="430">
        <f>$N20</f>
        <v>0</v>
      </c>
      <c r="S34" s="446">
        <f t="shared" si="22"/>
        <v>20</v>
      </c>
      <c r="T34" s="686"/>
      <c r="U34" s="26"/>
      <c r="V34" s="441" t="s">
        <v>183</v>
      </c>
      <c r="W34" s="440">
        <f>P$6</f>
        <v>7</v>
      </c>
      <c r="X34" s="430">
        <f>$P9</f>
        <v>0</v>
      </c>
      <c r="Y34" s="430">
        <f>$P7</f>
        <v>0</v>
      </c>
      <c r="Z34" s="430">
        <f>$P8</f>
        <v>0</v>
      </c>
      <c r="AA34" s="430">
        <f>P$15+P$16+P$17+P$18+P$19+P$21+P$22+P$23</f>
        <v>0</v>
      </c>
      <c r="AB34" s="719">
        <f>$P20</f>
        <v>0</v>
      </c>
      <c r="AC34" s="723">
        <f t="shared" si="23"/>
        <v>7</v>
      </c>
      <c r="AD34" s="587">
        <f>Q6+Q7+Q8+Q9+Q15+Q16+Q17+Q18+Q19+Q20+Q21+Q22+Q23</f>
        <v>0</v>
      </c>
      <c r="AE34" s="579">
        <f t="shared" ref="AE34:AE43" si="24">AC34+AD34</f>
        <v>7</v>
      </c>
      <c r="AG34" s="599"/>
      <c r="AH34" s="599"/>
      <c r="AI34" s="599"/>
      <c r="AN34" s="26"/>
      <c r="AT34" s="25"/>
      <c r="AU34" s="25"/>
    </row>
    <row r="35" spans="1:59" ht="23.25">
      <c r="L35" s="441" t="s">
        <v>184</v>
      </c>
      <c r="M35" s="470">
        <f>$R$6</f>
        <v>20</v>
      </c>
      <c r="N35" s="430">
        <f>$R9</f>
        <v>0</v>
      </c>
      <c r="O35" s="430">
        <f>$R7</f>
        <v>0</v>
      </c>
      <c r="P35" s="430">
        <f>$R8</f>
        <v>5</v>
      </c>
      <c r="Q35" s="430">
        <f>R15+R16+R17+R18+R19+R21+R22+R23</f>
        <v>0</v>
      </c>
      <c r="R35" s="430">
        <f>$R20</f>
        <v>0</v>
      </c>
      <c r="S35" s="446">
        <f t="shared" si="22"/>
        <v>25</v>
      </c>
      <c r="T35" s="686"/>
      <c r="U35" s="26"/>
      <c r="V35" s="441" t="s">
        <v>184</v>
      </c>
      <c r="W35" s="440">
        <f>T$6</f>
        <v>0</v>
      </c>
      <c r="X35" s="430">
        <f>$T9</f>
        <v>0</v>
      </c>
      <c r="Y35" s="430">
        <f>$T7</f>
        <v>0</v>
      </c>
      <c r="Z35" s="430">
        <f>$T8</f>
        <v>0</v>
      </c>
      <c r="AA35" s="430">
        <f>T$15+T$16+T$17+T$18+T$19+T$21+T$22+T$23</f>
        <v>0</v>
      </c>
      <c r="AB35" s="719">
        <f>$T20</f>
        <v>0</v>
      </c>
      <c r="AC35" s="723">
        <f t="shared" si="23"/>
        <v>0</v>
      </c>
      <c r="AD35" s="587">
        <f>U6+U7+U8+U9+U15+U16+U17+U18+U19+U20+U21+U22+U23</f>
        <v>32.299999999999997</v>
      </c>
      <c r="AE35" s="579">
        <f t="shared" si="24"/>
        <v>32.299999999999997</v>
      </c>
      <c r="AF35" s="26"/>
      <c r="AG35" s="599"/>
      <c r="AH35" s="599"/>
      <c r="AI35" s="599">
        <v>15</v>
      </c>
      <c r="AL35" s="24"/>
      <c r="AN35" s="26"/>
      <c r="AP35" s="24"/>
      <c r="AT35" s="25"/>
      <c r="AU35" s="25"/>
      <c r="AX35" s="23"/>
      <c r="AY35" s="23"/>
      <c r="AZ35" s="23"/>
      <c r="BA35" s="23"/>
      <c r="BB35" s="23"/>
      <c r="BC35" s="23"/>
      <c r="BD35" s="23"/>
      <c r="BE35" s="23"/>
      <c r="BF35" s="23"/>
      <c r="BG35" s="23"/>
    </row>
    <row r="36" spans="1:59" ht="23.25">
      <c r="L36" s="441" t="s">
        <v>170</v>
      </c>
      <c r="M36" s="470">
        <f>$V$6</f>
        <v>5</v>
      </c>
      <c r="N36" s="430">
        <f>$V9</f>
        <v>1</v>
      </c>
      <c r="O36" s="430">
        <f>$V7</f>
        <v>0</v>
      </c>
      <c r="P36" s="430">
        <f>$V8</f>
        <v>4</v>
      </c>
      <c r="Q36" s="430">
        <f>V15+V16+V17+V18+V19+V21++V22+V23</f>
        <v>0</v>
      </c>
      <c r="R36" s="430">
        <f>$V20</f>
        <v>0</v>
      </c>
      <c r="S36" s="446">
        <f t="shared" si="22"/>
        <v>10</v>
      </c>
      <c r="T36" s="686"/>
      <c r="U36" s="26"/>
      <c r="V36" s="441" t="s">
        <v>170</v>
      </c>
      <c r="W36" s="440">
        <f>X$6</f>
        <v>2</v>
      </c>
      <c r="X36" s="430">
        <f>$X9</f>
        <v>0</v>
      </c>
      <c r="Y36" s="430">
        <f>$X7</f>
        <v>0</v>
      </c>
      <c r="Z36" s="430">
        <f>$X8</f>
        <v>0</v>
      </c>
      <c r="AA36" s="430">
        <f>X$15+X$16+X$17+X$18+X$19+X$21+X$22+X$23</f>
        <v>0</v>
      </c>
      <c r="AB36" s="719">
        <f>$X20</f>
        <v>0</v>
      </c>
      <c r="AC36" s="723">
        <f t="shared" si="23"/>
        <v>2</v>
      </c>
      <c r="AD36" s="587">
        <f>Y6+Y7+Y8+Y9+Y15+Y16+Y17+Y18+Y19+Y20+Y21+Y22+Y23</f>
        <v>0</v>
      </c>
      <c r="AE36" s="579">
        <f t="shared" si="24"/>
        <v>2</v>
      </c>
      <c r="AF36" s="26"/>
      <c r="AG36" s="599"/>
      <c r="AH36" s="599"/>
      <c r="AI36" s="599">
        <v>21</v>
      </c>
      <c r="AL36" s="24"/>
      <c r="AN36" s="26"/>
      <c r="AP36" s="24"/>
      <c r="AT36" s="25"/>
      <c r="AU36" s="25"/>
      <c r="AX36" s="23"/>
      <c r="AY36" s="23"/>
      <c r="AZ36" s="23"/>
      <c r="BA36" s="23"/>
      <c r="BB36" s="23"/>
      <c r="BC36" s="23"/>
      <c r="BD36" s="23"/>
      <c r="BE36" s="23"/>
      <c r="BF36" s="23"/>
      <c r="BG36" s="23"/>
    </row>
    <row r="37" spans="1:59" ht="23.25">
      <c r="L37" s="441" t="s">
        <v>171</v>
      </c>
      <c r="M37" s="470">
        <f>$Z$6</f>
        <v>2</v>
      </c>
      <c r="N37" s="430">
        <f>$Z9</f>
        <v>0</v>
      </c>
      <c r="O37" s="430">
        <f>$Z7</f>
        <v>0</v>
      </c>
      <c r="P37" s="430">
        <f>$Z8</f>
        <v>0</v>
      </c>
      <c r="Q37" s="430">
        <f>Z15+Z16+Z17+Z18+Z19+Z21+Z22+Z23</f>
        <v>0</v>
      </c>
      <c r="R37" s="430">
        <f>$Z20</f>
        <v>0</v>
      </c>
      <c r="S37" s="446">
        <f t="shared" si="22"/>
        <v>2</v>
      </c>
      <c r="T37" s="686"/>
      <c r="U37" s="26"/>
      <c r="V37" s="441" t="s">
        <v>171</v>
      </c>
      <c r="W37" s="440">
        <f>AB$6</f>
        <v>0</v>
      </c>
      <c r="X37" s="430">
        <f>$AB9</f>
        <v>0</v>
      </c>
      <c r="Y37" s="430">
        <f>$AB7</f>
        <v>0</v>
      </c>
      <c r="Z37" s="430">
        <f>$AB8</f>
        <v>0</v>
      </c>
      <c r="AA37" s="430">
        <f>AB$15+AB$16+AB$17+AB$18+AB$19+AB$21+AB$22+AB$23</f>
        <v>0</v>
      </c>
      <c r="AB37" s="719">
        <f>$AB20</f>
        <v>0</v>
      </c>
      <c r="AC37" s="723">
        <f t="shared" si="23"/>
        <v>0</v>
      </c>
      <c r="AD37" s="587">
        <f>AC6+AC7+AC8+AC9+AC15+AC17+AC16+AC18+AC19+AC20+AC21+AC22+AC23</f>
        <v>0</v>
      </c>
      <c r="AE37" s="579">
        <f t="shared" si="24"/>
        <v>0</v>
      </c>
      <c r="AF37" s="26"/>
      <c r="AG37" s="26"/>
      <c r="AI37" s="26">
        <v>13</v>
      </c>
      <c r="AJ37" s="26"/>
      <c r="AK37" s="26"/>
      <c r="AL37" s="24"/>
      <c r="AN37" s="26"/>
      <c r="AP37" s="24"/>
      <c r="AT37" s="24"/>
      <c r="AX37" s="23"/>
      <c r="AY37" s="23"/>
      <c r="AZ37" s="23"/>
      <c r="BA37" s="23"/>
      <c r="BB37" s="23"/>
      <c r="BC37" s="23"/>
      <c r="BD37" s="23"/>
      <c r="BE37" s="23"/>
      <c r="BF37" s="23"/>
      <c r="BG37" s="23"/>
    </row>
    <row r="38" spans="1:59" ht="23.25">
      <c r="L38" s="441" t="s">
        <v>190</v>
      </c>
      <c r="M38" s="492">
        <f>$AD$6</f>
        <v>30</v>
      </c>
      <c r="N38" s="471">
        <f>$AD9</f>
        <v>10</v>
      </c>
      <c r="O38" s="471">
        <f>$AD7</f>
        <v>0</v>
      </c>
      <c r="P38" s="471">
        <f>$AD8</f>
        <v>30</v>
      </c>
      <c r="Q38" s="430">
        <f>AD15+AD16+AD17+AD18+AD19+AD21+AD22+AD23</f>
        <v>0</v>
      </c>
      <c r="R38" s="471">
        <f>$AD20</f>
        <v>0</v>
      </c>
      <c r="S38" s="446">
        <f t="shared" si="22"/>
        <v>70</v>
      </c>
      <c r="T38" s="686"/>
      <c r="U38" s="26"/>
      <c r="V38" s="441" t="s">
        <v>190</v>
      </c>
      <c r="W38" s="440">
        <f>AF$6</f>
        <v>20</v>
      </c>
      <c r="X38" s="430">
        <f>$AF9</f>
        <v>0</v>
      </c>
      <c r="Y38" s="430">
        <f>$AF7</f>
        <v>0</v>
      </c>
      <c r="Z38" s="430">
        <f>$AF8</f>
        <v>0</v>
      </c>
      <c r="AA38" s="430">
        <f>AF$15+AF$16+AF$17+AF$18+AF$19+AF$21+AF$22+AF$23</f>
        <v>0</v>
      </c>
      <c r="AB38" s="719">
        <f>$AF20</f>
        <v>0</v>
      </c>
      <c r="AC38" s="723">
        <f t="shared" si="23"/>
        <v>20</v>
      </c>
      <c r="AD38" s="587">
        <f>AG6+AG7+AG8+AG9+AG15+AG16+AG17+AG18+AG19+AG20+AG21+AG22+AG23</f>
        <v>0</v>
      </c>
      <c r="AE38" s="579">
        <f t="shared" si="24"/>
        <v>20</v>
      </c>
      <c r="AF38" s="26"/>
      <c r="AG38" s="26"/>
      <c r="AI38" s="26">
        <v>8</v>
      </c>
      <c r="AJ38" s="26"/>
      <c r="AK38" s="26"/>
      <c r="AL38" s="24"/>
      <c r="AN38" s="26"/>
      <c r="AP38" s="24"/>
      <c r="AT38" s="24"/>
      <c r="AX38" s="23"/>
      <c r="AY38" s="23"/>
      <c r="AZ38" s="23"/>
      <c r="BA38" s="23"/>
      <c r="BB38" s="23"/>
      <c r="BC38" s="23"/>
      <c r="BD38" s="23"/>
      <c r="BE38" s="23"/>
      <c r="BF38" s="23"/>
      <c r="BG38" s="23"/>
    </row>
    <row r="39" spans="1:59" ht="23.25">
      <c r="L39" s="441" t="s">
        <v>185</v>
      </c>
      <c r="M39" s="470">
        <f>$AL$6</f>
        <v>30</v>
      </c>
      <c r="N39" s="430">
        <f>$AL9</f>
        <v>0</v>
      </c>
      <c r="O39" s="430">
        <f>$AL7</f>
        <v>0</v>
      </c>
      <c r="P39" s="430">
        <f>$AL8</f>
        <v>3</v>
      </c>
      <c r="Q39" s="430">
        <f>AL15+AL16+AL17+AL18+AL19+AL21+AL22+AL23</f>
        <v>18</v>
      </c>
      <c r="R39" s="430">
        <f>$AL20</f>
        <v>0</v>
      </c>
      <c r="S39" s="446">
        <f t="shared" si="22"/>
        <v>51</v>
      </c>
      <c r="T39" s="686"/>
      <c r="U39" s="26"/>
      <c r="V39" s="441" t="s">
        <v>185</v>
      </c>
      <c r="W39" s="469">
        <f>AN$6</f>
        <v>2</v>
      </c>
      <c r="X39" s="430">
        <f>$AN9</f>
        <v>0</v>
      </c>
      <c r="Y39" s="430">
        <f>$AN7</f>
        <v>0</v>
      </c>
      <c r="Z39" s="430">
        <f>$AN8</f>
        <v>20</v>
      </c>
      <c r="AA39" s="430">
        <f>AN$15+AN$16+AN$17+AN$18+AN$19+AN$21+AN$22+AN$23</f>
        <v>0</v>
      </c>
      <c r="AB39" s="719">
        <f>$AN20</f>
        <v>0</v>
      </c>
      <c r="AC39" s="723">
        <f t="shared" si="23"/>
        <v>22</v>
      </c>
      <c r="AD39" s="587">
        <f>AO6+AO7+AO8+AO9+AO15+AO16+AO17+AO18+AO19+AO20+AO21+AO22+AO23</f>
        <v>0</v>
      </c>
      <c r="AE39" s="579">
        <f t="shared" si="24"/>
        <v>22</v>
      </c>
      <c r="AF39" s="23"/>
      <c r="AG39" s="26"/>
      <c r="AI39" s="26">
        <v>18</v>
      </c>
      <c r="AJ39" s="26"/>
      <c r="AK39" s="26"/>
      <c r="AL39" s="24"/>
      <c r="AN39" s="26"/>
      <c r="AP39" s="24"/>
      <c r="AT39" s="24"/>
      <c r="AX39" s="23"/>
      <c r="AY39" s="23"/>
      <c r="AZ39" s="23"/>
      <c r="BA39" s="23"/>
      <c r="BB39" s="23"/>
      <c r="BC39" s="23"/>
      <c r="BD39" s="23"/>
      <c r="BE39" s="23"/>
      <c r="BF39" s="23"/>
      <c r="BG39" s="23"/>
    </row>
    <row r="40" spans="1:59" ht="23.25">
      <c r="L40" s="441" t="s">
        <v>202</v>
      </c>
      <c r="M40" s="470">
        <f>$AP$6</f>
        <v>25</v>
      </c>
      <c r="N40" s="430">
        <f>$AP9</f>
        <v>0</v>
      </c>
      <c r="O40" s="430">
        <f>$AP7</f>
        <v>0</v>
      </c>
      <c r="P40" s="430">
        <f>$AP8</f>
        <v>0</v>
      </c>
      <c r="Q40" s="430">
        <f>AP15+AP16+AP17+AP18+AP19+AP21+AP22+AP23</f>
        <v>0</v>
      </c>
      <c r="R40" s="430">
        <f>$AP20</f>
        <v>0</v>
      </c>
      <c r="S40" s="446">
        <f t="shared" si="22"/>
        <v>25</v>
      </c>
      <c r="T40" s="686"/>
      <c r="U40" s="26"/>
      <c r="V40" s="441" t="s">
        <v>202</v>
      </c>
      <c r="W40" s="440">
        <f>AR$6</f>
        <v>8.35</v>
      </c>
      <c r="X40" s="430">
        <f>$AR9</f>
        <v>0</v>
      </c>
      <c r="Y40" s="430">
        <f>$AR7</f>
        <v>0</v>
      </c>
      <c r="Z40" s="430">
        <f>$AR8</f>
        <v>0</v>
      </c>
      <c r="AA40" s="430">
        <f>AR$15+AR$16+AR$17+AR$18+AR$19+AR$21+AR$22+AR$23</f>
        <v>0</v>
      </c>
      <c r="AB40" s="719">
        <f>$AR20</f>
        <v>0</v>
      </c>
      <c r="AC40" s="723">
        <f t="shared" si="23"/>
        <v>8.35</v>
      </c>
      <c r="AD40" s="587">
        <f>AS6+AS7+AS8+AS9+AS15+AS16+AS17+AS18+AS19+AS20+AS21+AS22+AS23</f>
        <v>0</v>
      </c>
      <c r="AE40" s="579">
        <f t="shared" si="24"/>
        <v>8.35</v>
      </c>
      <c r="AF40" s="28"/>
      <c r="AG40" s="26"/>
      <c r="AI40" s="26"/>
      <c r="AJ40" s="26"/>
      <c r="AK40" s="26"/>
      <c r="AL40" s="24"/>
      <c r="AN40" s="26"/>
      <c r="AP40" s="24"/>
      <c r="AS40" s="23"/>
      <c r="AT40" s="24"/>
      <c r="AX40" s="23"/>
      <c r="AY40" s="23"/>
      <c r="AZ40" s="23"/>
      <c r="BA40" s="23"/>
      <c r="BB40" s="23"/>
      <c r="BC40" s="23"/>
      <c r="BD40" s="23"/>
      <c r="BE40" s="23"/>
      <c r="BF40" s="23"/>
      <c r="BG40" s="23"/>
    </row>
    <row r="41" spans="1:59" ht="23.25">
      <c r="L41" s="441" t="s">
        <v>186</v>
      </c>
      <c r="M41" s="470">
        <f>$AT$6</f>
        <v>0</v>
      </c>
      <c r="N41" s="430">
        <f>$AT9</f>
        <v>0</v>
      </c>
      <c r="O41" s="430">
        <f>$AT7</f>
        <v>0</v>
      </c>
      <c r="P41" s="430">
        <f>$AT8</f>
        <v>0</v>
      </c>
      <c r="Q41" s="430">
        <f>AT15+AT16+AT17+AT18+AT19+AT21+AT22+AT23</f>
        <v>0</v>
      </c>
      <c r="R41" s="430">
        <f>$AT20</f>
        <v>13</v>
      </c>
      <c r="S41" s="446">
        <f t="shared" si="22"/>
        <v>13</v>
      </c>
      <c r="T41" s="686"/>
      <c r="U41" s="26"/>
      <c r="V41" s="441" t="s">
        <v>186</v>
      </c>
      <c r="W41" s="440">
        <f>AV$6</f>
        <v>0</v>
      </c>
      <c r="X41" s="430">
        <f>$AV9</f>
        <v>2</v>
      </c>
      <c r="Y41" s="430">
        <f>$AV7</f>
        <v>0</v>
      </c>
      <c r="Z41" s="430">
        <f>$AV8</f>
        <v>0</v>
      </c>
      <c r="AA41" s="430">
        <f>AV$15+AV$16+AV$17+AV$18+AV$19+AV$21+AV$22+AV$23</f>
        <v>0</v>
      </c>
      <c r="AB41" s="719">
        <f>$AV20</f>
        <v>0</v>
      </c>
      <c r="AC41" s="723">
        <f t="shared" si="23"/>
        <v>2</v>
      </c>
      <c r="AD41" s="587">
        <f>AW6+AW7+AW8+AW9+AW15+AW16+AW17+AW18+AW20+AW19+AW21+AW22+AW23</f>
        <v>0</v>
      </c>
      <c r="AE41" s="579">
        <f t="shared" si="24"/>
        <v>2</v>
      </c>
      <c r="AH41" s="24"/>
      <c r="AJ41" s="25"/>
      <c r="AL41" s="24"/>
      <c r="AN41" s="25"/>
      <c r="AP41" s="24"/>
      <c r="AR41" s="25"/>
      <c r="AT41" s="24"/>
      <c r="AX41" s="23"/>
      <c r="AY41" s="23"/>
      <c r="AZ41" s="23"/>
      <c r="BA41" s="23"/>
      <c r="BB41" s="23"/>
      <c r="BC41" s="23"/>
      <c r="BD41" s="23"/>
      <c r="BE41" s="23"/>
      <c r="BF41" s="23"/>
      <c r="BG41" s="23"/>
    </row>
    <row r="42" spans="1:59" ht="23.25">
      <c r="L42" s="441" t="s">
        <v>203</v>
      </c>
      <c r="M42" s="470">
        <f>$AX$6</f>
        <v>12</v>
      </c>
      <c r="N42" s="430">
        <f>$AX9</f>
        <v>0</v>
      </c>
      <c r="O42" s="430">
        <f>$AX7</f>
        <v>0</v>
      </c>
      <c r="P42" s="430">
        <f>$AX8</f>
        <v>0</v>
      </c>
      <c r="Q42" s="430">
        <f>AX15+AX16+AX17+AX18+AX19+AX21+AX22+AX23</f>
        <v>0</v>
      </c>
      <c r="R42" s="430">
        <f>$AX20</f>
        <v>0</v>
      </c>
      <c r="S42" s="446">
        <f t="shared" si="22"/>
        <v>12</v>
      </c>
      <c r="T42" s="686"/>
      <c r="U42" s="26"/>
      <c r="V42" s="441" t="s">
        <v>203</v>
      </c>
      <c r="W42" s="440">
        <f>AZ$6</f>
        <v>0</v>
      </c>
      <c r="X42" s="430">
        <f>$AZ9</f>
        <v>0</v>
      </c>
      <c r="Y42" s="430">
        <f>$AZ7</f>
        <v>0</v>
      </c>
      <c r="Z42" s="430">
        <f>$AZ8</f>
        <v>0</v>
      </c>
      <c r="AA42" s="430">
        <f>AZ$15+AZ$16+AZ$17+AZ$18+AZ$19+AZ$21+AZ$22+AZ$23</f>
        <v>0</v>
      </c>
      <c r="AB42" s="719">
        <f>$AZ20</f>
        <v>0</v>
      </c>
      <c r="AC42" s="723">
        <f t="shared" si="23"/>
        <v>0</v>
      </c>
      <c r="AD42" s="587">
        <f>BA6+BA7+BA8+BA9+BA15+BA16+BA17+BA18+BA19+BA20+BA21+BA22+BA23</f>
        <v>0</v>
      </c>
      <c r="AE42" s="579">
        <f t="shared" si="24"/>
        <v>0</v>
      </c>
      <c r="AH42" s="24"/>
      <c r="AJ42" s="25"/>
      <c r="AL42" s="24"/>
      <c r="AN42" s="25"/>
      <c r="AP42" s="24"/>
      <c r="AR42" s="25"/>
      <c r="AT42" s="24"/>
      <c r="AV42" s="25"/>
      <c r="AX42" s="23"/>
      <c r="AY42" s="23"/>
      <c r="AZ42" s="23"/>
      <c r="BA42" s="23"/>
      <c r="BB42" s="23"/>
      <c r="BC42" s="23"/>
      <c r="BD42" s="23"/>
      <c r="BE42" s="23"/>
      <c r="BF42" s="23"/>
      <c r="BG42" s="23"/>
    </row>
    <row r="43" spans="1:59" ht="24" thickBot="1">
      <c r="L43" s="442" t="s">
        <v>191</v>
      </c>
      <c r="M43" s="443">
        <f t="shared" ref="M43" si="25">SUM(M33:M42)</f>
        <v>169</v>
      </c>
      <c r="N43" s="444">
        <f>SUM(N33:N42)</f>
        <v>11</v>
      </c>
      <c r="O43" s="443">
        <f t="shared" ref="O43" si="26">SUM(O33:O42)</f>
        <v>0</v>
      </c>
      <c r="P43" s="444">
        <f>SUM(P33:P42)</f>
        <v>47</v>
      </c>
      <c r="Q43" s="444">
        <f>SUM(Q33:Q42)</f>
        <v>48</v>
      </c>
      <c r="R43" s="445">
        <f>SUM(R33:R42)</f>
        <v>13</v>
      </c>
      <c r="S43" s="451">
        <f>SUM(S33:S42)</f>
        <v>288</v>
      </c>
      <c r="T43" s="687"/>
      <c r="U43" s="26"/>
      <c r="V43" s="442" t="s">
        <v>191</v>
      </c>
      <c r="W43" s="443">
        <f t="shared" ref="W43:Y43" si="27">SUM(W33:W42)</f>
        <v>59.35</v>
      </c>
      <c r="X43" s="444">
        <f>SUM(X33:X42)</f>
        <v>2.21</v>
      </c>
      <c r="Y43" s="443">
        <f t="shared" si="27"/>
        <v>0</v>
      </c>
      <c r="Z43" s="444">
        <f>SUM(Z33:Z42)</f>
        <v>21</v>
      </c>
      <c r="AA43" s="444">
        <f>SUM(AA33:AA42)</f>
        <v>0</v>
      </c>
      <c r="AB43" s="720">
        <f>SUM(AB33:AB42)</f>
        <v>0</v>
      </c>
      <c r="AC43" s="724">
        <f>SUM(AC33:AC42)</f>
        <v>82.56</v>
      </c>
      <c r="AD43" s="725">
        <f>SUM(AD33:AD42)</f>
        <v>41.3</v>
      </c>
      <c r="AE43" s="579">
        <f t="shared" si="24"/>
        <v>123.86</v>
      </c>
      <c r="AH43" s="24"/>
      <c r="AJ43" s="25"/>
      <c r="AL43" s="24"/>
      <c r="AN43" s="25"/>
      <c r="AP43" s="24"/>
      <c r="AR43" s="25"/>
      <c r="AT43" s="24"/>
      <c r="AV43" s="25"/>
      <c r="AX43" s="23"/>
      <c r="AY43" s="23"/>
      <c r="AZ43" s="23"/>
      <c r="BA43" s="23"/>
      <c r="BB43" s="23"/>
      <c r="BC43" s="23"/>
      <c r="BD43" s="23"/>
      <c r="BE43" s="23"/>
      <c r="BF43" s="23"/>
      <c r="BG43" s="23"/>
    </row>
    <row r="44" spans="1:59" ht="15" customHeight="1" thickBot="1">
      <c r="L44" s="26"/>
      <c r="M44" s="26"/>
      <c r="N44" s="24"/>
      <c r="P44" s="26"/>
      <c r="Q44" s="26"/>
      <c r="R44" s="24"/>
      <c r="T44" s="26"/>
      <c r="U44" s="26"/>
      <c r="V44" s="24"/>
      <c r="Z44" s="24"/>
      <c r="AD44" s="24"/>
      <c r="AE44" s="26"/>
      <c r="AF44" s="466"/>
      <c r="AG44" s="466"/>
      <c r="AH44" s="466"/>
      <c r="AI44" s="467"/>
      <c r="AL44" s="24"/>
      <c r="AM44" s="25"/>
      <c r="AP44" s="24"/>
      <c r="AQ44" s="25"/>
      <c r="AT44" s="24"/>
      <c r="AU44" s="25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</row>
    <row r="45" spans="1:59" ht="29.25" customHeight="1" thickBot="1">
      <c r="L45" s="1929" t="str">
        <f>L31</f>
        <v>Mode wise Collection Plan-10-01-2022</v>
      </c>
      <c r="M45" s="1930"/>
      <c r="N45" s="1930"/>
      <c r="O45" s="1930"/>
      <c r="P45" s="1930"/>
      <c r="Q45" s="1930"/>
      <c r="R45" s="1930"/>
      <c r="S45" s="1930"/>
      <c r="T45" s="1931"/>
      <c r="U45" s="26"/>
      <c r="V45" s="1923" t="s">
        <v>309</v>
      </c>
      <c r="W45" s="1937"/>
      <c r="X45" s="1937"/>
      <c r="Y45" s="1937"/>
      <c r="Z45" s="1937"/>
      <c r="AA45" s="1937"/>
      <c r="AB45" s="1937"/>
      <c r="AC45" s="1937"/>
      <c r="AD45" s="1937"/>
      <c r="AE45" s="1938"/>
      <c r="AF45" s="466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</row>
    <row r="46" spans="1:59" s="28" customFormat="1" ht="31.5">
      <c r="D46" s="29"/>
      <c r="E46" s="29"/>
      <c r="F46" s="29"/>
      <c r="I46" s="29"/>
      <c r="J46" s="1011" t="s">
        <v>270</v>
      </c>
      <c r="K46" s="1011" t="s">
        <v>196</v>
      </c>
      <c r="L46" s="450" t="s">
        <v>0</v>
      </c>
      <c r="M46" s="439" t="s">
        <v>200</v>
      </c>
      <c r="N46" s="454" t="s">
        <v>205</v>
      </c>
      <c r="O46" s="439" t="s">
        <v>31</v>
      </c>
      <c r="P46" s="448" t="s">
        <v>201</v>
      </c>
      <c r="Q46" s="455" t="s">
        <v>206</v>
      </c>
      <c r="R46" s="436" t="s">
        <v>22</v>
      </c>
      <c r="S46" s="438" t="s">
        <v>191</v>
      </c>
      <c r="T46" s="438" t="s">
        <v>244</v>
      </c>
      <c r="U46" s="26"/>
      <c r="V46" s="596" t="s">
        <v>0</v>
      </c>
      <c r="W46" s="436" t="s">
        <v>200</v>
      </c>
      <c r="X46" s="454" t="s">
        <v>205</v>
      </c>
      <c r="Y46" s="436" t="s">
        <v>31</v>
      </c>
      <c r="Z46" s="448" t="s">
        <v>201</v>
      </c>
      <c r="AA46" s="453" t="s">
        <v>206</v>
      </c>
      <c r="AB46" s="453" t="s">
        <v>210</v>
      </c>
      <c r="AC46" s="436" t="s">
        <v>22</v>
      </c>
      <c r="AD46" s="437" t="s">
        <v>191</v>
      </c>
      <c r="AE46" s="438" t="s">
        <v>244</v>
      </c>
      <c r="AG46" s="952" t="s">
        <v>32</v>
      </c>
      <c r="AH46" s="1022" t="s">
        <v>25</v>
      </c>
      <c r="AI46" s="1022" t="s">
        <v>23</v>
      </c>
      <c r="AJ46" s="1022" t="s">
        <v>271</v>
      </c>
      <c r="AK46" s="23"/>
      <c r="AL46" s="23"/>
      <c r="AM46" s="23"/>
      <c r="AN46" s="23"/>
      <c r="AO46" s="23"/>
      <c r="AP46" s="23"/>
      <c r="AQ46" s="23"/>
      <c r="AR46" s="23"/>
    </row>
    <row r="47" spans="1:59" ht="23.25">
      <c r="J47" s="441"/>
      <c r="K47" s="441"/>
      <c r="L47" s="441" t="s">
        <v>165</v>
      </c>
      <c r="M47" s="470">
        <v>30</v>
      </c>
      <c r="N47" s="430">
        <v>0</v>
      </c>
      <c r="O47" s="430">
        <v>0</v>
      </c>
      <c r="P47" s="430">
        <v>0</v>
      </c>
      <c r="Q47" s="430">
        <v>30</v>
      </c>
      <c r="R47" s="430">
        <v>0</v>
      </c>
      <c r="S47" s="446">
        <f t="shared" ref="S47:S56" si="28">SUM(M47:R47)</f>
        <v>60</v>
      </c>
      <c r="T47" s="446">
        <v>9</v>
      </c>
      <c r="U47" s="26"/>
      <c r="V47" s="586" t="s">
        <v>165</v>
      </c>
      <c r="W47" s="430">
        <v>0</v>
      </c>
      <c r="X47" s="430">
        <v>0</v>
      </c>
      <c r="Y47" s="430">
        <v>0</v>
      </c>
      <c r="Z47" s="430">
        <v>0</v>
      </c>
      <c r="AA47" s="430">
        <v>0</v>
      </c>
      <c r="AB47" s="655"/>
      <c r="AC47" s="430"/>
      <c r="AD47" s="568">
        <f t="shared" ref="AD47:AD56" si="29">SUM(W47:AC47)</f>
        <v>0</v>
      </c>
      <c r="AE47" s="587">
        <f>L27+L28+L29</f>
        <v>9</v>
      </c>
      <c r="AG47" s="953"/>
      <c r="AH47" s="1017"/>
      <c r="AI47" s="1017"/>
      <c r="AJ47" s="1017"/>
      <c r="AK47" s="28"/>
      <c r="AL47" s="28"/>
      <c r="AM47" s="28"/>
      <c r="AN47" s="28"/>
      <c r="AO47" s="28"/>
      <c r="AP47" s="28"/>
      <c r="AQ47" s="28"/>
      <c r="AR47" s="28"/>
      <c r="AT47" s="24"/>
      <c r="AU47" s="25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</row>
    <row r="48" spans="1:59" ht="23.25">
      <c r="J48" s="441"/>
      <c r="K48" s="441"/>
      <c r="L48" s="441" t="s">
        <v>183</v>
      </c>
      <c r="M48" s="470">
        <v>15</v>
      </c>
      <c r="N48" s="430">
        <v>0</v>
      </c>
      <c r="O48" s="430">
        <v>0</v>
      </c>
      <c r="P48" s="430">
        <v>5</v>
      </c>
      <c r="Q48" s="430">
        <v>0</v>
      </c>
      <c r="R48" s="430">
        <v>0</v>
      </c>
      <c r="S48" s="446">
        <f t="shared" si="28"/>
        <v>20</v>
      </c>
      <c r="T48" s="446">
        <v>15</v>
      </c>
      <c r="U48" s="466"/>
      <c r="V48" s="586" t="s">
        <v>183</v>
      </c>
      <c r="W48" s="430">
        <v>0</v>
      </c>
      <c r="X48" s="430">
        <v>0</v>
      </c>
      <c r="Y48" s="430">
        <v>0</v>
      </c>
      <c r="Z48" s="430">
        <v>0</v>
      </c>
      <c r="AA48" s="430">
        <v>0</v>
      </c>
      <c r="AB48" s="655"/>
      <c r="AC48" s="430"/>
      <c r="AD48" s="568">
        <f t="shared" si="29"/>
        <v>0</v>
      </c>
      <c r="AE48" s="587">
        <f>P27+P28+P29</f>
        <v>0</v>
      </c>
      <c r="AG48" s="953"/>
      <c r="AH48" s="951"/>
      <c r="AI48" s="951"/>
      <c r="AJ48" s="655"/>
      <c r="AL48" s="24"/>
      <c r="AM48" s="25"/>
      <c r="AP48" s="24"/>
      <c r="AQ48" s="25"/>
      <c r="AT48" s="24"/>
      <c r="AU48" s="25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</row>
    <row r="49" spans="4:59" ht="23.25">
      <c r="J49" s="441"/>
      <c r="K49" s="441"/>
      <c r="L49" s="441" t="s">
        <v>184</v>
      </c>
      <c r="M49" s="470">
        <v>20</v>
      </c>
      <c r="N49" s="430">
        <v>0</v>
      </c>
      <c r="O49" s="430">
        <v>0</v>
      </c>
      <c r="P49" s="430">
        <v>5</v>
      </c>
      <c r="Q49" s="430">
        <v>0</v>
      </c>
      <c r="R49" s="430">
        <v>0</v>
      </c>
      <c r="S49" s="446">
        <f t="shared" si="28"/>
        <v>25</v>
      </c>
      <c r="T49" s="446">
        <v>31</v>
      </c>
      <c r="U49" s="466"/>
      <c r="V49" s="586" t="s">
        <v>184</v>
      </c>
      <c r="W49" s="430">
        <v>0</v>
      </c>
      <c r="X49" s="430">
        <v>0</v>
      </c>
      <c r="Y49" s="430">
        <v>0</v>
      </c>
      <c r="Z49" s="430">
        <v>0</v>
      </c>
      <c r="AA49" s="430">
        <v>0</v>
      </c>
      <c r="AB49" s="655"/>
      <c r="AC49" s="430"/>
      <c r="AD49" s="568">
        <f t="shared" si="29"/>
        <v>0</v>
      </c>
      <c r="AE49" s="587">
        <f>T27+T28+T29</f>
        <v>32.299999999999997</v>
      </c>
      <c r="AG49" s="953"/>
      <c r="AH49" s="951"/>
      <c r="AI49" s="951"/>
      <c r="AJ49" s="655"/>
      <c r="AL49" s="24"/>
      <c r="AM49" s="25"/>
      <c r="AP49" s="24"/>
      <c r="AQ49" s="25"/>
      <c r="AT49" s="24"/>
      <c r="AU49" s="25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</row>
    <row r="50" spans="4:59" ht="23.25">
      <c r="J50" s="441"/>
      <c r="K50" s="441"/>
      <c r="L50" s="441" t="s">
        <v>170</v>
      </c>
      <c r="M50" s="470">
        <v>5</v>
      </c>
      <c r="N50" s="430">
        <v>1</v>
      </c>
      <c r="O50" s="430">
        <v>0</v>
      </c>
      <c r="P50" s="430">
        <v>4</v>
      </c>
      <c r="Q50" s="430">
        <v>0</v>
      </c>
      <c r="R50" s="430">
        <v>0</v>
      </c>
      <c r="S50" s="446">
        <f t="shared" si="28"/>
        <v>10</v>
      </c>
      <c r="T50" s="446"/>
      <c r="U50" s="466"/>
      <c r="V50" s="586" t="s">
        <v>170</v>
      </c>
      <c r="W50" s="430">
        <v>0</v>
      </c>
      <c r="X50" s="430">
        <v>0</v>
      </c>
      <c r="Y50" s="430">
        <v>0</v>
      </c>
      <c r="Z50" s="430">
        <v>0</v>
      </c>
      <c r="AA50" s="430">
        <v>0</v>
      </c>
      <c r="AB50" s="655"/>
      <c r="AC50" s="430"/>
      <c r="AD50" s="568">
        <f t="shared" si="29"/>
        <v>0</v>
      </c>
      <c r="AE50" s="587">
        <f>X27+X28+X29</f>
        <v>0</v>
      </c>
      <c r="AG50" s="953"/>
      <c r="AH50" s="951"/>
      <c r="AI50" s="951"/>
      <c r="AJ50" s="655"/>
      <c r="AL50" s="24"/>
      <c r="AM50" s="25"/>
      <c r="AP50" s="24"/>
      <c r="AQ50" s="25"/>
      <c r="AT50" s="24"/>
      <c r="AU50" s="25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</row>
    <row r="51" spans="4:59" ht="23.25">
      <c r="J51" s="441"/>
      <c r="K51" s="441"/>
      <c r="L51" s="441" t="s">
        <v>171</v>
      </c>
      <c r="M51" s="470">
        <v>2</v>
      </c>
      <c r="N51" s="430">
        <v>0</v>
      </c>
      <c r="O51" s="430">
        <v>0</v>
      </c>
      <c r="P51" s="430">
        <v>0</v>
      </c>
      <c r="Q51" s="430">
        <v>0</v>
      </c>
      <c r="R51" s="430">
        <v>0</v>
      </c>
      <c r="S51" s="446">
        <f t="shared" si="28"/>
        <v>2</v>
      </c>
      <c r="T51" s="446"/>
      <c r="U51" s="466"/>
      <c r="V51" s="586" t="s">
        <v>171</v>
      </c>
      <c r="W51" s="430">
        <v>0</v>
      </c>
      <c r="X51" s="430">
        <v>0</v>
      </c>
      <c r="Y51" s="430">
        <v>0</v>
      </c>
      <c r="Z51" s="430">
        <v>0</v>
      </c>
      <c r="AA51" s="430">
        <v>0</v>
      </c>
      <c r="AB51" s="655"/>
      <c r="AC51" s="430"/>
      <c r="AD51" s="568">
        <f t="shared" si="29"/>
        <v>0</v>
      </c>
      <c r="AE51" s="587">
        <f>AB27+AB28+AB29</f>
        <v>0</v>
      </c>
      <c r="AG51" s="953"/>
      <c r="AH51" s="951"/>
      <c r="AI51" s="951"/>
      <c r="AJ51" s="655"/>
      <c r="AL51" s="24"/>
      <c r="AM51" s="25"/>
      <c r="AP51" s="24"/>
      <c r="AQ51" s="25"/>
      <c r="AT51" s="24"/>
      <c r="AU51" s="25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</row>
    <row r="52" spans="4:59" ht="23.25">
      <c r="J52" s="441"/>
      <c r="K52" s="441"/>
      <c r="L52" s="441" t="s">
        <v>190</v>
      </c>
      <c r="M52" s="492">
        <v>30</v>
      </c>
      <c r="N52" s="471">
        <v>10</v>
      </c>
      <c r="O52" s="471">
        <v>0</v>
      </c>
      <c r="P52" s="471">
        <v>30</v>
      </c>
      <c r="Q52" s="430">
        <v>0</v>
      </c>
      <c r="R52" s="471">
        <v>0</v>
      </c>
      <c r="S52" s="446">
        <f t="shared" si="28"/>
        <v>70</v>
      </c>
      <c r="T52" s="446"/>
      <c r="U52" s="466"/>
      <c r="V52" s="586" t="s">
        <v>190</v>
      </c>
      <c r="W52" s="430">
        <v>0</v>
      </c>
      <c r="X52" s="430">
        <v>0</v>
      </c>
      <c r="Y52" s="430">
        <v>0</v>
      </c>
      <c r="Z52" s="430">
        <v>0</v>
      </c>
      <c r="AA52" s="430">
        <v>0</v>
      </c>
      <c r="AB52" s="655"/>
      <c r="AC52" s="430"/>
      <c r="AD52" s="568">
        <f t="shared" si="29"/>
        <v>0</v>
      </c>
      <c r="AE52" s="587">
        <f>AF27+AF28+AF29</f>
        <v>0</v>
      </c>
      <c r="AG52" s="954"/>
      <c r="AH52" s="951"/>
      <c r="AI52" s="951"/>
      <c r="AJ52" s="655"/>
      <c r="AL52" s="24"/>
      <c r="AM52" s="25"/>
      <c r="AP52" s="24"/>
      <c r="AQ52" s="25"/>
      <c r="AT52" s="24"/>
      <c r="AU52" s="25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</row>
    <row r="53" spans="4:59" ht="23.25">
      <c r="J53" s="441"/>
      <c r="K53" s="441"/>
      <c r="L53" s="441" t="s">
        <v>185</v>
      </c>
      <c r="M53" s="470">
        <v>30</v>
      </c>
      <c r="N53" s="430">
        <v>0</v>
      </c>
      <c r="O53" s="430">
        <v>0</v>
      </c>
      <c r="P53" s="430">
        <v>3</v>
      </c>
      <c r="Q53" s="430">
        <v>18</v>
      </c>
      <c r="R53" s="430">
        <v>0</v>
      </c>
      <c r="S53" s="446">
        <f t="shared" si="28"/>
        <v>51</v>
      </c>
      <c r="T53" s="446">
        <v>30</v>
      </c>
      <c r="U53" s="466"/>
      <c r="V53" s="586" t="s">
        <v>185</v>
      </c>
      <c r="W53" s="430">
        <v>5</v>
      </c>
      <c r="X53" s="430">
        <v>0</v>
      </c>
      <c r="Y53" s="430">
        <v>0</v>
      </c>
      <c r="Z53" s="430">
        <v>0</v>
      </c>
      <c r="AA53" s="430">
        <v>0</v>
      </c>
      <c r="AB53" s="655"/>
      <c r="AC53" s="430"/>
      <c r="AD53" s="568">
        <f t="shared" si="29"/>
        <v>5</v>
      </c>
      <c r="AE53" s="587">
        <f>AN27+AN28+AN29</f>
        <v>0</v>
      </c>
      <c r="AG53" s="954"/>
      <c r="AH53" s="951"/>
      <c r="AI53" s="951"/>
      <c r="AJ53" s="655"/>
      <c r="AL53" s="24"/>
      <c r="AM53" s="25"/>
      <c r="AP53" s="24"/>
      <c r="AQ53" s="25"/>
      <c r="AT53" s="24"/>
      <c r="AU53" s="25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</row>
    <row r="54" spans="4:59" ht="23.25">
      <c r="J54" s="441"/>
      <c r="K54" s="441"/>
      <c r="L54" s="441" t="s">
        <v>202</v>
      </c>
      <c r="M54" s="470">
        <v>25</v>
      </c>
      <c r="N54" s="430">
        <v>0</v>
      </c>
      <c r="O54" s="430">
        <v>0</v>
      </c>
      <c r="P54" s="430">
        <v>0</v>
      </c>
      <c r="Q54" s="430">
        <v>0</v>
      </c>
      <c r="R54" s="430">
        <v>0</v>
      </c>
      <c r="S54" s="446">
        <f t="shared" si="28"/>
        <v>25</v>
      </c>
      <c r="T54" s="446">
        <v>7</v>
      </c>
      <c r="U54" s="466"/>
      <c r="V54" s="586" t="s">
        <v>202</v>
      </c>
      <c r="W54" s="430">
        <v>0</v>
      </c>
      <c r="X54" s="430">
        <v>0</v>
      </c>
      <c r="Y54" s="430">
        <v>0</v>
      </c>
      <c r="Z54" s="430">
        <v>0</v>
      </c>
      <c r="AA54" s="430">
        <v>0</v>
      </c>
      <c r="AB54" s="655"/>
      <c r="AC54" s="430"/>
      <c r="AD54" s="568">
        <f t="shared" si="29"/>
        <v>0</v>
      </c>
      <c r="AE54" s="587">
        <f>AR27+AR28+AR29</f>
        <v>0</v>
      </c>
      <c r="AF54" s="24" t="s">
        <v>288</v>
      </c>
      <c r="AG54" s="952"/>
      <c r="AH54" s="951"/>
      <c r="AI54" s="951"/>
      <c r="AJ54" s="655"/>
      <c r="AL54" s="24"/>
      <c r="AM54" s="25"/>
      <c r="AP54" s="24"/>
      <c r="AQ54" s="25"/>
      <c r="AT54" s="24"/>
      <c r="AU54" s="25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</row>
    <row r="55" spans="4:59" ht="23.25">
      <c r="J55" s="441"/>
      <c r="K55" s="441"/>
      <c r="L55" s="441" t="s">
        <v>186</v>
      </c>
      <c r="M55" s="470">
        <v>0</v>
      </c>
      <c r="N55" s="430">
        <v>0</v>
      </c>
      <c r="O55" s="430">
        <v>0</v>
      </c>
      <c r="P55" s="430">
        <v>0</v>
      </c>
      <c r="Q55" s="430">
        <v>0</v>
      </c>
      <c r="R55" s="430">
        <v>13</v>
      </c>
      <c r="S55" s="446">
        <f t="shared" si="28"/>
        <v>13</v>
      </c>
      <c r="T55" s="446"/>
      <c r="U55" s="466"/>
      <c r="V55" s="586" t="s">
        <v>186</v>
      </c>
      <c r="W55" s="430">
        <v>0</v>
      </c>
      <c r="X55" s="430">
        <v>0</v>
      </c>
      <c r="Y55" s="430">
        <v>0</v>
      </c>
      <c r="Z55" s="430">
        <v>0</v>
      </c>
      <c r="AA55" s="430">
        <v>0</v>
      </c>
      <c r="AB55" s="655"/>
      <c r="AC55" s="430"/>
      <c r="AD55" s="568">
        <f t="shared" si="29"/>
        <v>0</v>
      </c>
      <c r="AE55" s="587">
        <f>AV27+AV28+AV29</f>
        <v>0</v>
      </c>
      <c r="AF55" s="24" t="s">
        <v>283</v>
      </c>
      <c r="AG55" s="952"/>
      <c r="AH55" s="951"/>
      <c r="AI55" s="951"/>
      <c r="AJ55" s="655"/>
      <c r="AL55" s="24"/>
      <c r="AM55" s="25"/>
      <c r="AP55" s="24"/>
      <c r="AQ55" s="25"/>
      <c r="AT55" s="24"/>
      <c r="AU55" s="25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</row>
    <row r="56" spans="4:59" ht="23.25">
      <c r="J56" s="441"/>
      <c r="K56" s="441"/>
      <c r="L56" s="441" t="s">
        <v>203</v>
      </c>
      <c r="M56" s="470">
        <v>12</v>
      </c>
      <c r="N56" s="430">
        <v>0</v>
      </c>
      <c r="O56" s="430">
        <v>0</v>
      </c>
      <c r="P56" s="430">
        <v>0</v>
      </c>
      <c r="Q56" s="430">
        <v>0</v>
      </c>
      <c r="R56" s="430">
        <v>0</v>
      </c>
      <c r="S56" s="446">
        <f t="shared" si="28"/>
        <v>12</v>
      </c>
      <c r="T56" s="446">
        <v>9</v>
      </c>
      <c r="U56" s="466"/>
      <c r="V56" s="586" t="s">
        <v>203</v>
      </c>
      <c r="W56" s="430">
        <v>0</v>
      </c>
      <c r="X56" s="430">
        <v>0</v>
      </c>
      <c r="Y56" s="430">
        <v>0</v>
      </c>
      <c r="Z56" s="430">
        <v>2.5</v>
      </c>
      <c r="AA56" s="430">
        <v>0</v>
      </c>
      <c r="AB56" s="655"/>
      <c r="AC56" s="430"/>
      <c r="AD56" s="568">
        <f t="shared" si="29"/>
        <v>2.5</v>
      </c>
      <c r="AE56" s="587">
        <f>AZ27+AZ28+AZ29</f>
        <v>0</v>
      </c>
      <c r="AG56" s="952"/>
      <c r="AH56" s="951"/>
      <c r="AI56" s="951"/>
      <c r="AJ56" s="655"/>
      <c r="AL56" s="24"/>
      <c r="AM56" s="25"/>
      <c r="AP56" s="24"/>
      <c r="AQ56" s="25"/>
      <c r="AT56" s="24"/>
      <c r="AU56" s="25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</row>
    <row r="57" spans="4:59" ht="24" thickBot="1">
      <c r="J57" s="442">
        <f t="shared" ref="J57:K57" si="30">SUM(J47:J56)</f>
        <v>0</v>
      </c>
      <c r="K57" s="442">
        <f t="shared" si="30"/>
        <v>0</v>
      </c>
      <c r="L57" s="442" t="s">
        <v>191</v>
      </c>
      <c r="M57" s="443">
        <f t="shared" ref="M57" si="31">SUM(M47:M56)</f>
        <v>169</v>
      </c>
      <c r="N57" s="444">
        <f>SUM(N47:N56)</f>
        <v>11</v>
      </c>
      <c r="O57" s="443">
        <f t="shared" ref="O57" si="32">SUM(O47:O56)</f>
        <v>0</v>
      </c>
      <c r="P57" s="444">
        <f>SUM(P47:P56)</f>
        <v>47</v>
      </c>
      <c r="Q57" s="444">
        <f>SUM(Q47:Q56)</f>
        <v>48</v>
      </c>
      <c r="R57" s="445">
        <f>SUM(R47:R56)</f>
        <v>13</v>
      </c>
      <c r="S57" s="451">
        <f>SUM(S47:S56)</f>
        <v>288</v>
      </c>
      <c r="T57" s="451">
        <f>SUM(T47:T56)</f>
        <v>101</v>
      </c>
      <c r="U57" s="466"/>
      <c r="V57" s="588" t="s">
        <v>191</v>
      </c>
      <c r="W57" s="589">
        <f t="shared" ref="W57" si="33">SUM(W47:W56)</f>
        <v>5</v>
      </c>
      <c r="X57" s="444">
        <f>SUM(X47:X56)</f>
        <v>0</v>
      </c>
      <c r="Y57" s="444">
        <f t="shared" ref="Y57" si="34">SUM(Y47:Y56)</f>
        <v>0</v>
      </c>
      <c r="Z57" s="444">
        <f>SUM(Z47:Z56)</f>
        <v>2.5</v>
      </c>
      <c r="AA57" s="444">
        <f>SUM(AA47:AA56)</f>
        <v>0</v>
      </c>
      <c r="AB57" s="444"/>
      <c r="AC57" s="444">
        <f t="shared" ref="AC57" si="35">SUM(AC47:AC56)</f>
        <v>0</v>
      </c>
      <c r="AD57" s="630">
        <f>SUM(AD47:AD56)</f>
        <v>7.5</v>
      </c>
      <c r="AE57" s="631">
        <f>SUM(AE47:AE56)</f>
        <v>41.3</v>
      </c>
      <c r="AG57" s="1016">
        <f t="shared" ref="AG57:AJ57" si="36">SUM(AG47:AG56)</f>
        <v>0</v>
      </c>
      <c r="AH57" s="1015">
        <f t="shared" si="36"/>
        <v>0</v>
      </c>
      <c r="AI57" s="1015">
        <f t="shared" si="36"/>
        <v>0</v>
      </c>
      <c r="AJ57" s="1015">
        <f t="shared" si="36"/>
        <v>0</v>
      </c>
      <c r="AL57" s="24"/>
      <c r="AM57" s="25"/>
      <c r="AP57" s="24"/>
      <c r="AQ57" s="25"/>
      <c r="AT57" s="24"/>
      <c r="AU57" s="25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</row>
    <row r="58" spans="4:59" ht="24" customHeight="1" thickBot="1">
      <c r="N58" s="24"/>
      <c r="O58" s="1924" t="s">
        <v>254</v>
      </c>
      <c r="P58" s="1925"/>
      <c r="Q58" s="1925"/>
      <c r="R58" s="1926"/>
      <c r="S58" s="1927">
        <f>S57+T57</f>
        <v>389</v>
      </c>
      <c r="T58" s="1928"/>
      <c r="U58" s="466"/>
      <c r="V58" s="1932" t="s">
        <v>221</v>
      </c>
      <c r="W58" s="1932"/>
      <c r="X58" s="1932"/>
      <c r="Y58" s="1932"/>
      <c r="Z58" s="1932"/>
      <c r="AA58" s="1932"/>
      <c r="AB58" s="1932"/>
      <c r="AC58" s="1932"/>
      <c r="AD58" s="1933">
        <f>AD57+AE57</f>
        <v>48.8</v>
      </c>
      <c r="AE58" s="1934"/>
      <c r="AF58" s="466"/>
      <c r="AH58" s="24"/>
      <c r="AI58" s="25"/>
      <c r="AL58" s="24"/>
      <c r="AM58" s="25"/>
      <c r="AP58" s="24"/>
      <c r="AQ58" s="25"/>
      <c r="AT58" s="24"/>
      <c r="AU58" s="25"/>
      <c r="AX58" s="24"/>
      <c r="AY58" s="24"/>
      <c r="AZ58" s="25"/>
      <c r="BA58" s="24"/>
      <c r="BB58" s="24"/>
      <c r="BC58" s="23"/>
      <c r="BD58" s="23"/>
      <c r="BE58" s="23"/>
      <c r="BF58" s="23"/>
      <c r="BG58" s="23"/>
    </row>
    <row r="59" spans="4:59" ht="15.75" customHeight="1" thickBot="1">
      <c r="J59" s="24"/>
      <c r="N59" s="24"/>
      <c r="R59" s="24"/>
      <c r="T59" s="26"/>
      <c r="U59" s="26"/>
      <c r="V59" s="966"/>
      <c r="W59" s="966"/>
      <c r="X59" s="966"/>
      <c r="Y59" s="1922" t="s">
        <v>235</v>
      </c>
      <c r="Z59" s="1922"/>
      <c r="AA59" s="1922"/>
      <c r="AB59" s="1922"/>
      <c r="AC59" s="1922"/>
      <c r="AD59" s="1920">
        <f>BH6+BI6+BD20+BE20</f>
        <v>100.65</v>
      </c>
      <c r="AE59" s="1921"/>
      <c r="AF59" s="466"/>
      <c r="AH59" s="24"/>
      <c r="AI59" s="25"/>
      <c r="AL59" s="24"/>
      <c r="AP59" s="25"/>
      <c r="AT59" s="25"/>
      <c r="AX59" s="25"/>
      <c r="AY59" s="24"/>
      <c r="AZ59" s="24"/>
      <c r="BA59" s="24"/>
      <c r="BB59" s="25"/>
      <c r="BE59" s="23"/>
      <c r="BF59" s="23"/>
      <c r="BG59" s="23"/>
    </row>
    <row r="60" spans="4:59" s="28" customFormat="1" ht="35.25" customHeight="1" thickBot="1">
      <c r="D60" s="29"/>
      <c r="E60" s="29"/>
      <c r="F60" s="29"/>
      <c r="I60" s="29"/>
      <c r="J60" s="24"/>
      <c r="K60" s="24"/>
      <c r="L60" s="1923" t="s">
        <v>319</v>
      </c>
      <c r="M60" s="1937"/>
      <c r="N60" s="1937"/>
      <c r="O60" s="1937"/>
      <c r="P60" s="1937"/>
      <c r="Q60" s="1937"/>
      <c r="R60" s="1937"/>
      <c r="S60" s="1937"/>
      <c r="T60" s="1937"/>
      <c r="U60" s="1938"/>
      <c r="V60" s="966"/>
      <c r="W60" s="966"/>
      <c r="X60" s="966"/>
      <c r="Y60" s="1013"/>
      <c r="Z60" s="966"/>
      <c r="AA60" s="966"/>
      <c r="AB60" s="966"/>
      <c r="AC60" s="1013"/>
      <c r="AD60" s="966"/>
      <c r="AE60" s="964"/>
      <c r="AF60" s="966"/>
      <c r="AG60" s="964"/>
      <c r="AH60" s="964"/>
      <c r="AI60" s="967"/>
      <c r="AJ60" s="964"/>
      <c r="AK60" s="964"/>
      <c r="AL60" s="964"/>
      <c r="AM60" s="964"/>
      <c r="AN60" s="964"/>
      <c r="AO60" s="964"/>
      <c r="AP60" s="967"/>
      <c r="AQ60" s="964"/>
      <c r="AR60" s="964"/>
      <c r="AS60" s="964"/>
      <c r="AT60" s="967"/>
      <c r="AU60" s="964"/>
      <c r="AV60" s="964"/>
      <c r="AW60" s="964"/>
      <c r="AX60" s="967"/>
      <c r="AY60" s="965"/>
      <c r="AZ60" s="965"/>
      <c r="BA60" s="964"/>
      <c r="BB60" s="964"/>
      <c r="BC60" s="967"/>
      <c r="BD60" s="967"/>
      <c r="BE60" s="964"/>
    </row>
    <row r="61" spans="4:59" ht="27" customHeight="1">
      <c r="J61" s="24"/>
      <c r="L61" s="596" t="s">
        <v>0</v>
      </c>
      <c r="M61" s="436" t="s">
        <v>200</v>
      </c>
      <c r="N61" s="454" t="s">
        <v>205</v>
      </c>
      <c r="O61" s="436" t="s">
        <v>31</v>
      </c>
      <c r="P61" s="448" t="s">
        <v>201</v>
      </c>
      <c r="Q61" s="453" t="s">
        <v>206</v>
      </c>
      <c r="R61" s="453" t="s">
        <v>210</v>
      </c>
      <c r="S61" s="436" t="s">
        <v>22</v>
      </c>
      <c r="T61" s="437" t="s">
        <v>191</v>
      </c>
      <c r="U61" s="438" t="s">
        <v>244</v>
      </c>
      <c r="V61" s="466"/>
      <c r="W61" s="466"/>
      <c r="X61" s="466"/>
      <c r="Y61" s="465"/>
      <c r="Z61" s="466"/>
      <c r="AA61" s="466"/>
      <c r="AB61" s="466"/>
      <c r="AC61" s="465"/>
      <c r="AD61" s="466"/>
      <c r="AF61" s="466"/>
      <c r="AH61" s="24"/>
      <c r="AI61" s="25"/>
      <c r="AL61" s="24"/>
      <c r="AM61" s="26"/>
      <c r="AN61" s="26"/>
      <c r="AP61" s="24"/>
      <c r="AQ61" s="26"/>
      <c r="AR61" s="26"/>
      <c r="AT61" s="24"/>
      <c r="AU61" s="26"/>
      <c r="AV61" s="26"/>
      <c r="AX61" s="24"/>
      <c r="AY61" s="26"/>
      <c r="AZ61" s="26"/>
      <c r="BA61" s="24"/>
      <c r="BB61" s="24"/>
      <c r="BC61" s="25"/>
      <c r="BD61" s="25"/>
      <c r="BF61" s="23"/>
      <c r="BG61" s="23"/>
    </row>
    <row r="62" spans="4:59" ht="23.25">
      <c r="J62" s="24"/>
      <c r="L62" s="586" t="s">
        <v>165</v>
      </c>
      <c r="M62" s="430">
        <v>20</v>
      </c>
      <c r="N62" s="430">
        <v>0.21</v>
      </c>
      <c r="O62" s="430">
        <v>0</v>
      </c>
      <c r="P62" s="430">
        <v>1</v>
      </c>
      <c r="Q62" s="430">
        <v>0</v>
      </c>
      <c r="R62" s="655">
        <v>0</v>
      </c>
      <c r="S62" s="430"/>
      <c r="T62" s="568">
        <f t="shared" ref="T62:T71" si="37">SUM(M62:S62)</f>
        <v>21.21</v>
      </c>
      <c r="U62" s="587">
        <v>9</v>
      </c>
      <c r="V62" s="466"/>
      <c r="W62" s="466"/>
      <c r="X62" s="466"/>
      <c r="Y62" s="465"/>
      <c r="Z62" s="466"/>
      <c r="AA62" s="466"/>
      <c r="AB62" s="466"/>
      <c r="AC62" s="465"/>
      <c r="AD62" s="466"/>
      <c r="AF62" s="466"/>
      <c r="AH62" s="24"/>
      <c r="AI62" s="25"/>
      <c r="AL62" s="24"/>
      <c r="AM62" s="26"/>
      <c r="AN62" s="26"/>
      <c r="AP62" s="24"/>
      <c r="AQ62" s="26"/>
      <c r="AR62" s="26"/>
      <c r="AT62" s="24"/>
      <c r="AU62" s="26"/>
      <c r="AV62" s="26"/>
      <c r="AX62" s="24"/>
      <c r="AY62" s="26"/>
      <c r="AZ62" s="26"/>
      <c r="BA62" s="24"/>
      <c r="BB62" s="24"/>
      <c r="BC62" s="25"/>
      <c r="BD62" s="25"/>
      <c r="BF62" s="23"/>
      <c r="BG62" s="23"/>
    </row>
    <row r="63" spans="4:59" ht="24.75" customHeight="1">
      <c r="J63" s="24"/>
      <c r="L63" s="586" t="s">
        <v>183</v>
      </c>
      <c r="M63" s="430">
        <v>7</v>
      </c>
      <c r="N63" s="430">
        <v>0</v>
      </c>
      <c r="O63" s="430">
        <v>0</v>
      </c>
      <c r="P63" s="430">
        <v>0</v>
      </c>
      <c r="Q63" s="430">
        <v>0</v>
      </c>
      <c r="R63" s="655">
        <v>0</v>
      </c>
      <c r="S63" s="430"/>
      <c r="T63" s="568">
        <f t="shared" si="37"/>
        <v>7</v>
      </c>
      <c r="U63" s="587">
        <v>0</v>
      </c>
      <c r="V63" s="466"/>
      <c r="W63" s="466"/>
      <c r="X63" s="466"/>
      <c r="Y63" s="465"/>
      <c r="Z63" s="466"/>
      <c r="AA63" s="466"/>
      <c r="AB63" s="466"/>
      <c r="AC63" s="465"/>
      <c r="AD63" s="466"/>
      <c r="AG63" s="26"/>
      <c r="AH63" s="24"/>
      <c r="AK63" s="49"/>
      <c r="AL63" s="24"/>
      <c r="AM63" s="26"/>
      <c r="AN63" s="26"/>
      <c r="AP63" s="24"/>
      <c r="AQ63" s="26"/>
      <c r="AR63" s="26"/>
      <c r="AT63" s="24"/>
      <c r="AU63" s="26"/>
      <c r="AV63" s="26"/>
      <c r="AX63" s="24"/>
      <c r="AY63" s="26"/>
      <c r="AZ63" s="26"/>
      <c r="BA63" s="24"/>
      <c r="BB63" s="24"/>
      <c r="BC63" s="25"/>
      <c r="BD63" s="25"/>
      <c r="BF63" s="23"/>
      <c r="BG63" s="23"/>
    </row>
    <row r="64" spans="4:59" ht="23.25">
      <c r="J64" s="24"/>
      <c r="L64" s="586" t="s">
        <v>184</v>
      </c>
      <c r="M64" s="430">
        <v>0</v>
      </c>
      <c r="N64" s="430">
        <v>0</v>
      </c>
      <c r="O64" s="430">
        <v>0</v>
      </c>
      <c r="P64" s="430">
        <v>0</v>
      </c>
      <c r="Q64" s="430">
        <v>0</v>
      </c>
      <c r="R64" s="655">
        <v>0</v>
      </c>
      <c r="S64" s="430"/>
      <c r="T64" s="568">
        <f t="shared" si="37"/>
        <v>0</v>
      </c>
      <c r="U64" s="587">
        <v>32.299999999999997</v>
      </c>
      <c r="V64" s="466"/>
      <c r="W64" s="466"/>
      <c r="X64" s="466"/>
      <c r="Y64" s="465"/>
      <c r="Z64" s="466"/>
      <c r="AA64" s="466"/>
      <c r="AB64" s="466"/>
      <c r="AC64" s="465"/>
      <c r="AD64" s="466"/>
      <c r="AG64" s="26"/>
      <c r="AH64" s="24"/>
      <c r="AK64" s="49"/>
      <c r="AL64" s="24"/>
      <c r="AO64" s="26"/>
      <c r="AP64" s="24"/>
      <c r="AQ64" s="26"/>
      <c r="AR64" s="26"/>
      <c r="AT64" s="24"/>
      <c r="AU64" s="26"/>
      <c r="AV64" s="26"/>
      <c r="AX64" s="24"/>
      <c r="AY64" s="26"/>
      <c r="AZ64" s="26"/>
      <c r="BA64" s="24"/>
      <c r="BB64" s="24"/>
      <c r="BE64" s="25"/>
      <c r="BF64" s="24"/>
      <c r="BG64" s="23"/>
    </row>
    <row r="65" spans="10:59" ht="23.25">
      <c r="J65" s="24"/>
      <c r="L65" s="586" t="s">
        <v>170</v>
      </c>
      <c r="M65" s="430">
        <v>2</v>
      </c>
      <c r="N65" s="430">
        <v>0</v>
      </c>
      <c r="O65" s="430">
        <v>0</v>
      </c>
      <c r="P65" s="430">
        <v>0</v>
      </c>
      <c r="Q65" s="430">
        <v>0</v>
      </c>
      <c r="R65" s="655">
        <v>0</v>
      </c>
      <c r="S65" s="430"/>
      <c r="T65" s="568">
        <f t="shared" si="37"/>
        <v>2</v>
      </c>
      <c r="U65" s="587">
        <v>0</v>
      </c>
      <c r="V65" s="466"/>
      <c r="W65" s="466"/>
      <c r="X65" s="466"/>
      <c r="Y65" s="465"/>
      <c r="Z65" s="466"/>
      <c r="AA65" s="466"/>
      <c r="AB65" s="466"/>
      <c r="AC65" s="465"/>
      <c r="AD65" s="466"/>
      <c r="AG65" s="26"/>
      <c r="AH65" s="24"/>
      <c r="AK65" s="49"/>
      <c r="AL65" s="24"/>
      <c r="AO65" s="26"/>
      <c r="AP65" s="24"/>
      <c r="AQ65" s="26"/>
      <c r="AR65" s="26"/>
      <c r="AT65" s="24"/>
      <c r="AU65" s="26"/>
      <c r="AV65" s="26"/>
      <c r="AX65" s="24"/>
      <c r="AY65" s="26"/>
      <c r="AZ65" s="26"/>
      <c r="BA65" s="24"/>
      <c r="BB65" s="24"/>
      <c r="BE65" s="25"/>
      <c r="BF65" s="24"/>
      <c r="BG65" s="23"/>
    </row>
    <row r="66" spans="10:59" ht="23.25">
      <c r="J66" s="24"/>
      <c r="L66" s="586" t="s">
        <v>171</v>
      </c>
      <c r="M66" s="430">
        <v>0</v>
      </c>
      <c r="N66" s="430">
        <v>0</v>
      </c>
      <c r="O66" s="430">
        <v>0</v>
      </c>
      <c r="P66" s="430">
        <v>0</v>
      </c>
      <c r="Q66" s="430">
        <v>0</v>
      </c>
      <c r="R66" s="655">
        <v>0</v>
      </c>
      <c r="S66" s="430"/>
      <c r="T66" s="568">
        <f t="shared" si="37"/>
        <v>0</v>
      </c>
      <c r="U66" s="587">
        <v>0</v>
      </c>
      <c r="V66" s="466"/>
      <c r="W66" s="466"/>
      <c r="X66" s="466"/>
      <c r="Y66" s="465"/>
      <c r="Z66" s="466"/>
      <c r="AA66" s="466"/>
      <c r="AB66" s="466"/>
      <c r="AC66" s="465"/>
      <c r="AD66" s="466"/>
      <c r="AG66" s="26"/>
      <c r="AH66" s="24"/>
      <c r="AK66" s="49"/>
      <c r="AL66" s="24"/>
      <c r="AO66" s="26"/>
      <c r="AP66" s="24"/>
      <c r="AQ66" s="26"/>
      <c r="AR66" s="26"/>
      <c r="AT66" s="24"/>
      <c r="AU66" s="26"/>
      <c r="AV66" s="26"/>
      <c r="AX66" s="24"/>
      <c r="AY66" s="26"/>
      <c r="AZ66" s="26"/>
      <c r="BA66" s="24"/>
      <c r="BB66" s="24"/>
      <c r="BE66" s="25"/>
      <c r="BF66" s="24"/>
      <c r="BG66" s="23"/>
    </row>
    <row r="67" spans="10:59" ht="23.25">
      <c r="J67" s="24"/>
      <c r="L67" s="586" t="s">
        <v>190</v>
      </c>
      <c r="M67" s="430">
        <v>0</v>
      </c>
      <c r="N67" s="430">
        <v>0</v>
      </c>
      <c r="O67" s="430">
        <v>0</v>
      </c>
      <c r="P67" s="430">
        <v>0</v>
      </c>
      <c r="Q67" s="430">
        <v>0</v>
      </c>
      <c r="R67" s="655">
        <v>0</v>
      </c>
      <c r="S67" s="430"/>
      <c r="T67" s="568">
        <f t="shared" si="37"/>
        <v>0</v>
      </c>
      <c r="U67" s="587">
        <v>0</v>
      </c>
      <c r="V67" s="466"/>
      <c r="W67" s="466"/>
      <c r="X67" s="466"/>
      <c r="Y67" s="465"/>
      <c r="Z67" s="466"/>
      <c r="AA67" s="466"/>
      <c r="AB67" s="466"/>
      <c r="AC67" s="465"/>
      <c r="AD67" s="466"/>
      <c r="AG67" s="26"/>
      <c r="AH67" s="24"/>
      <c r="AK67" s="49"/>
      <c r="AL67" s="24"/>
      <c r="AO67" s="26"/>
      <c r="AP67" s="24"/>
      <c r="AQ67" s="26"/>
      <c r="AR67" s="26"/>
      <c r="AT67" s="24"/>
      <c r="AU67" s="26"/>
      <c r="AV67" s="26"/>
      <c r="AX67" s="24"/>
      <c r="AY67" s="26"/>
      <c r="AZ67" s="26"/>
      <c r="BA67" s="24"/>
      <c r="BB67" s="24"/>
      <c r="BE67" s="25"/>
      <c r="BF67" s="24"/>
      <c r="BG67" s="23"/>
    </row>
    <row r="68" spans="10:59" ht="23.25">
      <c r="J68" s="24"/>
      <c r="L68" s="586" t="s">
        <v>185</v>
      </c>
      <c r="M68" s="430">
        <v>2</v>
      </c>
      <c r="N68" s="430">
        <v>0</v>
      </c>
      <c r="O68" s="430">
        <v>0</v>
      </c>
      <c r="P68" s="430">
        <v>20</v>
      </c>
      <c r="Q68" s="430">
        <v>0</v>
      </c>
      <c r="R68" s="655">
        <v>0</v>
      </c>
      <c r="S68" s="430"/>
      <c r="T68" s="568">
        <f t="shared" si="37"/>
        <v>22</v>
      </c>
      <c r="U68" s="587">
        <v>0</v>
      </c>
      <c r="V68" s="466"/>
      <c r="W68" s="466"/>
      <c r="X68" s="466"/>
      <c r="Y68" s="465"/>
      <c r="Z68" s="466"/>
      <c r="AA68" s="466"/>
      <c r="AB68" s="466"/>
      <c r="AC68" s="465"/>
      <c r="AD68" s="466"/>
      <c r="AG68" s="26"/>
      <c r="AH68" s="24"/>
      <c r="AK68" s="49"/>
      <c r="AL68" s="24"/>
      <c r="AO68" s="26"/>
      <c r="AP68" s="24"/>
      <c r="AQ68" s="26"/>
      <c r="AR68" s="26"/>
      <c r="AT68" s="24"/>
      <c r="AU68" s="26"/>
      <c r="AV68" s="26"/>
      <c r="AX68" s="24"/>
      <c r="AY68" s="26"/>
      <c r="AZ68" s="26"/>
      <c r="BA68" s="24"/>
      <c r="BB68" s="24"/>
      <c r="BE68" s="25"/>
      <c r="BF68" s="24"/>
      <c r="BG68" s="23"/>
    </row>
    <row r="69" spans="10:59" ht="23.25">
      <c r="L69" s="586" t="s">
        <v>202</v>
      </c>
      <c r="M69" s="430">
        <v>7.35</v>
      </c>
      <c r="N69" s="430">
        <v>0</v>
      </c>
      <c r="O69" s="430">
        <v>0</v>
      </c>
      <c r="P69" s="430">
        <v>0</v>
      </c>
      <c r="Q69" s="430">
        <v>0</v>
      </c>
      <c r="R69" s="655">
        <v>0</v>
      </c>
      <c r="S69" s="430"/>
      <c r="T69" s="568">
        <f t="shared" si="37"/>
        <v>7.35</v>
      </c>
      <c r="U69" s="587">
        <v>0</v>
      </c>
      <c r="V69" s="466"/>
      <c r="W69" s="466"/>
      <c r="X69" s="466"/>
      <c r="Y69" s="465"/>
      <c r="Z69" s="466"/>
      <c r="AA69" s="466"/>
      <c r="AB69" s="466"/>
      <c r="AC69" s="465"/>
      <c r="AD69" s="466"/>
      <c r="AG69" s="26"/>
      <c r="AH69" s="24"/>
      <c r="AK69" s="49"/>
      <c r="AL69" s="24"/>
      <c r="AO69" s="26"/>
      <c r="AP69" s="24"/>
      <c r="AQ69" s="26"/>
      <c r="AR69" s="26"/>
      <c r="AT69" s="24"/>
      <c r="AU69" s="26"/>
      <c r="AV69" s="26"/>
      <c r="AX69" s="24"/>
      <c r="AY69" s="26"/>
      <c r="AZ69" s="26"/>
      <c r="BA69" s="24"/>
      <c r="BB69" s="24"/>
      <c r="BE69" s="25"/>
      <c r="BF69" s="24"/>
      <c r="BG69" s="23"/>
    </row>
    <row r="70" spans="10:59" ht="23.25">
      <c r="L70" s="586" t="s">
        <v>186</v>
      </c>
      <c r="M70" s="430">
        <v>0</v>
      </c>
      <c r="N70" s="430">
        <v>2</v>
      </c>
      <c r="O70" s="430">
        <v>0</v>
      </c>
      <c r="P70" s="430">
        <v>0</v>
      </c>
      <c r="Q70" s="430">
        <v>0</v>
      </c>
      <c r="R70" s="655">
        <v>0</v>
      </c>
      <c r="S70" s="430"/>
      <c r="T70" s="568">
        <f t="shared" si="37"/>
        <v>2</v>
      </c>
      <c r="U70" s="587">
        <v>0</v>
      </c>
      <c r="V70" s="466"/>
      <c r="W70" s="466"/>
      <c r="X70" s="466"/>
      <c r="Y70" s="465"/>
      <c r="Z70" s="466"/>
      <c r="AA70" s="466"/>
      <c r="AB70" s="466"/>
      <c r="AC70" s="465"/>
      <c r="AD70" s="466"/>
      <c r="AG70" s="26"/>
      <c r="AH70" s="24"/>
      <c r="AK70" s="49"/>
      <c r="AL70" s="24"/>
      <c r="AM70" s="26"/>
      <c r="AN70" s="26"/>
      <c r="AY70" s="24"/>
      <c r="AZ70" s="24"/>
      <c r="BA70" s="24"/>
      <c r="BB70" s="24"/>
      <c r="BC70" s="25"/>
      <c r="BD70" s="25"/>
      <c r="BF70" s="23"/>
      <c r="BG70" s="23"/>
    </row>
    <row r="71" spans="10:59" ht="23.25">
      <c r="L71" s="586" t="s">
        <v>203</v>
      </c>
      <c r="M71" s="430">
        <v>0</v>
      </c>
      <c r="N71" s="430">
        <v>0</v>
      </c>
      <c r="O71" s="430">
        <v>0</v>
      </c>
      <c r="P71" s="430">
        <v>0</v>
      </c>
      <c r="Q71" s="430">
        <v>0</v>
      </c>
      <c r="R71" s="655">
        <v>0</v>
      </c>
      <c r="S71" s="430"/>
      <c r="T71" s="568">
        <f t="shared" si="37"/>
        <v>0</v>
      </c>
      <c r="U71" s="587">
        <v>0</v>
      </c>
      <c r="V71" s="466"/>
      <c r="W71" s="466"/>
      <c r="X71" s="466"/>
      <c r="Y71" s="465"/>
      <c r="Z71" s="466"/>
      <c r="AA71" s="466"/>
      <c r="AB71" s="466"/>
      <c r="AC71" s="465"/>
      <c r="AD71" s="466"/>
      <c r="AG71" s="26"/>
      <c r="AH71" s="24"/>
      <c r="AK71" s="49"/>
      <c r="AL71" s="24"/>
      <c r="AM71" s="26"/>
      <c r="AN71" s="26"/>
      <c r="AY71" s="24"/>
      <c r="AZ71" s="24"/>
      <c r="BA71" s="24"/>
      <c r="BB71" s="24"/>
      <c r="BC71" s="25"/>
      <c r="BD71" s="25"/>
      <c r="BF71" s="23"/>
      <c r="BG71" s="23"/>
    </row>
    <row r="72" spans="10:59" ht="24" thickBot="1">
      <c r="L72" s="588" t="s">
        <v>191</v>
      </c>
      <c r="M72" s="589">
        <f>SUM(M62:M71)</f>
        <v>38.35</v>
      </c>
      <c r="N72" s="589">
        <f t="shared" ref="N72:S72" si="38">SUM(N62:N71)</f>
        <v>2.21</v>
      </c>
      <c r="O72" s="589">
        <f t="shared" si="38"/>
        <v>0</v>
      </c>
      <c r="P72" s="589">
        <f t="shared" si="38"/>
        <v>21</v>
      </c>
      <c r="Q72" s="589">
        <f t="shared" si="38"/>
        <v>0</v>
      </c>
      <c r="R72" s="589">
        <f t="shared" si="38"/>
        <v>0</v>
      </c>
      <c r="S72" s="589">
        <f t="shared" si="38"/>
        <v>0</v>
      </c>
      <c r="T72" s="630">
        <f>SUM(T62:T71)</f>
        <v>61.56</v>
      </c>
      <c r="U72" s="631">
        <f>SUM(U62:U71)</f>
        <v>41.3</v>
      </c>
      <c r="V72" s="466"/>
      <c r="W72" s="466"/>
      <c r="X72" s="466"/>
      <c r="Y72" s="465"/>
      <c r="Z72" s="466"/>
      <c r="AA72" s="466"/>
      <c r="AB72" s="466"/>
      <c r="AC72" s="465"/>
      <c r="AD72" s="466"/>
      <c r="AG72" s="26"/>
      <c r="AH72" s="24"/>
      <c r="AK72" s="49"/>
      <c r="AL72" s="24"/>
      <c r="AM72" s="26"/>
      <c r="AN72" s="26"/>
      <c r="AY72" s="24"/>
      <c r="AZ72" s="24"/>
      <c r="BA72" s="24"/>
      <c r="BB72" s="24"/>
      <c r="BC72" s="25"/>
      <c r="BD72" s="25"/>
      <c r="BF72" s="23"/>
      <c r="BG72" s="23"/>
    </row>
    <row r="73" spans="10:59" ht="30" customHeight="1" thickBot="1">
      <c r="L73" s="1932" t="s">
        <v>221</v>
      </c>
      <c r="M73" s="1932"/>
      <c r="N73" s="1932"/>
      <c r="O73" s="1932"/>
      <c r="P73" s="1932"/>
      <c r="Q73" s="1932"/>
      <c r="R73" s="1932"/>
      <c r="S73" s="1932"/>
      <c r="T73" s="1933">
        <f>T72+U72</f>
        <v>102.86</v>
      </c>
      <c r="U73" s="1934"/>
      <c r="V73" s="466"/>
      <c r="W73" s="466"/>
      <c r="X73" s="466"/>
      <c r="Y73" s="465"/>
      <c r="Z73" s="466"/>
      <c r="AA73" s="466"/>
      <c r="AB73" s="466"/>
      <c r="AC73" s="465"/>
      <c r="AD73" s="466"/>
      <c r="AG73" s="26"/>
      <c r="AH73" s="24"/>
      <c r="AK73" s="49"/>
      <c r="AL73" s="24"/>
      <c r="AM73" s="26"/>
      <c r="AN73" s="26"/>
      <c r="AY73" s="24"/>
      <c r="AZ73" s="24"/>
      <c r="BA73" s="24"/>
      <c r="BB73" s="24"/>
      <c r="BC73" s="25"/>
      <c r="BD73" s="25"/>
      <c r="BF73" s="23"/>
      <c r="BG73" s="23"/>
    </row>
    <row r="74" spans="10:59" ht="27" customHeight="1">
      <c r="L74" s="966"/>
      <c r="M74" s="966"/>
      <c r="N74" s="966"/>
      <c r="O74" s="1922" t="s">
        <v>235</v>
      </c>
      <c r="P74" s="1922"/>
      <c r="Q74" s="1922"/>
      <c r="R74" s="1922"/>
      <c r="S74" s="1922"/>
      <c r="T74" s="1920">
        <f>M72+U72</f>
        <v>79.650000000000006</v>
      </c>
      <c r="U74" s="1921"/>
      <c r="V74" s="466"/>
      <c r="W74" s="466"/>
      <c r="X74" s="466"/>
      <c r="Y74" s="465"/>
      <c r="Z74" s="466"/>
      <c r="AA74" s="466"/>
      <c r="AB74" s="466"/>
      <c r="AC74" s="465"/>
      <c r="AD74" s="466"/>
      <c r="AG74" s="26"/>
      <c r="AH74" s="24"/>
      <c r="AK74" s="49"/>
      <c r="AL74" s="24"/>
      <c r="AM74" s="26"/>
      <c r="AN74" s="26"/>
      <c r="AP74" s="24"/>
      <c r="AQ74" s="26"/>
      <c r="AR74" s="26"/>
      <c r="AT74" s="24"/>
      <c r="AU74" s="26"/>
      <c r="AV74" s="26"/>
      <c r="AW74" s="50"/>
      <c r="AX74" s="50"/>
      <c r="AY74" s="26"/>
      <c r="AZ74" s="26"/>
      <c r="BA74" s="24"/>
      <c r="BB74" s="24"/>
      <c r="BC74" s="25"/>
      <c r="BD74" s="25"/>
      <c r="BF74" s="23"/>
      <c r="BG74" s="23"/>
    </row>
    <row r="75" spans="10:59">
      <c r="L75" s="26"/>
      <c r="M75" s="26"/>
      <c r="N75" s="24"/>
      <c r="P75" s="26"/>
      <c r="Q75" s="26"/>
      <c r="R75" s="24"/>
      <c r="T75" s="26"/>
      <c r="U75" s="26"/>
      <c r="V75" s="24"/>
      <c r="W75" s="466"/>
      <c r="X75" s="466"/>
      <c r="Y75" s="466"/>
      <c r="Z75" s="465"/>
      <c r="AA75" s="466"/>
      <c r="AB75" s="466"/>
      <c r="AC75" s="466"/>
      <c r="AD75" s="465"/>
      <c r="AE75" s="466"/>
      <c r="AN75" s="26"/>
      <c r="AO75" s="26"/>
      <c r="AP75" s="24"/>
      <c r="AR75" s="26"/>
      <c r="AS75" s="26"/>
      <c r="AT75" s="24"/>
      <c r="AV75" s="26"/>
      <c r="AW75" s="26"/>
      <c r="AX75" s="50"/>
      <c r="AZ75" s="26"/>
      <c r="BA75" s="26"/>
      <c r="BB75" s="24"/>
      <c r="BD75" s="25"/>
      <c r="BE75" s="25"/>
      <c r="BF75" s="24"/>
      <c r="BG75" s="23"/>
    </row>
    <row r="76" spans="10:59">
      <c r="L76" s="26"/>
      <c r="M76" s="26"/>
      <c r="N76" s="24"/>
      <c r="P76" s="26"/>
      <c r="Q76" s="26"/>
      <c r="R76" s="24"/>
      <c r="T76" s="26"/>
      <c r="U76" s="26"/>
      <c r="V76" s="24"/>
      <c r="W76" s="466"/>
      <c r="X76" s="466"/>
      <c r="Y76" s="466"/>
      <c r="Z76" s="465"/>
      <c r="AA76" s="466"/>
      <c r="AB76" s="466"/>
      <c r="AC76" s="466"/>
      <c r="AD76" s="465"/>
      <c r="AE76" s="466"/>
      <c r="AN76" s="26"/>
      <c r="AO76" s="26"/>
      <c r="AP76" s="24"/>
      <c r="AR76" s="26"/>
      <c r="AS76" s="26"/>
      <c r="AT76" s="24"/>
      <c r="AV76" s="26"/>
      <c r="AW76" s="26"/>
      <c r="AX76" s="50"/>
      <c r="AZ76" s="26"/>
      <c r="BA76" s="26"/>
      <c r="BB76" s="24"/>
      <c r="BD76" s="25"/>
      <c r="BE76" s="25"/>
      <c r="BF76" s="24"/>
      <c r="BG76" s="23"/>
    </row>
    <row r="77" spans="10:59">
      <c r="L77" s="26"/>
      <c r="M77" s="26"/>
      <c r="N77" s="24"/>
      <c r="P77" s="26"/>
      <c r="Q77" s="26"/>
      <c r="R77" s="24"/>
      <c r="T77" s="26"/>
      <c r="U77" s="26"/>
      <c r="V77" s="24"/>
      <c r="W77" s="466"/>
      <c r="X77" s="466"/>
      <c r="Y77" s="466"/>
      <c r="Z77" s="465"/>
      <c r="AA77" s="466"/>
      <c r="AB77" s="466"/>
      <c r="AC77" s="466"/>
      <c r="AD77" s="465"/>
      <c r="AE77" s="466"/>
      <c r="AN77" s="26"/>
      <c r="AO77" s="26"/>
      <c r="AP77" s="24"/>
      <c r="AR77" s="26"/>
      <c r="AS77" s="26"/>
      <c r="AT77" s="24"/>
      <c r="AV77" s="26"/>
      <c r="AW77" s="26"/>
      <c r="AX77" s="50"/>
      <c r="AZ77" s="26"/>
      <c r="BA77" s="26"/>
      <c r="BB77" s="24"/>
      <c r="BD77" s="25"/>
      <c r="BE77" s="25"/>
      <c r="BF77" s="24"/>
      <c r="BG77" s="23"/>
    </row>
    <row r="78" spans="10:59">
      <c r="L78" s="26"/>
      <c r="M78" s="26"/>
      <c r="N78" s="24"/>
      <c r="P78" s="26"/>
      <c r="Q78" s="26"/>
      <c r="R78" s="24"/>
      <c r="T78" s="26"/>
      <c r="U78" s="26"/>
      <c r="V78" s="24"/>
      <c r="W78" s="466"/>
      <c r="X78" s="466"/>
      <c r="Y78" s="466"/>
      <c r="Z78" s="465"/>
      <c r="AA78" s="466"/>
      <c r="AB78" s="466"/>
      <c r="AC78" s="466"/>
      <c r="AD78" s="465"/>
      <c r="AE78" s="466"/>
      <c r="AN78" s="26"/>
      <c r="AO78" s="26"/>
      <c r="AP78" s="24"/>
      <c r="AR78" s="26"/>
      <c r="AS78" s="26"/>
      <c r="AT78" s="24"/>
      <c r="AV78" s="26"/>
      <c r="AW78" s="26"/>
      <c r="AX78" s="50"/>
      <c r="AZ78" s="26"/>
      <c r="BA78" s="26"/>
      <c r="BB78" s="24"/>
      <c r="BD78" s="25"/>
      <c r="BE78" s="25"/>
      <c r="BF78" s="24"/>
      <c r="BG78" s="23"/>
    </row>
    <row r="79" spans="10:59">
      <c r="L79" s="26"/>
      <c r="M79" s="26"/>
      <c r="N79" s="24"/>
      <c r="P79" s="26"/>
      <c r="Q79" s="26"/>
      <c r="R79" s="24"/>
      <c r="T79" s="26"/>
      <c r="U79" s="26"/>
      <c r="V79" s="24"/>
      <c r="X79" s="26"/>
      <c r="Y79" s="26"/>
      <c r="Z79" s="24"/>
      <c r="AB79" s="26"/>
      <c r="AC79" s="26"/>
      <c r="AD79" s="24"/>
      <c r="AF79" s="26"/>
      <c r="AG79" s="26"/>
      <c r="AH79" s="24"/>
      <c r="AJ79" s="49"/>
      <c r="AK79" s="49"/>
      <c r="AL79" s="24"/>
      <c r="AN79" s="26"/>
      <c r="AO79" s="26"/>
      <c r="AP79" s="24"/>
      <c r="AR79" s="26"/>
      <c r="AS79" s="26"/>
      <c r="AT79" s="24"/>
      <c r="AV79" s="26"/>
      <c r="AW79" s="26"/>
      <c r="AX79" s="50"/>
      <c r="AZ79" s="26"/>
      <c r="BA79" s="26"/>
      <c r="BB79" s="24"/>
      <c r="BD79" s="25"/>
      <c r="BE79" s="25"/>
      <c r="BF79" s="24"/>
      <c r="BG79" s="23"/>
    </row>
    <row r="80" spans="10:59">
      <c r="L80" s="26"/>
      <c r="M80" s="26"/>
      <c r="N80" s="24"/>
      <c r="P80" s="26"/>
      <c r="Q80" s="26"/>
      <c r="R80" s="24"/>
      <c r="T80" s="26"/>
      <c r="U80" s="26"/>
      <c r="V80" s="24"/>
      <c r="X80" s="26"/>
      <c r="Y80" s="26"/>
      <c r="Z80" s="24"/>
      <c r="AB80" s="26"/>
      <c r="AC80" s="26"/>
      <c r="AD80" s="24"/>
      <c r="AF80" s="26"/>
      <c r="AG80" s="26"/>
      <c r="AH80" s="24"/>
      <c r="AJ80" s="49"/>
      <c r="AK80" s="49"/>
      <c r="AL80" s="24"/>
      <c r="AN80" s="26"/>
      <c r="AO80" s="26"/>
      <c r="AP80" s="24"/>
      <c r="AR80" s="26"/>
      <c r="AS80" s="26"/>
      <c r="AT80" s="24"/>
      <c r="AV80" s="26"/>
      <c r="AW80" s="26"/>
      <c r="AX80" s="50"/>
      <c r="AZ80" s="26"/>
      <c r="BA80" s="26"/>
      <c r="BB80" s="24"/>
      <c r="BD80" s="25"/>
      <c r="BE80" s="25"/>
      <c r="BF80" s="24"/>
      <c r="BG80" s="23"/>
    </row>
  </sheetData>
  <mergeCells count="62">
    <mergeCell ref="L60:U60"/>
    <mergeCell ref="L73:S73"/>
    <mergeCell ref="T73:U73"/>
    <mergeCell ref="O74:S74"/>
    <mergeCell ref="T74:U74"/>
    <mergeCell ref="H26:I26"/>
    <mergeCell ref="V31:AD31"/>
    <mergeCell ref="AD59:AE59"/>
    <mergeCell ref="H10:I10"/>
    <mergeCell ref="C15:C24"/>
    <mergeCell ref="H15:H23"/>
    <mergeCell ref="H24:I24"/>
    <mergeCell ref="D13:F13"/>
    <mergeCell ref="H13:I14"/>
    <mergeCell ref="C14:D14"/>
    <mergeCell ref="L31:S31"/>
    <mergeCell ref="L45:T45"/>
    <mergeCell ref="V45:AE45"/>
    <mergeCell ref="H12:BI12"/>
    <mergeCell ref="J13:M13"/>
    <mergeCell ref="N13:Q13"/>
    <mergeCell ref="C2:F2"/>
    <mergeCell ref="H2:K2"/>
    <mergeCell ref="N2:AZ2"/>
    <mergeCell ref="C6:C9"/>
    <mergeCell ref="H6:H9"/>
    <mergeCell ref="D4:F4"/>
    <mergeCell ref="H4:I5"/>
    <mergeCell ref="C5:D5"/>
    <mergeCell ref="BB2:BI2"/>
    <mergeCell ref="H3:BI3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R13:U13"/>
    <mergeCell ref="V13:Y13"/>
    <mergeCell ref="Z13:AC13"/>
    <mergeCell ref="AD13:AG13"/>
    <mergeCell ref="AH13:AK13"/>
    <mergeCell ref="BC27:BC28"/>
    <mergeCell ref="BH27:BI27"/>
    <mergeCell ref="AL13:AO13"/>
    <mergeCell ref="AP13:AS13"/>
    <mergeCell ref="AT13:AW13"/>
    <mergeCell ref="AX13:BA13"/>
    <mergeCell ref="BB13:BE13"/>
    <mergeCell ref="BF13:BI13"/>
    <mergeCell ref="O58:R58"/>
    <mergeCell ref="S58:T58"/>
    <mergeCell ref="V58:AC58"/>
    <mergeCell ref="AD58:AE58"/>
    <mergeCell ref="Y59:AC59"/>
  </mergeCells>
  <conditionalFormatting sqref="M47:R56 M62:S71">
    <cfRule type="cellIs" dxfId="49" priority="1" operator="equal">
      <formula>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BU214"/>
  <sheetViews>
    <sheetView showGridLines="0" topLeftCell="AN1" zoomScale="85" zoomScaleNormal="85" workbookViewId="0">
      <selection activeCell="AV22" sqref="AV22"/>
    </sheetView>
  </sheetViews>
  <sheetFormatPr defaultColWidth="9.140625" defaultRowHeight="15.75"/>
  <cols>
    <col min="1" max="1" width="4.85546875" style="2" customWidth="1"/>
    <col min="2" max="2" width="15.28515625" style="1" bestFit="1" customWidth="1"/>
    <col min="3" max="3" width="5.140625" style="2" bestFit="1" customWidth="1"/>
    <col min="4" max="4" width="6.5703125" style="52" bestFit="1" customWidth="1"/>
    <col min="5" max="5" width="10.140625" style="52" bestFit="1" customWidth="1"/>
    <col min="6" max="6" width="7.85546875" style="52" bestFit="1" customWidth="1"/>
    <col min="7" max="7" width="5.140625" style="52" bestFit="1" customWidth="1"/>
    <col min="8" max="8" width="6.5703125" style="52" bestFit="1" customWidth="1"/>
    <col min="9" max="9" width="10.140625" style="2" bestFit="1" customWidth="1"/>
    <col min="10" max="10" width="7.85546875" style="2" bestFit="1" customWidth="1"/>
    <col min="11" max="11" width="5.140625" style="2" bestFit="1" customWidth="1"/>
    <col min="12" max="12" width="6.5703125" style="52" bestFit="1" customWidth="1"/>
    <col min="13" max="13" width="10.140625" style="52" bestFit="1" customWidth="1"/>
    <col min="14" max="14" width="7.85546875" style="52" bestFit="1" customWidth="1"/>
    <col min="15" max="15" width="5.140625" style="2" bestFit="1" customWidth="1"/>
    <col min="16" max="16" width="6.5703125" style="52" bestFit="1" customWidth="1"/>
    <col min="17" max="17" width="10.140625" style="52" bestFit="1" customWidth="1"/>
    <col min="18" max="18" width="7.85546875" style="52" bestFit="1" customWidth="1"/>
    <col min="19" max="19" width="5.140625" style="2" bestFit="1" customWidth="1"/>
    <col min="20" max="20" width="6.5703125" style="52" bestFit="1" customWidth="1"/>
    <col min="21" max="21" width="10.140625" style="52" bestFit="1" customWidth="1"/>
    <col min="22" max="22" width="7.85546875" style="52" bestFit="1" customWidth="1"/>
    <col min="23" max="23" width="5.140625" style="2" bestFit="1" customWidth="1"/>
    <col min="24" max="24" width="6.5703125" style="52" customWidth="1"/>
    <col min="25" max="25" width="10.140625" style="52" customWidth="1"/>
    <col min="26" max="26" width="7.85546875" style="52" customWidth="1"/>
    <col min="27" max="27" width="4.85546875" style="2" customWidth="1"/>
    <col min="28" max="28" width="6.5703125" style="52" customWidth="1"/>
    <col min="29" max="29" width="10.140625" style="52" customWidth="1"/>
    <col min="30" max="30" width="7.85546875" style="52" customWidth="1"/>
    <col min="31" max="31" width="4.85546875" style="2" customWidth="1"/>
    <col min="32" max="32" width="6.5703125" style="52" customWidth="1"/>
    <col min="33" max="33" width="10.140625" style="52" customWidth="1"/>
    <col min="34" max="34" width="7.85546875" style="52" customWidth="1"/>
    <col min="35" max="35" width="4.85546875" style="2" customWidth="1"/>
    <col min="36" max="36" width="6.5703125" style="52" customWidth="1"/>
    <col min="37" max="37" width="10.140625" style="52" customWidth="1"/>
    <col min="38" max="38" width="7.85546875" style="52" customWidth="1"/>
    <col min="39" max="39" width="4.85546875" style="2" customWidth="1"/>
    <col min="40" max="40" width="6.5703125" style="2" customWidth="1"/>
    <col min="41" max="41" width="10.140625" style="2" customWidth="1"/>
    <col min="42" max="42" width="7.85546875" style="2" customWidth="1"/>
    <col min="43" max="43" width="9.42578125" style="343" bestFit="1" customWidth="1"/>
    <col min="44" max="44" width="9.42578125" style="344" bestFit="1" customWidth="1"/>
    <col min="45" max="45" width="11" style="344" bestFit="1" customWidth="1"/>
    <col min="46" max="46" width="8.42578125" style="344" bestFit="1" customWidth="1"/>
    <col min="47" max="47" width="6.5703125" style="2" customWidth="1"/>
    <col min="48" max="48" width="7" style="2" customWidth="1"/>
    <col min="49" max="49" width="5.5703125" style="2" customWidth="1"/>
    <col min="50" max="50" width="16.28515625" style="1" customWidth="1"/>
    <col min="51" max="51" width="8.42578125" style="1" hidden="1" customWidth="1"/>
    <col min="52" max="52" width="8.5703125" style="2" hidden="1" customWidth="1"/>
    <col min="53" max="53" width="6.7109375" style="2" hidden="1" customWidth="1"/>
    <col min="54" max="54" width="9.5703125" style="2" hidden="1" customWidth="1"/>
    <col min="55" max="55" width="6" style="2" hidden="1" customWidth="1"/>
    <col min="56" max="56" width="5.5703125" style="3" hidden="1" customWidth="1"/>
    <col min="57" max="57" width="10" style="3" hidden="1" customWidth="1"/>
    <col min="58" max="61" width="6.7109375" style="3" customWidth="1"/>
    <col min="62" max="62" width="10.85546875" style="3" customWidth="1"/>
    <col min="63" max="63" width="11" style="4" customWidth="1"/>
    <col min="64" max="64" width="14.7109375" style="4" customWidth="1"/>
    <col min="65" max="65" width="9.140625" style="4" customWidth="1"/>
    <col min="66" max="66" width="8.85546875" style="2" customWidth="1"/>
    <col min="67" max="67" width="6.5703125" style="4" customWidth="1"/>
    <col min="68" max="68" width="7.85546875" style="4" customWidth="1"/>
    <col min="69" max="69" width="7" style="4" hidden="1" customWidth="1"/>
    <col min="70" max="70" width="11.28515625" style="2" bestFit="1" customWidth="1"/>
    <col min="71" max="16384" width="9.140625" style="4"/>
  </cols>
  <sheetData>
    <row r="1" spans="2:73" ht="16.5" thickBot="1"/>
    <row r="2" spans="2:73" ht="24" thickBot="1">
      <c r="B2" s="1588" t="s">
        <v>275</v>
      </c>
      <c r="C2" s="1589"/>
      <c r="D2" s="1589"/>
      <c r="E2" s="1589"/>
      <c r="F2" s="1589"/>
      <c r="G2" s="1590"/>
      <c r="H2" s="1590"/>
      <c r="I2" s="1590"/>
      <c r="J2" s="1590"/>
      <c r="K2" s="1590"/>
      <c r="L2" s="1590"/>
      <c r="M2" s="1590"/>
      <c r="N2" s="1590"/>
      <c r="O2" s="1590"/>
      <c r="P2" s="1590"/>
      <c r="Q2" s="1590"/>
      <c r="R2" s="1590"/>
      <c r="S2" s="1590"/>
      <c r="T2" s="1590"/>
      <c r="U2" s="1590"/>
      <c r="V2" s="1590"/>
      <c r="W2" s="1590"/>
      <c r="X2" s="1590"/>
      <c r="Y2" s="1590"/>
      <c r="Z2" s="1590"/>
      <c r="AA2" s="1590"/>
      <c r="AB2" s="1590"/>
      <c r="AC2" s="1590"/>
      <c r="AD2" s="1590"/>
      <c r="AE2" s="1590"/>
      <c r="AF2" s="1590"/>
      <c r="AG2" s="1590"/>
      <c r="AH2" s="1590"/>
      <c r="AI2" s="1590"/>
      <c r="AJ2" s="1590"/>
      <c r="AK2" s="1590"/>
      <c r="AL2" s="1590"/>
      <c r="AM2" s="1590"/>
      <c r="AN2" s="1590"/>
      <c r="AO2" s="1590"/>
      <c r="AP2" s="1590"/>
      <c r="AQ2" s="1590"/>
      <c r="AR2" s="1590"/>
      <c r="AS2" s="679"/>
      <c r="AT2" s="679"/>
      <c r="AU2" s="679"/>
      <c r="AV2" s="680"/>
      <c r="AW2" s="5"/>
      <c r="AX2" s="1512" t="s">
        <v>385</v>
      </c>
      <c r="AY2" s="1513"/>
      <c r="AZ2" s="1513"/>
      <c r="BA2" s="1513"/>
      <c r="BB2" s="1513"/>
      <c r="BC2" s="1513"/>
      <c r="BD2" s="1513"/>
      <c r="BE2" s="1513"/>
      <c r="BF2" s="1513"/>
      <c r="BG2" s="1513"/>
      <c r="BH2" s="1513"/>
      <c r="BI2" s="1513"/>
      <c r="BJ2" s="1513"/>
      <c r="BK2" s="1513"/>
      <c r="BL2" s="1514"/>
    </row>
    <row r="3" spans="2:73" ht="21.75" customHeight="1" thickBot="1">
      <c r="B3" s="1603" t="s">
        <v>0</v>
      </c>
      <c r="C3" s="1591" t="s">
        <v>209</v>
      </c>
      <c r="D3" s="1592"/>
      <c r="E3" s="1592"/>
      <c r="F3" s="1593"/>
      <c r="G3" s="1591" t="s">
        <v>65</v>
      </c>
      <c r="H3" s="1592"/>
      <c r="I3" s="1592"/>
      <c r="J3" s="1593"/>
      <c r="K3" s="1591" t="s">
        <v>57</v>
      </c>
      <c r="L3" s="1592"/>
      <c r="M3" s="1592"/>
      <c r="N3" s="1593"/>
      <c r="O3" s="1591" t="s">
        <v>58</v>
      </c>
      <c r="P3" s="1592"/>
      <c r="Q3" s="1592"/>
      <c r="R3" s="1593"/>
      <c r="S3" s="1591" t="s">
        <v>341</v>
      </c>
      <c r="T3" s="1592"/>
      <c r="U3" s="1592"/>
      <c r="V3" s="1593"/>
      <c r="W3" s="1591" t="s">
        <v>60</v>
      </c>
      <c r="X3" s="1592"/>
      <c r="Y3" s="1592"/>
      <c r="Z3" s="1593"/>
      <c r="AA3" s="1591" t="s">
        <v>68</v>
      </c>
      <c r="AB3" s="1592"/>
      <c r="AC3" s="1592"/>
      <c r="AD3" s="1593"/>
      <c r="AE3" s="1591" t="s">
        <v>69</v>
      </c>
      <c r="AF3" s="1592"/>
      <c r="AG3" s="1592"/>
      <c r="AH3" s="1593"/>
      <c r="AI3" s="1591" t="s">
        <v>70</v>
      </c>
      <c r="AJ3" s="1592"/>
      <c r="AK3" s="1592"/>
      <c r="AL3" s="1593"/>
      <c r="AM3" s="1591" t="s">
        <v>71</v>
      </c>
      <c r="AN3" s="1592"/>
      <c r="AO3" s="1592"/>
      <c r="AP3" s="1593"/>
      <c r="AQ3" s="1594" t="s">
        <v>236</v>
      </c>
      <c r="AR3" s="1595"/>
      <c r="AS3" s="1595"/>
      <c r="AT3" s="1596"/>
      <c r="AU3" s="1607" t="s">
        <v>255</v>
      </c>
      <c r="AV3" s="1609" t="s">
        <v>256</v>
      </c>
      <c r="AW3" s="730"/>
      <c r="AX3" s="1586" t="s">
        <v>0</v>
      </c>
      <c r="AY3" s="1481" t="s">
        <v>57</v>
      </c>
      <c r="AZ3" s="1515" t="s">
        <v>58</v>
      </c>
      <c r="BA3" s="1515" t="s">
        <v>59</v>
      </c>
      <c r="BB3" s="1515" t="s">
        <v>60</v>
      </c>
      <c r="BC3" s="1515" t="s">
        <v>68</v>
      </c>
      <c r="BD3" s="1482" t="s">
        <v>69</v>
      </c>
      <c r="BE3" s="1605" t="s">
        <v>376</v>
      </c>
      <c r="BF3" s="1481" t="s">
        <v>71</v>
      </c>
      <c r="BG3" s="1515" t="s">
        <v>72</v>
      </c>
      <c r="BH3" s="1515" t="s">
        <v>73</v>
      </c>
      <c r="BI3" s="1482" t="s">
        <v>74</v>
      </c>
      <c r="BJ3" s="1605" t="s">
        <v>377</v>
      </c>
      <c r="BK3" s="1599" t="s">
        <v>306</v>
      </c>
      <c r="BL3" s="1601" t="s">
        <v>207</v>
      </c>
      <c r="BM3" s="1597" t="s">
        <v>371</v>
      </c>
      <c r="BN3" s="1597"/>
      <c r="BO3" s="1597"/>
      <c r="BP3" s="1598"/>
    </row>
    <row r="4" spans="2:73" ht="38.25" customHeight="1" thickBot="1">
      <c r="B4" s="1604"/>
      <c r="C4" s="740" t="s">
        <v>1</v>
      </c>
      <c r="D4" s="53" t="s">
        <v>2</v>
      </c>
      <c r="E4" s="53" t="s">
        <v>187</v>
      </c>
      <c r="F4" s="333" t="s">
        <v>247</v>
      </c>
      <c r="G4" s="740" t="s">
        <v>1</v>
      </c>
      <c r="H4" s="53" t="s">
        <v>2</v>
      </c>
      <c r="I4" s="53" t="s">
        <v>187</v>
      </c>
      <c r="J4" s="333" t="s">
        <v>247</v>
      </c>
      <c r="K4" s="740" t="s">
        <v>1</v>
      </c>
      <c r="L4" s="53" t="s">
        <v>2</v>
      </c>
      <c r="M4" s="53" t="s">
        <v>187</v>
      </c>
      <c r="N4" s="741" t="s">
        <v>247</v>
      </c>
      <c r="O4" s="740" t="s">
        <v>1</v>
      </c>
      <c r="P4" s="53" t="s">
        <v>2</v>
      </c>
      <c r="Q4" s="53" t="s">
        <v>187</v>
      </c>
      <c r="R4" s="741" t="s">
        <v>247</v>
      </c>
      <c r="S4" s="740" t="s">
        <v>1</v>
      </c>
      <c r="T4" s="53" t="s">
        <v>2</v>
      </c>
      <c r="U4" s="53" t="s">
        <v>187</v>
      </c>
      <c r="V4" s="741" t="s">
        <v>247</v>
      </c>
      <c r="W4" s="740" t="s">
        <v>1</v>
      </c>
      <c r="X4" s="53" t="s">
        <v>2</v>
      </c>
      <c r="Y4" s="53" t="s">
        <v>187</v>
      </c>
      <c r="Z4" s="741" t="s">
        <v>247</v>
      </c>
      <c r="AA4" s="740" t="s">
        <v>1</v>
      </c>
      <c r="AB4" s="53" t="s">
        <v>2</v>
      </c>
      <c r="AC4" s="53" t="s">
        <v>187</v>
      </c>
      <c r="AD4" s="741" t="s">
        <v>247</v>
      </c>
      <c r="AE4" s="740" t="s">
        <v>1</v>
      </c>
      <c r="AF4" s="53" t="s">
        <v>2</v>
      </c>
      <c r="AG4" s="53" t="s">
        <v>187</v>
      </c>
      <c r="AH4" s="741" t="s">
        <v>247</v>
      </c>
      <c r="AI4" s="740" t="s">
        <v>1</v>
      </c>
      <c r="AJ4" s="53" t="s">
        <v>2</v>
      </c>
      <c r="AK4" s="53" t="s">
        <v>187</v>
      </c>
      <c r="AL4" s="741" t="s">
        <v>247</v>
      </c>
      <c r="AM4" s="740" t="s">
        <v>1</v>
      </c>
      <c r="AN4" s="53" t="s">
        <v>2</v>
      </c>
      <c r="AO4" s="53" t="s">
        <v>187</v>
      </c>
      <c r="AP4" s="741" t="s">
        <v>247</v>
      </c>
      <c r="AQ4" s="345" t="s">
        <v>1</v>
      </c>
      <c r="AR4" s="346" t="s">
        <v>2</v>
      </c>
      <c r="AS4" s="346" t="s">
        <v>187</v>
      </c>
      <c r="AT4" s="346" t="s">
        <v>247</v>
      </c>
      <c r="AU4" s="1608"/>
      <c r="AV4" s="1610"/>
      <c r="AW4" s="730"/>
      <c r="AX4" s="1587"/>
      <c r="AY4" s="1400" t="s">
        <v>52</v>
      </c>
      <c r="AZ4" s="1346" t="s">
        <v>53</v>
      </c>
      <c r="BA4" s="1346" t="s">
        <v>54</v>
      </c>
      <c r="BB4" s="1346" t="s">
        <v>3</v>
      </c>
      <c r="BC4" s="1346" t="s">
        <v>50</v>
      </c>
      <c r="BD4" s="1396" t="s">
        <v>51</v>
      </c>
      <c r="BE4" s="1606"/>
      <c r="BF4" s="1400" t="s">
        <v>52</v>
      </c>
      <c r="BG4" s="1346" t="s">
        <v>53</v>
      </c>
      <c r="BH4" s="1346" t="s">
        <v>54</v>
      </c>
      <c r="BI4" s="1396" t="s">
        <v>3</v>
      </c>
      <c r="BJ4" s="1606"/>
      <c r="BK4" s="1600"/>
      <c r="BL4" s="1602"/>
      <c r="BM4" s="1506" t="s">
        <v>368</v>
      </c>
      <c r="BN4" s="1524" t="s">
        <v>369</v>
      </c>
      <c r="BO4" s="1524" t="s">
        <v>370</v>
      </c>
      <c r="BP4" s="1491" t="s">
        <v>191</v>
      </c>
      <c r="BQ4" s="4" t="s">
        <v>372</v>
      </c>
      <c r="BR4" s="1501" t="s">
        <v>373</v>
      </c>
    </row>
    <row r="5" spans="2:73" ht="19.5" thickBot="1">
      <c r="B5" s="289" t="s">
        <v>4</v>
      </c>
      <c r="C5" s="536">
        <f>'1'!$J$26</f>
        <v>0</v>
      </c>
      <c r="D5" s="535">
        <f>'1'!$K$26</f>
        <v>0</v>
      </c>
      <c r="E5" s="535">
        <f>'1'!$L$26</f>
        <v>0</v>
      </c>
      <c r="F5" s="658">
        <f>'1'!$M$26</f>
        <v>0</v>
      </c>
      <c r="G5" s="536">
        <f>'2'!$J$26</f>
        <v>0</v>
      </c>
      <c r="H5" s="535">
        <f>'2'!$K$26</f>
        <v>0</v>
      </c>
      <c r="I5" s="535">
        <f>'2'!$L$26</f>
        <v>0</v>
      </c>
      <c r="J5" s="658">
        <f>'2'!$M$26</f>
        <v>0</v>
      </c>
      <c r="K5" s="536">
        <f>'3'!$J$26</f>
        <v>26</v>
      </c>
      <c r="L5" s="535">
        <f>'3'!$K$26</f>
        <v>15.6</v>
      </c>
      <c r="M5" s="535">
        <f>'3'!$L$26</f>
        <v>15.6</v>
      </c>
      <c r="N5" s="658">
        <f>'3'!$M$26</f>
        <v>10</v>
      </c>
      <c r="O5" s="536">
        <f>'4'!$J$26</f>
        <v>35</v>
      </c>
      <c r="P5" s="535">
        <f>'4'!$K$26</f>
        <v>25</v>
      </c>
      <c r="Q5" s="535">
        <f>'4'!$L$26</f>
        <v>0</v>
      </c>
      <c r="R5" s="658">
        <f>'4'!$M$26</f>
        <v>0</v>
      </c>
      <c r="S5" s="536">
        <f>'5'!$J$26</f>
        <v>50</v>
      </c>
      <c r="T5" s="535">
        <f>'5'!$K$26</f>
        <v>43.5</v>
      </c>
      <c r="U5" s="535">
        <f>'5'!$L$26</f>
        <v>13.5</v>
      </c>
      <c r="V5" s="658">
        <f>'5'!$M$26</f>
        <v>25</v>
      </c>
      <c r="W5" s="536">
        <f>'6'!$J$26</f>
        <v>50</v>
      </c>
      <c r="X5" s="535">
        <f>'6'!$K$26</f>
        <v>39.1</v>
      </c>
      <c r="Y5" s="535">
        <f>'6'!$L$26</f>
        <v>0.1</v>
      </c>
      <c r="Z5" s="658">
        <f>'6'!$M$26</f>
        <v>5.96</v>
      </c>
      <c r="AA5" s="536">
        <f>'7'!$J$26</f>
        <v>40</v>
      </c>
      <c r="AB5" s="535">
        <f>'7'!$K$26</f>
        <v>17</v>
      </c>
      <c r="AC5" s="535">
        <f>'7'!$L$26</f>
        <v>2</v>
      </c>
      <c r="AD5" s="658">
        <f>'7'!$M$26</f>
        <v>59</v>
      </c>
      <c r="AE5" s="742"/>
      <c r="AF5" s="743"/>
      <c r="AG5" s="743"/>
      <c r="AH5" s="658"/>
      <c r="AI5" s="742"/>
      <c r="AJ5" s="743"/>
      <c r="AK5" s="743"/>
      <c r="AL5" s="658"/>
      <c r="AM5" s="742"/>
      <c r="AN5" s="743"/>
      <c r="AO5" s="486"/>
      <c r="AP5" s="744"/>
      <c r="AQ5" s="353">
        <f>AA5+K5+O5+S5+G5+AE5+AI5+W5+AM5+C5</f>
        <v>201</v>
      </c>
      <c r="AR5" s="353">
        <f>AB5+L5+P5+T5+H5+AF5+AJ5+X5+AN5+D5</f>
        <v>140.19999999999999</v>
      </c>
      <c r="AS5" s="353">
        <f>AC5+M5+Q5+U5+I5+AG5+AK5+Y5+AO5+E5</f>
        <v>31.200000000000003</v>
      </c>
      <c r="AT5" s="353">
        <f>AD5+N5+R5+V5+J5+AH5+AL5+Z5+AP5+F5</f>
        <v>99.96</v>
      </c>
      <c r="AU5" s="303">
        <f>AQ5-AS5</f>
        <v>169.8</v>
      </c>
      <c r="AV5" s="540">
        <f>AR5-AS5</f>
        <v>108.99999999999999</v>
      </c>
      <c r="AX5" s="1518" t="s">
        <v>4</v>
      </c>
      <c r="AY5" s="1521">
        <v>16</v>
      </c>
      <c r="AZ5" s="1347">
        <v>35</v>
      </c>
      <c r="BA5" s="1347">
        <v>55</v>
      </c>
      <c r="BB5" s="1347">
        <v>50</v>
      </c>
      <c r="BC5" s="1347">
        <v>50</v>
      </c>
      <c r="BD5" s="1397"/>
      <c r="BE5" s="1504">
        <f>SUM(AY5:BD5)</f>
        <v>206</v>
      </c>
      <c r="BF5" s="1220">
        <v>60</v>
      </c>
      <c r="BG5" s="1347">
        <v>50</v>
      </c>
      <c r="BH5" s="1347">
        <v>120</v>
      </c>
      <c r="BI5" s="1397">
        <v>65</v>
      </c>
      <c r="BJ5" s="1504">
        <f>SUM(BF5:BI5)</f>
        <v>295</v>
      </c>
      <c r="BK5" s="1523">
        <f>BJ5+BE5</f>
        <v>501</v>
      </c>
      <c r="BL5" s="1516">
        <f t="shared" ref="BL5:BL16" si="0">BK5/BK$18</f>
        <v>0.21628855742871328</v>
      </c>
      <c r="BM5" s="1507">
        <v>3.76</v>
      </c>
      <c r="BN5" s="1489">
        <v>1.06</v>
      </c>
      <c r="BO5" s="1489">
        <v>1.49</v>
      </c>
      <c r="BP5" s="1490">
        <f>SUM(BM5:BO5)</f>
        <v>6.3100000000000005</v>
      </c>
      <c r="BQ5" s="1315">
        <v>5</v>
      </c>
      <c r="BR5" s="1500">
        <f>BP5-BQ5</f>
        <v>1.3100000000000005</v>
      </c>
    </row>
    <row r="6" spans="2:73" ht="19.5" thickBot="1">
      <c r="B6" s="287" t="s">
        <v>5</v>
      </c>
      <c r="C6" s="473">
        <f>'1'!$N$26</f>
        <v>0</v>
      </c>
      <c r="D6" s="474">
        <f>'1'!$O$26</f>
        <v>21</v>
      </c>
      <c r="E6" s="474">
        <f>'1'!$P$26</f>
        <v>21</v>
      </c>
      <c r="F6" s="533">
        <f>'1'!$Q$26</f>
        <v>0</v>
      </c>
      <c r="G6" s="473">
        <f>'2'!$N$26</f>
        <v>0</v>
      </c>
      <c r="H6" s="474">
        <f>'2'!$O$26</f>
        <v>0</v>
      </c>
      <c r="I6" s="474">
        <f>'2'!$P$26</f>
        <v>0</v>
      </c>
      <c r="J6" s="533">
        <f>'2'!$Q$26</f>
        <v>0</v>
      </c>
      <c r="K6" s="473">
        <f>'3'!$N$26</f>
        <v>23</v>
      </c>
      <c r="L6" s="474">
        <f>'3'!$O$26</f>
        <v>23</v>
      </c>
      <c r="M6" s="474">
        <f>'3'!$P$26</f>
        <v>23</v>
      </c>
      <c r="N6" s="533">
        <f>'3'!$Q$26</f>
        <v>9.3800000000000008</v>
      </c>
      <c r="O6" s="473">
        <f>'4'!$N$26</f>
        <v>15</v>
      </c>
      <c r="P6" s="474">
        <f>'4'!$O$26</f>
        <v>0</v>
      </c>
      <c r="Q6" s="474">
        <f>'4'!$P$26</f>
        <v>0</v>
      </c>
      <c r="R6" s="533">
        <f>'4'!$Q$26</f>
        <v>0</v>
      </c>
      <c r="S6" s="473">
        <f>'5'!$N$26</f>
        <v>20</v>
      </c>
      <c r="T6" s="474">
        <f>'5'!$O$26</f>
        <v>20</v>
      </c>
      <c r="U6" s="474">
        <f>'5'!$P$26</f>
        <v>0</v>
      </c>
      <c r="V6" s="533">
        <f>'5'!$Q$26</f>
        <v>0</v>
      </c>
      <c r="W6" s="473">
        <f>'6'!$N$26</f>
        <v>20</v>
      </c>
      <c r="X6" s="474">
        <f>'6'!$O$26</f>
        <v>22</v>
      </c>
      <c r="Y6" s="474">
        <f>'6'!$P$26</f>
        <v>22</v>
      </c>
      <c r="Z6" s="533">
        <f>'6'!$Q$26</f>
        <v>20</v>
      </c>
      <c r="AA6" s="473">
        <f>'7'!$N$26</f>
        <v>13</v>
      </c>
      <c r="AB6" s="474">
        <f>'7'!$O$26</f>
        <v>15</v>
      </c>
      <c r="AC6" s="474">
        <f>'7'!$P$26</f>
        <v>0</v>
      </c>
      <c r="AD6" s="533">
        <f>'7'!$Q$26</f>
        <v>4</v>
      </c>
      <c r="AE6" s="473"/>
      <c r="AF6" s="474"/>
      <c r="AG6" s="474"/>
      <c r="AH6" s="533"/>
      <c r="AI6" s="473"/>
      <c r="AJ6" s="474"/>
      <c r="AK6" s="474"/>
      <c r="AL6" s="533"/>
      <c r="AM6" s="473"/>
      <c r="AN6" s="474"/>
      <c r="AO6" s="482"/>
      <c r="AP6" s="533"/>
      <c r="AQ6" s="353">
        <f t="shared" ref="AQ6:AQ17" si="1">AA6+K6+O6+S6+G6+AE6+AI6+W6+AM6+C6</f>
        <v>91</v>
      </c>
      <c r="AR6" s="353">
        <f t="shared" ref="AR6:AR18" si="2">AB6+L6+P6+T6+H6+AF6+AJ6+X6+AN6+D6</f>
        <v>101</v>
      </c>
      <c r="AS6" s="353">
        <f t="shared" ref="AS6:AS10" si="3">AC6+M6+Q6+U6+I6+AG6+AK6+Y6+AO6+E6</f>
        <v>66</v>
      </c>
      <c r="AT6" s="353">
        <f t="shared" ref="AT6:AT10" si="4">AD6+N6+R6+V6+J6+AH6+AL6+Z6+AP6+F6</f>
        <v>33.380000000000003</v>
      </c>
      <c r="AU6" s="303">
        <f t="shared" ref="AU6:AU15" si="5">AQ6-AS6</f>
        <v>25</v>
      </c>
      <c r="AV6" s="540">
        <f t="shared" ref="AV6:AV14" si="6">AR6-AS6</f>
        <v>35</v>
      </c>
      <c r="AX6" s="1518" t="s">
        <v>5</v>
      </c>
      <c r="AY6" s="1521">
        <v>23</v>
      </c>
      <c r="AZ6" s="1347">
        <v>10</v>
      </c>
      <c r="BA6" s="1347">
        <v>20</v>
      </c>
      <c r="BB6" s="1347">
        <v>20</v>
      </c>
      <c r="BC6" s="1347">
        <v>37</v>
      </c>
      <c r="BD6" s="1397"/>
      <c r="BE6" s="1504">
        <f t="shared" ref="BE6:BE10" si="7">SUM(AY6:BD6)</f>
        <v>110</v>
      </c>
      <c r="BF6" s="1220">
        <v>30</v>
      </c>
      <c r="BG6" s="1347">
        <v>50</v>
      </c>
      <c r="BH6" s="1347">
        <v>40</v>
      </c>
      <c r="BI6" s="1397">
        <v>40</v>
      </c>
      <c r="BJ6" s="1504">
        <f t="shared" ref="BJ6:BJ10" si="8">SUM(BF6:BI6)</f>
        <v>160</v>
      </c>
      <c r="BK6" s="1523">
        <f t="shared" ref="BK6:BK10" si="9">BJ6+BE6</f>
        <v>270</v>
      </c>
      <c r="BL6" s="1516">
        <f t="shared" si="0"/>
        <v>0.11656269562026464</v>
      </c>
      <c r="BM6" s="1508">
        <v>2</v>
      </c>
      <c r="BN6" s="1483">
        <v>0.21</v>
      </c>
      <c r="BO6" s="1483">
        <v>0.11</v>
      </c>
      <c r="BP6" s="1484">
        <f t="shared" ref="BP6:BP18" si="10">SUM(BM6:BO6)</f>
        <v>2.3199999999999998</v>
      </c>
      <c r="BQ6" s="4">
        <v>2.7</v>
      </c>
      <c r="BR6" s="1494">
        <f t="shared" ref="BR6:BR18" si="11">BP6-BQ6</f>
        <v>-0.38000000000000034</v>
      </c>
    </row>
    <row r="7" spans="2:73" ht="19.5" thickBot="1">
      <c r="B7" s="287" t="s">
        <v>6</v>
      </c>
      <c r="C7" s="473">
        <f>'1'!$R$26</f>
        <v>0</v>
      </c>
      <c r="D7" s="474">
        <f>'1'!$S$26</f>
        <v>0</v>
      </c>
      <c r="E7" s="474">
        <f>'1'!$T$26</f>
        <v>0</v>
      </c>
      <c r="F7" s="533">
        <f>'1'!$U$26</f>
        <v>0</v>
      </c>
      <c r="G7" s="473">
        <f>'2'!$R$26</f>
        <v>0</v>
      </c>
      <c r="H7" s="474">
        <f>'2'!$S$26</f>
        <v>0</v>
      </c>
      <c r="I7" s="474">
        <f>'2'!$T$26</f>
        <v>0</v>
      </c>
      <c r="J7" s="533">
        <f>'2'!$U$26</f>
        <v>0</v>
      </c>
      <c r="K7" s="473">
        <f>'3'!$R$26</f>
        <v>3</v>
      </c>
      <c r="L7" s="474">
        <f>'3'!$S$26</f>
        <v>0</v>
      </c>
      <c r="M7" s="474">
        <f>'3'!$T$26</f>
        <v>0</v>
      </c>
      <c r="N7" s="533">
        <f>'3'!$U$26</f>
        <v>0</v>
      </c>
      <c r="O7" s="473">
        <f>'4'!$R$26</f>
        <v>8</v>
      </c>
      <c r="P7" s="474">
        <f>'4'!$S$26</f>
        <v>0</v>
      </c>
      <c r="Q7" s="474">
        <f>'4'!$T$26</f>
        <v>0</v>
      </c>
      <c r="R7" s="533">
        <f>'4'!$U$26</f>
        <v>0</v>
      </c>
      <c r="S7" s="473">
        <f>'5'!$R$26</f>
        <v>8</v>
      </c>
      <c r="T7" s="474">
        <f>'5'!$S$26</f>
        <v>8</v>
      </c>
      <c r="U7" s="474">
        <f>'5'!$T$26</f>
        <v>0</v>
      </c>
      <c r="V7" s="533">
        <f>'5'!$U$26</f>
        <v>0</v>
      </c>
      <c r="W7" s="473">
        <f>'6'!$R$26</f>
        <v>6</v>
      </c>
      <c r="X7" s="474">
        <f>'6'!$S$26</f>
        <v>5</v>
      </c>
      <c r="Y7" s="474">
        <f>'6'!$T$26</f>
        <v>0</v>
      </c>
      <c r="Z7" s="533">
        <f>'6'!$U$26</f>
        <v>0</v>
      </c>
      <c r="AA7" s="473">
        <f>'7'!$R$26</f>
        <v>23</v>
      </c>
      <c r="AB7" s="474">
        <f>'7'!$S$26</f>
        <v>31</v>
      </c>
      <c r="AC7" s="474">
        <f>'7'!$T$26</f>
        <v>0</v>
      </c>
      <c r="AD7" s="533">
        <f>'7'!$U$26</f>
        <v>5</v>
      </c>
      <c r="AE7" s="473"/>
      <c r="AF7" s="474"/>
      <c r="AG7" s="474"/>
      <c r="AH7" s="533"/>
      <c r="AI7" s="473"/>
      <c r="AJ7" s="474"/>
      <c r="AK7" s="474"/>
      <c r="AL7" s="533"/>
      <c r="AM7" s="473"/>
      <c r="AN7" s="474"/>
      <c r="AO7" s="482"/>
      <c r="AP7" s="533"/>
      <c r="AQ7" s="353">
        <f t="shared" si="1"/>
        <v>48</v>
      </c>
      <c r="AR7" s="353">
        <f t="shared" si="2"/>
        <v>44</v>
      </c>
      <c r="AS7" s="353">
        <f t="shared" si="3"/>
        <v>0</v>
      </c>
      <c r="AT7" s="353">
        <f>AD7+N7+R7+V7+J7+AH7+AL7+Z7+AP7+F7</f>
        <v>5</v>
      </c>
      <c r="AU7" s="303">
        <f t="shared" si="5"/>
        <v>48</v>
      </c>
      <c r="AV7" s="540">
        <f t="shared" si="6"/>
        <v>44</v>
      </c>
      <c r="AX7" s="1518" t="s">
        <v>6</v>
      </c>
      <c r="AY7" s="1521">
        <v>7</v>
      </c>
      <c r="AZ7" s="1347">
        <v>8</v>
      </c>
      <c r="BA7" s="1347">
        <v>8</v>
      </c>
      <c r="BB7" s="1347">
        <v>10</v>
      </c>
      <c r="BC7" s="1347">
        <v>10</v>
      </c>
      <c r="BD7" s="1397"/>
      <c r="BE7" s="1504">
        <f t="shared" si="7"/>
        <v>43</v>
      </c>
      <c r="BF7" s="1220">
        <v>25</v>
      </c>
      <c r="BG7" s="1347">
        <v>25</v>
      </c>
      <c r="BH7" s="1347">
        <v>25</v>
      </c>
      <c r="BI7" s="1397">
        <v>25</v>
      </c>
      <c r="BJ7" s="1504">
        <f t="shared" si="8"/>
        <v>100</v>
      </c>
      <c r="BK7" s="1523">
        <f t="shared" si="9"/>
        <v>143</v>
      </c>
      <c r="BL7" s="1516">
        <f t="shared" si="0"/>
        <v>6.1735057309992014E-2</v>
      </c>
      <c r="BM7" s="1508">
        <v>1.55</v>
      </c>
      <c r="BN7" s="1483">
        <v>0.18</v>
      </c>
      <c r="BO7" s="1483">
        <v>0.36</v>
      </c>
      <c r="BP7" s="1484">
        <f t="shared" si="10"/>
        <v>2.09</v>
      </c>
      <c r="BQ7" s="4">
        <v>1.1499999999999999</v>
      </c>
      <c r="BR7" s="1494">
        <f t="shared" si="11"/>
        <v>0.94</v>
      </c>
    </row>
    <row r="8" spans="2:73" ht="19.5" thickBot="1">
      <c r="B8" s="287" t="s">
        <v>7</v>
      </c>
      <c r="C8" s="473">
        <f>'1'!$V$26</f>
        <v>0</v>
      </c>
      <c r="D8" s="474">
        <f>'1'!$W$26</f>
        <v>0</v>
      </c>
      <c r="E8" s="474">
        <f>'1'!$X$26</f>
        <v>0</v>
      </c>
      <c r="F8" s="533">
        <f>'1'!$Y$26</f>
        <v>0</v>
      </c>
      <c r="G8" s="473">
        <f>'2'!$V$26</f>
        <v>0</v>
      </c>
      <c r="H8" s="474">
        <f>'2'!$W$26</f>
        <v>0</v>
      </c>
      <c r="I8" s="474">
        <f>'2'!$X$26</f>
        <v>0</v>
      </c>
      <c r="J8" s="533">
        <f>'2'!$Y$26</f>
        <v>0</v>
      </c>
      <c r="K8" s="473">
        <f>'3'!$V$26</f>
        <v>5</v>
      </c>
      <c r="L8" s="474">
        <f>'3'!$W$26</f>
        <v>3</v>
      </c>
      <c r="M8" s="474">
        <f>'3'!$X$26</f>
        <v>2</v>
      </c>
      <c r="N8" s="533">
        <f>'3'!$Y$26</f>
        <v>0</v>
      </c>
      <c r="O8" s="473">
        <f>'4'!$V$26</f>
        <v>11</v>
      </c>
      <c r="P8" s="474">
        <f>'4'!$W$26</f>
        <v>7.5</v>
      </c>
      <c r="Q8" s="474">
        <f>'4'!$X$26</f>
        <v>7.5</v>
      </c>
      <c r="R8" s="533">
        <f>'4'!$Y$26</f>
        <v>0</v>
      </c>
      <c r="S8" s="473">
        <f>'5'!$V$26</f>
        <v>10</v>
      </c>
      <c r="T8" s="474">
        <f>'5'!$W$26</f>
        <v>7</v>
      </c>
      <c r="U8" s="474">
        <f>'5'!$X$26</f>
        <v>1</v>
      </c>
      <c r="V8" s="533">
        <f>'5'!$Y$26</f>
        <v>0</v>
      </c>
      <c r="W8" s="473">
        <f>'6'!$V$26</f>
        <v>10</v>
      </c>
      <c r="X8" s="474">
        <f>'6'!$W$26</f>
        <v>7.5</v>
      </c>
      <c r="Y8" s="474">
        <f>'6'!$X$26</f>
        <v>7.5</v>
      </c>
      <c r="Z8" s="533">
        <f>'6'!$Y$26</f>
        <v>0</v>
      </c>
      <c r="AA8" s="473">
        <f>'7'!$V$26</f>
        <v>10</v>
      </c>
      <c r="AB8" s="474">
        <f>'7'!$W$26</f>
        <v>3</v>
      </c>
      <c r="AC8" s="474">
        <f>'7'!$X$26</f>
        <v>3</v>
      </c>
      <c r="AD8" s="533">
        <f>'7'!$Y$26</f>
        <v>0</v>
      </c>
      <c r="AE8" s="473"/>
      <c r="AF8" s="474"/>
      <c r="AG8" s="474"/>
      <c r="AH8" s="533"/>
      <c r="AI8" s="473"/>
      <c r="AJ8" s="474"/>
      <c r="AK8" s="474"/>
      <c r="AL8" s="533"/>
      <c r="AM8" s="473"/>
      <c r="AN8" s="474"/>
      <c r="AO8" s="482"/>
      <c r="AP8" s="533"/>
      <c r="AQ8" s="353">
        <f t="shared" si="1"/>
        <v>46</v>
      </c>
      <c r="AR8" s="353">
        <f t="shared" si="2"/>
        <v>28</v>
      </c>
      <c r="AS8" s="353">
        <f t="shared" si="3"/>
        <v>21</v>
      </c>
      <c r="AT8" s="353">
        <f t="shared" si="4"/>
        <v>0</v>
      </c>
      <c r="AU8" s="303">
        <f>AQ8-AS8</f>
        <v>25</v>
      </c>
      <c r="AV8" s="540">
        <f t="shared" si="6"/>
        <v>7</v>
      </c>
      <c r="AX8" s="1518" t="s">
        <v>7</v>
      </c>
      <c r="AY8" s="1521">
        <v>10</v>
      </c>
      <c r="AZ8" s="1347">
        <v>10</v>
      </c>
      <c r="BA8" s="1347">
        <v>10</v>
      </c>
      <c r="BB8" s="1347">
        <v>10</v>
      </c>
      <c r="BC8" s="1347">
        <v>15</v>
      </c>
      <c r="BD8" s="1397"/>
      <c r="BE8" s="1504">
        <f t="shared" si="7"/>
        <v>55</v>
      </c>
      <c r="BF8" s="1220">
        <v>10</v>
      </c>
      <c r="BG8" s="1347">
        <v>10</v>
      </c>
      <c r="BH8" s="1347">
        <v>10</v>
      </c>
      <c r="BI8" s="1397">
        <v>15</v>
      </c>
      <c r="BJ8" s="1504">
        <f t="shared" si="8"/>
        <v>45</v>
      </c>
      <c r="BK8" s="1523">
        <f t="shared" si="9"/>
        <v>100</v>
      </c>
      <c r="BL8" s="1516">
        <f t="shared" si="0"/>
        <v>4.3171368748246168E-2</v>
      </c>
      <c r="BM8" s="1508">
        <v>3.53</v>
      </c>
      <c r="BN8" s="1483">
        <v>0.34</v>
      </c>
      <c r="BO8" s="1483">
        <v>0.67</v>
      </c>
      <c r="BP8" s="1484">
        <f t="shared" si="10"/>
        <v>4.54</v>
      </c>
      <c r="BQ8" s="4">
        <v>1</v>
      </c>
      <c r="BR8" s="1499">
        <f t="shared" si="11"/>
        <v>3.54</v>
      </c>
    </row>
    <row r="9" spans="2:73" ht="19.5" thickBot="1">
      <c r="B9" s="287" t="s">
        <v>8</v>
      </c>
      <c r="C9" s="473">
        <f>'1'!$Z$26</f>
        <v>0</v>
      </c>
      <c r="D9" s="474">
        <f>'1'!$AA$26</f>
        <v>0</v>
      </c>
      <c r="E9" s="474">
        <f>'1'!$AB$26</f>
        <v>0</v>
      </c>
      <c r="F9" s="533">
        <f>'1'!$AC$26</f>
        <v>0</v>
      </c>
      <c r="G9" s="473">
        <f>'2'!$Z$26</f>
        <v>0</v>
      </c>
      <c r="H9" s="474">
        <f>'2'!$AA$26</f>
        <v>0</v>
      </c>
      <c r="I9" s="474">
        <f>'2'!$AB$26</f>
        <v>0</v>
      </c>
      <c r="J9" s="533">
        <f>'2'!$AC$26</f>
        <v>0</v>
      </c>
      <c r="K9" s="473">
        <f>'3'!$Z$26</f>
        <v>2</v>
      </c>
      <c r="L9" s="474">
        <f>'3'!$AA$26</f>
        <v>0</v>
      </c>
      <c r="M9" s="474">
        <f>'3'!$AB$26</f>
        <v>0</v>
      </c>
      <c r="N9" s="533">
        <f>'3'!$AC$26</f>
        <v>0</v>
      </c>
      <c r="O9" s="473">
        <f>'4'!$Z$26</f>
        <v>2</v>
      </c>
      <c r="P9" s="474">
        <f>'4'!$AA$26</f>
        <v>0</v>
      </c>
      <c r="Q9" s="474">
        <f>'4'!$AB$26</f>
        <v>0</v>
      </c>
      <c r="R9" s="533">
        <f>'4'!$AC$26</f>
        <v>0</v>
      </c>
      <c r="S9" s="473">
        <f>'5'!$Z$26</f>
        <v>2</v>
      </c>
      <c r="T9" s="474">
        <f>'5'!$AA$26</f>
        <v>0</v>
      </c>
      <c r="U9" s="474">
        <f>'5'!$AB$26</f>
        <v>0</v>
      </c>
      <c r="V9" s="533">
        <f>'5'!$AC$26</f>
        <v>0</v>
      </c>
      <c r="W9" s="473">
        <f>'6'!$Z$26</f>
        <v>37</v>
      </c>
      <c r="X9" s="474">
        <f>'6'!$AA$26</f>
        <v>35</v>
      </c>
      <c r="Y9" s="474">
        <f>'6'!$AB$26</f>
        <v>0</v>
      </c>
      <c r="Z9" s="533">
        <f>'6'!$AC$26</f>
        <v>0</v>
      </c>
      <c r="AA9" s="473">
        <f>'7'!$Z$26</f>
        <v>0</v>
      </c>
      <c r="AB9" s="474">
        <f>'7'!$AA$26</f>
        <v>0.5</v>
      </c>
      <c r="AC9" s="474">
        <f>'7'!$AB$26</f>
        <v>0.5</v>
      </c>
      <c r="AD9" s="533">
        <f>'7'!$AC$26</f>
        <v>0</v>
      </c>
      <c r="AE9" s="473"/>
      <c r="AF9" s="474"/>
      <c r="AG9" s="474"/>
      <c r="AH9" s="533"/>
      <c r="AI9" s="473"/>
      <c r="AJ9" s="474"/>
      <c r="AK9" s="474"/>
      <c r="AL9" s="533"/>
      <c r="AM9" s="473"/>
      <c r="AN9" s="474"/>
      <c r="AO9" s="482"/>
      <c r="AP9" s="533"/>
      <c r="AQ9" s="353">
        <f t="shared" si="1"/>
        <v>43</v>
      </c>
      <c r="AR9" s="353">
        <f t="shared" si="2"/>
        <v>35.5</v>
      </c>
      <c r="AS9" s="353">
        <f t="shared" si="3"/>
        <v>0.5</v>
      </c>
      <c r="AT9" s="353">
        <f t="shared" si="4"/>
        <v>0</v>
      </c>
      <c r="AU9" s="303">
        <f t="shared" si="5"/>
        <v>42.5</v>
      </c>
      <c r="AV9" s="540">
        <f t="shared" si="6"/>
        <v>35</v>
      </c>
      <c r="AX9" s="1518" t="s">
        <v>8</v>
      </c>
      <c r="AY9" s="1521">
        <v>5</v>
      </c>
      <c r="AZ9" s="1347">
        <v>5</v>
      </c>
      <c r="BA9" s="1347">
        <v>2</v>
      </c>
      <c r="BB9" s="1347">
        <v>35</v>
      </c>
      <c r="BC9" s="1347">
        <v>4</v>
      </c>
      <c r="BD9" s="1397"/>
      <c r="BE9" s="1504">
        <f t="shared" si="7"/>
        <v>51</v>
      </c>
      <c r="BF9" s="1220">
        <v>5</v>
      </c>
      <c r="BG9" s="1347">
        <v>5</v>
      </c>
      <c r="BH9" s="1347">
        <v>5</v>
      </c>
      <c r="BI9" s="1397">
        <v>5</v>
      </c>
      <c r="BJ9" s="1504">
        <f t="shared" si="8"/>
        <v>20</v>
      </c>
      <c r="BK9" s="1523">
        <f t="shared" si="9"/>
        <v>71</v>
      </c>
      <c r="BL9" s="1516">
        <f t="shared" si="0"/>
        <v>3.0651671811254777E-2</v>
      </c>
      <c r="BM9" s="1508">
        <v>1.5</v>
      </c>
      <c r="BN9" s="1483"/>
      <c r="BO9" s="1483"/>
      <c r="BP9" s="1484">
        <f t="shared" si="10"/>
        <v>1.5</v>
      </c>
      <c r="BQ9" s="4">
        <v>0.71</v>
      </c>
      <c r="BR9" s="1499">
        <f t="shared" si="11"/>
        <v>0.79</v>
      </c>
      <c r="BT9" s="4">
        <v>20</v>
      </c>
      <c r="BU9" s="4" t="s">
        <v>383</v>
      </c>
    </row>
    <row r="10" spans="2:73" ht="19.5" thickBot="1">
      <c r="B10" s="288" t="s">
        <v>9</v>
      </c>
      <c r="C10" s="475">
        <f>'1'!$AD$26</f>
        <v>0</v>
      </c>
      <c r="D10" s="484">
        <f>'1'!$AE$26</f>
        <v>0</v>
      </c>
      <c r="E10" s="484">
        <f>'1'!$AF$26</f>
        <v>0</v>
      </c>
      <c r="F10" s="534">
        <f>'1'!$AG$26</f>
        <v>0</v>
      </c>
      <c r="G10" s="475">
        <f>'2'!$AD$26</f>
        <v>0</v>
      </c>
      <c r="H10" s="484">
        <f>'2'!$AE$26</f>
        <v>0</v>
      </c>
      <c r="I10" s="484">
        <f>'2'!$AF$26</f>
        <v>0</v>
      </c>
      <c r="J10" s="534">
        <f>'2'!$AG$26</f>
        <v>0</v>
      </c>
      <c r="K10" s="475">
        <f>'3'!$AD$26</f>
        <v>20</v>
      </c>
      <c r="L10" s="484">
        <f>'3'!$AE$26</f>
        <v>10.4</v>
      </c>
      <c r="M10" s="484">
        <f>'3'!$AF$26</f>
        <v>10.4</v>
      </c>
      <c r="N10" s="534">
        <f>'3'!$AG$26</f>
        <v>0</v>
      </c>
      <c r="O10" s="475">
        <f>'4'!$AD$26</f>
        <v>15</v>
      </c>
      <c r="P10" s="484">
        <f>'4'!$AE$26</f>
        <v>8</v>
      </c>
      <c r="Q10" s="484">
        <f>'4'!$AF$26</f>
        <v>8</v>
      </c>
      <c r="R10" s="534">
        <f>'4'!$AG$26</f>
        <v>0</v>
      </c>
      <c r="S10" s="475">
        <f>'5'!$AD$26</f>
        <v>20</v>
      </c>
      <c r="T10" s="484">
        <f>'5'!$AE$26</f>
        <v>17</v>
      </c>
      <c r="U10" s="484">
        <f>'5'!$AF$26</f>
        <v>17</v>
      </c>
      <c r="V10" s="534">
        <f>'5'!$AG$26</f>
        <v>0</v>
      </c>
      <c r="W10" s="475">
        <f>'6'!$AD$26</f>
        <v>30</v>
      </c>
      <c r="X10" s="484">
        <f>'6'!$AE$26</f>
        <v>14.52</v>
      </c>
      <c r="Y10" s="484">
        <f>'6'!$AF$26</f>
        <v>9.52</v>
      </c>
      <c r="Z10" s="534">
        <f>'6'!$AG$26</f>
        <v>0</v>
      </c>
      <c r="AA10" s="475">
        <f>'7'!$AD$26</f>
        <v>30</v>
      </c>
      <c r="AB10" s="484">
        <f>'7'!$AE$26</f>
        <v>33.26</v>
      </c>
      <c r="AC10" s="484">
        <f>'7'!$AF$26</f>
        <v>33.26</v>
      </c>
      <c r="AD10" s="534">
        <f>'7'!$AG$26</f>
        <v>5</v>
      </c>
      <c r="AE10" s="475"/>
      <c r="AF10" s="484"/>
      <c r="AG10" s="484"/>
      <c r="AH10" s="534"/>
      <c r="AI10" s="475"/>
      <c r="AJ10" s="484"/>
      <c r="AK10" s="484"/>
      <c r="AL10" s="534"/>
      <c r="AM10" s="475"/>
      <c r="AN10" s="484"/>
      <c r="AO10" s="483"/>
      <c r="AP10" s="534"/>
      <c r="AQ10" s="353">
        <f t="shared" si="1"/>
        <v>115</v>
      </c>
      <c r="AR10" s="353">
        <f t="shared" si="2"/>
        <v>83.179999999999993</v>
      </c>
      <c r="AS10" s="353">
        <f t="shared" si="3"/>
        <v>78.179999999999993</v>
      </c>
      <c r="AT10" s="353">
        <f t="shared" si="4"/>
        <v>5</v>
      </c>
      <c r="AU10" s="303">
        <f t="shared" si="5"/>
        <v>36.820000000000007</v>
      </c>
      <c r="AV10" s="540">
        <f t="shared" si="6"/>
        <v>5</v>
      </c>
      <c r="AX10" s="1525" t="s">
        <v>9</v>
      </c>
      <c r="AY10" s="1526">
        <v>10.4</v>
      </c>
      <c r="AZ10" s="1527">
        <v>20</v>
      </c>
      <c r="BA10" s="1527">
        <v>20</v>
      </c>
      <c r="BB10" s="1527">
        <v>30</v>
      </c>
      <c r="BC10" s="1527">
        <v>40</v>
      </c>
      <c r="BD10" s="1403"/>
      <c r="BE10" s="1528">
        <f t="shared" si="7"/>
        <v>120.4</v>
      </c>
      <c r="BF10" s="1222">
        <v>50</v>
      </c>
      <c r="BG10" s="1527">
        <v>40</v>
      </c>
      <c r="BH10" s="1527">
        <v>60</v>
      </c>
      <c r="BI10" s="1403">
        <v>62.5</v>
      </c>
      <c r="BJ10" s="1528">
        <f t="shared" si="8"/>
        <v>212.5</v>
      </c>
      <c r="BK10" s="1529">
        <f t="shared" si="9"/>
        <v>332.9</v>
      </c>
      <c r="BL10" s="1530">
        <f t="shared" si="0"/>
        <v>0.14371748656291147</v>
      </c>
      <c r="BM10" s="1508">
        <v>4.96</v>
      </c>
      <c r="BN10" s="1483">
        <v>1.69</v>
      </c>
      <c r="BO10" s="1483">
        <v>0.09</v>
      </c>
      <c r="BP10" s="1484">
        <f t="shared" si="10"/>
        <v>6.74</v>
      </c>
      <c r="BQ10" s="4">
        <v>3</v>
      </c>
      <c r="BR10" s="1499">
        <f t="shared" si="11"/>
        <v>3.74</v>
      </c>
      <c r="BT10" s="4">
        <v>5</v>
      </c>
      <c r="BU10" s="4" t="s">
        <v>384</v>
      </c>
    </row>
    <row r="11" spans="2:73" ht="19.5" thickBot="1">
      <c r="B11" s="105" t="s">
        <v>10</v>
      </c>
      <c r="C11" s="531">
        <f>SUM(C5:C10)</f>
        <v>0</v>
      </c>
      <c r="D11" s="478">
        <f>SUM(D5:D10)</f>
        <v>21</v>
      </c>
      <c r="E11" s="478">
        <f>SUM(E5:E10)</f>
        <v>21</v>
      </c>
      <c r="F11" s="478">
        <f t="shared" ref="F11:J11" si="12">SUM(F5:F10)</f>
        <v>0</v>
      </c>
      <c r="G11" s="478">
        <f t="shared" si="12"/>
        <v>0</v>
      </c>
      <c r="H11" s="478">
        <f t="shared" si="12"/>
        <v>0</v>
      </c>
      <c r="I11" s="478">
        <f t="shared" si="12"/>
        <v>0</v>
      </c>
      <c r="J11" s="478">
        <f t="shared" si="12"/>
        <v>0</v>
      </c>
      <c r="K11" s="531">
        <f>SUM(K5:K10)</f>
        <v>79</v>
      </c>
      <c r="L11" s="478">
        <f t="shared" ref="L11:R11" si="13">SUM(L5:L10)</f>
        <v>52</v>
      </c>
      <c r="M11" s="478">
        <f t="shared" si="13"/>
        <v>51</v>
      </c>
      <c r="N11" s="478">
        <f t="shared" si="13"/>
        <v>19.380000000000003</v>
      </c>
      <c r="O11" s="531">
        <f>SUM(O5:O10)</f>
        <v>86</v>
      </c>
      <c r="P11" s="478">
        <f t="shared" si="13"/>
        <v>40.5</v>
      </c>
      <c r="Q11" s="478">
        <f t="shared" si="13"/>
        <v>15.5</v>
      </c>
      <c r="R11" s="478">
        <f t="shared" si="13"/>
        <v>0</v>
      </c>
      <c r="S11" s="531">
        <f>SUM(S5:S10)</f>
        <v>110</v>
      </c>
      <c r="T11" s="478">
        <f t="shared" ref="T11:V11" si="14">SUM(T5:T10)</f>
        <v>95.5</v>
      </c>
      <c r="U11" s="478">
        <f t="shared" si="14"/>
        <v>31.5</v>
      </c>
      <c r="V11" s="478">
        <f t="shared" si="14"/>
        <v>25</v>
      </c>
      <c r="W11" s="531">
        <f>SUM(W5:W10)</f>
        <v>153</v>
      </c>
      <c r="X11" s="531">
        <f t="shared" ref="X11:AD11" si="15">SUM(X5:X10)</f>
        <v>123.11999999999999</v>
      </c>
      <c r="Y11" s="531">
        <f t="shared" si="15"/>
        <v>39.120000000000005</v>
      </c>
      <c r="Z11" s="531">
        <f t="shared" si="15"/>
        <v>25.96</v>
      </c>
      <c r="AA11" s="531">
        <f t="shared" si="15"/>
        <v>116</v>
      </c>
      <c r="AB11" s="531">
        <f t="shared" si="15"/>
        <v>99.759999999999991</v>
      </c>
      <c r="AC11" s="531">
        <f t="shared" si="15"/>
        <v>38.76</v>
      </c>
      <c r="AD11" s="531">
        <f t="shared" si="15"/>
        <v>73</v>
      </c>
      <c r="AE11" s="478"/>
      <c r="AF11" s="478"/>
      <c r="AG11" s="478"/>
      <c r="AH11" s="478"/>
      <c r="AI11" s="478"/>
      <c r="AJ11" s="478"/>
      <c r="AK11" s="478"/>
      <c r="AL11" s="478"/>
      <c r="AM11" s="531"/>
      <c r="AN11" s="478">
        <f t="shared" ref="AN11:AO11" si="16">SUM(AN5:AN10)</f>
        <v>0</v>
      </c>
      <c r="AO11" s="485">
        <f t="shared" si="16"/>
        <v>0</v>
      </c>
      <c r="AP11" s="477"/>
      <c r="AQ11" s="353">
        <f>SUM(AQ5:AQ10)</f>
        <v>544</v>
      </c>
      <c r="AR11" s="353">
        <f t="shared" ref="AR11:AV11" si="17">SUM(AR5:AR10)</f>
        <v>431.88</v>
      </c>
      <c r="AS11" s="353">
        <f t="shared" si="17"/>
        <v>196.88</v>
      </c>
      <c r="AT11" s="353">
        <f t="shared" si="17"/>
        <v>143.34</v>
      </c>
      <c r="AU11" s="353">
        <f t="shared" si="17"/>
        <v>347.12</v>
      </c>
      <c r="AV11" s="353">
        <f t="shared" si="17"/>
        <v>235</v>
      </c>
      <c r="AX11" s="1537" t="s">
        <v>10</v>
      </c>
      <c r="AY11" s="1224">
        <f>SUM(AY5:AY10)</f>
        <v>71.400000000000006</v>
      </c>
      <c r="AZ11" s="1339">
        <f t="shared" ref="AZ11:BI11" si="18">SUM(AZ5:AZ10)</f>
        <v>88</v>
      </c>
      <c r="BA11" s="1339">
        <f t="shared" si="18"/>
        <v>115</v>
      </c>
      <c r="BB11" s="1339">
        <f t="shared" si="18"/>
        <v>155</v>
      </c>
      <c r="BC11" s="1339">
        <f t="shared" si="18"/>
        <v>156</v>
      </c>
      <c r="BD11" s="1340">
        <f t="shared" si="18"/>
        <v>0</v>
      </c>
      <c r="BE11" s="1538">
        <f>SUM(BE5:BE10)</f>
        <v>585.4</v>
      </c>
      <c r="BF11" s="1224">
        <f t="shared" si="18"/>
        <v>180</v>
      </c>
      <c r="BG11" s="1339">
        <f t="shared" si="18"/>
        <v>180</v>
      </c>
      <c r="BH11" s="1339">
        <f t="shared" si="18"/>
        <v>260</v>
      </c>
      <c r="BI11" s="1340">
        <f t="shared" si="18"/>
        <v>212.5</v>
      </c>
      <c r="BJ11" s="1538">
        <f>SUM(BJ5:BJ10)</f>
        <v>832.5</v>
      </c>
      <c r="BK11" s="1502">
        <f>SUM(BK5:BK10)</f>
        <v>1417.9</v>
      </c>
      <c r="BL11" s="1539">
        <f t="shared" si="0"/>
        <v>0.61212683748138241</v>
      </c>
      <c r="BM11" s="1509">
        <f>SUM(BM5:BM10)</f>
        <v>17.3</v>
      </c>
      <c r="BN11" s="1485">
        <f t="shared" ref="BN11:BO11" si="19">SUM(BN5:BN10)</f>
        <v>3.48</v>
      </c>
      <c r="BO11" s="1485">
        <f t="shared" si="19"/>
        <v>2.7199999999999998</v>
      </c>
      <c r="BP11" s="1492">
        <f t="shared" si="10"/>
        <v>23.5</v>
      </c>
      <c r="BQ11" s="1315">
        <f>SUM(BQ5:BQ10)</f>
        <v>13.559999999999999</v>
      </c>
      <c r="BR11" s="1495">
        <f t="shared" si="11"/>
        <v>9.9400000000000013</v>
      </c>
    </row>
    <row r="12" spans="2:73" ht="19.5" thickBot="1">
      <c r="B12" s="286" t="s">
        <v>11</v>
      </c>
      <c r="C12" s="475">
        <f>'1'!$AL$26</f>
        <v>0</v>
      </c>
      <c r="D12" s="484">
        <f>'1'!$AM$26</f>
        <v>0</v>
      </c>
      <c r="E12" s="484">
        <f>'1'!$AN$26</f>
        <v>0</v>
      </c>
      <c r="F12" s="534">
        <f>'1'!$AO$26</f>
        <v>0</v>
      </c>
      <c r="G12" s="475">
        <f>'2'!$AL$26</f>
        <v>0</v>
      </c>
      <c r="H12" s="484">
        <f>'2'!$AM$26</f>
        <v>0</v>
      </c>
      <c r="I12" s="484">
        <f>'2'!$AN$26</f>
        <v>0</v>
      </c>
      <c r="J12" s="534">
        <f>'2'!$AO$26</f>
        <v>0</v>
      </c>
      <c r="K12" s="475">
        <f>'3'!$AL$26</f>
        <v>27</v>
      </c>
      <c r="L12" s="484">
        <f>'3'!$AM$26</f>
        <v>1</v>
      </c>
      <c r="M12" s="484">
        <f>'3'!$AN$26</f>
        <v>1</v>
      </c>
      <c r="N12" s="534">
        <f>'3'!$AO$26</f>
        <v>23</v>
      </c>
      <c r="O12" s="475">
        <f>'4'!$AL$26</f>
        <v>11</v>
      </c>
      <c r="P12" s="484">
        <f>'4'!$AM$26</f>
        <v>11</v>
      </c>
      <c r="Q12" s="484">
        <f>'4'!$AN$26</f>
        <v>11</v>
      </c>
      <c r="R12" s="534">
        <f>'4'!$AO$26</f>
        <v>0</v>
      </c>
      <c r="S12" s="475">
        <f>'5'!$AL$26</f>
        <v>13</v>
      </c>
      <c r="T12" s="484">
        <f>'5'!$AM$26</f>
        <v>10</v>
      </c>
      <c r="U12" s="484">
        <f>'5'!$AN$26</f>
        <v>10</v>
      </c>
      <c r="V12" s="534">
        <f>'5'!$AO$26</f>
        <v>0</v>
      </c>
      <c r="W12" s="475">
        <f>'6'!$AL$26</f>
        <v>23</v>
      </c>
      <c r="X12" s="484">
        <f>'6'!$AM$26</f>
        <v>7.51</v>
      </c>
      <c r="Y12" s="484">
        <f>'6'!$AN$26</f>
        <v>7.51</v>
      </c>
      <c r="Z12" s="534">
        <f>'6'!$AO$26</f>
        <v>0</v>
      </c>
      <c r="AA12" s="475">
        <f>'7'!$AL$26</f>
        <v>55</v>
      </c>
      <c r="AB12" s="484">
        <f>'7'!$AM$26</f>
        <v>51</v>
      </c>
      <c r="AC12" s="484">
        <f>'7'!$AN$26</f>
        <v>21</v>
      </c>
      <c r="AD12" s="534">
        <f>'7'!$AO$26</f>
        <v>0</v>
      </c>
      <c r="AE12" s="475"/>
      <c r="AF12" s="484"/>
      <c r="AG12" s="484"/>
      <c r="AH12" s="534"/>
      <c r="AI12" s="475"/>
      <c r="AJ12" s="484"/>
      <c r="AK12" s="484"/>
      <c r="AL12" s="534"/>
      <c r="AM12" s="475"/>
      <c r="AN12" s="484"/>
      <c r="AO12" s="483"/>
      <c r="AP12" s="534"/>
      <c r="AQ12" s="353">
        <f t="shared" si="1"/>
        <v>129</v>
      </c>
      <c r="AR12" s="353">
        <f t="shared" si="2"/>
        <v>80.510000000000005</v>
      </c>
      <c r="AS12" s="353">
        <f>AC12+M12+Q12+U12+I12+AG12+AK12+Y12+AO12+E12</f>
        <v>50.51</v>
      </c>
      <c r="AT12" s="353">
        <f>AD12+N12+R12+V12+J12+AH12+AL12+Z12+AP12+F12</f>
        <v>23</v>
      </c>
      <c r="AU12" s="303">
        <f t="shared" si="5"/>
        <v>78.490000000000009</v>
      </c>
      <c r="AV12" s="540">
        <f t="shared" si="6"/>
        <v>30.000000000000007</v>
      </c>
      <c r="AX12" s="1531" t="s">
        <v>11</v>
      </c>
      <c r="AY12" s="1532">
        <v>1</v>
      </c>
      <c r="AZ12" s="1533">
        <f>1+10</f>
        <v>11</v>
      </c>
      <c r="BA12" s="1533">
        <v>13</v>
      </c>
      <c r="BB12" s="1533">
        <v>23</v>
      </c>
      <c r="BC12" s="1533">
        <v>45</v>
      </c>
      <c r="BD12" s="1534">
        <v>2.5</v>
      </c>
      <c r="BE12" s="1503">
        <f>SUM(AY12:BD12)</f>
        <v>95.5</v>
      </c>
      <c r="BF12" s="1231">
        <v>51</v>
      </c>
      <c r="BG12" s="1533">
        <v>58</v>
      </c>
      <c r="BH12" s="1533">
        <v>61</v>
      </c>
      <c r="BI12" s="1534">
        <v>37</v>
      </c>
      <c r="BJ12" s="1503">
        <f>SUM(BF12:BI12)</f>
        <v>207</v>
      </c>
      <c r="BK12" s="1535">
        <f>BE12+BJ12</f>
        <v>302.5</v>
      </c>
      <c r="BL12" s="1536">
        <f t="shared" si="0"/>
        <v>0.13059339046344465</v>
      </c>
      <c r="BM12" s="1508">
        <v>4.88</v>
      </c>
      <c r="BN12" s="1483">
        <v>0.49</v>
      </c>
      <c r="BO12" s="1483">
        <v>0.61</v>
      </c>
      <c r="BP12" s="1484">
        <f t="shared" si="10"/>
        <v>5.98</v>
      </c>
      <c r="BQ12" s="4">
        <v>3.01</v>
      </c>
      <c r="BR12" s="1499">
        <f t="shared" si="11"/>
        <v>2.9700000000000006</v>
      </c>
    </row>
    <row r="13" spans="2:73" ht="19.5" thickBot="1">
      <c r="B13" s="287" t="s">
        <v>12</v>
      </c>
      <c r="C13" s="475">
        <f>'1'!$AP$26</f>
        <v>0</v>
      </c>
      <c r="D13" s="484">
        <f>'1'!$AQ$26</f>
        <v>0</v>
      </c>
      <c r="E13" s="484">
        <f>'1'!$AR$26</f>
        <v>0</v>
      </c>
      <c r="F13" s="534">
        <f>'1'!$AS$26</f>
        <v>0</v>
      </c>
      <c r="G13" s="475">
        <f>'2'!$AP$26</f>
        <v>0</v>
      </c>
      <c r="H13" s="484">
        <f>'2'!$AQ$26</f>
        <v>0</v>
      </c>
      <c r="I13" s="484">
        <f>'2'!$AR$26</f>
        <v>0</v>
      </c>
      <c r="J13" s="534">
        <f>'2'!$AS$26</f>
        <v>0</v>
      </c>
      <c r="K13" s="475">
        <f>'3'!$AP$26</f>
        <v>0</v>
      </c>
      <c r="L13" s="484">
        <f>'3'!$AQ$26</f>
        <v>0</v>
      </c>
      <c r="M13" s="484">
        <f>'3'!$AR$26</f>
        <v>0</v>
      </c>
      <c r="N13" s="534">
        <f>'3'!$AS$26</f>
        <v>3.97</v>
      </c>
      <c r="O13" s="475">
        <f>'4'!$AP$26</f>
        <v>5</v>
      </c>
      <c r="P13" s="484">
        <f>'4'!$AQ$26</f>
        <v>0</v>
      </c>
      <c r="Q13" s="484">
        <f>'4'!$AR$26</f>
        <v>0</v>
      </c>
      <c r="R13" s="534">
        <f>'4'!$AS$26</f>
        <v>0</v>
      </c>
      <c r="S13" s="475">
        <f>'5'!$AP$26</f>
        <v>9.5</v>
      </c>
      <c r="T13" s="484">
        <f>'5'!$AQ$26</f>
        <v>1.05</v>
      </c>
      <c r="U13" s="484">
        <f>'5'!$AR$26</f>
        <v>1.05</v>
      </c>
      <c r="V13" s="534">
        <f>'5'!$AS$26</f>
        <v>0</v>
      </c>
      <c r="W13" s="475">
        <f>'6'!$AP$26</f>
        <v>7</v>
      </c>
      <c r="X13" s="484">
        <f>'6'!$AQ$26</f>
        <v>5</v>
      </c>
      <c r="Y13" s="484">
        <f>'6'!$AR$26</f>
        <v>5</v>
      </c>
      <c r="Z13" s="534">
        <f>'6'!$AS$26</f>
        <v>0</v>
      </c>
      <c r="AA13" s="475">
        <f>'7'!$AP$26</f>
        <v>10</v>
      </c>
      <c r="AB13" s="484">
        <f>'7'!$AQ$26</f>
        <v>8.6999999999999993</v>
      </c>
      <c r="AC13" s="484">
        <f>'7'!$AR$26</f>
        <v>1.7</v>
      </c>
      <c r="AD13" s="534">
        <f>'7'!$AS$26</f>
        <v>0</v>
      </c>
      <c r="AE13" s="475"/>
      <c r="AF13" s="484"/>
      <c r="AG13" s="484"/>
      <c r="AH13" s="534"/>
      <c r="AI13" s="475"/>
      <c r="AJ13" s="484"/>
      <c r="AK13" s="484"/>
      <c r="AL13" s="534"/>
      <c r="AM13" s="475"/>
      <c r="AN13" s="484"/>
      <c r="AO13" s="483"/>
      <c r="AP13" s="534"/>
      <c r="AQ13" s="353">
        <f t="shared" si="1"/>
        <v>31.5</v>
      </c>
      <c r="AR13" s="353">
        <f t="shared" si="2"/>
        <v>14.75</v>
      </c>
      <c r="AS13" s="353">
        <f t="shared" ref="AS13:AS15" si="20">AC13+M13+Q13+U13+I13+AG13+AK13+Y13+AO13+E13</f>
        <v>7.75</v>
      </c>
      <c r="AT13" s="353">
        <f t="shared" ref="AT13:AT15" si="21">AD13+N13+R13+V13+J13+AH13+AL13+Z13+AP13+F13</f>
        <v>3.97</v>
      </c>
      <c r="AU13" s="303">
        <f t="shared" si="5"/>
        <v>23.75</v>
      </c>
      <c r="AV13" s="540">
        <f t="shared" si="6"/>
        <v>7</v>
      </c>
      <c r="AX13" s="1518" t="s">
        <v>12</v>
      </c>
      <c r="AY13" s="1521">
        <v>5</v>
      </c>
      <c r="AZ13" s="1347">
        <v>5</v>
      </c>
      <c r="BA13" s="1347">
        <v>10</v>
      </c>
      <c r="BB13" s="1347">
        <v>10</v>
      </c>
      <c r="BC13" s="1347">
        <v>15</v>
      </c>
      <c r="BD13" s="1397"/>
      <c r="BE13" s="1504">
        <f t="shared" ref="BE13:BE15" si="22">SUM(AY13:BD13)</f>
        <v>45</v>
      </c>
      <c r="BF13" s="1220">
        <v>20</v>
      </c>
      <c r="BG13" s="1347">
        <v>15</v>
      </c>
      <c r="BH13" s="1347">
        <v>20</v>
      </c>
      <c r="BI13" s="1397">
        <v>20</v>
      </c>
      <c r="BJ13" s="1504">
        <f t="shared" ref="BJ13:BJ15" si="23">SUM(BF13:BI13)</f>
        <v>75</v>
      </c>
      <c r="BK13" s="1523">
        <f t="shared" ref="BK13:BK15" si="24">BE13+BJ13</f>
        <v>120</v>
      </c>
      <c r="BL13" s="1516">
        <f t="shared" si="0"/>
        <v>5.1805642497895397E-2</v>
      </c>
      <c r="BM13" s="1508">
        <v>1.29</v>
      </c>
      <c r="BN13" s="1483">
        <v>0.27</v>
      </c>
      <c r="BO13" s="1483">
        <v>0.5</v>
      </c>
      <c r="BP13" s="1484">
        <f t="shared" si="10"/>
        <v>2.06</v>
      </c>
      <c r="BQ13" s="4">
        <v>0.85</v>
      </c>
      <c r="BR13" s="1499">
        <f t="shared" si="11"/>
        <v>1.21</v>
      </c>
    </row>
    <row r="14" spans="2:73" ht="19.5" thickBot="1">
      <c r="B14" s="287" t="s">
        <v>13</v>
      </c>
      <c r="C14" s="475">
        <f>'1'!$AT$26</f>
        <v>0</v>
      </c>
      <c r="D14" s="484">
        <f>'1'!$AU$26</f>
        <v>0</v>
      </c>
      <c r="E14" s="484">
        <f>'1'!$AV$26</f>
        <v>0</v>
      </c>
      <c r="F14" s="534">
        <f>'1'!$AW$26</f>
        <v>0</v>
      </c>
      <c r="G14" s="475">
        <f>'2'!$AT$26</f>
        <v>0</v>
      </c>
      <c r="H14" s="484">
        <f>'2'!$AU$26</f>
        <v>0</v>
      </c>
      <c r="I14" s="484">
        <f>'2'!$AV$26</f>
        <v>0</v>
      </c>
      <c r="J14" s="534">
        <f>'2'!$AW$26</f>
        <v>0</v>
      </c>
      <c r="K14" s="475">
        <f>'3'!$AT$26</f>
        <v>20</v>
      </c>
      <c r="L14" s="484">
        <f>'3'!$AU$26</f>
        <v>22.5</v>
      </c>
      <c r="M14" s="484">
        <f>'3'!$AV$26</f>
        <v>2.5</v>
      </c>
      <c r="N14" s="534">
        <f>'3'!$AW$26</f>
        <v>8</v>
      </c>
      <c r="O14" s="475">
        <f>'4'!$AT$26</f>
        <v>10</v>
      </c>
      <c r="P14" s="484">
        <f>'4'!$AU$26</f>
        <v>3.1</v>
      </c>
      <c r="Q14" s="484">
        <f>'4'!$AV$26</f>
        <v>3.1</v>
      </c>
      <c r="R14" s="534">
        <f>'4'!$AW$26</f>
        <v>0</v>
      </c>
      <c r="S14" s="475">
        <f>'5'!$AT$26</f>
        <v>10</v>
      </c>
      <c r="T14" s="484">
        <f>'5'!$AU$26</f>
        <v>10</v>
      </c>
      <c r="U14" s="484">
        <f>'5'!$AV$26</f>
        <v>0</v>
      </c>
      <c r="V14" s="534">
        <f>'5'!$AW$26</f>
        <v>0</v>
      </c>
      <c r="W14" s="475">
        <f>'6'!$AT$26</f>
        <v>11</v>
      </c>
      <c r="X14" s="484">
        <f>'6'!$AU$26</f>
        <v>17.38</v>
      </c>
      <c r="Y14" s="484">
        <f>'6'!$AV$26</f>
        <v>17.38</v>
      </c>
      <c r="Z14" s="534">
        <f>'6'!$AW$26</f>
        <v>18.5</v>
      </c>
      <c r="AA14" s="475">
        <f>'7'!$AT$26</f>
        <v>15</v>
      </c>
      <c r="AB14" s="484">
        <f>'7'!$AU$26</f>
        <v>27.74</v>
      </c>
      <c r="AC14" s="484">
        <f>'7'!$AV$26</f>
        <v>27.74</v>
      </c>
      <c r="AD14" s="534">
        <f>'7'!$AW$26</f>
        <v>0</v>
      </c>
      <c r="AE14" s="475"/>
      <c r="AF14" s="484"/>
      <c r="AG14" s="484"/>
      <c r="AH14" s="534"/>
      <c r="AI14" s="475"/>
      <c r="AJ14" s="484"/>
      <c r="AK14" s="484"/>
      <c r="AL14" s="534"/>
      <c r="AM14" s="475"/>
      <c r="AN14" s="484"/>
      <c r="AO14" s="483"/>
      <c r="AP14" s="534"/>
      <c r="AQ14" s="353">
        <f t="shared" si="1"/>
        <v>66</v>
      </c>
      <c r="AR14" s="353">
        <f t="shared" si="2"/>
        <v>80.72</v>
      </c>
      <c r="AS14" s="353">
        <f t="shared" si="20"/>
        <v>50.72</v>
      </c>
      <c r="AT14" s="353">
        <f t="shared" si="21"/>
        <v>26.5</v>
      </c>
      <c r="AU14" s="303">
        <f t="shared" si="5"/>
        <v>15.280000000000001</v>
      </c>
      <c r="AV14" s="540">
        <f t="shared" si="6"/>
        <v>30</v>
      </c>
      <c r="AX14" s="1518" t="s">
        <v>13</v>
      </c>
      <c r="AY14" s="1521">
        <v>20</v>
      </c>
      <c r="AZ14" s="1347">
        <v>2.5</v>
      </c>
      <c r="BA14" s="1347">
        <v>10</v>
      </c>
      <c r="BB14" s="1347">
        <v>11</v>
      </c>
      <c r="BC14" s="1347">
        <v>31.25</v>
      </c>
      <c r="BD14" s="1397"/>
      <c r="BE14" s="1504">
        <f t="shared" si="22"/>
        <v>74.75</v>
      </c>
      <c r="BF14" s="1220">
        <v>21</v>
      </c>
      <c r="BG14" s="1347">
        <v>56</v>
      </c>
      <c r="BH14" s="1347">
        <v>59</v>
      </c>
      <c r="BI14" s="1397">
        <v>61</v>
      </c>
      <c r="BJ14" s="1504">
        <f t="shared" si="23"/>
        <v>197</v>
      </c>
      <c r="BK14" s="1523">
        <f t="shared" si="24"/>
        <v>271.75</v>
      </c>
      <c r="BL14" s="1516">
        <f t="shared" si="0"/>
        <v>0.11731819457335896</v>
      </c>
      <c r="BM14" s="1508">
        <v>5.2</v>
      </c>
      <c r="BN14" s="1483">
        <v>0.86</v>
      </c>
      <c r="BO14" s="1483">
        <v>0.35</v>
      </c>
      <c r="BP14" s="1484">
        <f t="shared" si="10"/>
        <v>6.41</v>
      </c>
      <c r="BQ14" s="4">
        <v>2.46</v>
      </c>
      <c r="BR14" s="1499">
        <f t="shared" si="11"/>
        <v>3.95</v>
      </c>
    </row>
    <row r="15" spans="2:73" ht="19.5" thickBot="1">
      <c r="B15" s="288" t="s">
        <v>14</v>
      </c>
      <c r="C15" s="475">
        <f>'1'!$AX$26</f>
        <v>0</v>
      </c>
      <c r="D15" s="484">
        <f>'1'!$AY$26</f>
        <v>0</v>
      </c>
      <c r="E15" s="484">
        <f>'1'!$AZ$26</f>
        <v>0</v>
      </c>
      <c r="F15" s="534">
        <f>'1'!$BA$26</f>
        <v>0</v>
      </c>
      <c r="G15" s="475">
        <f>'2'!$AX$26</f>
        <v>0</v>
      </c>
      <c r="H15" s="484">
        <f>'2'!$AY$26</f>
        <v>0</v>
      </c>
      <c r="I15" s="484">
        <f>'2'!$AZ$26</f>
        <v>0</v>
      </c>
      <c r="J15" s="534">
        <f>'2'!$BA$26</f>
        <v>0</v>
      </c>
      <c r="K15" s="475">
        <f>'3'!$AX$26</f>
        <v>7</v>
      </c>
      <c r="L15" s="484">
        <f>'3'!$AY$26</f>
        <v>7</v>
      </c>
      <c r="M15" s="484">
        <f>'3'!$AZ$26</f>
        <v>7</v>
      </c>
      <c r="N15" s="534">
        <f>'3'!$BA$26</f>
        <v>0</v>
      </c>
      <c r="O15" s="475">
        <f>'4'!$AX$26</f>
        <v>4</v>
      </c>
      <c r="P15" s="484">
        <f>'4'!$AY$26</f>
        <v>0</v>
      </c>
      <c r="Q15" s="484">
        <f>'4'!$AZ$26</f>
        <v>0</v>
      </c>
      <c r="R15" s="534">
        <f>'4'!$BA$26</f>
        <v>0</v>
      </c>
      <c r="S15" s="475">
        <f>'5'!$AX$26</f>
        <v>17</v>
      </c>
      <c r="T15" s="484">
        <f>'5'!$AY$26</f>
        <v>17.939999999999998</v>
      </c>
      <c r="U15" s="484">
        <f>'5'!$AZ$26</f>
        <v>17.940000000000001</v>
      </c>
      <c r="V15" s="534">
        <f>'5'!$BA$26</f>
        <v>0</v>
      </c>
      <c r="W15" s="475">
        <f>'6'!$AX$26</f>
        <v>17</v>
      </c>
      <c r="X15" s="484">
        <f>'6'!$AY$26</f>
        <v>14.9</v>
      </c>
      <c r="Y15" s="484">
        <f>'6'!$AZ$26</f>
        <v>14.9</v>
      </c>
      <c r="Z15" s="534">
        <f>'6'!$BA$26</f>
        <v>3.94</v>
      </c>
      <c r="AA15" s="475">
        <f>'7'!$AX$26</f>
        <v>26</v>
      </c>
      <c r="AB15" s="484">
        <f>'7'!$AY$26</f>
        <v>32</v>
      </c>
      <c r="AC15" s="484">
        <f>'7'!$AZ$26</f>
        <v>23</v>
      </c>
      <c r="AD15" s="534">
        <f>'7'!$BA$26</f>
        <v>6</v>
      </c>
      <c r="AE15" s="475"/>
      <c r="AF15" s="484"/>
      <c r="AG15" s="484"/>
      <c r="AH15" s="534"/>
      <c r="AI15" s="475"/>
      <c r="AJ15" s="484"/>
      <c r="AK15" s="484"/>
      <c r="AL15" s="534"/>
      <c r="AM15" s="475"/>
      <c r="AN15" s="484"/>
      <c r="AO15" s="483"/>
      <c r="AP15" s="534"/>
      <c r="AQ15" s="353">
        <f t="shared" si="1"/>
        <v>71</v>
      </c>
      <c r="AR15" s="353">
        <f t="shared" si="2"/>
        <v>71.84</v>
      </c>
      <c r="AS15" s="353">
        <f t="shared" si="20"/>
        <v>62.839999999999996</v>
      </c>
      <c r="AT15" s="353">
        <f t="shared" si="21"/>
        <v>9.94</v>
      </c>
      <c r="AU15" s="303">
        <f t="shared" si="5"/>
        <v>8.1600000000000037</v>
      </c>
      <c r="AV15" s="540">
        <f>AR15-AS15</f>
        <v>9.0000000000000071</v>
      </c>
      <c r="AX15" s="1525" t="s">
        <v>14</v>
      </c>
      <c r="AY15" s="1540">
        <f>7.5+11.8</f>
        <v>19.3</v>
      </c>
      <c r="AZ15" s="1527">
        <v>3</v>
      </c>
      <c r="BA15" s="1527">
        <v>17</v>
      </c>
      <c r="BB15" s="1527">
        <v>17</v>
      </c>
      <c r="BC15" s="1527">
        <v>27.5</v>
      </c>
      <c r="BD15" s="1403">
        <v>5</v>
      </c>
      <c r="BE15" s="1528">
        <f t="shared" si="22"/>
        <v>88.8</v>
      </c>
      <c r="BF15" s="1222">
        <v>22.4</v>
      </c>
      <c r="BG15" s="1527">
        <v>30</v>
      </c>
      <c r="BH15" s="1527">
        <v>35</v>
      </c>
      <c r="BI15" s="1403">
        <v>28</v>
      </c>
      <c r="BJ15" s="1528">
        <f t="shared" si="23"/>
        <v>115.4</v>
      </c>
      <c r="BK15" s="1529">
        <f t="shared" si="24"/>
        <v>204.2</v>
      </c>
      <c r="BL15" s="1530">
        <f t="shared" si="0"/>
        <v>8.815593498391866E-2</v>
      </c>
      <c r="BM15" s="1508">
        <v>1.72</v>
      </c>
      <c r="BN15" s="1483"/>
      <c r="BO15" s="1483">
        <v>0.66</v>
      </c>
      <c r="BP15" s="1484">
        <f t="shared" si="10"/>
        <v>2.38</v>
      </c>
      <c r="BQ15" s="4">
        <v>1.86</v>
      </c>
      <c r="BR15" s="1494">
        <f t="shared" si="11"/>
        <v>0.5199999999999998</v>
      </c>
    </row>
    <row r="16" spans="2:73" ht="19.5" customHeight="1" thickBot="1">
      <c r="B16" s="14" t="s">
        <v>15</v>
      </c>
      <c r="C16" s="488">
        <f>SUM(C12:C15)</f>
        <v>0</v>
      </c>
      <c r="D16" s="488">
        <f t="shared" ref="D16" si="25">SUM(D12:D15)</f>
        <v>0</v>
      </c>
      <c r="E16" s="488">
        <f>SUM(E12:E15)</f>
        <v>0</v>
      </c>
      <c r="F16" s="488">
        <f t="shared" ref="F16:J16" si="26">SUM(F12:F15)</f>
        <v>0</v>
      </c>
      <c r="G16" s="488">
        <f t="shared" si="26"/>
        <v>0</v>
      </c>
      <c r="H16" s="488">
        <f t="shared" si="26"/>
        <v>0</v>
      </c>
      <c r="I16" s="488">
        <f t="shared" si="26"/>
        <v>0</v>
      </c>
      <c r="J16" s="488">
        <f t="shared" si="26"/>
        <v>0</v>
      </c>
      <c r="K16" s="488">
        <f t="shared" ref="K16:V16" si="27">SUM(K12:K15)</f>
        <v>54</v>
      </c>
      <c r="L16" s="488">
        <f t="shared" si="27"/>
        <v>30.5</v>
      </c>
      <c r="M16" s="488">
        <f t="shared" si="27"/>
        <v>10.5</v>
      </c>
      <c r="N16" s="488">
        <f t="shared" si="27"/>
        <v>34.97</v>
      </c>
      <c r="O16" s="488">
        <f t="shared" si="27"/>
        <v>30</v>
      </c>
      <c r="P16" s="488">
        <f t="shared" si="27"/>
        <v>14.1</v>
      </c>
      <c r="Q16" s="488">
        <f t="shared" si="27"/>
        <v>14.1</v>
      </c>
      <c r="R16" s="488">
        <f t="shared" si="27"/>
        <v>0</v>
      </c>
      <c r="S16" s="488">
        <f t="shared" si="27"/>
        <v>49.5</v>
      </c>
      <c r="T16" s="488">
        <f t="shared" si="27"/>
        <v>38.989999999999995</v>
      </c>
      <c r="U16" s="488">
        <f t="shared" si="27"/>
        <v>28.990000000000002</v>
      </c>
      <c r="V16" s="488">
        <f t="shared" si="27"/>
        <v>0</v>
      </c>
      <c r="W16" s="488">
        <f>SUM(W12:W15)</f>
        <v>58</v>
      </c>
      <c r="X16" s="488">
        <f t="shared" ref="X16:AE16" si="28">SUM(X12:X15)</f>
        <v>44.79</v>
      </c>
      <c r="Y16" s="488">
        <f t="shared" si="28"/>
        <v>44.79</v>
      </c>
      <c r="Z16" s="488">
        <f t="shared" si="28"/>
        <v>22.44</v>
      </c>
      <c r="AA16" s="488">
        <f t="shared" si="28"/>
        <v>106</v>
      </c>
      <c r="AB16" s="488">
        <f t="shared" si="28"/>
        <v>119.44</v>
      </c>
      <c r="AC16" s="488">
        <f t="shared" si="28"/>
        <v>73.44</v>
      </c>
      <c r="AD16" s="488">
        <f t="shared" si="28"/>
        <v>6</v>
      </c>
      <c r="AE16" s="488">
        <f t="shared" si="28"/>
        <v>0</v>
      </c>
      <c r="AF16" s="488">
        <f t="shared" ref="AF16:AH16" si="29">SUM(AF12:AF15)</f>
        <v>0</v>
      </c>
      <c r="AG16" s="488">
        <f t="shared" si="29"/>
        <v>0</v>
      </c>
      <c r="AH16" s="488">
        <f t="shared" si="29"/>
        <v>0</v>
      </c>
      <c r="AI16" s="488">
        <f>SUM(AI12:AI15)</f>
        <v>0</v>
      </c>
      <c r="AJ16" s="488">
        <f t="shared" ref="AJ16:AL16" si="30">SUM(AJ12:AJ15)</f>
        <v>0</v>
      </c>
      <c r="AK16" s="488">
        <f t="shared" si="30"/>
        <v>0</v>
      </c>
      <c r="AL16" s="488">
        <f t="shared" si="30"/>
        <v>0</v>
      </c>
      <c r="AM16" s="488">
        <f>SUM(AM12:AM15)</f>
        <v>0</v>
      </c>
      <c r="AN16" s="16">
        <f>SUM(AN12:AN15)</f>
        <v>0</v>
      </c>
      <c r="AO16" s="300">
        <f>SUM(AO12:AO15)</f>
        <v>0</v>
      </c>
      <c r="AP16" s="479"/>
      <c r="AQ16" s="353">
        <f>SUM(AQ12:AQ15)</f>
        <v>297.5</v>
      </c>
      <c r="AR16" s="353">
        <f t="shared" ref="AR16:AV16" si="31">SUM(AR12:AR15)</f>
        <v>247.82000000000002</v>
      </c>
      <c r="AS16" s="353">
        <f t="shared" si="31"/>
        <v>171.82</v>
      </c>
      <c r="AT16" s="353">
        <f t="shared" si="31"/>
        <v>63.41</v>
      </c>
      <c r="AU16" s="353">
        <f t="shared" si="31"/>
        <v>125.68</v>
      </c>
      <c r="AV16" s="353">
        <f t="shared" si="31"/>
        <v>76</v>
      </c>
      <c r="AX16" s="1548" t="s">
        <v>15</v>
      </c>
      <c r="AY16" s="1549">
        <f t="shared" ref="AY16" si="32">SUM(AY12:AY15)</f>
        <v>45.3</v>
      </c>
      <c r="AZ16" s="1550">
        <f t="shared" ref="AZ16:BI16" si="33">SUM(AZ12:AZ15)</f>
        <v>21.5</v>
      </c>
      <c r="BA16" s="1550">
        <f t="shared" si="33"/>
        <v>50</v>
      </c>
      <c r="BB16" s="1550">
        <f t="shared" si="33"/>
        <v>61</v>
      </c>
      <c r="BC16" s="1550">
        <f t="shared" si="33"/>
        <v>118.75</v>
      </c>
      <c r="BD16" s="1551">
        <f t="shared" si="33"/>
        <v>7.5</v>
      </c>
      <c r="BE16" s="1538">
        <f>SUM(BE12:BE15)</f>
        <v>304.05</v>
      </c>
      <c r="BF16" s="1549">
        <f t="shared" si="33"/>
        <v>114.4</v>
      </c>
      <c r="BG16" s="1550">
        <f t="shared" si="33"/>
        <v>159</v>
      </c>
      <c r="BH16" s="1550">
        <f t="shared" si="33"/>
        <v>175</v>
      </c>
      <c r="BI16" s="1551">
        <f t="shared" si="33"/>
        <v>146</v>
      </c>
      <c r="BJ16" s="1538">
        <f>SUM(BJ12:BJ15)</f>
        <v>594.4</v>
      </c>
      <c r="BK16" s="1552">
        <f>SUM(BK12:BK15)</f>
        <v>898.45</v>
      </c>
      <c r="BL16" s="1553">
        <f t="shared" si="0"/>
        <v>0.3878731625186177</v>
      </c>
      <c r="BM16" s="1510">
        <f>SUM(BM12:BM15)</f>
        <v>13.090000000000002</v>
      </c>
      <c r="BN16" s="1486">
        <f t="shared" ref="BN16:BO16" si="34">SUM(BN12:BN15)</f>
        <v>1.62</v>
      </c>
      <c r="BO16" s="1486">
        <f t="shared" si="34"/>
        <v>2.12</v>
      </c>
      <c r="BP16" s="1493">
        <f t="shared" si="10"/>
        <v>16.830000000000002</v>
      </c>
      <c r="BQ16" s="4">
        <f>SUM(BQ12:BQ15)</f>
        <v>8.18</v>
      </c>
      <c r="BR16" s="1496">
        <f t="shared" si="11"/>
        <v>8.6500000000000021</v>
      </c>
    </row>
    <row r="17" spans="1:70" ht="18.75" hidden="1" customHeight="1">
      <c r="B17" s="19" t="s">
        <v>16</v>
      </c>
      <c r="C17" s="290"/>
      <c r="D17" s="60"/>
      <c r="E17" s="60"/>
      <c r="F17" s="332"/>
      <c r="G17" s="290"/>
      <c r="H17" s="60"/>
      <c r="I17" s="60"/>
      <c r="J17" s="332"/>
      <c r="K17" s="290"/>
      <c r="L17" s="60"/>
      <c r="M17" s="60"/>
      <c r="N17" s="332"/>
      <c r="O17" s="290"/>
      <c r="P17" s="60"/>
      <c r="Q17" s="60"/>
      <c r="R17" s="332"/>
      <c r="S17" s="290"/>
      <c r="T17" s="60"/>
      <c r="U17" s="60"/>
      <c r="V17" s="332"/>
      <c r="W17" s="290"/>
      <c r="X17" s="60"/>
      <c r="Y17" s="60"/>
      <c r="Z17" s="332"/>
      <c r="AA17" s="290"/>
      <c r="AB17" s="60"/>
      <c r="AC17" s="60"/>
      <c r="AD17" s="332"/>
      <c r="AE17" s="290"/>
      <c r="AF17" s="484"/>
      <c r="AG17" s="484"/>
      <c r="AH17" s="332"/>
      <c r="AI17" s="290"/>
      <c r="AJ17" s="60"/>
      <c r="AK17" s="332"/>
      <c r="AL17" s="332"/>
      <c r="AM17" s="290"/>
      <c r="AN17" s="60"/>
      <c r="AO17" s="332"/>
      <c r="AP17" s="332"/>
      <c r="AQ17" s="353">
        <f t="shared" si="1"/>
        <v>0</v>
      </c>
      <c r="AR17" s="353">
        <f t="shared" si="2"/>
        <v>0</v>
      </c>
      <c r="AS17" s="353">
        <f t="shared" ref="AS17:AS18" si="35">AC17+M17+Q17+U17+I17+AG17+AK17+Y17+AO17+E17</f>
        <v>0</v>
      </c>
      <c r="AT17" s="353">
        <f t="shared" ref="AT17:AT18" si="36">AD17+N17+R17+V17+J17+AH17+AL17+Z17+AP17+F17</f>
        <v>0</v>
      </c>
      <c r="AU17" s="304"/>
      <c r="AV17" s="540"/>
      <c r="AX17" s="1541"/>
      <c r="AY17" s="1542"/>
      <c r="AZ17" s="1543"/>
      <c r="BA17" s="1543"/>
      <c r="BB17" s="1543"/>
      <c r="BC17" s="1543"/>
      <c r="BD17" s="1544"/>
      <c r="BE17" s="1545"/>
      <c r="BF17" s="1542"/>
      <c r="BG17" s="1543"/>
      <c r="BH17" s="1543"/>
      <c r="BI17" s="1544"/>
      <c r="BJ17" s="1545"/>
      <c r="BK17" s="1546"/>
      <c r="BL17" s="1547"/>
      <c r="BM17" s="1508"/>
      <c r="BN17" s="1483"/>
      <c r="BO17" s="1483"/>
      <c r="BP17" s="1484">
        <f t="shared" si="10"/>
        <v>0</v>
      </c>
      <c r="BR17" s="1497">
        <f t="shared" si="11"/>
        <v>0</v>
      </c>
    </row>
    <row r="18" spans="1:70" ht="19.5" thickBot="1">
      <c r="B18" s="20" t="s">
        <v>17</v>
      </c>
      <c r="C18" s="532">
        <f>C11+C16+C17</f>
        <v>0</v>
      </c>
      <c r="D18" s="491">
        <f>D11+D16+D17</f>
        <v>21</v>
      </c>
      <c r="E18" s="491">
        <f t="shared" ref="E18:J18" si="37">E11+E16+E17</f>
        <v>21</v>
      </c>
      <c r="F18" s="491">
        <f t="shared" si="37"/>
        <v>0</v>
      </c>
      <c r="G18" s="491">
        <f t="shared" si="37"/>
        <v>0</v>
      </c>
      <c r="H18" s="491">
        <f t="shared" si="37"/>
        <v>0</v>
      </c>
      <c r="I18" s="491">
        <f t="shared" si="37"/>
        <v>0</v>
      </c>
      <c r="J18" s="491">
        <f t="shared" si="37"/>
        <v>0</v>
      </c>
      <c r="K18" s="491">
        <f>K11+K16+K17</f>
        <v>133</v>
      </c>
      <c r="L18" s="491">
        <f t="shared" ref="L18:AE18" si="38">L11+L16+L17</f>
        <v>82.5</v>
      </c>
      <c r="M18" s="491">
        <f t="shared" si="38"/>
        <v>61.5</v>
      </c>
      <c r="N18" s="491">
        <f t="shared" si="38"/>
        <v>54.35</v>
      </c>
      <c r="O18" s="491">
        <f t="shared" si="38"/>
        <v>116</v>
      </c>
      <c r="P18" s="491">
        <f t="shared" si="38"/>
        <v>54.6</v>
      </c>
      <c r="Q18" s="491">
        <f t="shared" si="38"/>
        <v>29.6</v>
      </c>
      <c r="R18" s="491">
        <f t="shared" si="38"/>
        <v>0</v>
      </c>
      <c r="S18" s="491">
        <f t="shared" si="38"/>
        <v>159.5</v>
      </c>
      <c r="T18" s="491">
        <f t="shared" si="38"/>
        <v>134.49</v>
      </c>
      <c r="U18" s="491">
        <f t="shared" si="38"/>
        <v>60.49</v>
      </c>
      <c r="V18" s="491">
        <f t="shared" si="38"/>
        <v>25</v>
      </c>
      <c r="W18" s="491">
        <f t="shared" si="38"/>
        <v>211</v>
      </c>
      <c r="X18" s="491">
        <f t="shared" si="38"/>
        <v>167.91</v>
      </c>
      <c r="Y18" s="491">
        <f t="shared" si="38"/>
        <v>83.91</v>
      </c>
      <c r="Z18" s="491">
        <f t="shared" si="38"/>
        <v>48.400000000000006</v>
      </c>
      <c r="AA18" s="491">
        <f t="shared" si="38"/>
        <v>222</v>
      </c>
      <c r="AB18" s="491">
        <f t="shared" si="38"/>
        <v>219.2</v>
      </c>
      <c r="AC18" s="491">
        <f t="shared" si="38"/>
        <v>112.19999999999999</v>
      </c>
      <c r="AD18" s="491">
        <f t="shared" si="38"/>
        <v>79</v>
      </c>
      <c r="AE18" s="491">
        <f t="shared" si="38"/>
        <v>0</v>
      </c>
      <c r="AF18" s="491"/>
      <c r="AG18" s="302"/>
      <c r="AH18" s="302"/>
      <c r="AI18" s="532"/>
      <c r="AJ18" s="491"/>
      <c r="AK18" s="302">
        <f t="shared" ref="AK18:AP18" si="39">AK11+AK16+AK17</f>
        <v>0</v>
      </c>
      <c r="AL18" s="302">
        <f t="shared" si="39"/>
        <v>0</v>
      </c>
      <c r="AM18" s="532">
        <f t="shared" si="39"/>
        <v>0</v>
      </c>
      <c r="AN18" s="491">
        <f t="shared" si="39"/>
        <v>0</v>
      </c>
      <c r="AO18" s="302">
        <f t="shared" si="39"/>
        <v>0</v>
      </c>
      <c r="AP18" s="302">
        <f t="shared" si="39"/>
        <v>0</v>
      </c>
      <c r="AQ18" s="353">
        <f>AA18+K18+O18+S18+G18+AE18+AI18+W18+AM18+C18</f>
        <v>841.5</v>
      </c>
      <c r="AR18" s="353">
        <f t="shared" si="2"/>
        <v>679.7</v>
      </c>
      <c r="AS18" s="353">
        <f t="shared" si="35"/>
        <v>368.69999999999993</v>
      </c>
      <c r="AT18" s="353">
        <f t="shared" si="36"/>
        <v>206.75</v>
      </c>
      <c r="AU18" s="353">
        <f>AU16+AU11</f>
        <v>472.8</v>
      </c>
      <c r="AV18" s="353">
        <f>AV16+AV11</f>
        <v>311</v>
      </c>
      <c r="AX18" s="1519" t="s">
        <v>17</v>
      </c>
      <c r="AY18" s="1522">
        <f>AY11+AY16</f>
        <v>116.7</v>
      </c>
      <c r="AZ18" s="748">
        <f t="shared" ref="AZ18:BI18" si="40">AZ11+AZ16</f>
        <v>109.5</v>
      </c>
      <c r="BA18" s="748">
        <f t="shared" si="40"/>
        <v>165</v>
      </c>
      <c r="BB18" s="748">
        <f t="shared" si="40"/>
        <v>216</v>
      </c>
      <c r="BC18" s="748">
        <f t="shared" si="40"/>
        <v>274.75</v>
      </c>
      <c r="BD18" s="1194">
        <f t="shared" si="40"/>
        <v>7.5</v>
      </c>
      <c r="BE18" s="1505">
        <f>BE16+BE11</f>
        <v>889.45</v>
      </c>
      <c r="BF18" s="1522">
        <f t="shared" si="40"/>
        <v>294.39999999999998</v>
      </c>
      <c r="BG18" s="748">
        <f t="shared" si="40"/>
        <v>339</v>
      </c>
      <c r="BH18" s="748">
        <f t="shared" si="40"/>
        <v>435</v>
      </c>
      <c r="BI18" s="1194">
        <f t="shared" si="40"/>
        <v>358.5</v>
      </c>
      <c r="BJ18" s="1505">
        <f>BJ16+BJ11</f>
        <v>1426.9</v>
      </c>
      <c r="BK18" s="1520">
        <f>SUM(BE18:BI18)</f>
        <v>2316.35</v>
      </c>
      <c r="BL18" s="1517"/>
      <c r="BM18" s="1511">
        <f>BM16+BM11</f>
        <v>30.39</v>
      </c>
      <c r="BN18" s="1487">
        <f t="shared" ref="BN18:BO18" si="41">BN16+BN11</f>
        <v>5.0999999999999996</v>
      </c>
      <c r="BO18" s="1487">
        <f t="shared" si="41"/>
        <v>4.84</v>
      </c>
      <c r="BP18" s="1488">
        <f t="shared" si="10"/>
        <v>40.33</v>
      </c>
      <c r="BQ18" s="1315">
        <f>BQ16+BQ11</f>
        <v>21.74</v>
      </c>
      <c r="BR18" s="1498">
        <f t="shared" si="11"/>
        <v>18.59</v>
      </c>
    </row>
    <row r="19" spans="1:70" s="625" customFormat="1" ht="24" thickBot="1">
      <c r="A19" s="2"/>
      <c r="B19" s="677"/>
      <c r="C19" s="678"/>
      <c r="D19" s="678"/>
      <c r="E19" s="678"/>
      <c r="F19" s="678"/>
      <c r="G19" s="749"/>
      <c r="H19" s="749"/>
      <c r="I19" s="749"/>
      <c r="J19" s="749"/>
      <c r="K19" s="678"/>
      <c r="L19" s="678"/>
      <c r="M19" s="678"/>
      <c r="N19" s="678"/>
      <c r="O19" s="678"/>
      <c r="P19" s="678"/>
      <c r="Q19" s="678"/>
      <c r="R19" s="678"/>
      <c r="S19" s="749"/>
      <c r="T19" s="749"/>
      <c r="U19" s="749"/>
      <c r="V19" s="749"/>
      <c r="W19" s="749"/>
      <c r="X19" s="749"/>
      <c r="Y19" s="749"/>
      <c r="Z19" s="749"/>
      <c r="AA19" s="678"/>
      <c r="AB19" s="678"/>
      <c r="AC19" s="678"/>
      <c r="AD19" s="678"/>
      <c r="AE19" s="750"/>
      <c r="AF19" s="751"/>
      <c r="AG19" s="751"/>
      <c r="AH19" s="751"/>
      <c r="AI19" s="750"/>
      <c r="AJ19" s="751"/>
      <c r="AK19" s="751"/>
      <c r="AL19" s="751"/>
      <c r="AM19" s="750"/>
      <c r="AN19" s="624"/>
      <c r="AO19" s="624"/>
      <c r="AP19" s="624"/>
      <c r="AQ19" s="752"/>
      <c r="AR19" s="753"/>
      <c r="AS19" s="753"/>
      <c r="AT19" s="753"/>
      <c r="AU19" s="624"/>
      <c r="AV19" s="624"/>
      <c r="AW19" s="624"/>
      <c r="AX19" s="1576"/>
      <c r="AY19" s="1577"/>
      <c r="AZ19" s="1578"/>
      <c r="BA19" s="1611" t="s">
        <v>248</v>
      </c>
      <c r="BB19" s="1612"/>
      <c r="BC19" s="1612"/>
      <c r="BD19" s="1612"/>
      <c r="BE19" s="1612"/>
      <c r="BF19" s="1612"/>
      <c r="BG19" s="1612"/>
      <c r="BH19" s="1612"/>
      <c r="BI19" s="1612"/>
      <c r="BJ19" s="1613"/>
      <c r="BK19" s="1582">
        <f>BK16+BK11</f>
        <v>2316.3500000000004</v>
      </c>
      <c r="BL19" s="1583"/>
      <c r="BN19" s="624"/>
      <c r="BR19" s="624"/>
    </row>
    <row r="20" spans="1:70" s="625" customFormat="1" ht="18.75">
      <c r="A20" s="2"/>
      <c r="B20" s="677"/>
      <c r="C20" s="678"/>
      <c r="D20" s="678"/>
      <c r="E20" s="678"/>
      <c r="F20" s="678"/>
      <c r="G20" s="749"/>
      <c r="H20" s="749"/>
      <c r="I20" s="749"/>
      <c r="J20" s="749"/>
      <c r="K20" s="678"/>
      <c r="L20" s="678"/>
      <c r="M20" s="678"/>
      <c r="N20" s="678"/>
      <c r="O20" s="678"/>
      <c r="P20" s="678"/>
      <c r="Q20" s="678"/>
      <c r="R20" s="678"/>
      <c r="S20" s="749"/>
      <c r="T20" s="749"/>
      <c r="U20" s="749"/>
      <c r="V20" s="749"/>
      <c r="W20" s="749"/>
      <c r="X20" s="749"/>
      <c r="Y20" s="749"/>
      <c r="Z20" s="749"/>
      <c r="AA20" s="678"/>
      <c r="AB20" s="678"/>
      <c r="AC20" s="678"/>
      <c r="AD20" s="678"/>
      <c r="AE20" s="624"/>
      <c r="AF20" s="751"/>
      <c r="AG20" s="751"/>
      <c r="AH20" s="751"/>
      <c r="AI20" s="624"/>
      <c r="AJ20" s="751"/>
      <c r="AK20" s="751"/>
      <c r="AL20" s="751"/>
      <c r="AM20" s="624"/>
      <c r="AN20" s="624"/>
      <c r="AO20" s="624"/>
      <c r="AP20" s="624"/>
      <c r="AQ20" s="752"/>
      <c r="AR20" s="753"/>
      <c r="AS20" s="753"/>
      <c r="AT20" s="753"/>
      <c r="AU20" s="624"/>
      <c r="AV20" s="624"/>
      <c r="AW20" s="624"/>
      <c r="AX20" s="651"/>
      <c r="AY20" s="651"/>
      <c r="AZ20" s="652"/>
      <c r="BA20" s="652"/>
      <c r="BB20" s="652"/>
      <c r="BC20" s="652"/>
      <c r="BD20" s="652"/>
      <c r="BE20" s="652"/>
      <c r="BF20" s="652"/>
      <c r="BG20" s="652"/>
      <c r="BH20" s="652"/>
      <c r="BI20" s="652"/>
      <c r="BJ20" s="652"/>
      <c r="BK20" s="612"/>
      <c r="BL20" s="612"/>
      <c r="BN20" s="624"/>
      <c r="BR20" s="624"/>
    </row>
    <row r="21" spans="1:70">
      <c r="B21" s="624"/>
      <c r="C21" s="624"/>
      <c r="D21" s="751"/>
      <c r="E21" s="751"/>
      <c r="F21" s="751"/>
      <c r="G21" s="751"/>
      <c r="H21" s="751"/>
      <c r="I21" s="624"/>
      <c r="J21" s="624"/>
      <c r="K21" s="624"/>
      <c r="L21" s="751"/>
      <c r="M21" s="751"/>
      <c r="N21" s="751"/>
      <c r="O21" s="624"/>
      <c r="P21" s="751"/>
      <c r="Q21" s="751"/>
      <c r="R21" s="751"/>
      <c r="S21" s="624"/>
      <c r="T21" s="751"/>
      <c r="U21" s="751"/>
      <c r="V21" s="751"/>
      <c r="W21" s="624"/>
      <c r="X21" s="751"/>
      <c r="Y21" s="751"/>
      <c r="Z21" s="751"/>
      <c r="AA21" s="624"/>
      <c r="AB21" s="755"/>
      <c r="AC21" s="751"/>
      <c r="AD21" s="751"/>
      <c r="AE21" s="624"/>
      <c r="AF21" s="751"/>
      <c r="AG21" s="751"/>
      <c r="AH21" s="751"/>
      <c r="AI21" s="624"/>
      <c r="AJ21" s="751"/>
      <c r="AK21" s="751"/>
      <c r="AL21" s="751"/>
      <c r="AM21" s="624"/>
      <c r="AN21" s="624"/>
      <c r="AO21" s="624"/>
      <c r="AP21" s="624"/>
      <c r="AQ21" s="752"/>
      <c r="AR21" s="753"/>
      <c r="AS21" s="753"/>
      <c r="AT21" s="753"/>
      <c r="AU21" s="624"/>
      <c r="AV21" s="624"/>
      <c r="AW21" s="624"/>
      <c r="AX21" s="653"/>
      <c r="AY21" s="653"/>
      <c r="AZ21" s="653"/>
      <c r="BA21" s="653"/>
      <c r="BB21" s="653"/>
      <c r="BC21" s="653"/>
      <c r="BD21" s="653"/>
      <c r="BE21" s="653"/>
      <c r="BF21" s="653"/>
      <c r="BG21" s="653"/>
      <c r="BH21" s="653"/>
      <c r="BI21" s="653"/>
      <c r="BJ21" s="653"/>
      <c r="BK21" s="653"/>
      <c r="BL21" s="653"/>
    </row>
    <row r="22" spans="1:70" ht="18.75" customHeight="1">
      <c r="B22" s="756"/>
      <c r="C22" s="624"/>
      <c r="D22" s="751"/>
      <c r="E22" s="751"/>
      <c r="F22" s="751"/>
      <c r="G22" s="751"/>
      <c r="H22" s="751"/>
      <c r="I22" s="624"/>
      <c r="J22" s="624"/>
      <c r="K22" s="750"/>
      <c r="L22" s="751"/>
      <c r="M22" s="751"/>
      <c r="N22" s="751"/>
      <c r="O22" s="750"/>
      <c r="P22" s="751"/>
      <c r="Q22" s="751"/>
      <c r="R22" s="751"/>
      <c r="S22" s="624"/>
      <c r="T22" s="751"/>
      <c r="U22" s="751"/>
      <c r="V22" s="751"/>
      <c r="W22" s="624"/>
      <c r="X22" s="751"/>
      <c r="Y22" s="751"/>
      <c r="Z22" s="751"/>
      <c r="AA22" s="750"/>
      <c r="AB22" s="751"/>
      <c r="AC22" s="661"/>
      <c r="AD22" s="661"/>
      <c r="AE22" s="624"/>
      <c r="AF22" s="751"/>
      <c r="AG22" s="751"/>
      <c r="AH22" s="751"/>
      <c r="AI22" s="624"/>
      <c r="AJ22" s="751"/>
      <c r="AK22" s="751"/>
      <c r="AL22" s="751"/>
      <c r="AM22" s="624"/>
      <c r="AN22" s="624"/>
      <c r="AO22" s="624"/>
      <c r="AP22" s="624"/>
      <c r="AQ22" s="737"/>
      <c r="AR22" s="753"/>
      <c r="AS22" s="753"/>
      <c r="AT22" s="753"/>
      <c r="AU22" s="624"/>
      <c r="AV22" s="624"/>
      <c r="AW22" s="624"/>
      <c r="AX22" s="1584"/>
      <c r="AY22" s="1173"/>
      <c r="AZ22" s="736"/>
      <c r="BA22" s="736"/>
      <c r="BB22" s="736"/>
      <c r="BC22" s="736"/>
      <c r="BD22" s="736"/>
      <c r="BE22" s="1480"/>
      <c r="BF22" s="1479"/>
      <c r="BG22" s="1479"/>
      <c r="BH22" s="1479"/>
      <c r="BI22" s="1479"/>
      <c r="BJ22" s="1480"/>
      <c r="BK22" s="736"/>
      <c r="BL22" s="736"/>
    </row>
    <row r="23" spans="1:70">
      <c r="B23" s="756"/>
      <c r="C23" s="624"/>
      <c r="D23" s="751"/>
      <c r="E23" s="751"/>
      <c r="F23" s="751"/>
      <c r="G23" s="751"/>
      <c r="H23" s="751"/>
      <c r="I23" s="624"/>
      <c r="J23" s="624"/>
      <c r="K23" s="750"/>
      <c r="L23" s="751"/>
      <c r="M23" s="751"/>
      <c r="N23" s="751"/>
      <c r="O23" s="750"/>
      <c r="P23" s="751"/>
      <c r="Q23" s="751"/>
      <c r="R23" s="751"/>
      <c r="S23" s="624"/>
      <c r="T23" s="751"/>
      <c r="U23" s="751"/>
      <c r="V23" s="751"/>
      <c r="W23" s="624"/>
      <c r="X23" s="751"/>
      <c r="Y23" s="751"/>
      <c r="Z23" s="751"/>
      <c r="AA23" s="750"/>
      <c r="AB23" s="751"/>
      <c r="AC23" s="661"/>
      <c r="AD23" s="661"/>
      <c r="AE23" s="624"/>
      <c r="AF23" s="751"/>
      <c r="AG23" s="751"/>
      <c r="AH23" s="751"/>
      <c r="AI23" s="624"/>
      <c r="AJ23" s="751"/>
      <c r="AK23" s="751"/>
      <c r="AL23" s="751"/>
      <c r="AM23" s="624"/>
      <c r="AN23" s="624"/>
      <c r="AO23" s="624"/>
      <c r="AP23" s="624"/>
      <c r="AQ23" s="737"/>
      <c r="AR23" s="753"/>
      <c r="AS23" s="753"/>
      <c r="AT23" s="753"/>
      <c r="AU23" s="624"/>
      <c r="AV23" s="624"/>
      <c r="AW23" s="624"/>
      <c r="AX23" s="1585"/>
      <c r="AY23" s="1174"/>
      <c r="AZ23" s="736"/>
      <c r="BA23" s="736"/>
      <c r="BB23" s="736"/>
      <c r="BC23" s="736"/>
      <c r="BD23" s="736"/>
      <c r="BE23" s="1480"/>
      <c r="BF23" s="1479"/>
      <c r="BG23" s="1479"/>
      <c r="BH23" s="1479"/>
      <c r="BI23" s="1479"/>
      <c r="BJ23" s="1480"/>
      <c r="BK23" s="736"/>
      <c r="BL23" s="736"/>
    </row>
    <row r="24" spans="1:70" ht="16.5" thickBot="1">
      <c r="B24" s="1603" t="s">
        <v>0</v>
      </c>
      <c r="C24" s="624"/>
      <c r="D24" s="751"/>
      <c r="E24" s="751"/>
      <c r="F24" s="751"/>
      <c r="G24" s="751"/>
      <c r="H24" s="751"/>
      <c r="I24" s="624"/>
      <c r="J24" s="624"/>
      <c r="K24" s="750"/>
      <c r="L24" s="751"/>
      <c r="M24" s="751"/>
      <c r="N24" s="751"/>
      <c r="O24" s="750"/>
      <c r="P24" s="751"/>
      <c r="Q24" s="751"/>
      <c r="R24" s="751"/>
      <c r="S24" s="624"/>
      <c r="T24" s="751"/>
      <c r="U24" s="751"/>
      <c r="V24" s="751"/>
      <c r="W24" s="624"/>
      <c r="X24" s="751"/>
      <c r="Y24" s="751"/>
      <c r="Z24" s="751"/>
      <c r="AA24" s="750"/>
      <c r="AB24" s="751"/>
      <c r="AC24" s="661"/>
      <c r="AD24" s="661"/>
      <c r="AE24" s="624"/>
      <c r="AF24" s="751"/>
      <c r="AG24" s="751"/>
      <c r="AH24" s="751"/>
      <c r="AI24" s="624"/>
      <c r="AJ24" s="751"/>
      <c r="AK24" s="751"/>
      <c r="AL24" s="751"/>
      <c r="AM24" s="624"/>
      <c r="AN24" s="624"/>
      <c r="AO24" s="624"/>
      <c r="AP24" s="624"/>
      <c r="AQ24" s="737"/>
      <c r="AR24" s="753"/>
      <c r="AS24" s="753"/>
      <c r="AT24" s="753"/>
      <c r="AU24" s="624"/>
      <c r="AV24" s="624"/>
      <c r="AW24" s="624"/>
      <c r="AX24" s="647"/>
      <c r="AY24" s="647"/>
      <c r="AZ24" s="738"/>
      <c r="BA24" s="738"/>
      <c r="BB24" s="738"/>
      <c r="BC24" s="738"/>
      <c r="BD24" s="738"/>
      <c r="BE24" s="738"/>
      <c r="BF24" s="738"/>
      <c r="BG24" s="738"/>
      <c r="BH24" s="738"/>
      <c r="BI24" s="738"/>
      <c r="BJ24" s="738"/>
      <c r="BK24" s="738"/>
      <c r="BL24" s="738"/>
      <c r="BN24" s="4"/>
      <c r="BR24" s="4"/>
    </row>
    <row r="25" spans="1:70" ht="24" thickBot="1">
      <c r="B25" s="1604"/>
      <c r="C25" s="624"/>
      <c r="D25" s="751"/>
      <c r="E25" s="751"/>
      <c r="F25" s="751"/>
      <c r="G25" s="751"/>
      <c r="H25" s="751"/>
      <c r="I25" s="624"/>
      <c r="J25" s="624"/>
      <c r="K25" s="750"/>
      <c r="L25" s="751"/>
      <c r="M25" s="751"/>
      <c r="N25" s="751"/>
      <c r="O25" s="750"/>
      <c r="P25" s="751"/>
      <c r="Q25" s="751"/>
      <c r="R25" s="751"/>
      <c r="S25" s="624"/>
      <c r="T25" s="751"/>
      <c r="U25" s="751"/>
      <c r="V25" s="751"/>
      <c r="W25" s="624"/>
      <c r="X25" s="751"/>
      <c r="Y25" s="751"/>
      <c r="Z25" s="751"/>
      <c r="AA25" s="750"/>
      <c r="AB25" s="751"/>
      <c r="AC25" s="661"/>
      <c r="AD25" s="661"/>
      <c r="AE25" s="624"/>
      <c r="AF25" s="751"/>
      <c r="AG25" s="751"/>
      <c r="AH25" s="751"/>
      <c r="AI25" s="624"/>
      <c r="AJ25" s="751"/>
      <c r="AK25" s="751"/>
      <c r="AL25" s="751"/>
      <c r="AM25" s="624"/>
      <c r="AN25" s="624"/>
      <c r="AO25" s="624"/>
      <c r="AP25" s="624"/>
      <c r="AQ25" s="737"/>
      <c r="AR25" s="753"/>
      <c r="AS25" s="753"/>
      <c r="AT25" s="753"/>
      <c r="AU25" s="624"/>
      <c r="AV25" s="624"/>
      <c r="AW25" s="624"/>
      <c r="AX25" s="1512" t="s">
        <v>374</v>
      </c>
      <c r="AY25" s="1513"/>
      <c r="AZ25" s="1513"/>
      <c r="BA25" s="1513"/>
      <c r="BB25" s="1513"/>
      <c r="BC25" s="1513"/>
      <c r="BD25" s="1513"/>
      <c r="BE25" s="1513"/>
      <c r="BF25" s="1513"/>
      <c r="BG25" s="1513"/>
      <c r="BH25" s="1513"/>
      <c r="BI25" s="1513"/>
      <c r="BJ25" s="1513"/>
      <c r="BK25" s="1513"/>
      <c r="BL25" s="1514"/>
      <c r="BN25" s="4"/>
      <c r="BR25" s="4"/>
    </row>
    <row r="26" spans="1:70" ht="18.75">
      <c r="B26" s="289" t="s">
        <v>4</v>
      </c>
      <c r="C26" s="624"/>
      <c r="D26" s="751"/>
      <c r="E26" s="751"/>
      <c r="F26" s="751"/>
      <c r="G26" s="751"/>
      <c r="H26" s="751"/>
      <c r="I26" s="624"/>
      <c r="J26" s="624"/>
      <c r="K26" s="750"/>
      <c r="L26" s="751"/>
      <c r="M26" s="751"/>
      <c r="N26" s="751"/>
      <c r="O26" s="750"/>
      <c r="P26" s="751"/>
      <c r="Q26" s="751"/>
      <c r="R26" s="751"/>
      <c r="S26" s="624"/>
      <c r="T26" s="751"/>
      <c r="U26" s="751"/>
      <c r="V26" s="751"/>
      <c r="W26" s="624"/>
      <c r="X26" s="751"/>
      <c r="Y26" s="751"/>
      <c r="Z26" s="751"/>
      <c r="AA26" s="750"/>
      <c r="AB26" s="751"/>
      <c r="AC26" s="661"/>
      <c r="AD26" s="661"/>
      <c r="AE26" s="624"/>
      <c r="AF26" s="751"/>
      <c r="AG26" s="751"/>
      <c r="AH26" s="751"/>
      <c r="AI26" s="624"/>
      <c r="AJ26" s="751"/>
      <c r="AK26" s="751"/>
      <c r="AL26" s="751"/>
      <c r="AM26" s="624"/>
      <c r="AN26" s="624"/>
      <c r="AO26" s="624"/>
      <c r="AP26" s="624"/>
      <c r="AQ26" s="737"/>
      <c r="AR26" s="753"/>
      <c r="AS26" s="753"/>
      <c r="AT26" s="753"/>
      <c r="AU26" s="624"/>
      <c r="AV26" s="624"/>
      <c r="AW26" s="624"/>
      <c r="AX26" s="1586" t="s">
        <v>0</v>
      </c>
      <c r="AY26" s="1481" t="s">
        <v>57</v>
      </c>
      <c r="AZ26" s="1515" t="s">
        <v>58</v>
      </c>
      <c r="BA26" s="1515" t="s">
        <v>59</v>
      </c>
      <c r="BB26" s="1515" t="s">
        <v>60</v>
      </c>
      <c r="BC26" s="1515" t="s">
        <v>68</v>
      </c>
      <c r="BD26" s="1482" t="s">
        <v>69</v>
      </c>
      <c r="BE26" s="1605" t="s">
        <v>376</v>
      </c>
      <c r="BF26" s="1481" t="s">
        <v>71</v>
      </c>
      <c r="BG26" s="1515" t="s">
        <v>72</v>
      </c>
      <c r="BH26" s="1515" t="s">
        <v>73</v>
      </c>
      <c r="BI26" s="1482" t="s">
        <v>74</v>
      </c>
      <c r="BJ26" s="1605" t="s">
        <v>377</v>
      </c>
      <c r="BK26" s="1599" t="s">
        <v>306</v>
      </c>
      <c r="BL26" s="1601" t="s">
        <v>207</v>
      </c>
      <c r="BN26" s="4"/>
      <c r="BR26" s="4"/>
    </row>
    <row r="27" spans="1:70" ht="18.75">
      <c r="B27" s="287" t="s">
        <v>5</v>
      </c>
      <c r="C27" s="624"/>
      <c r="D27" s="751"/>
      <c r="E27" s="751"/>
      <c r="F27" s="751"/>
      <c r="G27" s="751"/>
      <c r="H27" s="751"/>
      <c r="I27" s="624"/>
      <c r="J27" s="624"/>
      <c r="K27" s="750"/>
      <c r="L27" s="751"/>
      <c r="M27" s="751"/>
      <c r="N27" s="751"/>
      <c r="O27" s="750"/>
      <c r="P27" s="751"/>
      <c r="Q27" s="751"/>
      <c r="R27" s="751"/>
      <c r="S27" s="624"/>
      <c r="T27" s="751"/>
      <c r="U27" s="751"/>
      <c r="V27" s="751"/>
      <c r="W27" s="624"/>
      <c r="X27" s="751"/>
      <c r="Y27" s="751"/>
      <c r="Z27" s="751"/>
      <c r="AA27" s="750"/>
      <c r="AB27" s="751"/>
      <c r="AC27" s="661"/>
      <c r="AD27" s="661"/>
      <c r="AE27" s="624"/>
      <c r="AF27" s="751"/>
      <c r="AG27" s="751"/>
      <c r="AH27" s="751"/>
      <c r="AI27" s="624"/>
      <c r="AJ27" s="751"/>
      <c r="AK27" s="751"/>
      <c r="AL27" s="751"/>
      <c r="AM27" s="624"/>
      <c r="AN27" s="624"/>
      <c r="AO27" s="624"/>
      <c r="AP27" s="624"/>
      <c r="AQ27" s="737"/>
      <c r="AR27" s="753"/>
      <c r="AS27" s="753"/>
      <c r="AT27" s="753"/>
      <c r="AU27" s="624"/>
      <c r="AV27" s="624"/>
      <c r="AW27" s="624"/>
      <c r="AX27" s="1587"/>
      <c r="AY27" s="1400" t="s">
        <v>52</v>
      </c>
      <c r="AZ27" s="1346" t="s">
        <v>53</v>
      </c>
      <c r="BA27" s="1346" t="s">
        <v>54</v>
      </c>
      <c r="BB27" s="1346" t="s">
        <v>3</v>
      </c>
      <c r="BC27" s="1346" t="s">
        <v>50</v>
      </c>
      <c r="BD27" s="1396" t="s">
        <v>51</v>
      </c>
      <c r="BE27" s="1606"/>
      <c r="BF27" s="1400" t="s">
        <v>52</v>
      </c>
      <c r="BG27" s="1346" t="s">
        <v>53</v>
      </c>
      <c r="BH27" s="1346" t="s">
        <v>54</v>
      </c>
      <c r="BI27" s="1396" t="s">
        <v>3</v>
      </c>
      <c r="BJ27" s="1606"/>
      <c r="BK27" s="1600"/>
      <c r="BL27" s="1602"/>
      <c r="BN27" s="4"/>
      <c r="BR27" s="4"/>
    </row>
    <row r="28" spans="1:70" ht="18.75">
      <c r="B28" s="287" t="s">
        <v>6</v>
      </c>
      <c r="C28" s="624"/>
      <c r="D28" s="751"/>
      <c r="E28" s="751"/>
      <c r="F28" s="751"/>
      <c r="G28" s="751"/>
      <c r="H28" s="751"/>
      <c r="I28" s="624"/>
      <c r="J28" s="624"/>
      <c r="K28" s="750"/>
      <c r="L28" s="751">
        <v>56</v>
      </c>
      <c r="M28" s="751"/>
      <c r="N28" s="751"/>
      <c r="O28" s="750"/>
      <c r="P28" s="751"/>
      <c r="Q28" s="751"/>
      <c r="R28" s="751"/>
      <c r="S28" s="624"/>
      <c r="T28" s="751"/>
      <c r="U28" s="751"/>
      <c r="V28" s="751"/>
      <c r="W28" s="624"/>
      <c r="X28" s="751"/>
      <c r="Y28" s="751"/>
      <c r="Z28" s="751"/>
      <c r="AA28" s="750"/>
      <c r="AB28" s="751"/>
      <c r="AC28" s="661"/>
      <c r="AD28" s="661"/>
      <c r="AE28" s="624"/>
      <c r="AF28" s="751"/>
      <c r="AG28" s="751"/>
      <c r="AH28" s="751"/>
      <c r="AI28" s="624"/>
      <c r="AJ28" s="751"/>
      <c r="AK28" s="751"/>
      <c r="AL28" s="751"/>
      <c r="AM28" s="624"/>
      <c r="AN28" s="624"/>
      <c r="AO28" s="624"/>
      <c r="AP28" s="624"/>
      <c r="AQ28" s="737"/>
      <c r="AR28" s="753"/>
      <c r="AS28" s="753"/>
      <c r="AT28" s="753"/>
      <c r="AU28" s="624"/>
      <c r="AV28" s="624"/>
      <c r="AW28" s="624"/>
      <c r="AX28" s="1518" t="s">
        <v>4</v>
      </c>
      <c r="AY28" s="1521">
        <v>15.6</v>
      </c>
      <c r="AZ28" s="1347">
        <v>25</v>
      </c>
      <c r="BA28" s="1347">
        <v>55</v>
      </c>
      <c r="BB28" s="1347">
        <v>50</v>
      </c>
      <c r="BC28" s="1347">
        <v>50</v>
      </c>
      <c r="BD28" s="1397"/>
      <c r="BE28" s="1504">
        <f>SUM(AY28:BD28)</f>
        <v>195.6</v>
      </c>
      <c r="BF28" s="1220">
        <v>60</v>
      </c>
      <c r="BG28" s="1347">
        <v>100</v>
      </c>
      <c r="BH28" s="1347">
        <v>69</v>
      </c>
      <c r="BI28" s="1397">
        <v>65</v>
      </c>
      <c r="BJ28" s="1504">
        <f>SUM(BF28:BI28)</f>
        <v>294</v>
      </c>
      <c r="BK28" s="1523">
        <f>BJ28+BE28</f>
        <v>489.6</v>
      </c>
      <c r="BL28" s="1516">
        <f t="shared" ref="BL28:BL39" si="42">BK28/BK$18</f>
        <v>0.21136702139141322</v>
      </c>
      <c r="BN28" s="4"/>
      <c r="BR28" s="4"/>
    </row>
    <row r="29" spans="1:70" ht="18.75">
      <c r="B29" s="287" t="s">
        <v>7</v>
      </c>
      <c r="C29" s="624"/>
      <c r="D29" s="751"/>
      <c r="E29" s="751"/>
      <c r="F29" s="751"/>
      <c r="G29" s="751"/>
      <c r="H29" s="751"/>
      <c r="I29" s="624"/>
      <c r="J29" s="624"/>
      <c r="K29" s="750"/>
      <c r="L29" s="751">
        <v>26</v>
      </c>
      <c r="M29" s="751"/>
      <c r="N29" s="751"/>
      <c r="O29" s="750"/>
      <c r="P29" s="751"/>
      <c r="Q29" s="751"/>
      <c r="R29" s="751"/>
      <c r="S29" s="624"/>
      <c r="T29" s="751"/>
      <c r="U29" s="751"/>
      <c r="V29" s="751"/>
      <c r="W29" s="624"/>
      <c r="X29" s="751"/>
      <c r="Y29" s="751"/>
      <c r="Z29" s="751"/>
      <c r="AA29" s="750"/>
      <c r="AB29" s="751"/>
      <c r="AC29" s="661"/>
      <c r="AD29" s="661"/>
      <c r="AE29" s="624"/>
      <c r="AF29" s="751"/>
      <c r="AG29" s="751"/>
      <c r="AH29" s="751"/>
      <c r="AI29" s="624"/>
      <c r="AJ29" s="751"/>
      <c r="AK29" s="751"/>
      <c r="AL29" s="751"/>
      <c r="AM29" s="624"/>
      <c r="AN29" s="624"/>
      <c r="AO29" s="624"/>
      <c r="AP29" s="624"/>
      <c r="AQ29" s="737"/>
      <c r="AR29" s="753"/>
      <c r="AS29" s="753"/>
      <c r="AT29" s="753"/>
      <c r="AU29" s="624"/>
      <c r="AV29" s="624"/>
      <c r="AW29" s="624"/>
      <c r="AX29" s="1518" t="s">
        <v>5</v>
      </c>
      <c r="AY29" s="1521">
        <v>23</v>
      </c>
      <c r="AZ29" s="1347">
        <v>0</v>
      </c>
      <c r="BA29" s="1347">
        <v>20</v>
      </c>
      <c r="BB29" s="1347">
        <v>20</v>
      </c>
      <c r="BC29" s="1347">
        <v>37</v>
      </c>
      <c r="BD29" s="1397"/>
      <c r="BE29" s="1504">
        <f t="shared" ref="BE29:BE33" si="43">SUM(AY29:BD29)</f>
        <v>100</v>
      </c>
      <c r="BF29" s="1220">
        <v>30</v>
      </c>
      <c r="BG29" s="1347">
        <v>50</v>
      </c>
      <c r="BH29" s="1347">
        <v>40</v>
      </c>
      <c r="BI29" s="1397">
        <v>40</v>
      </c>
      <c r="BJ29" s="1504">
        <f t="shared" ref="BJ29:BJ33" si="44">SUM(BF29:BI29)</f>
        <v>160</v>
      </c>
      <c r="BK29" s="1523">
        <f t="shared" ref="BK29:BK33" si="45">BJ29+BE29</f>
        <v>260</v>
      </c>
      <c r="BL29" s="1516">
        <f t="shared" si="42"/>
        <v>0.11224555874544002</v>
      </c>
      <c r="BN29" s="4"/>
      <c r="BR29" s="4"/>
    </row>
    <row r="30" spans="1:70" ht="18.75">
      <c r="B30" s="287" t="s">
        <v>8</v>
      </c>
      <c r="C30" s="624"/>
      <c r="D30" s="751"/>
      <c r="E30" s="751"/>
      <c r="F30" s="751"/>
      <c r="G30" s="751"/>
      <c r="H30" s="751"/>
      <c r="I30" s="624"/>
      <c r="J30" s="624"/>
      <c r="K30" s="750"/>
      <c r="L30" s="751"/>
      <c r="M30" s="751"/>
      <c r="N30" s="751"/>
      <c r="O30" s="750"/>
      <c r="P30" s="751"/>
      <c r="Q30" s="751"/>
      <c r="R30" s="751"/>
      <c r="S30" s="624"/>
      <c r="T30" s="751"/>
      <c r="U30" s="751"/>
      <c r="V30" s="751"/>
      <c r="W30" s="624"/>
      <c r="X30" s="751"/>
      <c r="Y30" s="751"/>
      <c r="Z30" s="751"/>
      <c r="AA30" s="750"/>
      <c r="AB30" s="751"/>
      <c r="AC30" s="661"/>
      <c r="AD30" s="661"/>
      <c r="AE30" s="624"/>
      <c r="AF30" s="751"/>
      <c r="AG30" s="751"/>
      <c r="AH30" s="751"/>
      <c r="AI30" s="624"/>
      <c r="AJ30" s="751"/>
      <c r="AK30" s="751"/>
      <c r="AL30" s="751"/>
      <c r="AM30" s="624"/>
      <c r="AN30" s="624"/>
      <c r="AO30" s="624"/>
      <c r="AP30" s="624"/>
      <c r="AQ30" s="737"/>
      <c r="AR30" s="753"/>
      <c r="AS30" s="753"/>
      <c r="AT30" s="753"/>
      <c r="AU30" s="624"/>
      <c r="AV30" s="624"/>
      <c r="AW30" s="624"/>
      <c r="AX30" s="1518" t="s">
        <v>6</v>
      </c>
      <c r="AY30" s="1521">
        <v>0</v>
      </c>
      <c r="AZ30" s="1347">
        <v>0</v>
      </c>
      <c r="BA30" s="1347">
        <v>8</v>
      </c>
      <c r="BB30" s="1347">
        <v>10</v>
      </c>
      <c r="BC30" s="1347">
        <v>10</v>
      </c>
      <c r="BD30" s="1397"/>
      <c r="BE30" s="1504">
        <f t="shared" si="43"/>
        <v>28</v>
      </c>
      <c r="BF30" s="1220">
        <v>20</v>
      </c>
      <c r="BG30" s="1347">
        <v>20</v>
      </c>
      <c r="BH30" s="1347">
        <v>12</v>
      </c>
      <c r="BI30" s="1397">
        <v>20</v>
      </c>
      <c r="BJ30" s="1504">
        <f t="shared" si="44"/>
        <v>72</v>
      </c>
      <c r="BK30" s="1523">
        <f t="shared" si="45"/>
        <v>100</v>
      </c>
      <c r="BL30" s="1516">
        <f t="shared" si="42"/>
        <v>4.3171368748246168E-2</v>
      </c>
      <c r="BN30" s="4"/>
      <c r="BR30" s="4"/>
    </row>
    <row r="31" spans="1:70" ht="18.75">
      <c r="B31" s="288" t="s">
        <v>9</v>
      </c>
      <c r="C31" s="624"/>
      <c r="D31" s="751"/>
      <c r="E31" s="751"/>
      <c r="F31" s="751"/>
      <c r="G31" s="751"/>
      <c r="H31" s="751"/>
      <c r="I31" s="624"/>
      <c r="J31" s="624"/>
      <c r="K31" s="750"/>
      <c r="L31" s="751"/>
      <c r="M31" s="751"/>
      <c r="N31" s="751"/>
      <c r="O31" s="750"/>
      <c r="P31" s="751"/>
      <c r="Q31" s="751"/>
      <c r="R31" s="751"/>
      <c r="S31" s="624"/>
      <c r="T31" s="751"/>
      <c r="U31" s="751"/>
      <c r="V31" s="751"/>
      <c r="W31" s="624"/>
      <c r="X31" s="751"/>
      <c r="Y31" s="751"/>
      <c r="Z31" s="751"/>
      <c r="AA31" s="750"/>
      <c r="AB31" s="751"/>
      <c r="AC31" s="661"/>
      <c r="AD31" s="661"/>
      <c r="AE31" s="624"/>
      <c r="AF31" s="751"/>
      <c r="AG31" s="751"/>
      <c r="AH31" s="751"/>
      <c r="AI31" s="624"/>
      <c r="AJ31" s="751"/>
      <c r="AK31" s="751"/>
      <c r="AL31" s="751"/>
      <c r="AM31" s="624"/>
      <c r="AN31" s="624"/>
      <c r="AO31" s="624"/>
      <c r="AP31" s="624"/>
      <c r="AQ31" s="737"/>
      <c r="AR31" s="753"/>
      <c r="AS31" s="753"/>
      <c r="AT31" s="753"/>
      <c r="AU31" s="624"/>
      <c r="AV31" s="624"/>
      <c r="AW31" s="624"/>
      <c r="AX31" s="1518" t="s">
        <v>7</v>
      </c>
      <c r="AY31" s="1521">
        <v>3</v>
      </c>
      <c r="AZ31" s="1347">
        <v>7.5</v>
      </c>
      <c r="BA31" s="1347">
        <v>10</v>
      </c>
      <c r="BB31" s="1347">
        <v>10</v>
      </c>
      <c r="BC31" s="1347">
        <v>15</v>
      </c>
      <c r="BD31" s="1397"/>
      <c r="BE31" s="1504">
        <f t="shared" si="43"/>
        <v>45.5</v>
      </c>
      <c r="BF31" s="1220">
        <v>10</v>
      </c>
      <c r="BG31" s="1347">
        <v>10</v>
      </c>
      <c r="BH31" s="1347">
        <v>10</v>
      </c>
      <c r="BI31" s="1397">
        <v>15</v>
      </c>
      <c r="BJ31" s="1504">
        <f t="shared" si="44"/>
        <v>45</v>
      </c>
      <c r="BK31" s="1523">
        <f t="shared" si="45"/>
        <v>90.5</v>
      </c>
      <c r="BL31" s="1516">
        <f t="shared" si="42"/>
        <v>3.9070088717162776E-2</v>
      </c>
      <c r="BN31" s="4"/>
      <c r="BR31" s="4"/>
    </row>
    <row r="32" spans="1:70" ht="18.75">
      <c r="B32" s="105" t="s">
        <v>10</v>
      </c>
      <c r="C32" s="624"/>
      <c r="D32" s="751"/>
      <c r="E32" s="751"/>
      <c r="F32" s="751"/>
      <c r="G32" s="751"/>
      <c r="H32" s="751"/>
      <c r="I32" s="624"/>
      <c r="J32" s="624"/>
      <c r="K32" s="750"/>
      <c r="L32" s="751"/>
      <c r="M32" s="751"/>
      <c r="N32" s="751"/>
      <c r="O32" s="750"/>
      <c r="P32" s="751"/>
      <c r="Q32" s="751"/>
      <c r="R32" s="751"/>
      <c r="S32" s="624"/>
      <c r="T32" s="751"/>
      <c r="U32" s="751"/>
      <c r="V32" s="751"/>
      <c r="W32" s="624"/>
      <c r="X32" s="751"/>
      <c r="Y32" s="751"/>
      <c r="Z32" s="751"/>
      <c r="AA32" s="750"/>
      <c r="AB32" s="751"/>
      <c r="AC32" s="661"/>
      <c r="AD32" s="661"/>
      <c r="AE32" s="624"/>
      <c r="AF32" s="751"/>
      <c r="AG32" s="751"/>
      <c r="AH32" s="751"/>
      <c r="AI32" s="624"/>
      <c r="AJ32" s="751"/>
      <c r="AK32" s="751"/>
      <c r="AL32" s="751"/>
      <c r="AM32" s="624"/>
      <c r="AN32" s="624"/>
      <c r="AO32" s="624"/>
      <c r="AP32" s="624"/>
      <c r="AQ32" s="737"/>
      <c r="AR32" s="753"/>
      <c r="AS32" s="753"/>
      <c r="AT32" s="753"/>
      <c r="AU32" s="624"/>
      <c r="AV32" s="624"/>
      <c r="AW32" s="624"/>
      <c r="AX32" s="1518" t="s">
        <v>8</v>
      </c>
      <c r="AY32" s="1521">
        <v>0</v>
      </c>
      <c r="AZ32" s="1347">
        <v>0</v>
      </c>
      <c r="BA32" s="1347">
        <v>2</v>
      </c>
      <c r="BB32" s="1347">
        <v>35</v>
      </c>
      <c r="BC32" s="1347">
        <v>4</v>
      </c>
      <c r="BD32" s="1397"/>
      <c r="BE32" s="1504">
        <f t="shared" si="43"/>
        <v>41</v>
      </c>
      <c r="BF32" s="1220">
        <v>5</v>
      </c>
      <c r="BG32" s="1347">
        <v>5</v>
      </c>
      <c r="BH32" s="1347">
        <v>5</v>
      </c>
      <c r="BI32" s="1397">
        <v>5</v>
      </c>
      <c r="BJ32" s="1504">
        <f t="shared" si="44"/>
        <v>20</v>
      </c>
      <c r="BK32" s="1523">
        <f t="shared" si="45"/>
        <v>61</v>
      </c>
      <c r="BL32" s="1516">
        <f t="shared" si="42"/>
        <v>2.6334534936430159E-2</v>
      </c>
      <c r="BN32" s="4"/>
      <c r="BR32" s="4"/>
    </row>
    <row r="33" spans="2:70" ht="19.5" thickBot="1">
      <c r="B33" s="286" t="s">
        <v>11</v>
      </c>
      <c r="C33" s="624"/>
      <c r="D33" s="751"/>
      <c r="E33" s="751"/>
      <c r="F33" s="751"/>
      <c r="G33" s="751"/>
      <c r="H33" s="751"/>
      <c r="I33" s="624"/>
      <c r="J33" s="624"/>
      <c r="K33" s="750"/>
      <c r="L33" s="751"/>
      <c r="M33" s="751"/>
      <c r="N33" s="751"/>
      <c r="O33" s="750"/>
      <c r="P33" s="751"/>
      <c r="Q33" s="751"/>
      <c r="R33" s="751"/>
      <c r="S33" s="624"/>
      <c r="T33" s="751"/>
      <c r="U33" s="751"/>
      <c r="V33" s="751"/>
      <c r="W33" s="624"/>
      <c r="X33" s="751"/>
      <c r="Y33" s="751"/>
      <c r="Z33" s="751"/>
      <c r="AA33" s="750"/>
      <c r="AB33" s="751"/>
      <c r="AC33" s="661"/>
      <c r="AD33" s="661"/>
      <c r="AE33" s="624"/>
      <c r="AF33" s="751"/>
      <c r="AG33" s="751"/>
      <c r="AH33" s="751"/>
      <c r="AI33" s="624"/>
      <c r="AJ33" s="751"/>
      <c r="AK33" s="751"/>
      <c r="AL33" s="751"/>
      <c r="AM33" s="624"/>
      <c r="AN33" s="624"/>
      <c r="AO33" s="624"/>
      <c r="AP33" s="624"/>
      <c r="AQ33" s="737"/>
      <c r="AR33" s="753"/>
      <c r="AS33" s="753"/>
      <c r="AT33" s="753"/>
      <c r="AU33" s="624"/>
      <c r="AV33" s="624"/>
      <c r="AW33" s="624"/>
      <c r="AX33" s="1525" t="s">
        <v>9</v>
      </c>
      <c r="AY33" s="1526">
        <v>10.4</v>
      </c>
      <c r="AZ33" s="1527">
        <v>8</v>
      </c>
      <c r="BA33" s="1527">
        <v>20</v>
      </c>
      <c r="BB33" s="1527">
        <v>30</v>
      </c>
      <c r="BC33" s="1527">
        <v>40</v>
      </c>
      <c r="BD33" s="1403"/>
      <c r="BE33" s="1528">
        <f t="shared" si="43"/>
        <v>108.4</v>
      </c>
      <c r="BF33" s="1222">
        <v>50</v>
      </c>
      <c r="BG33" s="1527">
        <v>40</v>
      </c>
      <c r="BH33" s="1527">
        <v>60</v>
      </c>
      <c r="BI33" s="1403">
        <v>30</v>
      </c>
      <c r="BJ33" s="1528">
        <f t="shared" si="44"/>
        <v>180</v>
      </c>
      <c r="BK33" s="1529">
        <f t="shared" si="45"/>
        <v>288.39999999999998</v>
      </c>
      <c r="BL33" s="1530">
        <f t="shared" si="42"/>
        <v>0.12450622746994193</v>
      </c>
      <c r="BN33" s="4"/>
      <c r="BR33" s="4"/>
    </row>
    <row r="34" spans="2:70" ht="19.5" thickBot="1">
      <c r="B34" s="287" t="s">
        <v>12</v>
      </c>
      <c r="C34" s="624"/>
      <c r="D34" s="751"/>
      <c r="E34" s="751"/>
      <c r="F34" s="751"/>
      <c r="G34" s="751"/>
      <c r="H34" s="751"/>
      <c r="I34" s="624"/>
      <c r="J34" s="624"/>
      <c r="K34" s="750"/>
      <c r="L34" s="751"/>
      <c r="M34" s="751"/>
      <c r="N34" s="751"/>
      <c r="O34" s="750"/>
      <c r="P34" s="751"/>
      <c r="Q34" s="751"/>
      <c r="R34" s="751"/>
      <c r="S34" s="624"/>
      <c r="T34" s="751"/>
      <c r="U34" s="751"/>
      <c r="V34" s="751"/>
      <c r="W34" s="624"/>
      <c r="X34" s="751"/>
      <c r="Y34" s="751"/>
      <c r="Z34" s="751"/>
      <c r="AA34" s="750"/>
      <c r="AB34" s="751"/>
      <c r="AC34" s="661"/>
      <c r="AD34" s="661"/>
      <c r="AE34" s="624"/>
      <c r="AF34" s="751"/>
      <c r="AG34" s="751"/>
      <c r="AH34" s="751"/>
      <c r="AI34" s="624"/>
      <c r="AJ34" s="751"/>
      <c r="AK34" s="751"/>
      <c r="AL34" s="751"/>
      <c r="AM34" s="624"/>
      <c r="AN34" s="624"/>
      <c r="AO34" s="624"/>
      <c r="AP34" s="624"/>
      <c r="AQ34" s="737"/>
      <c r="AR34" s="753"/>
      <c r="AS34" s="753"/>
      <c r="AT34" s="753"/>
      <c r="AU34" s="624"/>
      <c r="AV34" s="624"/>
      <c r="AW34" s="624"/>
      <c r="AX34" s="1537" t="s">
        <v>10</v>
      </c>
      <c r="AY34" s="1224">
        <v>52</v>
      </c>
      <c r="AZ34" s="1339">
        <v>40.5</v>
      </c>
      <c r="BA34" s="1339">
        <f t="shared" ref="BA34:BD34" si="46">SUM(BA28:BA33)</f>
        <v>115</v>
      </c>
      <c r="BB34" s="1339">
        <f t="shared" si="46"/>
        <v>155</v>
      </c>
      <c r="BC34" s="1339">
        <f t="shared" si="46"/>
        <v>156</v>
      </c>
      <c r="BD34" s="1340">
        <f t="shared" si="46"/>
        <v>0</v>
      </c>
      <c r="BE34" s="1538">
        <f>SUM(BE28:BE33)</f>
        <v>518.5</v>
      </c>
      <c r="BF34" s="1224">
        <f t="shared" ref="BF34:BI34" si="47">SUM(BF28:BF33)</f>
        <v>175</v>
      </c>
      <c r="BG34" s="1339">
        <f t="shared" si="47"/>
        <v>225</v>
      </c>
      <c r="BH34" s="1339">
        <f t="shared" si="47"/>
        <v>196</v>
      </c>
      <c r="BI34" s="1340">
        <f t="shared" si="47"/>
        <v>175</v>
      </c>
      <c r="BJ34" s="1538">
        <f>SUM(BJ28:BJ33)</f>
        <v>771</v>
      </c>
      <c r="BK34" s="1502">
        <f>SUM(BK28:BK33)</f>
        <v>1289.5</v>
      </c>
      <c r="BL34" s="1539">
        <f t="shared" si="42"/>
        <v>0.55669480000863425</v>
      </c>
      <c r="BN34" s="4"/>
      <c r="BR34" s="4"/>
    </row>
    <row r="35" spans="2:70" ht="18.75">
      <c r="B35" s="287" t="s">
        <v>13</v>
      </c>
      <c r="C35" s="624"/>
      <c r="D35" s="751"/>
      <c r="E35" s="751"/>
      <c r="F35" s="751"/>
      <c r="G35" s="751"/>
      <c r="H35" s="751"/>
      <c r="I35" s="624"/>
      <c r="J35" s="624"/>
      <c r="K35" s="750"/>
      <c r="L35" s="751"/>
      <c r="M35" s="751"/>
      <c r="N35" s="751"/>
      <c r="O35" s="750"/>
      <c r="P35" s="751"/>
      <c r="Q35" s="751"/>
      <c r="R35" s="751"/>
      <c r="S35" s="624"/>
      <c r="T35" s="751"/>
      <c r="U35" s="751"/>
      <c r="V35" s="751"/>
      <c r="W35" s="624"/>
      <c r="X35" s="751"/>
      <c r="Y35" s="751"/>
      <c r="Z35" s="751"/>
      <c r="AA35" s="750"/>
      <c r="AB35" s="751"/>
      <c r="AC35" s="661"/>
      <c r="AD35" s="661"/>
      <c r="AE35" s="624"/>
      <c r="AF35" s="751"/>
      <c r="AG35" s="751"/>
      <c r="AH35" s="751"/>
      <c r="AI35" s="624"/>
      <c r="AJ35" s="751"/>
      <c r="AK35" s="751"/>
      <c r="AL35" s="751"/>
      <c r="AM35" s="624"/>
      <c r="AN35" s="624"/>
      <c r="AO35" s="624"/>
      <c r="AP35" s="624"/>
      <c r="AQ35" s="737"/>
      <c r="AR35" s="753"/>
      <c r="AS35" s="753"/>
      <c r="AT35" s="753"/>
      <c r="AU35" s="624"/>
      <c r="AV35" s="624"/>
      <c r="AW35" s="624"/>
      <c r="AX35" s="1531" t="s">
        <v>11</v>
      </c>
      <c r="AY35" s="1532">
        <v>1</v>
      </c>
      <c r="AZ35" s="1533">
        <v>11</v>
      </c>
      <c r="BA35" s="1533">
        <v>13</v>
      </c>
      <c r="BB35" s="1533">
        <v>23</v>
      </c>
      <c r="BC35" s="1533">
        <v>45</v>
      </c>
      <c r="BD35" s="1534">
        <v>2.5</v>
      </c>
      <c r="BE35" s="1503">
        <f>SUM(AY35:BD35)</f>
        <v>95.5</v>
      </c>
      <c r="BF35" s="1231">
        <v>49</v>
      </c>
      <c r="BG35" s="1533">
        <v>58</v>
      </c>
      <c r="BH35" s="1533">
        <v>61</v>
      </c>
      <c r="BI35" s="1534">
        <v>37</v>
      </c>
      <c r="BJ35" s="1503">
        <f>SUM(BF35:BI35)</f>
        <v>205</v>
      </c>
      <c r="BK35" s="1535">
        <f>BE35+BJ35</f>
        <v>300.5</v>
      </c>
      <c r="BL35" s="1536">
        <f t="shared" si="42"/>
        <v>0.12972996308847973</v>
      </c>
      <c r="BN35" s="4"/>
      <c r="BR35" s="4"/>
    </row>
    <row r="36" spans="2:70" ht="18.75">
      <c r="B36" s="288" t="s">
        <v>14</v>
      </c>
      <c r="C36" s="624"/>
      <c r="D36" s="751"/>
      <c r="E36" s="751"/>
      <c r="F36" s="751"/>
      <c r="G36" s="751"/>
      <c r="H36" s="751"/>
      <c r="I36" s="624"/>
      <c r="J36" s="624"/>
      <c r="K36" s="750"/>
      <c r="L36" s="751"/>
      <c r="M36" s="751"/>
      <c r="N36" s="751"/>
      <c r="O36" s="750"/>
      <c r="P36" s="751"/>
      <c r="Q36" s="751"/>
      <c r="R36" s="751"/>
      <c r="S36" s="624"/>
      <c r="T36" s="751"/>
      <c r="U36" s="751"/>
      <c r="V36" s="751"/>
      <c r="W36" s="624"/>
      <c r="X36" s="751"/>
      <c r="Y36" s="751"/>
      <c r="Z36" s="751"/>
      <c r="AA36" s="750"/>
      <c r="AB36" s="751"/>
      <c r="AC36" s="661"/>
      <c r="AD36" s="661"/>
      <c r="AE36" s="624"/>
      <c r="AF36" s="751"/>
      <c r="AG36" s="751"/>
      <c r="AH36" s="751"/>
      <c r="AI36" s="624"/>
      <c r="AJ36" s="751"/>
      <c r="AK36" s="751"/>
      <c r="AL36" s="751"/>
      <c r="AM36" s="624"/>
      <c r="AN36" s="624"/>
      <c r="AO36" s="624"/>
      <c r="AP36" s="624"/>
      <c r="AQ36" s="737"/>
      <c r="AR36" s="753"/>
      <c r="AS36" s="753"/>
      <c r="AT36" s="753"/>
      <c r="AU36" s="624"/>
      <c r="AV36" s="624"/>
      <c r="AW36" s="624"/>
      <c r="AX36" s="1518" t="s">
        <v>12</v>
      </c>
      <c r="AY36" s="1521">
        <v>0</v>
      </c>
      <c r="AZ36" s="1347">
        <v>0</v>
      </c>
      <c r="BA36" s="1347">
        <v>10</v>
      </c>
      <c r="BB36" s="1347">
        <v>10</v>
      </c>
      <c r="BC36" s="1347">
        <v>10</v>
      </c>
      <c r="BD36" s="1397"/>
      <c r="BE36" s="1504">
        <f t="shared" ref="BE36:BE38" si="48">SUM(AY36:BD36)</f>
        <v>30</v>
      </c>
      <c r="BF36" s="1220">
        <v>15</v>
      </c>
      <c r="BG36" s="1347">
        <v>10</v>
      </c>
      <c r="BH36" s="1347">
        <v>10</v>
      </c>
      <c r="BI36" s="1397">
        <v>10</v>
      </c>
      <c r="BJ36" s="1504">
        <f t="shared" ref="BJ36:BJ38" si="49">SUM(BF36:BI36)</f>
        <v>45</v>
      </c>
      <c r="BK36" s="1523">
        <f t="shared" ref="BK36:BK38" si="50">BE36+BJ36</f>
        <v>75</v>
      </c>
      <c r="BL36" s="1516">
        <f t="shared" si="42"/>
        <v>3.2378526561184624E-2</v>
      </c>
      <c r="BN36" s="4"/>
      <c r="BR36" s="4"/>
    </row>
    <row r="37" spans="2:70" ht="18.75">
      <c r="B37" s="14" t="s">
        <v>15</v>
      </c>
      <c r="C37" s="624"/>
      <c r="D37" s="751"/>
      <c r="E37" s="751"/>
      <c r="F37" s="751"/>
      <c r="G37" s="751"/>
      <c r="H37" s="751"/>
      <c r="I37" s="624"/>
      <c r="J37" s="624"/>
      <c r="K37" s="750"/>
      <c r="L37" s="751"/>
      <c r="M37" s="751"/>
      <c r="N37" s="751"/>
      <c r="O37" s="750"/>
      <c r="P37" s="751"/>
      <c r="Q37" s="751"/>
      <c r="R37" s="751"/>
      <c r="S37" s="624"/>
      <c r="T37" s="751"/>
      <c r="U37" s="751"/>
      <c r="V37" s="751"/>
      <c r="W37" s="624"/>
      <c r="X37" s="751"/>
      <c r="Y37" s="751"/>
      <c r="Z37" s="751"/>
      <c r="AA37" s="750"/>
      <c r="AB37" s="751"/>
      <c r="AC37" s="661"/>
      <c r="AD37" s="661"/>
      <c r="AE37" s="624"/>
      <c r="AF37" s="751"/>
      <c r="AG37" s="751"/>
      <c r="AH37" s="751"/>
      <c r="AI37" s="624"/>
      <c r="AJ37" s="751"/>
      <c r="AK37" s="751"/>
      <c r="AL37" s="751"/>
      <c r="AM37" s="624"/>
      <c r="AN37" s="624"/>
      <c r="AO37" s="624"/>
      <c r="AP37" s="624"/>
      <c r="AQ37" s="737"/>
      <c r="AR37" s="753"/>
      <c r="AS37" s="753"/>
      <c r="AT37" s="753"/>
      <c r="AU37" s="624"/>
      <c r="AV37" s="624"/>
      <c r="AW37" s="624"/>
      <c r="AX37" s="1518" t="s">
        <v>13</v>
      </c>
      <c r="AY37" s="1521">
        <v>22.5</v>
      </c>
      <c r="AZ37" s="1347">
        <v>3.1</v>
      </c>
      <c r="BA37" s="1347">
        <v>10</v>
      </c>
      <c r="BB37" s="1347">
        <v>11</v>
      </c>
      <c r="BC37" s="1347">
        <v>31.25</v>
      </c>
      <c r="BD37" s="1397"/>
      <c r="BE37" s="1504">
        <f t="shared" si="48"/>
        <v>77.849999999999994</v>
      </c>
      <c r="BF37" s="1220">
        <v>55</v>
      </c>
      <c r="BG37" s="1347">
        <v>26</v>
      </c>
      <c r="BH37" s="1347">
        <v>60</v>
      </c>
      <c r="BI37" s="1397">
        <v>30</v>
      </c>
      <c r="BJ37" s="1504">
        <f t="shared" si="49"/>
        <v>171</v>
      </c>
      <c r="BK37" s="1523">
        <f t="shared" si="50"/>
        <v>248.85</v>
      </c>
      <c r="BL37" s="1516">
        <f t="shared" si="42"/>
        <v>0.10743195113001058</v>
      </c>
      <c r="BN37" s="4"/>
      <c r="BR37" s="4"/>
    </row>
    <row r="38" spans="2:70" ht="19.5" thickBot="1">
      <c r="B38" s="19" t="s">
        <v>16</v>
      </c>
      <c r="C38" s="624"/>
      <c r="D38" s="751"/>
      <c r="E38" s="751"/>
      <c r="F38" s="751"/>
      <c r="G38" s="751"/>
      <c r="H38" s="751"/>
      <c r="I38" s="624"/>
      <c r="J38" s="624"/>
      <c r="K38" s="750"/>
      <c r="L38" s="751"/>
      <c r="M38" s="751"/>
      <c r="N38" s="751"/>
      <c r="O38" s="750"/>
      <c r="P38" s="751"/>
      <c r="Q38" s="751"/>
      <c r="R38" s="751"/>
      <c r="S38" s="624"/>
      <c r="T38" s="751"/>
      <c r="U38" s="751"/>
      <c r="V38" s="751"/>
      <c r="W38" s="624"/>
      <c r="X38" s="751"/>
      <c r="Y38" s="751"/>
      <c r="Z38" s="751"/>
      <c r="AA38" s="750"/>
      <c r="AB38" s="751"/>
      <c r="AC38" s="661"/>
      <c r="AD38" s="661"/>
      <c r="AE38" s="624"/>
      <c r="AF38" s="751"/>
      <c r="AG38" s="751"/>
      <c r="AH38" s="751"/>
      <c r="AI38" s="624"/>
      <c r="AJ38" s="751"/>
      <c r="AK38" s="751"/>
      <c r="AL38" s="751"/>
      <c r="AM38" s="624"/>
      <c r="AN38" s="624"/>
      <c r="AO38" s="624"/>
      <c r="AP38" s="624"/>
      <c r="AQ38" s="737"/>
      <c r="AR38" s="753"/>
      <c r="AS38" s="753"/>
      <c r="AT38" s="753"/>
      <c r="AU38" s="624"/>
      <c r="AV38" s="624"/>
      <c r="AW38" s="624"/>
      <c r="AX38" s="1525" t="s">
        <v>14</v>
      </c>
      <c r="AY38" s="1540">
        <v>7</v>
      </c>
      <c r="AZ38" s="1527">
        <v>0</v>
      </c>
      <c r="BA38" s="1527">
        <v>17</v>
      </c>
      <c r="BB38" s="1527">
        <v>26.5</v>
      </c>
      <c r="BC38" s="1527">
        <v>5</v>
      </c>
      <c r="BD38" s="1403">
        <v>0</v>
      </c>
      <c r="BE38" s="1528">
        <f t="shared" si="48"/>
        <v>55.5</v>
      </c>
      <c r="BF38" s="1222">
        <v>22.4</v>
      </c>
      <c r="BG38" s="1527">
        <v>30</v>
      </c>
      <c r="BH38" s="1527">
        <v>35</v>
      </c>
      <c r="BI38" s="1403">
        <v>28</v>
      </c>
      <c r="BJ38" s="1528">
        <f t="shared" si="49"/>
        <v>115.4</v>
      </c>
      <c r="BK38" s="1529">
        <f t="shared" si="50"/>
        <v>170.9</v>
      </c>
      <c r="BL38" s="1530">
        <f t="shared" si="42"/>
        <v>7.3779869190752703E-2</v>
      </c>
      <c r="BN38" s="4"/>
      <c r="BR38" s="4"/>
    </row>
    <row r="39" spans="2:70" ht="19.5" thickBot="1">
      <c r="B39" s="20" t="s">
        <v>17</v>
      </c>
      <c r="C39" s="624"/>
      <c r="D39" s="751"/>
      <c r="E39" s="751"/>
      <c r="F39" s="751"/>
      <c r="G39" s="751"/>
      <c r="H39" s="751"/>
      <c r="I39" s="624"/>
      <c r="J39" s="624"/>
      <c r="K39" s="750"/>
      <c r="L39" s="751"/>
      <c r="M39" s="751"/>
      <c r="N39" s="751"/>
      <c r="O39" s="750"/>
      <c r="P39" s="751"/>
      <c r="Q39" s="751"/>
      <c r="R39" s="751"/>
      <c r="S39" s="624"/>
      <c r="T39" s="751"/>
      <c r="U39" s="751"/>
      <c r="V39" s="751"/>
      <c r="W39" s="624"/>
      <c r="X39" s="751"/>
      <c r="Y39" s="751"/>
      <c r="Z39" s="751"/>
      <c r="AA39" s="750"/>
      <c r="AB39" s="751"/>
      <c r="AC39" s="661"/>
      <c r="AD39" s="661"/>
      <c r="AE39" s="624"/>
      <c r="AF39" s="751"/>
      <c r="AG39" s="751"/>
      <c r="AH39" s="751"/>
      <c r="AI39" s="624"/>
      <c r="AJ39" s="751"/>
      <c r="AK39" s="751"/>
      <c r="AL39" s="751"/>
      <c r="AM39" s="624"/>
      <c r="AN39" s="624"/>
      <c r="AO39" s="624"/>
      <c r="AP39" s="624"/>
      <c r="AQ39" s="737"/>
      <c r="AR39" s="753"/>
      <c r="AS39" s="753"/>
      <c r="AT39" s="753"/>
      <c r="AU39" s="624"/>
      <c r="AV39" s="624"/>
      <c r="AW39" s="624"/>
      <c r="AX39" s="1548" t="s">
        <v>15</v>
      </c>
      <c r="AY39" s="1549">
        <v>30.5</v>
      </c>
      <c r="AZ39" s="1550">
        <v>14.1</v>
      </c>
      <c r="BA39" s="1550">
        <f t="shared" ref="BA39:BD39" si="51">SUM(BA35:BA38)</f>
        <v>50</v>
      </c>
      <c r="BB39" s="1550">
        <f t="shared" si="51"/>
        <v>70.5</v>
      </c>
      <c r="BC39" s="1550">
        <f t="shared" si="51"/>
        <v>91.25</v>
      </c>
      <c r="BD39" s="1551">
        <f t="shared" si="51"/>
        <v>2.5</v>
      </c>
      <c r="BE39" s="1538">
        <f>SUM(BE35:BE38)</f>
        <v>258.85000000000002</v>
      </c>
      <c r="BF39" s="1549">
        <f t="shared" ref="BF39:BI39" si="52">SUM(BF35:BF38)</f>
        <v>141.4</v>
      </c>
      <c r="BG39" s="1550">
        <f t="shared" si="52"/>
        <v>124</v>
      </c>
      <c r="BH39" s="1550">
        <f t="shared" si="52"/>
        <v>166</v>
      </c>
      <c r="BI39" s="1551">
        <f t="shared" si="52"/>
        <v>105</v>
      </c>
      <c r="BJ39" s="1538">
        <f>SUM(BJ35:BJ38)</f>
        <v>536.4</v>
      </c>
      <c r="BK39" s="1552">
        <f>SUM(BK35:BK38)</f>
        <v>795.25</v>
      </c>
      <c r="BL39" s="1553">
        <f t="shared" si="42"/>
        <v>0.34332030997042762</v>
      </c>
      <c r="BN39" s="4"/>
      <c r="BR39" s="4"/>
    </row>
    <row r="40" spans="2:70" ht="19.5" thickBot="1">
      <c r="B40" s="756"/>
      <c r="C40" s="624"/>
      <c r="D40" s="751"/>
      <c r="E40" s="751"/>
      <c r="F40" s="751"/>
      <c r="G40" s="751"/>
      <c r="H40" s="751"/>
      <c r="I40" s="624"/>
      <c r="J40" s="624"/>
      <c r="K40" s="750"/>
      <c r="L40" s="751"/>
      <c r="M40" s="751"/>
      <c r="N40" s="751"/>
      <c r="O40" s="750"/>
      <c r="P40" s="751"/>
      <c r="Q40" s="751"/>
      <c r="R40" s="751"/>
      <c r="S40" s="624"/>
      <c r="T40" s="751"/>
      <c r="U40" s="751"/>
      <c r="V40" s="751"/>
      <c r="W40" s="624"/>
      <c r="X40" s="751"/>
      <c r="Y40" s="751"/>
      <c r="Z40" s="751"/>
      <c r="AA40" s="750"/>
      <c r="AB40" s="751"/>
      <c r="AC40" s="661"/>
      <c r="AD40" s="661"/>
      <c r="AE40" s="624"/>
      <c r="AF40" s="751"/>
      <c r="AG40" s="751"/>
      <c r="AH40" s="751"/>
      <c r="AI40" s="624"/>
      <c r="AJ40" s="751"/>
      <c r="AK40" s="751"/>
      <c r="AL40" s="751"/>
      <c r="AM40" s="624"/>
      <c r="AN40" s="624"/>
      <c r="AO40" s="624"/>
      <c r="AP40" s="624"/>
      <c r="AQ40" s="737"/>
      <c r="AR40" s="753"/>
      <c r="AS40" s="753"/>
      <c r="AT40" s="753"/>
      <c r="AU40" s="624"/>
      <c r="AV40" s="624"/>
      <c r="AW40" s="624"/>
      <c r="AX40" s="1519" t="s">
        <v>17</v>
      </c>
      <c r="AY40" s="1522">
        <f>AY34+AY39</f>
        <v>82.5</v>
      </c>
      <c r="AZ40" s="748">
        <f t="shared" ref="AZ40:BD40" si="53">AZ34+AZ39</f>
        <v>54.6</v>
      </c>
      <c r="BA40" s="748">
        <f t="shared" si="53"/>
        <v>165</v>
      </c>
      <c r="BB40" s="748">
        <f t="shared" si="53"/>
        <v>225.5</v>
      </c>
      <c r="BC40" s="748">
        <f t="shared" si="53"/>
        <v>247.25</v>
      </c>
      <c r="BD40" s="1194">
        <f t="shared" si="53"/>
        <v>2.5</v>
      </c>
      <c r="BE40" s="1505">
        <f>BE39+BE34</f>
        <v>777.35</v>
      </c>
      <c r="BF40" s="1522">
        <f t="shared" ref="BF40:BI40" si="54">BF34+BF39</f>
        <v>316.39999999999998</v>
      </c>
      <c r="BG40" s="748">
        <f t="shared" si="54"/>
        <v>349</v>
      </c>
      <c r="BH40" s="748">
        <f t="shared" si="54"/>
        <v>362</v>
      </c>
      <c r="BI40" s="1194">
        <f t="shared" si="54"/>
        <v>280</v>
      </c>
      <c r="BJ40" s="1505">
        <f>BJ39+BJ34</f>
        <v>1307.4000000000001</v>
      </c>
      <c r="BK40" s="1520">
        <f>SUM(BE40:BI40)</f>
        <v>2084.75</v>
      </c>
      <c r="BL40" s="1517"/>
      <c r="BN40" s="4"/>
      <c r="BR40" s="4"/>
    </row>
    <row r="41" spans="2:70" ht="24" thickBot="1">
      <c r="B41" s="756"/>
      <c r="C41" s="624"/>
      <c r="D41" s="751"/>
      <c r="E41" s="751"/>
      <c r="F41" s="751"/>
      <c r="G41" s="751"/>
      <c r="H41" s="751"/>
      <c r="I41" s="624"/>
      <c r="J41" s="624"/>
      <c r="K41" s="750"/>
      <c r="L41" s="751"/>
      <c r="M41" s="751"/>
      <c r="N41" s="751"/>
      <c r="O41" s="750"/>
      <c r="P41" s="751"/>
      <c r="Q41" s="751"/>
      <c r="R41" s="751"/>
      <c r="S41" s="624"/>
      <c r="T41" s="751"/>
      <c r="U41" s="751"/>
      <c r="V41" s="751"/>
      <c r="W41" s="624"/>
      <c r="X41" s="751"/>
      <c r="Y41" s="751"/>
      <c r="Z41" s="751"/>
      <c r="AA41" s="750"/>
      <c r="AB41" s="751"/>
      <c r="AC41" s="661"/>
      <c r="AD41" s="661"/>
      <c r="AE41" s="624"/>
      <c r="AF41" s="751"/>
      <c r="AG41" s="751"/>
      <c r="AH41" s="751"/>
      <c r="AI41" s="624"/>
      <c r="AJ41" s="751"/>
      <c r="AK41" s="751"/>
      <c r="AL41" s="751"/>
      <c r="AM41" s="624"/>
      <c r="AN41" s="624"/>
      <c r="AO41" s="624"/>
      <c r="AP41" s="624"/>
      <c r="AQ41" s="737"/>
      <c r="AR41" s="753"/>
      <c r="AS41" s="753"/>
      <c r="AT41" s="753"/>
      <c r="AU41" s="624"/>
      <c r="AV41" s="624"/>
      <c r="AW41" s="624"/>
      <c r="AX41" s="1576"/>
      <c r="AY41" s="1577"/>
      <c r="AZ41" s="1578"/>
      <c r="BA41" s="1579" t="s">
        <v>248</v>
      </c>
      <c r="BB41" s="1580"/>
      <c r="BC41" s="1580"/>
      <c r="BD41" s="1580"/>
      <c r="BE41" s="1580"/>
      <c r="BF41" s="1580"/>
      <c r="BG41" s="1580"/>
      <c r="BH41" s="1580"/>
      <c r="BI41" s="1580"/>
      <c r="BJ41" s="1581"/>
      <c r="BK41" s="1582">
        <f>BK39+BK34</f>
        <v>2084.75</v>
      </c>
      <c r="BL41" s="1583"/>
      <c r="BN41" s="4"/>
      <c r="BR41" s="4"/>
    </row>
    <row r="42" spans="2:70">
      <c r="B42" s="756"/>
      <c r="C42" s="624"/>
      <c r="D42" s="751"/>
      <c r="E42" s="751"/>
      <c r="F42" s="751"/>
      <c r="G42" s="751"/>
      <c r="H42" s="751"/>
      <c r="I42" s="624"/>
      <c r="J42" s="624"/>
      <c r="K42" s="750"/>
      <c r="L42" s="751"/>
      <c r="M42" s="751"/>
      <c r="N42" s="751"/>
      <c r="O42" s="750"/>
      <c r="P42" s="751"/>
      <c r="Q42" s="751"/>
      <c r="R42" s="751"/>
      <c r="S42" s="624"/>
      <c r="T42" s="751"/>
      <c r="U42" s="751"/>
      <c r="V42" s="751"/>
      <c r="W42" s="624"/>
      <c r="X42" s="751"/>
      <c r="Y42" s="751"/>
      <c r="Z42" s="751"/>
      <c r="AA42" s="750"/>
      <c r="AB42" s="751"/>
      <c r="AC42" s="661"/>
      <c r="AD42" s="661"/>
      <c r="AE42" s="624"/>
      <c r="AF42" s="751"/>
      <c r="AG42" s="751"/>
      <c r="AH42" s="751"/>
      <c r="AI42" s="624"/>
      <c r="AJ42" s="751"/>
      <c r="AK42" s="751"/>
      <c r="AL42" s="751"/>
      <c r="AM42" s="624"/>
      <c r="AN42" s="624"/>
      <c r="AO42" s="624"/>
      <c r="AP42" s="624"/>
      <c r="AQ42" s="737"/>
      <c r="AR42" s="753"/>
      <c r="AS42" s="753"/>
      <c r="AT42" s="753"/>
      <c r="AU42" s="624"/>
      <c r="AV42" s="624"/>
      <c r="AW42" s="624"/>
      <c r="BN42" s="4"/>
      <c r="BR42" s="4"/>
    </row>
    <row r="43" spans="2:70">
      <c r="B43" s="756"/>
      <c r="C43" s="624"/>
      <c r="D43" s="751"/>
      <c r="E43" s="751"/>
      <c r="F43" s="751"/>
      <c r="G43" s="751"/>
      <c r="H43" s="751"/>
      <c r="I43" s="624"/>
      <c r="J43" s="624"/>
      <c r="K43" s="750"/>
      <c r="L43" s="751"/>
      <c r="M43" s="751"/>
      <c r="N43" s="751"/>
      <c r="O43" s="750"/>
      <c r="P43" s="751"/>
      <c r="Q43" s="751"/>
      <c r="R43" s="751"/>
      <c r="S43" s="624"/>
      <c r="T43" s="751"/>
      <c r="U43" s="751"/>
      <c r="V43" s="751"/>
      <c r="W43" s="624"/>
      <c r="X43" s="751"/>
      <c r="Y43" s="751"/>
      <c r="Z43" s="751"/>
      <c r="AA43" s="750"/>
      <c r="AB43" s="751"/>
      <c r="AC43" s="661"/>
      <c r="AD43" s="661"/>
      <c r="AE43" s="624"/>
      <c r="AF43" s="751"/>
      <c r="AG43" s="751"/>
      <c r="AH43" s="751"/>
      <c r="AI43" s="624"/>
      <c r="AJ43" s="751"/>
      <c r="AK43" s="751"/>
      <c r="AL43" s="751"/>
      <c r="AM43" s="624"/>
      <c r="AN43" s="624"/>
      <c r="AO43" s="624"/>
      <c r="AP43" s="624"/>
      <c r="AQ43" s="737"/>
      <c r="AR43" s="753"/>
      <c r="AS43" s="753"/>
      <c r="AT43" s="753"/>
      <c r="AU43" s="624"/>
      <c r="AV43" s="624"/>
      <c r="AW43" s="624"/>
      <c r="BN43" s="4"/>
      <c r="BR43" s="4"/>
    </row>
    <row r="44" spans="2:70">
      <c r="B44" s="756"/>
      <c r="C44" s="624"/>
      <c r="D44" s="751"/>
      <c r="E44" s="751"/>
      <c r="F44" s="751"/>
      <c r="G44" s="751"/>
      <c r="H44" s="751"/>
      <c r="I44" s="624"/>
      <c r="J44" s="624"/>
      <c r="K44" s="750"/>
      <c r="L44" s="751"/>
      <c r="M44" s="751"/>
      <c r="N44" s="751"/>
      <c r="O44" s="750"/>
      <c r="P44" s="751"/>
      <c r="Q44" s="751"/>
      <c r="R44" s="751"/>
      <c r="S44" s="624"/>
      <c r="T44" s="751"/>
      <c r="U44" s="751"/>
      <c r="V44" s="751"/>
      <c r="W44" s="624"/>
      <c r="X44" s="751"/>
      <c r="Y44" s="751"/>
      <c r="Z44" s="751"/>
      <c r="AA44" s="750"/>
      <c r="AB44" s="751"/>
      <c r="AC44" s="661"/>
      <c r="AD44" s="661"/>
      <c r="AE44" s="624"/>
      <c r="AF44" s="751"/>
      <c r="AG44" s="751"/>
      <c r="AH44" s="751"/>
      <c r="AI44" s="624"/>
      <c r="AJ44" s="751"/>
      <c r="AK44" s="751"/>
      <c r="AL44" s="751"/>
      <c r="AM44" s="624"/>
      <c r="AN44" s="624"/>
      <c r="AO44" s="624"/>
      <c r="AP44" s="624"/>
      <c r="AQ44" s="737"/>
      <c r="AR44" s="753"/>
      <c r="AS44" s="753"/>
      <c r="AT44" s="753"/>
      <c r="AU44" s="624"/>
      <c r="AV44" s="624"/>
      <c r="AW44" s="624"/>
    </row>
    <row r="45" spans="2:70">
      <c r="B45" s="756"/>
      <c r="C45" s="624"/>
      <c r="D45" s="751"/>
      <c r="E45" s="751"/>
      <c r="F45" s="751"/>
      <c r="G45" s="751"/>
      <c r="H45" s="751"/>
      <c r="I45" s="624"/>
      <c r="J45" s="624"/>
      <c r="K45" s="750"/>
      <c r="L45" s="751"/>
      <c r="M45" s="751"/>
      <c r="N45" s="751"/>
      <c r="O45" s="750"/>
      <c r="P45" s="751"/>
      <c r="Q45" s="751"/>
      <c r="R45" s="751"/>
      <c r="S45" s="624"/>
      <c r="T45" s="751"/>
      <c r="U45" s="751"/>
      <c r="V45" s="751"/>
      <c r="W45" s="624"/>
      <c r="X45" s="751"/>
      <c r="Y45" s="751"/>
      <c r="Z45" s="751"/>
      <c r="AA45" s="750"/>
      <c r="AB45" s="751"/>
      <c r="AC45" s="661"/>
      <c r="AD45" s="661"/>
      <c r="AE45" s="624"/>
      <c r="AF45" s="751"/>
      <c r="AG45" s="751"/>
      <c r="AH45" s="751"/>
      <c r="AI45" s="624"/>
      <c r="AJ45" s="751"/>
      <c r="AK45" s="751"/>
      <c r="AL45" s="751"/>
      <c r="AM45" s="624"/>
      <c r="AN45" s="624"/>
      <c r="AO45" s="624"/>
      <c r="AP45" s="624"/>
      <c r="AQ45" s="737"/>
      <c r="AR45" s="753"/>
      <c r="AS45" s="753"/>
      <c r="AT45" s="753"/>
      <c r="AU45" s="624"/>
      <c r="AV45" s="624"/>
      <c r="AW45" s="624"/>
    </row>
    <row r="46" spans="2:70">
      <c r="B46" s="756"/>
      <c r="C46" s="624"/>
      <c r="D46" s="751"/>
      <c r="E46" s="751"/>
      <c r="F46" s="751"/>
      <c r="G46" s="751"/>
      <c r="H46" s="751"/>
      <c r="I46" s="624"/>
      <c r="J46" s="624"/>
      <c r="K46" s="750"/>
      <c r="L46" s="751"/>
      <c r="M46" s="751"/>
      <c r="N46" s="751"/>
      <c r="O46" s="750"/>
      <c r="P46" s="751"/>
      <c r="Q46" s="751"/>
      <c r="R46" s="751"/>
      <c r="S46" s="624"/>
      <c r="T46" s="751"/>
      <c r="U46" s="751"/>
      <c r="V46" s="751"/>
      <c r="W46" s="624"/>
      <c r="X46" s="751"/>
      <c r="Y46" s="751"/>
      <c r="Z46" s="751"/>
      <c r="AA46" s="750"/>
      <c r="AB46" s="751"/>
      <c r="AC46" s="661"/>
      <c r="AD46" s="661"/>
      <c r="AE46" s="624"/>
      <c r="AF46" s="751"/>
      <c r="AG46" s="751"/>
      <c r="AH46" s="751"/>
      <c r="AI46" s="624"/>
      <c r="AJ46" s="751"/>
      <c r="AK46" s="751"/>
      <c r="AL46" s="751"/>
      <c r="AM46" s="624"/>
      <c r="AN46" s="624"/>
      <c r="AO46" s="624"/>
      <c r="AP46" s="624"/>
      <c r="AQ46" s="737"/>
      <c r="AR46" s="753"/>
      <c r="AS46" s="753"/>
      <c r="AT46" s="753"/>
      <c r="AU46" s="624"/>
      <c r="AV46" s="624"/>
      <c r="AW46" s="624"/>
    </row>
    <row r="47" spans="2:70">
      <c r="B47" s="756"/>
      <c r="C47" s="624"/>
      <c r="D47" s="751"/>
      <c r="E47" s="751"/>
      <c r="F47" s="751"/>
      <c r="G47" s="751"/>
      <c r="H47" s="751"/>
      <c r="I47" s="624"/>
      <c r="J47" s="624"/>
      <c r="K47" s="750"/>
      <c r="L47" s="751"/>
      <c r="M47" s="751"/>
      <c r="N47" s="751"/>
      <c r="O47" s="750"/>
      <c r="P47" s="751"/>
      <c r="Q47" s="751"/>
      <c r="R47" s="751"/>
      <c r="S47" s="624"/>
      <c r="T47" s="751"/>
      <c r="U47" s="751"/>
      <c r="V47" s="751"/>
      <c r="W47" s="624"/>
      <c r="X47" s="751"/>
      <c r="Y47" s="751"/>
      <c r="Z47" s="751"/>
      <c r="AA47" s="750"/>
      <c r="AB47" s="751"/>
      <c r="AC47" s="661"/>
      <c r="AD47" s="661"/>
      <c r="AE47" s="624"/>
      <c r="AF47" s="751"/>
      <c r="AG47" s="751"/>
      <c r="AH47" s="751"/>
      <c r="AI47" s="624"/>
      <c r="AJ47" s="751"/>
      <c r="AK47" s="751"/>
      <c r="AL47" s="751"/>
      <c r="AM47" s="624"/>
      <c r="AN47" s="624"/>
      <c r="AO47" s="624"/>
      <c r="AP47" s="624"/>
      <c r="AQ47" s="737"/>
      <c r="AR47" s="753"/>
      <c r="AS47" s="753"/>
      <c r="AT47" s="753"/>
      <c r="AU47" s="624"/>
      <c r="AV47" s="624"/>
      <c r="AW47" s="624"/>
    </row>
    <row r="48" spans="2:70">
      <c r="B48" s="756"/>
      <c r="C48" s="624"/>
      <c r="D48" s="751"/>
      <c r="E48" s="751"/>
      <c r="F48" s="751"/>
      <c r="G48" s="751"/>
      <c r="H48" s="751"/>
      <c r="I48" s="624"/>
      <c r="J48" s="624"/>
      <c r="K48" s="750"/>
      <c r="L48" s="751"/>
      <c r="M48" s="751"/>
      <c r="N48" s="751"/>
      <c r="O48" s="750"/>
      <c r="P48" s="751"/>
      <c r="Q48" s="751"/>
      <c r="R48" s="751"/>
      <c r="S48" s="624"/>
      <c r="T48" s="751"/>
      <c r="U48" s="751"/>
      <c r="V48" s="751"/>
      <c r="W48" s="624"/>
      <c r="X48" s="751"/>
      <c r="Y48" s="751"/>
      <c r="Z48" s="751"/>
      <c r="AA48" s="750"/>
      <c r="AB48" s="751"/>
      <c r="AC48" s="661"/>
      <c r="AD48" s="661"/>
      <c r="AE48" s="624"/>
      <c r="AF48" s="751"/>
      <c r="AG48" s="751"/>
      <c r="AH48" s="751"/>
      <c r="AI48" s="624"/>
      <c r="AJ48" s="751"/>
      <c r="AK48" s="751"/>
      <c r="AL48" s="751"/>
      <c r="AM48" s="624"/>
      <c r="AN48" s="624"/>
      <c r="AO48" s="624"/>
      <c r="AP48" s="624"/>
      <c r="AQ48" s="737"/>
      <c r="AR48" s="753"/>
      <c r="AS48" s="753"/>
      <c r="AT48" s="753"/>
      <c r="AU48" s="624"/>
      <c r="AV48" s="624"/>
      <c r="AW48" s="624"/>
    </row>
    <row r="49" spans="2:49">
      <c r="B49" s="756"/>
      <c r="C49" s="624"/>
      <c r="D49" s="751"/>
      <c r="E49" s="751"/>
      <c r="F49" s="751"/>
      <c r="G49" s="751"/>
      <c r="H49" s="751"/>
      <c r="I49" s="624"/>
      <c r="J49" s="624"/>
      <c r="K49" s="750"/>
      <c r="L49" s="751"/>
      <c r="M49" s="751"/>
      <c r="N49" s="751"/>
      <c r="O49" s="750"/>
      <c r="P49" s="751"/>
      <c r="Q49" s="751"/>
      <c r="R49" s="751"/>
      <c r="S49" s="624"/>
      <c r="T49" s="751"/>
      <c r="U49" s="751"/>
      <c r="V49" s="751"/>
      <c r="W49" s="624"/>
      <c r="X49" s="751"/>
      <c r="Y49" s="751"/>
      <c r="Z49" s="751"/>
      <c r="AA49" s="750"/>
      <c r="AB49" s="751"/>
      <c r="AC49" s="661"/>
      <c r="AD49" s="661"/>
      <c r="AE49" s="624"/>
      <c r="AF49" s="751"/>
      <c r="AG49" s="751"/>
      <c r="AH49" s="751"/>
      <c r="AI49" s="624"/>
      <c r="AJ49" s="751"/>
      <c r="AK49" s="751"/>
      <c r="AL49" s="751"/>
      <c r="AM49" s="624"/>
      <c r="AN49" s="624"/>
      <c r="AO49" s="624"/>
      <c r="AP49" s="624"/>
      <c r="AQ49" s="737"/>
      <c r="AR49" s="753"/>
      <c r="AS49" s="753"/>
      <c r="AT49" s="753"/>
      <c r="AU49" s="624"/>
      <c r="AV49" s="624"/>
      <c r="AW49" s="624"/>
    </row>
    <row r="50" spans="2:49">
      <c r="B50" s="756"/>
      <c r="C50" s="624"/>
      <c r="D50" s="751"/>
      <c r="E50" s="751"/>
      <c r="F50" s="751"/>
      <c r="G50" s="751"/>
      <c r="H50" s="751"/>
      <c r="I50" s="624"/>
      <c r="J50" s="624"/>
      <c r="K50" s="750"/>
      <c r="L50" s="751"/>
      <c r="M50" s="751"/>
      <c r="N50" s="751"/>
      <c r="O50" s="750"/>
      <c r="P50" s="751"/>
      <c r="Q50" s="751"/>
      <c r="R50" s="751"/>
      <c r="S50" s="624"/>
      <c r="T50" s="751"/>
      <c r="U50" s="751"/>
      <c r="V50" s="751"/>
      <c r="W50" s="624"/>
      <c r="X50" s="751"/>
      <c r="Y50" s="751"/>
      <c r="Z50" s="751"/>
      <c r="AA50" s="750"/>
      <c r="AB50" s="751"/>
      <c r="AC50" s="661"/>
      <c r="AD50" s="661"/>
      <c r="AE50" s="624"/>
      <c r="AF50" s="751"/>
      <c r="AG50" s="751"/>
      <c r="AH50" s="751"/>
      <c r="AI50" s="624"/>
      <c r="AJ50" s="751"/>
      <c r="AK50" s="751"/>
      <c r="AL50" s="751"/>
      <c r="AM50" s="624"/>
      <c r="AN50" s="624"/>
      <c r="AO50" s="624"/>
      <c r="AP50" s="624"/>
      <c r="AQ50" s="737"/>
      <c r="AR50" s="753"/>
      <c r="AS50" s="753"/>
      <c r="AT50" s="753"/>
      <c r="AU50" s="624"/>
      <c r="AV50" s="624"/>
      <c r="AW50" s="624"/>
    </row>
    <row r="51" spans="2:49">
      <c r="B51" s="756"/>
      <c r="C51" s="624"/>
      <c r="D51" s="751"/>
      <c r="E51" s="751"/>
      <c r="F51" s="751"/>
      <c r="G51" s="751"/>
      <c r="H51" s="751"/>
      <c r="I51" s="624"/>
      <c r="J51" s="624"/>
      <c r="K51" s="750"/>
      <c r="L51" s="751"/>
      <c r="M51" s="751"/>
      <c r="N51" s="751"/>
      <c r="O51" s="750"/>
      <c r="P51" s="751"/>
      <c r="Q51" s="751"/>
      <c r="R51" s="751"/>
      <c r="S51" s="624"/>
      <c r="T51" s="751"/>
      <c r="U51" s="751"/>
      <c r="V51" s="751"/>
      <c r="W51" s="624"/>
      <c r="X51" s="751"/>
      <c r="Y51" s="751"/>
      <c r="Z51" s="751"/>
      <c r="AA51" s="750"/>
      <c r="AB51" s="751"/>
      <c r="AC51" s="661"/>
      <c r="AD51" s="661"/>
      <c r="AE51" s="624"/>
      <c r="AF51" s="751"/>
      <c r="AG51" s="751"/>
      <c r="AH51" s="751"/>
      <c r="AI51" s="624"/>
      <c r="AJ51" s="751"/>
      <c r="AK51" s="751"/>
      <c r="AL51" s="751"/>
      <c r="AM51" s="624"/>
      <c r="AN51" s="624"/>
      <c r="AO51" s="624"/>
      <c r="AP51" s="624"/>
      <c r="AQ51" s="737"/>
      <c r="AR51" s="753"/>
      <c r="AS51" s="753"/>
      <c r="AT51" s="753"/>
      <c r="AU51" s="624"/>
      <c r="AV51" s="624"/>
      <c r="AW51" s="624"/>
    </row>
    <row r="52" spans="2:49">
      <c r="B52" s="756"/>
      <c r="C52" s="624"/>
      <c r="D52" s="751"/>
      <c r="E52" s="751"/>
      <c r="F52" s="751"/>
      <c r="G52" s="751"/>
      <c r="H52" s="751"/>
      <c r="I52" s="624"/>
      <c r="J52" s="624"/>
      <c r="K52" s="750"/>
      <c r="L52" s="751"/>
      <c r="M52" s="751"/>
      <c r="N52" s="751"/>
      <c r="O52" s="750"/>
      <c r="P52" s="751"/>
      <c r="Q52" s="751"/>
      <c r="R52" s="751"/>
      <c r="S52" s="624"/>
      <c r="T52" s="751"/>
      <c r="U52" s="751"/>
      <c r="V52" s="751"/>
      <c r="W52" s="624"/>
      <c r="X52" s="751"/>
      <c r="Y52" s="751"/>
      <c r="Z52" s="751"/>
      <c r="AA52" s="750"/>
      <c r="AB52" s="751"/>
      <c r="AC52" s="661"/>
      <c r="AD52" s="661"/>
      <c r="AE52" s="624"/>
      <c r="AF52" s="751"/>
      <c r="AG52" s="751"/>
      <c r="AH52" s="751"/>
      <c r="AI52" s="624"/>
      <c r="AJ52" s="751"/>
      <c r="AK52" s="751"/>
      <c r="AL52" s="751"/>
      <c r="AM52" s="624"/>
      <c r="AN52" s="624"/>
      <c r="AO52" s="624"/>
      <c r="AP52" s="624"/>
      <c r="AQ52" s="737"/>
      <c r="AR52" s="753"/>
      <c r="AS52" s="753"/>
      <c r="AT52" s="753"/>
      <c r="AU52" s="624"/>
      <c r="AV52" s="624"/>
      <c r="AW52" s="624"/>
    </row>
    <row r="53" spans="2:49">
      <c r="B53" s="756"/>
      <c r="C53" s="624"/>
      <c r="D53" s="751"/>
      <c r="E53" s="751"/>
      <c r="F53" s="751"/>
      <c r="G53" s="751"/>
      <c r="H53" s="751"/>
      <c r="I53" s="624"/>
      <c r="J53" s="624"/>
      <c r="K53" s="750"/>
      <c r="L53" s="751"/>
      <c r="M53" s="751"/>
      <c r="N53" s="751"/>
      <c r="O53" s="750"/>
      <c r="P53" s="751"/>
      <c r="Q53" s="751"/>
      <c r="R53" s="751"/>
      <c r="S53" s="624"/>
      <c r="T53" s="751"/>
      <c r="U53" s="751"/>
      <c r="V53" s="751"/>
      <c r="W53" s="624"/>
      <c r="X53" s="751"/>
      <c r="Y53" s="751"/>
      <c r="Z53" s="751"/>
      <c r="AA53" s="750"/>
      <c r="AB53" s="751"/>
      <c r="AC53" s="661"/>
      <c r="AD53" s="661"/>
      <c r="AE53" s="624"/>
      <c r="AF53" s="751"/>
      <c r="AG53" s="751"/>
      <c r="AH53" s="751"/>
      <c r="AI53" s="624"/>
      <c r="AJ53" s="751"/>
      <c r="AK53" s="751"/>
      <c r="AL53" s="751"/>
      <c r="AM53" s="624"/>
      <c r="AN53" s="624"/>
      <c r="AO53" s="624"/>
      <c r="AP53" s="624"/>
      <c r="AQ53" s="737"/>
      <c r="AR53" s="753"/>
      <c r="AS53" s="753"/>
      <c r="AT53" s="753"/>
      <c r="AU53" s="624"/>
      <c r="AV53" s="624"/>
      <c r="AW53" s="624"/>
    </row>
    <row r="54" spans="2:49">
      <c r="B54" s="756"/>
      <c r="C54" s="624"/>
      <c r="D54" s="751"/>
      <c r="E54" s="751"/>
      <c r="F54" s="751"/>
      <c r="G54" s="751"/>
      <c r="H54" s="751"/>
      <c r="I54" s="624"/>
      <c r="J54" s="624"/>
      <c r="K54" s="750"/>
      <c r="L54" s="751"/>
      <c r="M54" s="751"/>
      <c r="N54" s="751"/>
      <c r="O54" s="750"/>
      <c r="P54" s="751"/>
      <c r="Q54" s="751"/>
      <c r="R54" s="751"/>
      <c r="S54" s="624"/>
      <c r="T54" s="751"/>
      <c r="U54" s="751"/>
      <c r="V54" s="751"/>
      <c r="W54" s="624"/>
      <c r="X54" s="751"/>
      <c r="Y54" s="751"/>
      <c r="Z54" s="751"/>
      <c r="AA54" s="750"/>
      <c r="AB54" s="751"/>
      <c r="AC54" s="661"/>
      <c r="AD54" s="661"/>
      <c r="AE54" s="624"/>
      <c r="AF54" s="751"/>
      <c r="AG54" s="751"/>
      <c r="AH54" s="751"/>
      <c r="AI54" s="624"/>
      <c r="AJ54" s="751"/>
      <c r="AK54" s="751"/>
      <c r="AL54" s="751"/>
      <c r="AM54" s="624"/>
      <c r="AN54" s="624"/>
      <c r="AO54" s="624"/>
      <c r="AP54" s="624"/>
      <c r="AQ54" s="737"/>
      <c r="AR54" s="753"/>
      <c r="AS54" s="753"/>
      <c r="AT54" s="753"/>
      <c r="AU54" s="624"/>
      <c r="AV54" s="624"/>
      <c r="AW54" s="624"/>
    </row>
    <row r="55" spans="2:49">
      <c r="B55" s="756"/>
      <c r="C55" s="624"/>
      <c r="D55" s="751"/>
      <c r="E55" s="751"/>
      <c r="F55" s="751"/>
      <c r="G55" s="751"/>
      <c r="H55" s="751"/>
      <c r="I55" s="624"/>
      <c r="J55" s="624"/>
      <c r="K55" s="750"/>
      <c r="L55" s="751"/>
      <c r="M55" s="751"/>
      <c r="N55" s="751"/>
      <c r="O55" s="750"/>
      <c r="P55" s="751"/>
      <c r="Q55" s="751"/>
      <c r="R55" s="751"/>
      <c r="S55" s="624"/>
      <c r="T55" s="751"/>
      <c r="U55" s="751"/>
      <c r="V55" s="751"/>
      <c r="W55" s="624"/>
      <c r="X55" s="751"/>
      <c r="Y55" s="751"/>
      <c r="Z55" s="751"/>
      <c r="AA55" s="750"/>
      <c r="AB55" s="751"/>
      <c r="AC55" s="661"/>
      <c r="AD55" s="661"/>
      <c r="AE55" s="624"/>
      <c r="AF55" s="751"/>
      <c r="AG55" s="751"/>
      <c r="AH55" s="751"/>
      <c r="AI55" s="624"/>
      <c r="AJ55" s="751"/>
      <c r="AK55" s="751"/>
      <c r="AL55" s="751"/>
      <c r="AM55" s="624"/>
      <c r="AN55" s="624"/>
      <c r="AO55" s="624"/>
      <c r="AP55" s="624"/>
      <c r="AQ55" s="737"/>
      <c r="AR55" s="753"/>
      <c r="AS55" s="753"/>
      <c r="AT55" s="753"/>
      <c r="AU55" s="624"/>
      <c r="AV55" s="624"/>
      <c r="AW55" s="624"/>
    </row>
    <row r="56" spans="2:49">
      <c r="B56" s="756"/>
      <c r="C56" s="624"/>
      <c r="D56" s="751"/>
      <c r="E56" s="751"/>
      <c r="F56" s="751"/>
      <c r="G56" s="751"/>
      <c r="H56" s="751"/>
      <c r="I56" s="624"/>
      <c r="J56" s="624"/>
      <c r="K56" s="750"/>
      <c r="L56" s="751"/>
      <c r="M56" s="751"/>
      <c r="N56" s="751"/>
      <c r="O56" s="750"/>
      <c r="P56" s="751"/>
      <c r="Q56" s="751"/>
      <c r="R56" s="751"/>
      <c r="S56" s="624"/>
      <c r="T56" s="751"/>
      <c r="U56" s="751"/>
      <c r="V56" s="751"/>
      <c r="W56" s="624"/>
      <c r="X56" s="751"/>
      <c r="Y56" s="751"/>
      <c r="Z56" s="751"/>
      <c r="AA56" s="750"/>
      <c r="AB56" s="751"/>
      <c r="AC56" s="661"/>
      <c r="AD56" s="661"/>
      <c r="AE56" s="624"/>
      <c r="AF56" s="751"/>
      <c r="AG56" s="751"/>
      <c r="AH56" s="751"/>
      <c r="AI56" s="624"/>
      <c r="AJ56" s="751"/>
      <c r="AK56" s="751"/>
      <c r="AL56" s="751"/>
      <c r="AM56" s="624"/>
      <c r="AN56" s="624"/>
      <c r="AO56" s="624"/>
      <c r="AP56" s="624"/>
      <c r="AQ56" s="737"/>
      <c r="AR56" s="753"/>
      <c r="AS56" s="753"/>
      <c r="AT56" s="753"/>
      <c r="AU56" s="624"/>
      <c r="AV56" s="624"/>
      <c r="AW56" s="624"/>
    </row>
    <row r="57" spans="2:49">
      <c r="B57" s="756"/>
      <c r="C57" s="624"/>
      <c r="D57" s="751"/>
      <c r="E57" s="751"/>
      <c r="F57" s="751"/>
      <c r="G57" s="751"/>
      <c r="H57" s="751"/>
      <c r="I57" s="624"/>
      <c r="J57" s="624"/>
      <c r="K57" s="750"/>
      <c r="L57" s="751"/>
      <c r="M57" s="751"/>
      <c r="N57" s="751"/>
      <c r="O57" s="750"/>
      <c r="P57" s="751"/>
      <c r="Q57" s="751"/>
      <c r="R57" s="751"/>
      <c r="S57" s="624"/>
      <c r="T57" s="751"/>
      <c r="U57" s="751"/>
      <c r="V57" s="751"/>
      <c r="W57" s="624"/>
      <c r="X57" s="751"/>
      <c r="Y57" s="751"/>
      <c r="Z57" s="751"/>
      <c r="AA57" s="750"/>
      <c r="AB57" s="751"/>
      <c r="AC57" s="661"/>
      <c r="AD57" s="661"/>
      <c r="AE57" s="624"/>
      <c r="AF57" s="751"/>
      <c r="AG57" s="751"/>
      <c r="AH57" s="751"/>
      <c r="AI57" s="624"/>
      <c r="AJ57" s="751"/>
      <c r="AK57" s="751"/>
      <c r="AL57" s="751"/>
      <c r="AM57" s="624"/>
      <c r="AN57" s="624"/>
      <c r="AO57" s="624"/>
      <c r="AP57" s="624"/>
      <c r="AQ57" s="737"/>
      <c r="AR57" s="753"/>
      <c r="AS57" s="753"/>
      <c r="AT57" s="753"/>
      <c r="AU57" s="624"/>
      <c r="AV57" s="624"/>
      <c r="AW57" s="624"/>
    </row>
    <row r="58" spans="2:49">
      <c r="B58" s="756"/>
      <c r="C58" s="624"/>
      <c r="D58" s="751"/>
      <c r="E58" s="751"/>
      <c r="F58" s="751"/>
      <c r="G58" s="751"/>
      <c r="H58" s="751"/>
      <c r="I58" s="624"/>
      <c r="J58" s="624"/>
      <c r="K58" s="750"/>
      <c r="L58" s="751"/>
      <c r="M58" s="751"/>
      <c r="N58" s="751"/>
      <c r="O58" s="750"/>
      <c r="P58" s="751"/>
      <c r="Q58" s="751"/>
      <c r="R58" s="751"/>
      <c r="S58" s="624"/>
      <c r="T58" s="751"/>
      <c r="U58" s="751"/>
      <c r="V58" s="751"/>
      <c r="W58" s="624"/>
      <c r="X58" s="751"/>
      <c r="Y58" s="751"/>
      <c r="Z58" s="751"/>
      <c r="AA58" s="750"/>
      <c r="AB58" s="751"/>
      <c r="AC58" s="661"/>
      <c r="AD58" s="661"/>
      <c r="AE58" s="624"/>
      <c r="AF58" s="751"/>
      <c r="AG58" s="751"/>
      <c r="AH58" s="751"/>
      <c r="AI58" s="624"/>
      <c r="AJ58" s="751"/>
      <c r="AK58" s="751"/>
      <c r="AL58" s="751"/>
      <c r="AM58" s="624"/>
      <c r="AN58" s="624"/>
      <c r="AO58" s="624"/>
      <c r="AP58" s="624"/>
      <c r="AQ58" s="737"/>
      <c r="AR58" s="753"/>
      <c r="AS58" s="753"/>
      <c r="AT58" s="753"/>
      <c r="AU58" s="624"/>
      <c r="AV58" s="624"/>
      <c r="AW58" s="624"/>
    </row>
    <row r="59" spans="2:49">
      <c r="B59" s="756"/>
      <c r="C59" s="624"/>
      <c r="D59" s="751"/>
      <c r="E59" s="751"/>
      <c r="F59" s="751"/>
      <c r="G59" s="751"/>
      <c r="H59" s="751"/>
      <c r="I59" s="624"/>
      <c r="J59" s="624"/>
      <c r="K59" s="750"/>
      <c r="L59" s="751"/>
      <c r="M59" s="751"/>
      <c r="N59" s="751"/>
      <c r="O59" s="750"/>
      <c r="P59" s="751"/>
      <c r="Q59" s="751"/>
      <c r="R59" s="751"/>
      <c r="S59" s="624"/>
      <c r="T59" s="751"/>
      <c r="U59" s="751"/>
      <c r="V59" s="751"/>
      <c r="W59" s="624"/>
      <c r="X59" s="751"/>
      <c r="Y59" s="751"/>
      <c r="Z59" s="751"/>
      <c r="AA59" s="750"/>
      <c r="AB59" s="751"/>
      <c r="AC59" s="661"/>
      <c r="AD59" s="661"/>
      <c r="AE59" s="624"/>
      <c r="AF59" s="751"/>
      <c r="AG59" s="751"/>
      <c r="AH59" s="751"/>
      <c r="AI59" s="624"/>
      <c r="AJ59" s="751"/>
      <c r="AK59" s="751"/>
      <c r="AL59" s="751"/>
      <c r="AM59" s="624"/>
      <c r="AN59" s="624"/>
      <c r="AO59" s="624"/>
      <c r="AP59" s="624"/>
      <c r="AQ59" s="737"/>
      <c r="AR59" s="753"/>
      <c r="AS59" s="753"/>
      <c r="AT59" s="753"/>
      <c r="AU59" s="624"/>
      <c r="AV59" s="624"/>
      <c r="AW59" s="624"/>
    </row>
    <row r="60" spans="2:49">
      <c r="B60" s="756"/>
      <c r="C60" s="624"/>
      <c r="D60" s="751"/>
      <c r="E60" s="751"/>
      <c r="F60" s="751"/>
      <c r="G60" s="751"/>
      <c r="H60" s="751"/>
      <c r="I60" s="624"/>
      <c r="J60" s="624"/>
      <c r="K60" s="750"/>
      <c r="L60" s="751"/>
      <c r="M60" s="751"/>
      <c r="N60" s="751"/>
      <c r="O60" s="750"/>
      <c r="P60" s="751"/>
      <c r="Q60" s="751"/>
      <c r="R60" s="751"/>
      <c r="S60" s="624"/>
      <c r="T60" s="751"/>
      <c r="U60" s="751"/>
      <c r="V60" s="751"/>
      <c r="W60" s="624"/>
      <c r="X60" s="751"/>
      <c r="Y60" s="751"/>
      <c r="Z60" s="751"/>
      <c r="AA60" s="750"/>
      <c r="AB60" s="751"/>
      <c r="AC60" s="661"/>
      <c r="AD60" s="661"/>
      <c r="AE60" s="624"/>
      <c r="AF60" s="751"/>
      <c r="AG60" s="751"/>
      <c r="AH60" s="751"/>
      <c r="AI60" s="624"/>
      <c r="AJ60" s="751"/>
      <c r="AK60" s="751"/>
      <c r="AL60" s="751"/>
      <c r="AM60" s="624"/>
      <c r="AN60" s="624"/>
      <c r="AO60" s="624"/>
      <c r="AP60" s="624"/>
      <c r="AQ60" s="737"/>
      <c r="AR60" s="753"/>
      <c r="AS60" s="753"/>
      <c r="AT60" s="753"/>
      <c r="AU60" s="624"/>
      <c r="AV60" s="624"/>
      <c r="AW60" s="624"/>
    </row>
    <row r="61" spans="2:49">
      <c r="B61" s="756"/>
      <c r="C61" s="624"/>
      <c r="D61" s="751"/>
      <c r="E61" s="751"/>
      <c r="F61" s="751"/>
      <c r="G61" s="751"/>
      <c r="H61" s="751"/>
      <c r="I61" s="624"/>
      <c r="J61" s="624"/>
      <c r="K61" s="750"/>
      <c r="L61" s="751"/>
      <c r="M61" s="751"/>
      <c r="N61" s="751"/>
      <c r="O61" s="750"/>
      <c r="P61" s="751"/>
      <c r="Q61" s="751"/>
      <c r="R61" s="751"/>
      <c r="S61" s="624"/>
      <c r="T61" s="751"/>
      <c r="U61" s="751"/>
      <c r="V61" s="751"/>
      <c r="W61" s="624"/>
      <c r="X61" s="751"/>
      <c r="Y61" s="751"/>
      <c r="Z61" s="751"/>
      <c r="AA61" s="750"/>
      <c r="AB61" s="751"/>
      <c r="AC61" s="661"/>
      <c r="AD61" s="661"/>
      <c r="AE61" s="624"/>
      <c r="AF61" s="751"/>
      <c r="AG61" s="751"/>
      <c r="AH61" s="751"/>
      <c r="AI61" s="624"/>
      <c r="AJ61" s="751"/>
      <c r="AK61" s="751"/>
      <c r="AL61" s="751"/>
      <c r="AM61" s="624"/>
      <c r="AN61" s="624"/>
      <c r="AO61" s="624"/>
      <c r="AP61" s="624"/>
      <c r="AQ61" s="737"/>
      <c r="AR61" s="753"/>
      <c r="AS61" s="753"/>
      <c r="AT61" s="753"/>
      <c r="AU61" s="624"/>
      <c r="AV61" s="624"/>
      <c r="AW61" s="624"/>
    </row>
    <row r="62" spans="2:49">
      <c r="B62" s="756"/>
      <c r="C62" s="624"/>
      <c r="D62" s="751"/>
      <c r="E62" s="751"/>
      <c r="F62" s="751"/>
      <c r="G62" s="751"/>
      <c r="H62" s="751"/>
      <c r="I62" s="624"/>
      <c r="J62" s="624"/>
      <c r="K62" s="750"/>
      <c r="L62" s="751"/>
      <c r="M62" s="751"/>
      <c r="N62" s="751"/>
      <c r="O62" s="750"/>
      <c r="P62" s="751"/>
      <c r="Q62" s="751"/>
      <c r="R62" s="751"/>
      <c r="S62" s="624"/>
      <c r="T62" s="751"/>
      <c r="U62" s="751"/>
      <c r="V62" s="751"/>
      <c r="W62" s="624"/>
      <c r="X62" s="751"/>
      <c r="Y62" s="751"/>
      <c r="Z62" s="751"/>
      <c r="AA62" s="750"/>
      <c r="AB62" s="751"/>
      <c r="AC62" s="661"/>
      <c r="AD62" s="661"/>
      <c r="AE62" s="624"/>
      <c r="AF62" s="751"/>
      <c r="AG62" s="751"/>
      <c r="AH62" s="751"/>
      <c r="AI62" s="624"/>
      <c r="AJ62" s="751"/>
      <c r="AK62" s="751"/>
      <c r="AL62" s="751"/>
      <c r="AM62" s="624"/>
      <c r="AN62" s="624"/>
      <c r="AO62" s="624"/>
      <c r="AP62" s="624"/>
      <c r="AQ62" s="737"/>
      <c r="AR62" s="753"/>
      <c r="AS62" s="753"/>
      <c r="AT62" s="753"/>
      <c r="AU62" s="624"/>
      <c r="AV62" s="624"/>
      <c r="AW62" s="624"/>
    </row>
    <row r="63" spans="2:49">
      <c r="B63" s="756"/>
      <c r="C63" s="624"/>
      <c r="D63" s="751"/>
      <c r="E63" s="751"/>
      <c r="F63" s="751"/>
      <c r="G63" s="751"/>
      <c r="H63" s="751"/>
      <c r="I63" s="624"/>
      <c r="J63" s="624"/>
      <c r="K63" s="750"/>
      <c r="L63" s="751"/>
      <c r="M63" s="751"/>
      <c r="N63" s="751"/>
      <c r="O63" s="750"/>
      <c r="P63" s="751"/>
      <c r="Q63" s="751"/>
      <c r="R63" s="751"/>
      <c r="S63" s="624"/>
      <c r="T63" s="751"/>
      <c r="U63" s="751"/>
      <c r="V63" s="751"/>
      <c r="W63" s="624"/>
      <c r="X63" s="751"/>
      <c r="Y63" s="751"/>
      <c r="Z63" s="751"/>
      <c r="AA63" s="750"/>
      <c r="AB63" s="751"/>
      <c r="AC63" s="661"/>
      <c r="AD63" s="661"/>
      <c r="AE63" s="624"/>
      <c r="AF63" s="751"/>
      <c r="AG63" s="751"/>
      <c r="AH63" s="751"/>
      <c r="AI63" s="624"/>
      <c r="AJ63" s="751"/>
      <c r="AK63" s="751"/>
      <c r="AL63" s="751"/>
      <c r="AM63" s="624"/>
      <c r="AN63" s="624"/>
      <c r="AO63" s="624"/>
      <c r="AP63" s="624"/>
      <c r="AQ63" s="737"/>
      <c r="AR63" s="753"/>
      <c r="AS63" s="753"/>
      <c r="AT63" s="753"/>
      <c r="AU63" s="624"/>
      <c r="AV63" s="624"/>
      <c r="AW63" s="624"/>
    </row>
    <row r="64" spans="2:49">
      <c r="B64" s="756"/>
      <c r="C64" s="624"/>
      <c r="D64" s="751"/>
      <c r="E64" s="751"/>
      <c r="F64" s="751"/>
      <c r="G64" s="751"/>
      <c r="H64" s="751"/>
      <c r="I64" s="624"/>
      <c r="J64" s="624"/>
      <c r="K64" s="750"/>
      <c r="L64" s="751"/>
      <c r="M64" s="751"/>
      <c r="N64" s="751"/>
      <c r="O64" s="750"/>
      <c r="P64" s="751"/>
      <c r="Q64" s="751"/>
      <c r="R64" s="751"/>
      <c r="S64" s="624"/>
      <c r="T64" s="751"/>
      <c r="U64" s="751"/>
      <c r="V64" s="751"/>
      <c r="W64" s="624"/>
      <c r="X64" s="751"/>
      <c r="Y64" s="751"/>
      <c r="Z64" s="751"/>
      <c r="AA64" s="750"/>
      <c r="AB64" s="751"/>
      <c r="AC64" s="661"/>
      <c r="AD64" s="661"/>
      <c r="AE64" s="624"/>
      <c r="AF64" s="751"/>
      <c r="AG64" s="751"/>
      <c r="AH64" s="751"/>
      <c r="AI64" s="624"/>
      <c r="AJ64" s="751"/>
      <c r="AK64" s="751"/>
      <c r="AL64" s="751"/>
      <c r="AM64" s="624"/>
      <c r="AN64" s="624"/>
      <c r="AO64" s="624"/>
      <c r="AP64" s="624"/>
      <c r="AQ64" s="737"/>
      <c r="AR64" s="753"/>
      <c r="AS64" s="753"/>
      <c r="AT64" s="753"/>
      <c r="AU64" s="624"/>
      <c r="AV64" s="624"/>
      <c r="AW64" s="624"/>
    </row>
    <row r="65" spans="2:49">
      <c r="B65" s="756"/>
      <c r="C65" s="624"/>
      <c r="D65" s="751"/>
      <c r="E65" s="751"/>
      <c r="F65" s="751"/>
      <c r="G65" s="751"/>
      <c r="H65" s="751"/>
      <c r="I65" s="624"/>
      <c r="J65" s="624"/>
      <c r="K65" s="750"/>
      <c r="L65" s="751"/>
      <c r="M65" s="751"/>
      <c r="N65" s="751"/>
      <c r="O65" s="750"/>
      <c r="P65" s="751"/>
      <c r="Q65" s="751"/>
      <c r="R65" s="751"/>
      <c r="S65" s="624"/>
      <c r="T65" s="751"/>
      <c r="U65" s="751"/>
      <c r="V65" s="751"/>
      <c r="W65" s="624"/>
      <c r="X65" s="751"/>
      <c r="Y65" s="751"/>
      <c r="Z65" s="751"/>
      <c r="AA65" s="750"/>
      <c r="AB65" s="751"/>
      <c r="AC65" s="661"/>
      <c r="AD65" s="661"/>
      <c r="AE65" s="624"/>
      <c r="AF65" s="751"/>
      <c r="AG65" s="751"/>
      <c r="AH65" s="751"/>
      <c r="AI65" s="624"/>
      <c r="AJ65" s="751"/>
      <c r="AK65" s="751"/>
      <c r="AL65" s="751"/>
      <c r="AM65" s="624"/>
      <c r="AN65" s="624"/>
      <c r="AO65" s="624"/>
      <c r="AP65" s="624"/>
      <c r="AQ65" s="737"/>
      <c r="AR65" s="753"/>
      <c r="AS65" s="753"/>
      <c r="AT65" s="753"/>
      <c r="AU65" s="624"/>
      <c r="AV65" s="624"/>
      <c r="AW65" s="624"/>
    </row>
    <row r="66" spans="2:49">
      <c r="B66" s="756"/>
      <c r="C66" s="624"/>
      <c r="D66" s="751"/>
      <c r="E66" s="751"/>
      <c r="F66" s="751"/>
      <c r="G66" s="751"/>
      <c r="H66" s="751"/>
      <c r="I66" s="624"/>
      <c r="J66" s="624"/>
      <c r="K66" s="750"/>
      <c r="L66" s="751"/>
      <c r="M66" s="751"/>
      <c r="N66" s="751"/>
      <c r="O66" s="750"/>
      <c r="P66" s="751"/>
      <c r="Q66" s="751"/>
      <c r="R66" s="751"/>
      <c r="S66" s="624"/>
      <c r="T66" s="751"/>
      <c r="U66" s="751"/>
      <c r="V66" s="751"/>
      <c r="W66" s="624"/>
      <c r="X66" s="751"/>
      <c r="Y66" s="751"/>
      <c r="Z66" s="751"/>
      <c r="AA66" s="750"/>
      <c r="AB66" s="751"/>
      <c r="AC66" s="661"/>
      <c r="AD66" s="661"/>
      <c r="AE66" s="624"/>
      <c r="AF66" s="751"/>
      <c r="AG66" s="751"/>
      <c r="AH66" s="751"/>
      <c r="AI66" s="624"/>
      <c r="AJ66" s="751"/>
      <c r="AK66" s="751"/>
      <c r="AL66" s="751"/>
      <c r="AM66" s="624"/>
      <c r="AN66" s="624"/>
      <c r="AO66" s="624"/>
      <c r="AP66" s="624"/>
      <c r="AQ66" s="737"/>
      <c r="AR66" s="753"/>
      <c r="AS66" s="753"/>
      <c r="AT66" s="753"/>
      <c r="AU66" s="624"/>
      <c r="AV66" s="624"/>
      <c r="AW66" s="624"/>
    </row>
    <row r="67" spans="2:49">
      <c r="B67" s="756"/>
      <c r="C67" s="624"/>
      <c r="D67" s="751"/>
      <c r="E67" s="751"/>
      <c r="F67" s="751"/>
      <c r="G67" s="751"/>
      <c r="H67" s="751"/>
      <c r="I67" s="624"/>
      <c r="J67" s="624"/>
      <c r="K67" s="750"/>
      <c r="L67" s="751"/>
      <c r="M67" s="751"/>
      <c r="N67" s="751"/>
      <c r="O67" s="750"/>
      <c r="P67" s="751"/>
      <c r="Q67" s="751"/>
      <c r="R67" s="751"/>
      <c r="S67" s="624"/>
      <c r="T67" s="751"/>
      <c r="U67" s="751"/>
      <c r="V67" s="751"/>
      <c r="W67" s="624"/>
      <c r="X67" s="751"/>
      <c r="Y67" s="751"/>
      <c r="Z67" s="751"/>
      <c r="AA67" s="750"/>
      <c r="AB67" s="751"/>
      <c r="AC67" s="661"/>
      <c r="AD67" s="661"/>
      <c r="AE67" s="624"/>
      <c r="AF67" s="751"/>
      <c r="AG67" s="751"/>
      <c r="AH67" s="751"/>
      <c r="AI67" s="624"/>
      <c r="AJ67" s="751"/>
      <c r="AK67" s="751"/>
      <c r="AL67" s="751"/>
      <c r="AM67" s="624"/>
      <c r="AN67" s="624"/>
      <c r="AO67" s="624"/>
      <c r="AP67" s="624"/>
      <c r="AQ67" s="737"/>
      <c r="AR67" s="753"/>
      <c r="AS67" s="753"/>
      <c r="AT67" s="753"/>
      <c r="AU67" s="624"/>
      <c r="AV67" s="624"/>
      <c r="AW67" s="624"/>
    </row>
    <row r="68" spans="2:49">
      <c r="B68" s="756"/>
      <c r="C68" s="624"/>
      <c r="D68" s="751"/>
      <c r="E68" s="751"/>
      <c r="F68" s="751"/>
      <c r="G68" s="751"/>
      <c r="H68" s="751"/>
      <c r="I68" s="624"/>
      <c r="J68" s="624"/>
      <c r="K68" s="750"/>
      <c r="L68" s="751"/>
      <c r="M68" s="751"/>
      <c r="N68" s="751"/>
      <c r="O68" s="750"/>
      <c r="P68" s="751"/>
      <c r="Q68" s="751"/>
      <c r="R68" s="751"/>
      <c r="S68" s="624"/>
      <c r="T68" s="751"/>
      <c r="U68" s="751"/>
      <c r="V68" s="751"/>
      <c r="W68" s="624"/>
      <c r="X68" s="751"/>
      <c r="Y68" s="751"/>
      <c r="Z68" s="751"/>
      <c r="AA68" s="750"/>
      <c r="AB68" s="751"/>
      <c r="AC68" s="661"/>
      <c r="AD68" s="661"/>
      <c r="AE68" s="624"/>
      <c r="AF68" s="751"/>
      <c r="AG68" s="751"/>
      <c r="AH68" s="751"/>
      <c r="AI68" s="624"/>
      <c r="AJ68" s="751"/>
      <c r="AK68" s="751"/>
      <c r="AL68" s="751"/>
      <c r="AM68" s="624"/>
      <c r="AN68" s="624"/>
      <c r="AO68" s="624"/>
      <c r="AP68" s="624"/>
      <c r="AQ68" s="737"/>
      <c r="AR68" s="753"/>
      <c r="AS68" s="753"/>
      <c r="AT68" s="753"/>
      <c r="AU68" s="624"/>
      <c r="AV68" s="624"/>
      <c r="AW68" s="624"/>
    </row>
    <row r="69" spans="2:49">
      <c r="B69" s="756"/>
      <c r="C69" s="624"/>
      <c r="D69" s="751"/>
      <c r="E69" s="751"/>
      <c r="F69" s="751"/>
      <c r="G69" s="751"/>
      <c r="H69" s="751"/>
      <c r="I69" s="624"/>
      <c r="J69" s="624"/>
      <c r="K69" s="750"/>
      <c r="L69" s="751"/>
      <c r="M69" s="751"/>
      <c r="N69" s="751"/>
      <c r="O69" s="750"/>
      <c r="P69" s="751"/>
      <c r="Q69" s="751"/>
      <c r="R69" s="751"/>
      <c r="S69" s="624"/>
      <c r="T69" s="751"/>
      <c r="U69" s="751"/>
      <c r="V69" s="751"/>
      <c r="W69" s="624"/>
      <c r="X69" s="751"/>
      <c r="Y69" s="751"/>
      <c r="Z69" s="751"/>
      <c r="AA69" s="750"/>
      <c r="AB69" s="751"/>
      <c r="AC69" s="661"/>
      <c r="AD69" s="661"/>
      <c r="AE69" s="624"/>
      <c r="AF69" s="751"/>
      <c r="AG69" s="751"/>
      <c r="AH69" s="751"/>
      <c r="AI69" s="624"/>
      <c r="AJ69" s="751"/>
      <c r="AK69" s="751"/>
      <c r="AL69" s="751"/>
      <c r="AM69" s="624"/>
      <c r="AN69" s="624"/>
      <c r="AO69" s="624"/>
      <c r="AP69" s="624"/>
      <c r="AQ69" s="737"/>
      <c r="AR69" s="753"/>
      <c r="AS69" s="753"/>
      <c r="AT69" s="753"/>
      <c r="AU69" s="624"/>
      <c r="AV69" s="624"/>
      <c r="AW69" s="624"/>
    </row>
    <row r="70" spans="2:49">
      <c r="B70" s="756"/>
      <c r="C70" s="624"/>
      <c r="D70" s="751"/>
      <c r="E70" s="751"/>
      <c r="F70" s="751"/>
      <c r="G70" s="751"/>
      <c r="H70" s="751"/>
      <c r="I70" s="624"/>
      <c r="J70" s="624"/>
      <c r="K70" s="750"/>
      <c r="L70" s="751"/>
      <c r="M70" s="751"/>
      <c r="N70" s="751"/>
      <c r="O70" s="750"/>
      <c r="P70" s="751"/>
      <c r="Q70" s="751"/>
      <c r="R70" s="751"/>
      <c r="S70" s="624"/>
      <c r="T70" s="751"/>
      <c r="U70" s="751"/>
      <c r="V70" s="751"/>
      <c r="W70" s="624"/>
      <c r="X70" s="751"/>
      <c r="Y70" s="751"/>
      <c r="Z70" s="751"/>
      <c r="AA70" s="750"/>
      <c r="AB70" s="751"/>
      <c r="AC70" s="661"/>
      <c r="AD70" s="661"/>
      <c r="AE70" s="624"/>
      <c r="AF70" s="751"/>
      <c r="AG70" s="751"/>
      <c r="AH70" s="751"/>
      <c r="AI70" s="624"/>
      <c r="AJ70" s="751"/>
      <c r="AK70" s="751"/>
      <c r="AL70" s="751"/>
      <c r="AM70" s="624"/>
      <c r="AN70" s="624"/>
      <c r="AO70" s="624"/>
      <c r="AP70" s="624"/>
      <c r="AQ70" s="737"/>
      <c r="AR70" s="753"/>
      <c r="AS70" s="753"/>
      <c r="AT70" s="753"/>
      <c r="AU70" s="624"/>
      <c r="AV70" s="624"/>
      <c r="AW70" s="624"/>
    </row>
    <row r="71" spans="2:49">
      <c r="B71" s="756"/>
      <c r="C71" s="624"/>
      <c r="D71" s="751"/>
      <c r="E71" s="751"/>
      <c r="F71" s="751"/>
      <c r="G71" s="751"/>
      <c r="H71" s="751"/>
      <c r="I71" s="624"/>
      <c r="J71" s="624"/>
      <c r="K71" s="750"/>
      <c r="L71" s="751"/>
      <c r="M71" s="751"/>
      <c r="N71" s="751"/>
      <c r="O71" s="750"/>
      <c r="P71" s="751"/>
      <c r="Q71" s="751"/>
      <c r="R71" s="751"/>
      <c r="S71" s="624"/>
      <c r="T71" s="751"/>
      <c r="U71" s="751"/>
      <c r="V71" s="751"/>
      <c r="W71" s="624"/>
      <c r="X71" s="751"/>
      <c r="Y71" s="751"/>
      <c r="Z71" s="751"/>
      <c r="AA71" s="750"/>
      <c r="AB71" s="751"/>
      <c r="AC71" s="661"/>
      <c r="AD71" s="661"/>
      <c r="AE71" s="624"/>
      <c r="AF71" s="751"/>
      <c r="AG71" s="751"/>
      <c r="AH71" s="751"/>
      <c r="AI71" s="624"/>
      <c r="AJ71" s="751"/>
      <c r="AK71" s="751"/>
      <c r="AL71" s="751"/>
      <c r="AM71" s="624"/>
      <c r="AN71" s="624"/>
      <c r="AO71" s="624"/>
      <c r="AP71" s="624"/>
      <c r="AQ71" s="737"/>
      <c r="AR71" s="753"/>
      <c r="AS71" s="753"/>
      <c r="AT71" s="753"/>
      <c r="AU71" s="624"/>
      <c r="AV71" s="624"/>
      <c r="AW71" s="624"/>
    </row>
    <row r="72" spans="2:49">
      <c r="B72" s="756"/>
      <c r="C72" s="624"/>
      <c r="D72" s="751"/>
      <c r="E72" s="751"/>
      <c r="F72" s="751"/>
      <c r="G72" s="751"/>
      <c r="H72" s="751"/>
      <c r="I72" s="624"/>
      <c r="J72" s="624"/>
      <c r="K72" s="750"/>
      <c r="L72" s="751"/>
      <c r="M72" s="751"/>
      <c r="N72" s="751"/>
      <c r="O72" s="750"/>
      <c r="P72" s="751"/>
      <c r="Q72" s="751"/>
      <c r="R72" s="751"/>
      <c r="S72" s="624"/>
      <c r="T72" s="751"/>
      <c r="U72" s="751"/>
      <c r="V72" s="751"/>
      <c r="W72" s="624"/>
      <c r="X72" s="751"/>
      <c r="Y72" s="751"/>
      <c r="Z72" s="751"/>
      <c r="AA72" s="750"/>
      <c r="AB72" s="751"/>
      <c r="AC72" s="661"/>
      <c r="AD72" s="661"/>
      <c r="AE72" s="624"/>
      <c r="AF72" s="751"/>
      <c r="AG72" s="751"/>
      <c r="AH72" s="751"/>
      <c r="AI72" s="624"/>
      <c r="AJ72" s="751"/>
      <c r="AK72" s="751"/>
      <c r="AL72" s="751"/>
      <c r="AM72" s="624"/>
      <c r="AN72" s="624"/>
      <c r="AO72" s="624"/>
      <c r="AP72" s="624"/>
      <c r="AQ72" s="737"/>
      <c r="AR72" s="753"/>
      <c r="AS72" s="753"/>
      <c r="AT72" s="753"/>
      <c r="AU72" s="624"/>
      <c r="AV72" s="624"/>
      <c r="AW72" s="624"/>
    </row>
    <row r="73" spans="2:49">
      <c r="B73" s="756"/>
      <c r="C73" s="624"/>
      <c r="D73" s="751"/>
      <c r="E73" s="751"/>
      <c r="F73" s="751"/>
      <c r="G73" s="751"/>
      <c r="H73" s="751"/>
      <c r="I73" s="624"/>
      <c r="J73" s="624"/>
      <c r="K73" s="750"/>
      <c r="L73" s="751"/>
      <c r="M73" s="751"/>
      <c r="N73" s="751"/>
      <c r="O73" s="750"/>
      <c r="P73" s="751"/>
      <c r="Q73" s="751"/>
      <c r="R73" s="751"/>
      <c r="S73" s="624"/>
      <c r="T73" s="751"/>
      <c r="U73" s="751"/>
      <c r="V73" s="751"/>
      <c r="W73" s="624"/>
      <c r="X73" s="751"/>
      <c r="Y73" s="751"/>
      <c r="Z73" s="751"/>
      <c r="AA73" s="750"/>
      <c r="AB73" s="751"/>
      <c r="AC73" s="661"/>
      <c r="AD73" s="661"/>
      <c r="AE73" s="624"/>
      <c r="AF73" s="751"/>
      <c r="AG73" s="751"/>
      <c r="AH73" s="751"/>
      <c r="AI73" s="624"/>
      <c r="AJ73" s="751"/>
      <c r="AK73" s="751"/>
      <c r="AL73" s="751"/>
      <c r="AM73" s="624"/>
      <c r="AN73" s="624"/>
      <c r="AO73" s="624"/>
      <c r="AP73" s="624"/>
      <c r="AQ73" s="737"/>
      <c r="AR73" s="753"/>
      <c r="AS73" s="753"/>
      <c r="AT73" s="753"/>
      <c r="AU73" s="624"/>
      <c r="AV73" s="624"/>
      <c r="AW73" s="624"/>
    </row>
    <row r="74" spans="2:49">
      <c r="B74" s="756"/>
      <c r="C74" s="624"/>
      <c r="D74" s="751"/>
      <c r="E74" s="751"/>
      <c r="F74" s="751"/>
      <c r="G74" s="751"/>
      <c r="H74" s="751"/>
      <c r="I74" s="624"/>
      <c r="J74" s="624"/>
      <c r="K74" s="750"/>
      <c r="L74" s="751"/>
      <c r="M74" s="751"/>
      <c r="N74" s="751"/>
      <c r="O74" s="750"/>
      <c r="P74" s="751"/>
      <c r="Q74" s="751"/>
      <c r="R74" s="751"/>
      <c r="S74" s="624"/>
      <c r="T74" s="751"/>
      <c r="U74" s="751"/>
      <c r="V74" s="751"/>
      <c r="W74" s="624"/>
      <c r="X74" s="751"/>
      <c r="Y74" s="751"/>
      <c r="Z74" s="751"/>
      <c r="AA74" s="750"/>
      <c r="AB74" s="751"/>
      <c r="AC74" s="661"/>
      <c r="AD74" s="661"/>
      <c r="AE74" s="624"/>
      <c r="AF74" s="751"/>
      <c r="AG74" s="751"/>
      <c r="AH74" s="751"/>
      <c r="AI74" s="624"/>
      <c r="AJ74" s="751"/>
      <c r="AK74" s="751"/>
      <c r="AL74" s="751"/>
      <c r="AM74" s="624"/>
      <c r="AN74" s="624"/>
      <c r="AO74" s="624"/>
      <c r="AP74" s="624"/>
      <c r="AQ74" s="737"/>
      <c r="AR74" s="753"/>
      <c r="AS74" s="753"/>
      <c r="AT74" s="753"/>
      <c r="AU74" s="624"/>
      <c r="AV74" s="624"/>
      <c r="AW74" s="624"/>
    </row>
    <row r="75" spans="2:49">
      <c r="B75" s="756"/>
      <c r="C75" s="624"/>
      <c r="D75" s="751"/>
      <c r="E75" s="751"/>
      <c r="F75" s="751"/>
      <c r="G75" s="751"/>
      <c r="H75" s="751"/>
      <c r="I75" s="624"/>
      <c r="J75" s="624"/>
      <c r="K75" s="750"/>
      <c r="L75" s="751"/>
      <c r="M75" s="751"/>
      <c r="N75" s="751"/>
      <c r="O75" s="750"/>
      <c r="P75" s="751"/>
      <c r="Q75" s="751"/>
      <c r="R75" s="751"/>
      <c r="S75" s="624"/>
      <c r="T75" s="751"/>
      <c r="U75" s="751"/>
      <c r="V75" s="751"/>
      <c r="W75" s="624"/>
      <c r="X75" s="751"/>
      <c r="Y75" s="751"/>
      <c r="Z75" s="751"/>
      <c r="AA75" s="750"/>
      <c r="AB75" s="751"/>
      <c r="AC75" s="661"/>
      <c r="AD75" s="661"/>
      <c r="AE75" s="624"/>
      <c r="AF75" s="751"/>
      <c r="AG75" s="751"/>
      <c r="AH75" s="751"/>
      <c r="AI75" s="624"/>
      <c r="AJ75" s="751"/>
      <c r="AK75" s="751"/>
      <c r="AL75" s="751"/>
      <c r="AM75" s="624"/>
      <c r="AN75" s="624"/>
      <c r="AO75" s="624"/>
      <c r="AP75" s="624"/>
      <c r="AQ75" s="737"/>
      <c r="AR75" s="753"/>
      <c r="AS75" s="753"/>
      <c r="AT75" s="753"/>
      <c r="AU75" s="624"/>
      <c r="AV75" s="624"/>
      <c r="AW75" s="624"/>
    </row>
    <row r="76" spans="2:49">
      <c r="B76" s="756"/>
      <c r="C76" s="624"/>
      <c r="D76" s="751"/>
      <c r="E76" s="751"/>
      <c r="F76" s="751"/>
      <c r="G76" s="751"/>
      <c r="H76" s="751"/>
      <c r="I76" s="624"/>
      <c r="J76" s="624"/>
      <c r="K76" s="750"/>
      <c r="L76" s="751"/>
      <c r="M76" s="751"/>
      <c r="N76" s="751"/>
      <c r="O76" s="750"/>
      <c r="P76" s="751"/>
      <c r="Q76" s="751"/>
      <c r="R76" s="751"/>
      <c r="S76" s="624"/>
      <c r="T76" s="751"/>
      <c r="U76" s="751"/>
      <c r="V76" s="751"/>
      <c r="W76" s="624"/>
      <c r="X76" s="751"/>
      <c r="Y76" s="751"/>
      <c r="Z76" s="751"/>
      <c r="AA76" s="750"/>
      <c r="AB76" s="751"/>
      <c r="AC76" s="661"/>
      <c r="AD76" s="661"/>
      <c r="AE76" s="624"/>
      <c r="AF76" s="751"/>
      <c r="AG76" s="751"/>
      <c r="AH76" s="751"/>
      <c r="AI76" s="624"/>
      <c r="AJ76" s="751"/>
      <c r="AK76" s="751"/>
      <c r="AL76" s="751"/>
      <c r="AM76" s="624"/>
      <c r="AN76" s="624"/>
      <c r="AO76" s="624"/>
      <c r="AP76" s="624"/>
      <c r="AQ76" s="737"/>
      <c r="AR76" s="753"/>
      <c r="AS76" s="753"/>
      <c r="AT76" s="753"/>
      <c r="AU76" s="624"/>
      <c r="AV76" s="624"/>
      <c r="AW76" s="624"/>
    </row>
    <row r="77" spans="2:49">
      <c r="B77" s="756"/>
      <c r="C77" s="624"/>
      <c r="D77" s="751"/>
      <c r="E77" s="751"/>
      <c r="F77" s="751"/>
      <c r="G77" s="751"/>
      <c r="H77" s="751"/>
      <c r="I77" s="624"/>
      <c r="J77" s="624"/>
      <c r="K77" s="750"/>
      <c r="L77" s="751"/>
      <c r="M77" s="751"/>
      <c r="N77" s="751"/>
      <c r="O77" s="750"/>
      <c r="P77" s="751"/>
      <c r="Q77" s="751"/>
      <c r="R77" s="751"/>
      <c r="S77" s="624"/>
      <c r="T77" s="751"/>
      <c r="U77" s="751"/>
      <c r="V77" s="751"/>
      <c r="W77" s="624"/>
      <c r="X77" s="751"/>
      <c r="Y77" s="751"/>
      <c r="Z77" s="751"/>
      <c r="AA77" s="750"/>
      <c r="AB77" s="751"/>
      <c r="AC77" s="661"/>
      <c r="AD77" s="661"/>
      <c r="AE77" s="624"/>
      <c r="AF77" s="751"/>
      <c r="AG77" s="751"/>
      <c r="AH77" s="751"/>
      <c r="AI77" s="624"/>
      <c r="AJ77" s="751"/>
      <c r="AK77" s="751"/>
      <c r="AL77" s="751"/>
      <c r="AM77" s="624"/>
      <c r="AN77" s="624"/>
      <c r="AO77" s="624"/>
      <c r="AP77" s="624"/>
      <c r="AQ77" s="737"/>
      <c r="AR77" s="753"/>
      <c r="AS77" s="753"/>
      <c r="AT77" s="753"/>
      <c r="AU77" s="624"/>
      <c r="AV77" s="624"/>
      <c r="AW77" s="624"/>
    </row>
    <row r="78" spans="2:49">
      <c r="B78" s="756"/>
      <c r="C78" s="624"/>
      <c r="D78" s="751"/>
      <c r="E78" s="751"/>
      <c r="F78" s="751"/>
      <c r="G78" s="751"/>
      <c r="H78" s="751"/>
      <c r="I78" s="624"/>
      <c r="J78" s="624"/>
      <c r="K78" s="750"/>
      <c r="L78" s="751"/>
      <c r="M78" s="751"/>
      <c r="N78" s="751"/>
      <c r="O78" s="750"/>
      <c r="P78" s="751"/>
      <c r="Q78" s="751"/>
      <c r="R78" s="751"/>
      <c r="S78" s="624"/>
      <c r="T78" s="751"/>
      <c r="U78" s="751"/>
      <c r="V78" s="751"/>
      <c r="W78" s="624"/>
      <c r="X78" s="751"/>
      <c r="Y78" s="751"/>
      <c r="Z78" s="751"/>
      <c r="AA78" s="750"/>
      <c r="AB78" s="751"/>
      <c r="AC78" s="661"/>
      <c r="AD78" s="661"/>
      <c r="AE78" s="624"/>
      <c r="AF78" s="751"/>
      <c r="AG78" s="751"/>
      <c r="AH78" s="751"/>
      <c r="AI78" s="624"/>
      <c r="AJ78" s="751"/>
      <c r="AK78" s="751"/>
      <c r="AL78" s="751"/>
      <c r="AM78" s="624"/>
      <c r="AN78" s="624"/>
      <c r="AO78" s="624"/>
      <c r="AP78" s="624"/>
      <c r="AQ78" s="737"/>
      <c r="AR78" s="753"/>
      <c r="AS78" s="753"/>
      <c r="AT78" s="753"/>
      <c r="AU78" s="624"/>
      <c r="AV78" s="624"/>
      <c r="AW78" s="624"/>
    </row>
    <row r="79" spans="2:49">
      <c r="B79" s="756"/>
      <c r="C79" s="624"/>
      <c r="D79" s="751"/>
      <c r="E79" s="751"/>
      <c r="F79" s="751"/>
      <c r="G79" s="751"/>
      <c r="H79" s="751"/>
      <c r="I79" s="624"/>
      <c r="J79" s="624"/>
      <c r="K79" s="750"/>
      <c r="L79" s="751"/>
      <c r="M79" s="751"/>
      <c r="N79" s="751"/>
      <c r="O79" s="750"/>
      <c r="P79" s="751"/>
      <c r="Q79" s="751"/>
      <c r="R79" s="751"/>
      <c r="S79" s="624"/>
      <c r="T79" s="751"/>
      <c r="U79" s="751"/>
      <c r="V79" s="751"/>
      <c r="W79" s="624"/>
      <c r="X79" s="751"/>
      <c r="Y79" s="751"/>
      <c r="Z79" s="751"/>
      <c r="AA79" s="750"/>
      <c r="AB79" s="751"/>
      <c r="AC79" s="661"/>
      <c r="AD79" s="661"/>
      <c r="AE79" s="624"/>
      <c r="AF79" s="751"/>
      <c r="AG79" s="751"/>
      <c r="AH79" s="751"/>
      <c r="AI79" s="624"/>
      <c r="AJ79" s="751"/>
      <c r="AK79" s="751"/>
      <c r="AL79" s="751"/>
      <c r="AM79" s="624"/>
      <c r="AN79" s="624"/>
      <c r="AO79" s="624"/>
      <c r="AP79" s="624"/>
      <c r="AQ79" s="737"/>
      <c r="AR79" s="753"/>
      <c r="AS79" s="753"/>
      <c r="AT79" s="753"/>
      <c r="AU79" s="624"/>
      <c r="AV79" s="624"/>
      <c r="AW79" s="624"/>
    </row>
    <row r="80" spans="2:49">
      <c r="B80" s="756"/>
      <c r="C80" s="624"/>
      <c r="D80" s="751"/>
      <c r="E80" s="751"/>
      <c r="F80" s="751"/>
      <c r="G80" s="751"/>
      <c r="H80" s="751"/>
      <c r="I80" s="624"/>
      <c r="J80" s="624"/>
      <c r="K80" s="750"/>
      <c r="L80" s="751"/>
      <c r="M80" s="751"/>
      <c r="N80" s="751"/>
      <c r="O80" s="750"/>
      <c r="P80" s="751"/>
      <c r="Q80" s="751"/>
      <c r="R80" s="751"/>
      <c r="S80" s="624"/>
      <c r="T80" s="751"/>
      <c r="U80" s="751"/>
      <c r="V80" s="751"/>
      <c r="W80" s="624"/>
      <c r="X80" s="751"/>
      <c r="Y80" s="751"/>
      <c r="Z80" s="751"/>
      <c r="AA80" s="750"/>
      <c r="AB80" s="751"/>
      <c r="AC80" s="661"/>
      <c r="AD80" s="661"/>
      <c r="AE80" s="624"/>
      <c r="AF80" s="751"/>
      <c r="AG80" s="751"/>
      <c r="AH80" s="751"/>
      <c r="AI80" s="624"/>
      <c r="AJ80" s="751"/>
      <c r="AK80" s="751"/>
      <c r="AL80" s="751"/>
      <c r="AM80" s="624"/>
      <c r="AN80" s="624"/>
      <c r="AO80" s="624"/>
      <c r="AP80" s="624"/>
      <c r="AQ80" s="737"/>
      <c r="AR80" s="753"/>
      <c r="AS80" s="753"/>
      <c r="AT80" s="753"/>
      <c r="AU80" s="624"/>
      <c r="AV80" s="624"/>
      <c r="AW80" s="624"/>
    </row>
    <row r="81" spans="2:49">
      <c r="B81" s="756"/>
      <c r="C81" s="624"/>
      <c r="D81" s="751"/>
      <c r="E81" s="751"/>
      <c r="F81" s="751"/>
      <c r="G81" s="751"/>
      <c r="H81" s="751"/>
      <c r="I81" s="624"/>
      <c r="J81" s="624"/>
      <c r="K81" s="750"/>
      <c r="L81" s="751"/>
      <c r="M81" s="751"/>
      <c r="N81" s="751"/>
      <c r="O81" s="750"/>
      <c r="P81" s="751"/>
      <c r="Q81" s="751"/>
      <c r="R81" s="751"/>
      <c r="S81" s="624"/>
      <c r="T81" s="751"/>
      <c r="U81" s="751"/>
      <c r="V81" s="751"/>
      <c r="W81" s="624"/>
      <c r="X81" s="751"/>
      <c r="Y81" s="751"/>
      <c r="Z81" s="751"/>
      <c r="AA81" s="750"/>
      <c r="AB81" s="751"/>
      <c r="AC81" s="661"/>
      <c r="AD81" s="661"/>
      <c r="AE81" s="624"/>
      <c r="AF81" s="751"/>
      <c r="AG81" s="751"/>
      <c r="AH81" s="751"/>
      <c r="AI81" s="624"/>
      <c r="AJ81" s="751"/>
      <c r="AK81" s="751"/>
      <c r="AL81" s="751"/>
      <c r="AM81" s="624"/>
      <c r="AN81" s="624"/>
      <c r="AO81" s="624"/>
      <c r="AP81" s="624"/>
      <c r="AQ81" s="737"/>
      <c r="AR81" s="753"/>
      <c r="AS81" s="753"/>
      <c r="AT81" s="753"/>
      <c r="AU81" s="624"/>
      <c r="AV81" s="624"/>
      <c r="AW81" s="624"/>
    </row>
    <row r="82" spans="2:49">
      <c r="B82" s="756"/>
      <c r="C82" s="624"/>
      <c r="D82" s="751"/>
      <c r="E82" s="751"/>
      <c r="F82" s="751"/>
      <c r="G82" s="751"/>
      <c r="H82" s="751"/>
      <c r="I82" s="624"/>
      <c r="J82" s="624"/>
      <c r="K82" s="750"/>
      <c r="L82" s="751"/>
      <c r="M82" s="751"/>
      <c r="N82" s="751"/>
      <c r="O82" s="750"/>
      <c r="P82" s="751"/>
      <c r="Q82" s="751"/>
      <c r="R82" s="751"/>
      <c r="S82" s="624"/>
      <c r="T82" s="751"/>
      <c r="U82" s="751"/>
      <c r="V82" s="751"/>
      <c r="W82" s="624"/>
      <c r="X82" s="751"/>
      <c r="Y82" s="751"/>
      <c r="Z82" s="751"/>
      <c r="AA82" s="750"/>
      <c r="AB82" s="751"/>
      <c r="AC82" s="661"/>
      <c r="AD82" s="661"/>
      <c r="AE82" s="624"/>
      <c r="AF82" s="751"/>
      <c r="AG82" s="751"/>
      <c r="AH82" s="751"/>
      <c r="AI82" s="624"/>
      <c r="AJ82" s="751"/>
      <c r="AK82" s="751"/>
      <c r="AL82" s="751"/>
      <c r="AM82" s="624"/>
      <c r="AN82" s="624"/>
      <c r="AO82" s="624"/>
      <c r="AP82" s="624"/>
      <c r="AQ82" s="737"/>
      <c r="AR82" s="753"/>
      <c r="AS82" s="753"/>
      <c r="AT82" s="753"/>
      <c r="AU82" s="624"/>
      <c r="AV82" s="624"/>
      <c r="AW82" s="624"/>
    </row>
    <row r="83" spans="2:49">
      <c r="B83" s="756"/>
      <c r="C83" s="624"/>
      <c r="D83" s="751"/>
      <c r="E83" s="751"/>
      <c r="F83" s="751"/>
      <c r="G83" s="751"/>
      <c r="H83" s="751"/>
      <c r="I83" s="624"/>
      <c r="J83" s="624"/>
      <c r="K83" s="750"/>
      <c r="L83" s="751"/>
      <c r="M83" s="751"/>
      <c r="N83" s="751"/>
      <c r="O83" s="750"/>
      <c r="P83" s="751"/>
      <c r="Q83" s="751"/>
      <c r="R83" s="751"/>
      <c r="S83" s="624"/>
      <c r="T83" s="751"/>
      <c r="U83" s="751"/>
      <c r="V83" s="751"/>
      <c r="W83" s="624"/>
      <c r="X83" s="751"/>
      <c r="Y83" s="751"/>
      <c r="Z83" s="751"/>
      <c r="AA83" s="750"/>
      <c r="AB83" s="751"/>
      <c r="AC83" s="661"/>
      <c r="AD83" s="661"/>
      <c r="AE83" s="624"/>
      <c r="AF83" s="751"/>
      <c r="AG83" s="751"/>
      <c r="AH83" s="751"/>
      <c r="AI83" s="624"/>
      <c r="AJ83" s="751"/>
      <c r="AK83" s="751"/>
      <c r="AL83" s="751"/>
      <c r="AM83" s="624"/>
      <c r="AN83" s="624"/>
      <c r="AO83" s="624"/>
      <c r="AP83" s="624"/>
      <c r="AQ83" s="737"/>
      <c r="AR83" s="753"/>
      <c r="AS83" s="753"/>
      <c r="AT83" s="753"/>
      <c r="AU83" s="624"/>
      <c r="AV83" s="624"/>
      <c r="AW83" s="624"/>
    </row>
    <row r="84" spans="2:49">
      <c r="B84" s="756"/>
      <c r="C84" s="624"/>
      <c r="D84" s="751"/>
      <c r="E84" s="751"/>
      <c r="F84" s="751"/>
      <c r="G84" s="751"/>
      <c r="H84" s="751"/>
      <c r="I84" s="624"/>
      <c r="J84" s="624"/>
      <c r="K84" s="750"/>
      <c r="L84" s="751"/>
      <c r="M84" s="751"/>
      <c r="N84" s="751"/>
      <c r="O84" s="750"/>
      <c r="P84" s="751"/>
      <c r="Q84" s="751"/>
      <c r="R84" s="751"/>
      <c r="S84" s="624"/>
      <c r="T84" s="751"/>
      <c r="U84" s="751"/>
      <c r="V84" s="751"/>
      <c r="W84" s="624"/>
      <c r="X84" s="751"/>
      <c r="Y84" s="751"/>
      <c r="Z84" s="751"/>
      <c r="AA84" s="750"/>
      <c r="AB84" s="751"/>
      <c r="AC84" s="661"/>
      <c r="AD84" s="661"/>
      <c r="AE84" s="624"/>
      <c r="AF84" s="751"/>
      <c r="AG84" s="751"/>
      <c r="AH84" s="751"/>
      <c r="AI84" s="624"/>
      <c r="AJ84" s="751"/>
      <c r="AK84" s="751"/>
      <c r="AL84" s="751"/>
      <c r="AM84" s="624"/>
      <c r="AN84" s="624"/>
      <c r="AO84" s="624"/>
      <c r="AP84" s="624"/>
      <c r="AQ84" s="737"/>
      <c r="AR84" s="753"/>
      <c r="AS84" s="753"/>
      <c r="AT84" s="753"/>
      <c r="AU84" s="624"/>
      <c r="AV84" s="624"/>
      <c r="AW84" s="624"/>
    </row>
    <row r="85" spans="2:49">
      <c r="B85" s="756"/>
      <c r="C85" s="624"/>
      <c r="D85" s="751"/>
      <c r="E85" s="751"/>
      <c r="F85" s="751"/>
      <c r="G85" s="751"/>
      <c r="H85" s="751"/>
      <c r="I85" s="624"/>
      <c r="J85" s="624"/>
      <c r="K85" s="750"/>
      <c r="L85" s="751"/>
      <c r="M85" s="751"/>
      <c r="N85" s="751"/>
      <c r="O85" s="750"/>
      <c r="P85" s="751"/>
      <c r="Q85" s="751"/>
      <c r="R85" s="751"/>
      <c r="S85" s="624"/>
      <c r="T85" s="751"/>
      <c r="U85" s="751"/>
      <c r="V85" s="751"/>
      <c r="W85" s="624"/>
      <c r="X85" s="751"/>
      <c r="Y85" s="751"/>
      <c r="Z85" s="751"/>
      <c r="AA85" s="750"/>
      <c r="AB85" s="751"/>
      <c r="AC85" s="661"/>
      <c r="AD85" s="661"/>
      <c r="AE85" s="624"/>
      <c r="AF85" s="751"/>
      <c r="AG85" s="751"/>
      <c r="AH85" s="751"/>
      <c r="AI85" s="624"/>
      <c r="AJ85" s="751"/>
      <c r="AK85" s="751"/>
      <c r="AL85" s="751"/>
      <c r="AM85" s="624"/>
      <c r="AN85" s="624"/>
      <c r="AO85" s="624"/>
      <c r="AP85" s="624"/>
      <c r="AQ85" s="737"/>
      <c r="AR85" s="753"/>
      <c r="AS85" s="753"/>
      <c r="AT85" s="753"/>
      <c r="AU85" s="624"/>
      <c r="AV85" s="624"/>
      <c r="AW85" s="624"/>
    </row>
    <row r="86" spans="2:49">
      <c r="B86" s="756"/>
      <c r="C86" s="624"/>
      <c r="D86" s="751"/>
      <c r="E86" s="751"/>
      <c r="F86" s="751"/>
      <c r="G86" s="751"/>
      <c r="H86" s="751"/>
      <c r="I86" s="624"/>
      <c r="J86" s="624"/>
      <c r="K86" s="750"/>
      <c r="L86" s="751"/>
      <c r="M86" s="751"/>
      <c r="N86" s="751"/>
      <c r="O86" s="750"/>
      <c r="P86" s="751"/>
      <c r="Q86" s="751"/>
      <c r="R86" s="751"/>
      <c r="S86" s="624"/>
      <c r="T86" s="751"/>
      <c r="U86" s="751"/>
      <c r="V86" s="751"/>
      <c r="W86" s="624"/>
      <c r="X86" s="751"/>
      <c r="Y86" s="751"/>
      <c r="Z86" s="751"/>
      <c r="AA86" s="750"/>
      <c r="AB86" s="751"/>
      <c r="AC86" s="661"/>
      <c r="AD86" s="661"/>
      <c r="AE86" s="624"/>
      <c r="AF86" s="751"/>
      <c r="AG86" s="751"/>
      <c r="AH86" s="751"/>
      <c r="AI86" s="624"/>
      <c r="AJ86" s="751"/>
      <c r="AK86" s="751"/>
      <c r="AL86" s="751"/>
      <c r="AM86" s="624"/>
      <c r="AN86" s="624"/>
      <c r="AO86" s="624"/>
      <c r="AP86" s="624"/>
      <c r="AQ86" s="737"/>
      <c r="AR86" s="753"/>
      <c r="AS86" s="753"/>
      <c r="AT86" s="753"/>
      <c r="AU86" s="624"/>
      <c r="AV86" s="624"/>
      <c r="AW86" s="624"/>
    </row>
    <row r="87" spans="2:49">
      <c r="B87" s="756"/>
      <c r="C87" s="624"/>
      <c r="D87" s="751"/>
      <c r="E87" s="751"/>
      <c r="F87" s="751"/>
      <c r="G87" s="751"/>
      <c r="H87" s="751"/>
      <c r="I87" s="624"/>
      <c r="J87" s="624"/>
      <c r="K87" s="750"/>
      <c r="L87" s="751"/>
      <c r="M87" s="751"/>
      <c r="N87" s="751"/>
      <c r="O87" s="750"/>
      <c r="P87" s="751"/>
      <c r="Q87" s="751"/>
      <c r="R87" s="751"/>
      <c r="S87" s="624"/>
      <c r="T87" s="751"/>
      <c r="U87" s="751"/>
      <c r="V87" s="751"/>
      <c r="W87" s="624"/>
      <c r="X87" s="751"/>
      <c r="Y87" s="751"/>
      <c r="Z87" s="751"/>
      <c r="AA87" s="750"/>
      <c r="AB87" s="751"/>
      <c r="AC87" s="661"/>
      <c r="AD87" s="661"/>
      <c r="AE87" s="624"/>
      <c r="AF87" s="751"/>
      <c r="AG87" s="751"/>
      <c r="AH87" s="751"/>
      <c r="AI87" s="624"/>
      <c r="AJ87" s="751"/>
      <c r="AK87" s="751"/>
      <c r="AL87" s="751"/>
      <c r="AM87" s="624"/>
      <c r="AN87" s="624"/>
      <c r="AO87" s="624"/>
      <c r="AP87" s="624"/>
      <c r="AQ87" s="737"/>
      <c r="AR87" s="753"/>
      <c r="AS87" s="753"/>
      <c r="AT87" s="753"/>
      <c r="AU87" s="624"/>
      <c r="AV87" s="624"/>
      <c r="AW87" s="624"/>
    </row>
    <row r="88" spans="2:49">
      <c r="B88" s="756"/>
      <c r="C88" s="624"/>
      <c r="D88" s="751"/>
      <c r="E88" s="751"/>
      <c r="F88" s="751"/>
      <c r="G88" s="751"/>
      <c r="H88" s="751"/>
      <c r="I88" s="624"/>
      <c r="J88" s="624"/>
      <c r="K88" s="750"/>
      <c r="L88" s="751"/>
      <c r="M88" s="751"/>
      <c r="N88" s="751"/>
      <c r="O88" s="750"/>
      <c r="P88" s="751"/>
      <c r="Q88" s="751"/>
      <c r="R88" s="751"/>
      <c r="S88" s="624"/>
      <c r="T88" s="751"/>
      <c r="U88" s="751"/>
      <c r="V88" s="751"/>
      <c r="W88" s="624"/>
      <c r="X88" s="751"/>
      <c r="Y88" s="751"/>
      <c r="Z88" s="751"/>
      <c r="AA88" s="750"/>
      <c r="AB88" s="751"/>
      <c r="AC88" s="661"/>
      <c r="AD88" s="661"/>
      <c r="AE88" s="624"/>
      <c r="AF88" s="751"/>
      <c r="AG88" s="751"/>
      <c r="AH88" s="751"/>
      <c r="AI88" s="624"/>
      <c r="AJ88" s="751"/>
      <c r="AK88" s="751"/>
      <c r="AL88" s="751"/>
      <c r="AM88" s="624"/>
      <c r="AN88" s="624"/>
      <c r="AO88" s="624"/>
      <c r="AP88" s="624"/>
      <c r="AQ88" s="737"/>
      <c r="AR88" s="753"/>
      <c r="AS88" s="753"/>
      <c r="AT88" s="753"/>
      <c r="AU88" s="624"/>
      <c r="AV88" s="624"/>
      <c r="AW88" s="624"/>
    </row>
    <row r="89" spans="2:49">
      <c r="B89" s="756"/>
      <c r="C89" s="624"/>
      <c r="D89" s="751"/>
      <c r="E89" s="751"/>
      <c r="F89" s="751"/>
      <c r="G89" s="751"/>
      <c r="H89" s="751"/>
      <c r="I89" s="624"/>
      <c r="J89" s="624"/>
      <c r="K89" s="750"/>
      <c r="L89" s="751"/>
      <c r="M89" s="751"/>
      <c r="N89" s="751"/>
      <c r="O89" s="750"/>
      <c r="P89" s="751"/>
      <c r="Q89" s="751"/>
      <c r="R89" s="751"/>
      <c r="S89" s="624"/>
      <c r="T89" s="751"/>
      <c r="U89" s="751"/>
      <c r="V89" s="751"/>
      <c r="W89" s="624"/>
      <c r="X89" s="751"/>
      <c r="Y89" s="751"/>
      <c r="Z89" s="751"/>
      <c r="AA89" s="750"/>
      <c r="AB89" s="751"/>
      <c r="AC89" s="661"/>
      <c r="AD89" s="661"/>
      <c r="AE89" s="624"/>
      <c r="AF89" s="751"/>
      <c r="AG89" s="751"/>
      <c r="AH89" s="751"/>
      <c r="AI89" s="624"/>
      <c r="AJ89" s="751"/>
      <c r="AK89" s="751"/>
      <c r="AL89" s="751"/>
      <c r="AM89" s="624"/>
      <c r="AN89" s="624"/>
      <c r="AO89" s="624"/>
      <c r="AP89" s="624"/>
      <c r="AQ89" s="737"/>
      <c r="AR89" s="753"/>
      <c r="AS89" s="753"/>
      <c r="AT89" s="753"/>
      <c r="AU89" s="624"/>
      <c r="AV89" s="624"/>
      <c r="AW89" s="624"/>
    </row>
    <row r="90" spans="2:49">
      <c r="B90" s="756"/>
      <c r="C90" s="624"/>
      <c r="D90" s="751"/>
      <c r="E90" s="751"/>
      <c r="F90" s="751"/>
      <c r="G90" s="751"/>
      <c r="H90" s="751"/>
      <c r="I90" s="624"/>
      <c r="J90" s="624"/>
      <c r="K90" s="750"/>
      <c r="L90" s="751"/>
      <c r="M90" s="751"/>
      <c r="N90" s="751"/>
      <c r="O90" s="750"/>
      <c r="P90" s="751"/>
      <c r="Q90" s="751"/>
      <c r="R90" s="751"/>
      <c r="S90" s="624"/>
      <c r="T90" s="751"/>
      <c r="U90" s="751"/>
      <c r="V90" s="751"/>
      <c r="W90" s="624"/>
      <c r="X90" s="751"/>
      <c r="Y90" s="751"/>
      <c r="Z90" s="751"/>
      <c r="AA90" s="750"/>
      <c r="AB90" s="751"/>
      <c r="AC90" s="661"/>
      <c r="AD90" s="661"/>
      <c r="AE90" s="624"/>
      <c r="AF90" s="751"/>
      <c r="AG90" s="751"/>
      <c r="AH90" s="751"/>
      <c r="AI90" s="624"/>
      <c r="AJ90" s="751"/>
      <c r="AK90" s="751"/>
      <c r="AL90" s="751"/>
      <c r="AM90" s="624"/>
      <c r="AN90" s="624"/>
      <c r="AO90" s="624"/>
      <c r="AP90" s="624"/>
      <c r="AQ90" s="737"/>
      <c r="AR90" s="753"/>
      <c r="AS90" s="753"/>
      <c r="AT90" s="753"/>
      <c r="AU90" s="624"/>
      <c r="AV90" s="624"/>
      <c r="AW90" s="624"/>
    </row>
    <row r="91" spans="2:49">
      <c r="B91" s="756"/>
      <c r="C91" s="624"/>
      <c r="D91" s="751"/>
      <c r="E91" s="751"/>
      <c r="F91" s="751"/>
      <c r="G91" s="751"/>
      <c r="H91" s="751"/>
      <c r="I91" s="624"/>
      <c r="J91" s="624"/>
      <c r="K91" s="750"/>
      <c r="L91" s="751"/>
      <c r="M91" s="751"/>
      <c r="N91" s="751"/>
      <c r="O91" s="750"/>
      <c r="P91" s="751"/>
      <c r="Q91" s="751"/>
      <c r="R91" s="751"/>
      <c r="S91" s="624"/>
      <c r="T91" s="751"/>
      <c r="U91" s="751"/>
      <c r="V91" s="751"/>
      <c r="W91" s="624"/>
      <c r="X91" s="751"/>
      <c r="Y91" s="751"/>
      <c r="Z91" s="751"/>
      <c r="AA91" s="750"/>
      <c r="AB91" s="751"/>
      <c r="AC91" s="661"/>
      <c r="AD91" s="661"/>
      <c r="AE91" s="624"/>
      <c r="AF91" s="751"/>
      <c r="AG91" s="751"/>
      <c r="AH91" s="751"/>
      <c r="AI91" s="624"/>
      <c r="AJ91" s="751"/>
      <c r="AK91" s="751"/>
      <c r="AL91" s="751"/>
      <c r="AM91" s="624"/>
      <c r="AN91" s="624"/>
      <c r="AO91" s="624"/>
      <c r="AP91" s="624"/>
      <c r="AQ91" s="737"/>
      <c r="AR91" s="753"/>
      <c r="AS91" s="753"/>
      <c r="AT91" s="753"/>
      <c r="AU91" s="624"/>
      <c r="AV91" s="624"/>
      <c r="AW91" s="624"/>
    </row>
    <row r="92" spans="2:49">
      <c r="B92" s="756"/>
      <c r="C92" s="624"/>
      <c r="D92" s="751"/>
      <c r="E92" s="751"/>
      <c r="F92" s="751"/>
      <c r="G92" s="751"/>
      <c r="H92" s="751"/>
      <c r="I92" s="624"/>
      <c r="J92" s="624"/>
      <c r="K92" s="750"/>
      <c r="L92" s="751"/>
      <c r="M92" s="751"/>
      <c r="N92" s="751"/>
      <c r="O92" s="750"/>
      <c r="P92" s="751"/>
      <c r="Q92" s="751"/>
      <c r="R92" s="751"/>
      <c r="S92" s="624"/>
      <c r="T92" s="751"/>
      <c r="U92" s="751"/>
      <c r="V92" s="751"/>
      <c r="W92" s="624"/>
      <c r="X92" s="751"/>
      <c r="Y92" s="751"/>
      <c r="Z92" s="751"/>
      <c r="AA92" s="750"/>
      <c r="AB92" s="751"/>
      <c r="AC92" s="661"/>
      <c r="AD92" s="661"/>
      <c r="AE92" s="624"/>
      <c r="AF92" s="751"/>
      <c r="AG92" s="751"/>
      <c r="AH92" s="751"/>
      <c r="AI92" s="624"/>
      <c r="AJ92" s="751"/>
      <c r="AK92" s="751"/>
      <c r="AL92" s="751"/>
      <c r="AM92" s="624"/>
      <c r="AN92" s="624"/>
      <c r="AO92" s="624"/>
      <c r="AP92" s="624"/>
      <c r="AQ92" s="737"/>
      <c r="AR92" s="753"/>
      <c r="AS92" s="753"/>
      <c r="AT92" s="753"/>
      <c r="AU92" s="624"/>
      <c r="AV92" s="624"/>
      <c r="AW92" s="624"/>
    </row>
    <row r="93" spans="2:49">
      <c r="B93" s="756"/>
      <c r="C93" s="624"/>
      <c r="D93" s="751"/>
      <c r="E93" s="751"/>
      <c r="F93" s="751"/>
      <c r="G93" s="751"/>
      <c r="H93" s="751"/>
      <c r="I93" s="624"/>
      <c r="J93" s="624"/>
      <c r="K93" s="750"/>
      <c r="L93" s="751"/>
      <c r="M93" s="751"/>
      <c r="N93" s="751"/>
      <c r="O93" s="750"/>
      <c r="P93" s="751"/>
      <c r="Q93" s="751"/>
      <c r="R93" s="751"/>
      <c r="S93" s="624"/>
      <c r="T93" s="751"/>
      <c r="U93" s="751"/>
      <c r="V93" s="751"/>
      <c r="W93" s="624"/>
      <c r="X93" s="751"/>
      <c r="Y93" s="751"/>
      <c r="Z93" s="751"/>
      <c r="AA93" s="750"/>
      <c r="AB93" s="751"/>
      <c r="AC93" s="661"/>
      <c r="AD93" s="661"/>
      <c r="AE93" s="624"/>
      <c r="AF93" s="751"/>
      <c r="AG93" s="751"/>
      <c r="AH93" s="751"/>
      <c r="AI93" s="624"/>
      <c r="AJ93" s="751"/>
      <c r="AK93" s="751"/>
      <c r="AL93" s="751"/>
      <c r="AM93" s="624"/>
      <c r="AN93" s="624"/>
      <c r="AO93" s="624"/>
      <c r="AP93" s="624"/>
      <c r="AQ93" s="737"/>
      <c r="AR93" s="753"/>
      <c r="AS93" s="753"/>
      <c r="AT93" s="753"/>
      <c r="AU93" s="624"/>
      <c r="AV93" s="624"/>
      <c r="AW93" s="624"/>
    </row>
    <row r="94" spans="2:49">
      <c r="B94" s="756"/>
      <c r="C94" s="624"/>
      <c r="D94" s="751"/>
      <c r="E94" s="751"/>
      <c r="F94" s="751"/>
      <c r="G94" s="751"/>
      <c r="H94" s="751"/>
      <c r="I94" s="624"/>
      <c r="J94" s="624"/>
      <c r="K94" s="750"/>
      <c r="L94" s="751"/>
      <c r="M94" s="751"/>
      <c r="N94" s="751"/>
      <c r="O94" s="750"/>
      <c r="P94" s="751"/>
      <c r="Q94" s="751"/>
      <c r="R94" s="751"/>
      <c r="S94" s="624"/>
      <c r="T94" s="751"/>
      <c r="U94" s="751"/>
      <c r="V94" s="751"/>
      <c r="W94" s="624"/>
      <c r="X94" s="751"/>
      <c r="Y94" s="751"/>
      <c r="Z94" s="751"/>
      <c r="AA94" s="750"/>
      <c r="AB94" s="751"/>
      <c r="AC94" s="661"/>
      <c r="AD94" s="661"/>
      <c r="AE94" s="624"/>
      <c r="AF94" s="751"/>
      <c r="AG94" s="751"/>
      <c r="AH94" s="751"/>
      <c r="AI94" s="624"/>
      <c r="AJ94" s="751"/>
      <c r="AK94" s="751"/>
      <c r="AL94" s="751"/>
      <c r="AM94" s="624"/>
      <c r="AN94" s="624"/>
      <c r="AO94" s="624"/>
      <c r="AP94" s="624"/>
      <c r="AQ94" s="737"/>
      <c r="AR94" s="753"/>
      <c r="AS94" s="753"/>
      <c r="AT94" s="753"/>
      <c r="AU94" s="624"/>
      <c r="AV94" s="624"/>
      <c r="AW94" s="624"/>
    </row>
    <row r="95" spans="2:49">
      <c r="B95" s="756"/>
      <c r="C95" s="624"/>
      <c r="D95" s="751"/>
      <c r="E95" s="751"/>
      <c r="F95" s="751"/>
      <c r="G95" s="751"/>
      <c r="H95" s="751"/>
      <c r="I95" s="624"/>
      <c r="J95" s="624"/>
      <c r="K95" s="750"/>
      <c r="L95" s="751"/>
      <c r="M95" s="751"/>
      <c r="N95" s="751"/>
      <c r="O95" s="750"/>
      <c r="P95" s="751"/>
      <c r="Q95" s="751"/>
      <c r="R95" s="751"/>
      <c r="S95" s="624"/>
      <c r="T95" s="751"/>
      <c r="U95" s="751"/>
      <c r="V95" s="751"/>
      <c r="W95" s="624"/>
      <c r="X95" s="751"/>
      <c r="Y95" s="751"/>
      <c r="Z95" s="751"/>
      <c r="AA95" s="750"/>
      <c r="AB95" s="751"/>
      <c r="AC95" s="661"/>
      <c r="AD95" s="661"/>
      <c r="AE95" s="624"/>
      <c r="AF95" s="751"/>
      <c r="AG95" s="751"/>
      <c r="AH95" s="751"/>
      <c r="AI95" s="624"/>
      <c r="AJ95" s="751"/>
      <c r="AK95" s="751"/>
      <c r="AL95" s="751"/>
      <c r="AM95" s="624"/>
      <c r="AN95" s="624"/>
      <c r="AO95" s="624"/>
      <c r="AP95" s="624"/>
      <c r="AQ95" s="737"/>
      <c r="AR95" s="753"/>
      <c r="AS95" s="753"/>
      <c r="AT95" s="753"/>
      <c r="AU95" s="624"/>
      <c r="AV95" s="624"/>
      <c r="AW95" s="624"/>
    </row>
    <row r="96" spans="2:49">
      <c r="B96" s="756"/>
      <c r="C96" s="624"/>
      <c r="D96" s="751"/>
      <c r="E96" s="751"/>
      <c r="F96" s="751"/>
      <c r="G96" s="751"/>
      <c r="H96" s="751"/>
      <c r="I96" s="624"/>
      <c r="J96" s="624"/>
      <c r="K96" s="750"/>
      <c r="L96" s="751"/>
      <c r="M96" s="751"/>
      <c r="N96" s="751"/>
      <c r="O96" s="750"/>
      <c r="P96" s="751"/>
      <c r="Q96" s="751"/>
      <c r="R96" s="751"/>
      <c r="S96" s="624"/>
      <c r="T96" s="751"/>
      <c r="U96" s="751"/>
      <c r="V96" s="751"/>
      <c r="W96" s="624"/>
      <c r="X96" s="751"/>
      <c r="Y96" s="751"/>
      <c r="Z96" s="751"/>
      <c r="AA96" s="750"/>
      <c r="AB96" s="751"/>
      <c r="AC96" s="661"/>
      <c r="AD96" s="661"/>
      <c r="AE96" s="624"/>
      <c r="AF96" s="751"/>
      <c r="AG96" s="751"/>
      <c r="AH96" s="751"/>
      <c r="AI96" s="624"/>
      <c r="AJ96" s="751"/>
      <c r="AK96" s="751"/>
      <c r="AL96" s="751"/>
      <c r="AM96" s="624"/>
      <c r="AN96" s="624"/>
      <c r="AO96" s="624"/>
      <c r="AP96" s="624"/>
      <c r="AQ96" s="737"/>
      <c r="AR96" s="753"/>
      <c r="AS96" s="753"/>
      <c r="AT96" s="753"/>
      <c r="AU96" s="624"/>
      <c r="AV96" s="624"/>
      <c r="AW96" s="624"/>
    </row>
    <row r="97" spans="2:49">
      <c r="B97" s="756"/>
      <c r="C97" s="624"/>
      <c r="D97" s="751"/>
      <c r="E97" s="751"/>
      <c r="F97" s="751"/>
      <c r="G97" s="751"/>
      <c r="H97" s="751"/>
      <c r="I97" s="624"/>
      <c r="J97" s="624"/>
      <c r="K97" s="750"/>
      <c r="L97" s="751"/>
      <c r="M97" s="751"/>
      <c r="N97" s="751"/>
      <c r="O97" s="750"/>
      <c r="P97" s="751"/>
      <c r="Q97" s="751"/>
      <c r="R97" s="751"/>
      <c r="S97" s="624"/>
      <c r="T97" s="751"/>
      <c r="U97" s="751"/>
      <c r="V97" s="751"/>
      <c r="W97" s="624"/>
      <c r="X97" s="751"/>
      <c r="Y97" s="751"/>
      <c r="Z97" s="751"/>
      <c r="AA97" s="750"/>
      <c r="AB97" s="751"/>
      <c r="AC97" s="661"/>
      <c r="AD97" s="661"/>
      <c r="AE97" s="624"/>
      <c r="AF97" s="751"/>
      <c r="AG97" s="751"/>
      <c r="AH97" s="751"/>
      <c r="AI97" s="624"/>
      <c r="AJ97" s="751"/>
      <c r="AK97" s="751"/>
      <c r="AL97" s="751"/>
      <c r="AM97" s="624"/>
      <c r="AN97" s="624"/>
      <c r="AO97" s="624"/>
      <c r="AP97" s="624"/>
      <c r="AQ97" s="737"/>
      <c r="AR97" s="753"/>
      <c r="AS97" s="753"/>
      <c r="AT97" s="753"/>
      <c r="AU97" s="624"/>
      <c r="AV97" s="624"/>
      <c r="AW97" s="624"/>
    </row>
    <row r="98" spans="2:49">
      <c r="B98" s="756"/>
      <c r="C98" s="624"/>
      <c r="D98" s="751"/>
      <c r="E98" s="751"/>
      <c r="F98" s="751"/>
      <c r="G98" s="751"/>
      <c r="H98" s="751"/>
      <c r="I98" s="624"/>
      <c r="J98" s="624"/>
      <c r="K98" s="750"/>
      <c r="L98" s="751"/>
      <c r="M98" s="751"/>
      <c r="N98" s="751"/>
      <c r="O98" s="750"/>
      <c r="P98" s="751"/>
      <c r="Q98" s="751"/>
      <c r="R98" s="751"/>
      <c r="S98" s="624"/>
      <c r="T98" s="751"/>
      <c r="U98" s="751"/>
      <c r="V98" s="751"/>
      <c r="W98" s="624"/>
      <c r="X98" s="751"/>
      <c r="Y98" s="751"/>
      <c r="Z98" s="751"/>
      <c r="AA98" s="750"/>
      <c r="AB98" s="751"/>
      <c r="AC98" s="661"/>
      <c r="AD98" s="661"/>
      <c r="AE98" s="624"/>
      <c r="AF98" s="751"/>
      <c r="AG98" s="751"/>
      <c r="AH98" s="751"/>
      <c r="AI98" s="624"/>
      <c r="AJ98" s="751"/>
      <c r="AK98" s="751"/>
      <c r="AL98" s="751"/>
      <c r="AM98" s="624"/>
      <c r="AN98" s="624"/>
      <c r="AO98" s="624"/>
      <c r="AP98" s="624"/>
      <c r="AQ98" s="737"/>
      <c r="AR98" s="753"/>
      <c r="AS98" s="753"/>
      <c r="AT98" s="753"/>
      <c r="AU98" s="624"/>
      <c r="AV98" s="624"/>
      <c r="AW98" s="624"/>
    </row>
    <row r="99" spans="2:49">
      <c r="B99" s="756"/>
      <c r="C99" s="624"/>
      <c r="D99" s="751"/>
      <c r="E99" s="751"/>
      <c r="F99" s="751"/>
      <c r="G99" s="751"/>
      <c r="H99" s="751"/>
      <c r="I99" s="624"/>
      <c r="J99" s="624"/>
      <c r="K99" s="750"/>
      <c r="L99" s="751"/>
      <c r="M99" s="751"/>
      <c r="N99" s="751"/>
      <c r="O99" s="750"/>
      <c r="P99" s="751"/>
      <c r="Q99" s="751"/>
      <c r="R99" s="751"/>
      <c r="S99" s="624"/>
      <c r="T99" s="751"/>
      <c r="U99" s="751"/>
      <c r="V99" s="751"/>
      <c r="W99" s="624"/>
      <c r="X99" s="751"/>
      <c r="Y99" s="751"/>
      <c r="Z99" s="751"/>
      <c r="AA99" s="750"/>
      <c r="AB99" s="751"/>
      <c r="AC99" s="661"/>
      <c r="AD99" s="661"/>
      <c r="AE99" s="624"/>
      <c r="AF99" s="751"/>
      <c r="AG99" s="751"/>
      <c r="AH99" s="751"/>
      <c r="AI99" s="624"/>
      <c r="AJ99" s="751"/>
      <c r="AK99" s="751"/>
      <c r="AL99" s="751"/>
      <c r="AM99" s="624"/>
      <c r="AN99" s="624"/>
      <c r="AO99" s="624"/>
      <c r="AP99" s="624"/>
      <c r="AQ99" s="737"/>
      <c r="AR99" s="753"/>
      <c r="AS99" s="753"/>
      <c r="AT99" s="753"/>
      <c r="AU99" s="624"/>
      <c r="AV99" s="624"/>
      <c r="AW99" s="624"/>
    </row>
    <row r="100" spans="2:49">
      <c r="B100" s="756"/>
      <c r="C100" s="624"/>
      <c r="D100" s="751"/>
      <c r="E100" s="751"/>
      <c r="F100" s="751"/>
      <c r="G100" s="751"/>
      <c r="H100" s="751"/>
      <c r="I100" s="624"/>
      <c r="J100" s="624"/>
      <c r="K100" s="750"/>
      <c r="L100" s="751"/>
      <c r="M100" s="751"/>
      <c r="N100" s="751"/>
      <c r="O100" s="750"/>
      <c r="P100" s="751"/>
      <c r="Q100" s="751"/>
      <c r="R100" s="751"/>
      <c r="S100" s="624"/>
      <c r="T100" s="751"/>
      <c r="U100" s="751"/>
      <c r="V100" s="751"/>
      <c r="W100" s="624"/>
      <c r="X100" s="751"/>
      <c r="Y100" s="751"/>
      <c r="Z100" s="751"/>
      <c r="AA100" s="750"/>
      <c r="AB100" s="751"/>
      <c r="AC100" s="661"/>
      <c r="AD100" s="661"/>
      <c r="AE100" s="624"/>
      <c r="AF100" s="751"/>
      <c r="AG100" s="751"/>
      <c r="AH100" s="751"/>
      <c r="AI100" s="624"/>
      <c r="AJ100" s="751"/>
      <c r="AK100" s="751"/>
      <c r="AL100" s="751"/>
      <c r="AM100" s="624"/>
      <c r="AN100" s="624"/>
      <c r="AO100" s="624"/>
      <c r="AP100" s="624"/>
      <c r="AQ100" s="737"/>
      <c r="AR100" s="753"/>
      <c r="AS100" s="753"/>
      <c r="AT100" s="753"/>
      <c r="AU100" s="624"/>
      <c r="AV100" s="624"/>
      <c r="AW100" s="624"/>
    </row>
    <row r="101" spans="2:49">
      <c r="B101" s="756"/>
      <c r="C101" s="624"/>
      <c r="D101" s="751"/>
      <c r="E101" s="751"/>
      <c r="F101" s="751"/>
      <c r="G101" s="751"/>
      <c r="H101" s="751"/>
      <c r="I101" s="624"/>
      <c r="J101" s="624"/>
      <c r="K101" s="750"/>
      <c r="L101" s="751"/>
      <c r="M101" s="751"/>
      <c r="N101" s="751"/>
      <c r="O101" s="750"/>
      <c r="P101" s="751"/>
      <c r="Q101" s="751"/>
      <c r="R101" s="751"/>
      <c r="S101" s="624"/>
      <c r="T101" s="751"/>
      <c r="U101" s="751"/>
      <c r="V101" s="751"/>
      <c r="W101" s="624"/>
      <c r="X101" s="751"/>
      <c r="Y101" s="751"/>
      <c r="Z101" s="751"/>
      <c r="AA101" s="750"/>
      <c r="AB101" s="751"/>
      <c r="AC101" s="661"/>
      <c r="AD101" s="661"/>
      <c r="AE101" s="624"/>
      <c r="AF101" s="751"/>
      <c r="AG101" s="751"/>
      <c r="AH101" s="751"/>
      <c r="AI101" s="624"/>
      <c r="AJ101" s="751"/>
      <c r="AK101" s="751"/>
      <c r="AL101" s="751"/>
      <c r="AM101" s="624"/>
      <c r="AN101" s="624"/>
      <c r="AO101" s="624"/>
      <c r="AP101" s="624"/>
      <c r="AQ101" s="737"/>
      <c r="AR101" s="753"/>
      <c r="AS101" s="753"/>
      <c r="AT101" s="753"/>
      <c r="AU101" s="624"/>
      <c r="AV101" s="624"/>
      <c r="AW101" s="624"/>
    </row>
    <row r="102" spans="2:49">
      <c r="B102" s="756"/>
      <c r="C102" s="624"/>
      <c r="D102" s="751"/>
      <c r="E102" s="751"/>
      <c r="F102" s="751"/>
      <c r="G102" s="751"/>
      <c r="H102" s="751"/>
      <c r="I102" s="624"/>
      <c r="J102" s="624"/>
      <c r="K102" s="750"/>
      <c r="L102" s="751"/>
      <c r="M102" s="751"/>
      <c r="N102" s="751"/>
      <c r="O102" s="750"/>
      <c r="P102" s="751"/>
      <c r="Q102" s="751"/>
      <c r="R102" s="751"/>
      <c r="S102" s="624"/>
      <c r="T102" s="751"/>
      <c r="U102" s="751"/>
      <c r="V102" s="751"/>
      <c r="W102" s="624"/>
      <c r="X102" s="751"/>
      <c r="Y102" s="751"/>
      <c r="Z102" s="751"/>
      <c r="AA102" s="750"/>
      <c r="AB102" s="751"/>
      <c r="AC102" s="661"/>
      <c r="AD102" s="661"/>
      <c r="AE102" s="624"/>
      <c r="AF102" s="751"/>
      <c r="AG102" s="751"/>
      <c r="AH102" s="751"/>
      <c r="AI102" s="624"/>
      <c r="AJ102" s="751"/>
      <c r="AK102" s="751"/>
      <c r="AL102" s="751"/>
      <c r="AM102" s="624"/>
      <c r="AN102" s="624"/>
      <c r="AO102" s="624"/>
      <c r="AP102" s="624"/>
      <c r="AQ102" s="737"/>
      <c r="AR102" s="753"/>
      <c r="AS102" s="753"/>
      <c r="AT102" s="753"/>
      <c r="AU102" s="624"/>
      <c r="AV102" s="624"/>
      <c r="AW102" s="624"/>
    </row>
    <row r="103" spans="2:49">
      <c r="B103" s="756"/>
      <c r="C103" s="624"/>
      <c r="D103" s="751"/>
      <c r="E103" s="751"/>
      <c r="F103" s="751"/>
      <c r="G103" s="751"/>
      <c r="H103" s="751"/>
      <c r="I103" s="624"/>
      <c r="J103" s="624"/>
      <c r="K103" s="750"/>
      <c r="L103" s="751"/>
      <c r="M103" s="751"/>
      <c r="N103" s="751"/>
      <c r="O103" s="750"/>
      <c r="P103" s="751"/>
      <c r="Q103" s="751"/>
      <c r="R103" s="751"/>
      <c r="S103" s="624"/>
      <c r="T103" s="751"/>
      <c r="U103" s="751"/>
      <c r="V103" s="751"/>
      <c r="W103" s="624"/>
      <c r="X103" s="751"/>
      <c r="Y103" s="751"/>
      <c r="Z103" s="751"/>
      <c r="AA103" s="750"/>
      <c r="AB103" s="751"/>
      <c r="AC103" s="661"/>
      <c r="AD103" s="661"/>
      <c r="AE103" s="624"/>
      <c r="AF103" s="751"/>
      <c r="AG103" s="751"/>
      <c r="AH103" s="751"/>
      <c r="AI103" s="624"/>
      <c r="AJ103" s="751"/>
      <c r="AK103" s="751"/>
      <c r="AL103" s="751"/>
      <c r="AM103" s="624"/>
      <c r="AN103" s="624"/>
      <c r="AO103" s="624"/>
      <c r="AP103" s="624"/>
      <c r="AQ103" s="737"/>
      <c r="AR103" s="753"/>
      <c r="AS103" s="753"/>
      <c r="AT103" s="753"/>
      <c r="AU103" s="624"/>
      <c r="AV103" s="624"/>
      <c r="AW103" s="624"/>
    </row>
    <row r="104" spans="2:49">
      <c r="B104" s="756"/>
      <c r="C104" s="624"/>
      <c r="D104" s="751"/>
      <c r="E104" s="751"/>
      <c r="F104" s="751"/>
      <c r="G104" s="751"/>
      <c r="H104" s="751"/>
      <c r="I104" s="624"/>
      <c r="J104" s="624"/>
      <c r="K104" s="750"/>
      <c r="L104" s="751"/>
      <c r="M104" s="751"/>
      <c r="N104" s="751"/>
      <c r="O104" s="750"/>
      <c r="P104" s="751"/>
      <c r="Q104" s="751"/>
      <c r="R104" s="751"/>
      <c r="S104" s="624"/>
      <c r="T104" s="751"/>
      <c r="U104" s="751"/>
      <c r="V104" s="751"/>
      <c r="W104" s="624"/>
      <c r="X104" s="751"/>
      <c r="Y104" s="751"/>
      <c r="Z104" s="751"/>
      <c r="AA104" s="750"/>
      <c r="AB104" s="751"/>
      <c r="AC104" s="661"/>
      <c r="AD104" s="661"/>
      <c r="AE104" s="624"/>
      <c r="AF104" s="751"/>
      <c r="AG104" s="751"/>
      <c r="AH104" s="751"/>
      <c r="AI104" s="624"/>
      <c r="AJ104" s="751"/>
      <c r="AK104" s="751"/>
      <c r="AL104" s="751"/>
      <c r="AM104" s="624"/>
      <c r="AN104" s="624"/>
      <c r="AO104" s="624"/>
      <c r="AP104" s="624"/>
      <c r="AQ104" s="737"/>
      <c r="AR104" s="753"/>
      <c r="AS104" s="753"/>
      <c r="AT104" s="753"/>
      <c r="AU104" s="624"/>
      <c r="AV104" s="624"/>
      <c r="AW104" s="624"/>
    </row>
    <row r="105" spans="2:49">
      <c r="B105" s="756"/>
      <c r="C105" s="624"/>
      <c r="D105" s="751"/>
      <c r="E105" s="751"/>
      <c r="F105" s="751"/>
      <c r="G105" s="751"/>
      <c r="H105" s="751"/>
      <c r="I105" s="624"/>
      <c r="J105" s="624"/>
      <c r="K105" s="750"/>
      <c r="L105" s="751"/>
      <c r="M105" s="751"/>
      <c r="N105" s="751"/>
      <c r="O105" s="750"/>
      <c r="P105" s="751"/>
      <c r="Q105" s="751"/>
      <c r="R105" s="751"/>
      <c r="S105" s="624"/>
      <c r="T105" s="751"/>
      <c r="U105" s="751"/>
      <c r="V105" s="751"/>
      <c r="W105" s="624"/>
      <c r="X105" s="751"/>
      <c r="Y105" s="751"/>
      <c r="Z105" s="751"/>
      <c r="AA105" s="750"/>
      <c r="AB105" s="751"/>
      <c r="AC105" s="661"/>
      <c r="AD105" s="661"/>
      <c r="AE105" s="624"/>
      <c r="AF105" s="751"/>
      <c r="AG105" s="751"/>
      <c r="AH105" s="751"/>
      <c r="AI105" s="624"/>
      <c r="AJ105" s="751"/>
      <c r="AK105" s="751"/>
      <c r="AL105" s="751"/>
      <c r="AM105" s="624"/>
      <c r="AN105" s="624"/>
      <c r="AO105" s="624"/>
      <c r="AP105" s="624"/>
      <c r="AQ105" s="737"/>
      <c r="AR105" s="753"/>
      <c r="AS105" s="753"/>
      <c r="AT105" s="753"/>
      <c r="AU105" s="624"/>
      <c r="AV105" s="624"/>
      <c r="AW105" s="624"/>
    </row>
    <row r="106" spans="2:49">
      <c r="B106" s="756"/>
      <c r="C106" s="624"/>
      <c r="D106" s="751"/>
      <c r="E106" s="751"/>
      <c r="F106" s="751"/>
      <c r="G106" s="751"/>
      <c r="H106" s="751"/>
      <c r="I106" s="624"/>
      <c r="J106" s="624"/>
      <c r="K106" s="750"/>
      <c r="L106" s="751"/>
      <c r="M106" s="751"/>
      <c r="N106" s="751"/>
      <c r="O106" s="750"/>
      <c r="P106" s="751"/>
      <c r="Q106" s="751"/>
      <c r="R106" s="751"/>
      <c r="S106" s="624"/>
      <c r="T106" s="751"/>
      <c r="U106" s="751"/>
      <c r="V106" s="751"/>
      <c r="W106" s="624"/>
      <c r="X106" s="751"/>
      <c r="Y106" s="751"/>
      <c r="Z106" s="751"/>
      <c r="AA106" s="750"/>
      <c r="AB106" s="751"/>
      <c r="AC106" s="661"/>
      <c r="AD106" s="661"/>
      <c r="AE106" s="624"/>
      <c r="AF106" s="751"/>
      <c r="AG106" s="751"/>
      <c r="AH106" s="751"/>
      <c r="AI106" s="624"/>
      <c r="AJ106" s="751"/>
      <c r="AK106" s="751"/>
      <c r="AL106" s="751"/>
      <c r="AM106" s="624"/>
      <c r="AN106" s="624"/>
      <c r="AO106" s="624"/>
      <c r="AP106" s="624"/>
      <c r="AQ106" s="737"/>
      <c r="AR106" s="753"/>
      <c r="AS106" s="753"/>
      <c r="AT106" s="753"/>
      <c r="AU106" s="624"/>
      <c r="AV106" s="624"/>
      <c r="AW106" s="624"/>
    </row>
    <row r="107" spans="2:49">
      <c r="B107" s="756"/>
      <c r="C107" s="624"/>
      <c r="D107" s="751"/>
      <c r="E107" s="751"/>
      <c r="F107" s="751"/>
      <c r="G107" s="751"/>
      <c r="H107" s="751"/>
      <c r="I107" s="624"/>
      <c r="J107" s="624"/>
      <c r="K107" s="750"/>
      <c r="L107" s="751"/>
      <c r="M107" s="751"/>
      <c r="N107" s="751"/>
      <c r="O107" s="750"/>
      <c r="P107" s="751"/>
      <c r="Q107" s="751"/>
      <c r="R107" s="751"/>
      <c r="S107" s="624"/>
      <c r="T107" s="751"/>
      <c r="U107" s="751"/>
      <c r="V107" s="751"/>
      <c r="W107" s="624"/>
      <c r="X107" s="751"/>
      <c r="Y107" s="751"/>
      <c r="Z107" s="751"/>
      <c r="AA107" s="750"/>
      <c r="AB107" s="751"/>
      <c r="AC107" s="661"/>
      <c r="AD107" s="661"/>
      <c r="AE107" s="624"/>
      <c r="AF107" s="751"/>
      <c r="AG107" s="751"/>
      <c r="AH107" s="751"/>
      <c r="AI107" s="624"/>
      <c r="AJ107" s="751"/>
      <c r="AK107" s="751"/>
      <c r="AL107" s="751"/>
      <c r="AM107" s="624"/>
      <c r="AN107" s="624"/>
      <c r="AO107" s="624"/>
      <c r="AP107" s="624"/>
      <c r="AQ107" s="737"/>
      <c r="AR107" s="753"/>
      <c r="AS107" s="753"/>
      <c r="AT107" s="753"/>
      <c r="AU107" s="624"/>
      <c r="AV107" s="624"/>
      <c r="AW107" s="624"/>
    </row>
    <row r="108" spans="2:49">
      <c r="B108" s="756"/>
      <c r="C108" s="624"/>
      <c r="D108" s="751"/>
      <c r="E108" s="751"/>
      <c r="F108" s="751"/>
      <c r="G108" s="751"/>
      <c r="H108" s="751"/>
      <c r="I108" s="624"/>
      <c r="J108" s="624"/>
      <c r="K108" s="750"/>
      <c r="L108" s="751"/>
      <c r="M108" s="751"/>
      <c r="N108" s="751"/>
      <c r="O108" s="750"/>
      <c r="P108" s="751"/>
      <c r="Q108" s="751"/>
      <c r="R108" s="751"/>
      <c r="S108" s="624"/>
      <c r="T108" s="751"/>
      <c r="U108" s="751"/>
      <c r="V108" s="751"/>
      <c r="W108" s="624"/>
      <c r="X108" s="751"/>
      <c r="Y108" s="751"/>
      <c r="Z108" s="751"/>
      <c r="AA108" s="750"/>
      <c r="AB108" s="751"/>
      <c r="AC108" s="661"/>
      <c r="AD108" s="661"/>
      <c r="AE108" s="624"/>
      <c r="AF108" s="751"/>
      <c r="AG108" s="751"/>
      <c r="AH108" s="751"/>
      <c r="AI108" s="624"/>
      <c r="AJ108" s="751"/>
      <c r="AK108" s="751"/>
      <c r="AL108" s="751"/>
      <c r="AM108" s="624"/>
      <c r="AN108" s="624"/>
      <c r="AO108" s="624"/>
      <c r="AP108" s="624"/>
      <c r="AQ108" s="737"/>
      <c r="AR108" s="753"/>
      <c r="AS108" s="753"/>
      <c r="AT108" s="753"/>
      <c r="AU108" s="624"/>
      <c r="AV108" s="624"/>
      <c r="AW108" s="624"/>
    </row>
    <row r="109" spans="2:49">
      <c r="B109" s="756"/>
      <c r="C109" s="624"/>
      <c r="D109" s="751"/>
      <c r="E109" s="751"/>
      <c r="F109" s="751"/>
      <c r="G109" s="751"/>
      <c r="H109" s="751"/>
      <c r="I109" s="624"/>
      <c r="J109" s="624"/>
      <c r="K109" s="750"/>
      <c r="L109" s="751"/>
      <c r="M109" s="751"/>
      <c r="N109" s="751"/>
      <c r="O109" s="750"/>
      <c r="P109" s="751"/>
      <c r="Q109" s="751"/>
      <c r="R109" s="751"/>
      <c r="S109" s="624"/>
      <c r="T109" s="751"/>
      <c r="U109" s="751"/>
      <c r="V109" s="751"/>
      <c r="W109" s="624"/>
      <c r="X109" s="751"/>
      <c r="Y109" s="751"/>
      <c r="Z109" s="751"/>
      <c r="AA109" s="750"/>
      <c r="AB109" s="751"/>
      <c r="AC109" s="661"/>
      <c r="AD109" s="661"/>
      <c r="AE109" s="624"/>
      <c r="AF109" s="751"/>
      <c r="AG109" s="751"/>
      <c r="AH109" s="751"/>
      <c r="AI109" s="624"/>
      <c r="AJ109" s="751"/>
      <c r="AK109" s="751"/>
      <c r="AL109" s="751"/>
      <c r="AM109" s="624"/>
      <c r="AN109" s="624"/>
      <c r="AO109" s="624"/>
      <c r="AP109" s="624"/>
      <c r="AQ109" s="737"/>
      <c r="AR109" s="753"/>
      <c r="AS109" s="753"/>
      <c r="AT109" s="753"/>
      <c r="AU109" s="624"/>
      <c r="AV109" s="624"/>
      <c r="AW109" s="624"/>
    </row>
    <row r="110" spans="2:49">
      <c r="B110" s="756"/>
      <c r="C110" s="624"/>
      <c r="D110" s="751"/>
      <c r="E110" s="751"/>
      <c r="F110" s="751"/>
      <c r="G110" s="751"/>
      <c r="H110" s="751"/>
      <c r="I110" s="624"/>
      <c r="J110" s="624"/>
      <c r="K110" s="750"/>
      <c r="L110" s="751"/>
      <c r="M110" s="751"/>
      <c r="N110" s="751"/>
      <c r="O110" s="750"/>
      <c r="P110" s="751"/>
      <c r="Q110" s="751"/>
      <c r="R110" s="751"/>
      <c r="S110" s="624"/>
      <c r="T110" s="751"/>
      <c r="U110" s="751"/>
      <c r="V110" s="751"/>
      <c r="W110" s="624"/>
      <c r="X110" s="751"/>
      <c r="Y110" s="751"/>
      <c r="Z110" s="751"/>
      <c r="AA110" s="750"/>
      <c r="AB110" s="751"/>
      <c r="AC110" s="661"/>
      <c r="AD110" s="661"/>
      <c r="AE110" s="624"/>
      <c r="AF110" s="751"/>
      <c r="AG110" s="751"/>
      <c r="AH110" s="751"/>
      <c r="AI110" s="624"/>
      <c r="AJ110" s="751"/>
      <c r="AK110" s="751"/>
      <c r="AL110" s="751"/>
      <c r="AM110" s="624"/>
      <c r="AN110" s="624"/>
      <c r="AO110" s="624"/>
      <c r="AP110" s="624"/>
      <c r="AQ110" s="737"/>
      <c r="AR110" s="753"/>
      <c r="AS110" s="753"/>
      <c r="AT110" s="753"/>
      <c r="AU110" s="624"/>
      <c r="AV110" s="624"/>
      <c r="AW110" s="624"/>
    </row>
    <row r="111" spans="2:49">
      <c r="B111" s="756"/>
      <c r="C111" s="624"/>
      <c r="D111" s="751"/>
      <c r="E111" s="751"/>
      <c r="F111" s="751"/>
      <c r="G111" s="751"/>
      <c r="H111" s="751"/>
      <c r="I111" s="624"/>
      <c r="J111" s="624"/>
      <c r="K111" s="750"/>
      <c r="L111" s="751"/>
      <c r="M111" s="751"/>
      <c r="N111" s="751"/>
      <c r="O111" s="750"/>
      <c r="P111" s="751"/>
      <c r="Q111" s="751"/>
      <c r="R111" s="751"/>
      <c r="S111" s="624"/>
      <c r="T111" s="751"/>
      <c r="U111" s="751"/>
      <c r="V111" s="751"/>
      <c r="W111" s="624"/>
      <c r="X111" s="751"/>
      <c r="Y111" s="751"/>
      <c r="Z111" s="751"/>
      <c r="AA111" s="750"/>
      <c r="AB111" s="751"/>
      <c r="AC111" s="661"/>
      <c r="AD111" s="661"/>
      <c r="AE111" s="624"/>
      <c r="AF111" s="751"/>
      <c r="AG111" s="751"/>
      <c r="AH111" s="751"/>
      <c r="AI111" s="624"/>
      <c r="AJ111" s="751"/>
      <c r="AK111" s="751"/>
      <c r="AL111" s="751"/>
      <c r="AM111" s="624"/>
      <c r="AN111" s="624"/>
      <c r="AO111" s="624"/>
      <c r="AP111" s="624"/>
      <c r="AQ111" s="737"/>
      <c r="AR111" s="753"/>
      <c r="AS111" s="753"/>
      <c r="AT111" s="753"/>
      <c r="AU111" s="624"/>
      <c r="AV111" s="624"/>
      <c r="AW111" s="624"/>
    </row>
    <row r="112" spans="2:49">
      <c r="B112" s="756"/>
      <c r="C112" s="624"/>
      <c r="D112" s="751"/>
      <c r="E112" s="751"/>
      <c r="F112" s="751"/>
      <c r="G112" s="751"/>
      <c r="H112" s="751"/>
      <c r="I112" s="624"/>
      <c r="J112" s="624"/>
      <c r="K112" s="750"/>
      <c r="L112" s="751"/>
      <c r="M112" s="751"/>
      <c r="N112" s="751"/>
      <c r="O112" s="750"/>
      <c r="P112" s="751"/>
      <c r="Q112" s="751"/>
      <c r="R112" s="751"/>
      <c r="S112" s="624"/>
      <c r="T112" s="751"/>
      <c r="U112" s="751"/>
      <c r="V112" s="751"/>
      <c r="W112" s="624"/>
      <c r="X112" s="751"/>
      <c r="Y112" s="751"/>
      <c r="Z112" s="751"/>
      <c r="AA112" s="750"/>
      <c r="AB112" s="751"/>
      <c r="AC112" s="661"/>
      <c r="AD112" s="661"/>
      <c r="AE112" s="624"/>
      <c r="AF112" s="751"/>
      <c r="AG112" s="751"/>
      <c r="AH112" s="751"/>
      <c r="AI112" s="624"/>
      <c r="AJ112" s="751"/>
      <c r="AK112" s="751"/>
      <c r="AL112" s="751"/>
      <c r="AM112" s="624"/>
      <c r="AN112" s="624"/>
      <c r="AO112" s="624"/>
      <c r="AP112" s="624"/>
      <c r="AQ112" s="737"/>
      <c r="AR112" s="753"/>
      <c r="AS112" s="753"/>
      <c r="AT112" s="753"/>
      <c r="AU112" s="624"/>
      <c r="AV112" s="624"/>
      <c r="AW112" s="624"/>
    </row>
    <row r="113" spans="2:49">
      <c r="B113" s="756"/>
      <c r="C113" s="624"/>
      <c r="D113" s="751"/>
      <c r="E113" s="751"/>
      <c r="F113" s="751"/>
      <c r="G113" s="751"/>
      <c r="H113" s="751"/>
      <c r="I113" s="624"/>
      <c r="J113" s="624"/>
      <c r="K113" s="750"/>
      <c r="L113" s="751"/>
      <c r="M113" s="751"/>
      <c r="N113" s="751"/>
      <c r="O113" s="750"/>
      <c r="P113" s="751"/>
      <c r="Q113" s="751"/>
      <c r="R113" s="751"/>
      <c r="S113" s="624"/>
      <c r="T113" s="751"/>
      <c r="U113" s="751"/>
      <c r="V113" s="751"/>
      <c r="W113" s="624"/>
      <c r="X113" s="751"/>
      <c r="Y113" s="751"/>
      <c r="Z113" s="751"/>
      <c r="AA113" s="750"/>
      <c r="AB113" s="751"/>
      <c r="AC113" s="661"/>
      <c r="AD113" s="661"/>
      <c r="AE113" s="624"/>
      <c r="AF113" s="751"/>
      <c r="AG113" s="751"/>
      <c r="AH113" s="751"/>
      <c r="AI113" s="624"/>
      <c r="AJ113" s="751"/>
      <c r="AK113" s="751"/>
      <c r="AL113" s="751"/>
      <c r="AM113" s="624"/>
      <c r="AN113" s="624"/>
      <c r="AO113" s="624"/>
      <c r="AP113" s="624"/>
      <c r="AQ113" s="737"/>
      <c r="AR113" s="753"/>
      <c r="AS113" s="753"/>
      <c r="AT113" s="753"/>
      <c r="AU113" s="624"/>
      <c r="AV113" s="624"/>
      <c r="AW113" s="624"/>
    </row>
    <row r="114" spans="2:49">
      <c r="B114" s="756"/>
      <c r="C114" s="624"/>
      <c r="D114" s="751"/>
      <c r="E114" s="751"/>
      <c r="F114" s="751"/>
      <c r="G114" s="751"/>
      <c r="H114" s="751"/>
      <c r="I114" s="624"/>
      <c r="J114" s="624"/>
      <c r="K114" s="750"/>
      <c r="L114" s="751"/>
      <c r="M114" s="751"/>
      <c r="N114" s="751"/>
      <c r="O114" s="750"/>
      <c r="P114" s="751"/>
      <c r="Q114" s="751"/>
      <c r="R114" s="751"/>
      <c r="S114" s="624"/>
      <c r="T114" s="751"/>
      <c r="U114" s="751"/>
      <c r="V114" s="751"/>
      <c r="W114" s="624"/>
      <c r="X114" s="751"/>
      <c r="Y114" s="751"/>
      <c r="Z114" s="751"/>
      <c r="AA114" s="750"/>
      <c r="AB114" s="751"/>
      <c r="AC114" s="661"/>
      <c r="AD114" s="661"/>
      <c r="AE114" s="624"/>
      <c r="AF114" s="751"/>
      <c r="AG114" s="751"/>
      <c r="AH114" s="751"/>
      <c r="AI114" s="624"/>
      <c r="AJ114" s="751"/>
      <c r="AK114" s="751"/>
      <c r="AL114" s="751"/>
      <c r="AM114" s="624"/>
      <c r="AN114" s="624"/>
      <c r="AO114" s="624"/>
      <c r="AP114" s="624"/>
      <c r="AQ114" s="737"/>
      <c r="AR114" s="753"/>
      <c r="AS114" s="753"/>
      <c r="AT114" s="753"/>
      <c r="AU114" s="624"/>
      <c r="AV114" s="624"/>
      <c r="AW114" s="624"/>
    </row>
    <row r="115" spans="2:49">
      <c r="B115" s="756"/>
      <c r="C115" s="624"/>
      <c r="D115" s="751"/>
      <c r="E115" s="751"/>
      <c r="F115" s="751"/>
      <c r="G115" s="751"/>
      <c r="H115" s="751"/>
      <c r="I115" s="624"/>
      <c r="J115" s="624"/>
      <c r="K115" s="750"/>
      <c r="L115" s="751"/>
      <c r="M115" s="751"/>
      <c r="N115" s="751"/>
      <c r="O115" s="750"/>
      <c r="P115" s="751"/>
      <c r="Q115" s="751"/>
      <c r="R115" s="751"/>
      <c r="S115" s="624"/>
      <c r="T115" s="751"/>
      <c r="U115" s="751"/>
      <c r="V115" s="751"/>
      <c r="W115" s="624"/>
      <c r="X115" s="751"/>
      <c r="Y115" s="751"/>
      <c r="Z115" s="751"/>
      <c r="AA115" s="750"/>
      <c r="AB115" s="751"/>
      <c r="AC115" s="661"/>
      <c r="AD115" s="661"/>
      <c r="AE115" s="624"/>
      <c r="AF115" s="751"/>
      <c r="AG115" s="751"/>
      <c r="AH115" s="751"/>
      <c r="AI115" s="624"/>
      <c r="AJ115" s="751"/>
      <c r="AK115" s="751"/>
      <c r="AL115" s="751"/>
      <c r="AM115" s="624"/>
      <c r="AN115" s="624"/>
      <c r="AO115" s="624"/>
      <c r="AP115" s="624"/>
      <c r="AQ115" s="737"/>
      <c r="AR115" s="753"/>
      <c r="AS115" s="753"/>
      <c r="AT115" s="753"/>
      <c r="AU115" s="624"/>
      <c r="AV115" s="624"/>
      <c r="AW115" s="624"/>
    </row>
    <row r="116" spans="2:49">
      <c r="B116" s="756"/>
      <c r="C116" s="624"/>
      <c r="D116" s="751"/>
      <c r="E116" s="751"/>
      <c r="F116" s="751"/>
      <c r="G116" s="751"/>
      <c r="H116" s="751"/>
      <c r="I116" s="624"/>
      <c r="J116" s="624"/>
      <c r="K116" s="750"/>
      <c r="L116" s="751"/>
      <c r="M116" s="751"/>
      <c r="N116" s="751"/>
      <c r="O116" s="750"/>
      <c r="P116" s="751"/>
      <c r="Q116" s="751"/>
      <c r="R116" s="751"/>
      <c r="S116" s="624"/>
      <c r="T116" s="751"/>
      <c r="U116" s="751"/>
      <c r="V116" s="751"/>
      <c r="W116" s="624"/>
      <c r="X116" s="751"/>
      <c r="Y116" s="751"/>
      <c r="Z116" s="751"/>
      <c r="AA116" s="750"/>
      <c r="AB116" s="751"/>
      <c r="AC116" s="661"/>
      <c r="AD116" s="661"/>
      <c r="AE116" s="624"/>
      <c r="AF116" s="751"/>
      <c r="AG116" s="751"/>
      <c r="AH116" s="751"/>
      <c r="AI116" s="624"/>
      <c r="AJ116" s="751"/>
      <c r="AK116" s="751"/>
      <c r="AL116" s="751"/>
      <c r="AM116" s="624"/>
      <c r="AN116" s="624"/>
      <c r="AO116" s="624"/>
      <c r="AP116" s="624"/>
      <c r="AQ116" s="737"/>
      <c r="AR116" s="753"/>
      <c r="AS116" s="753"/>
      <c r="AT116" s="753"/>
      <c r="AU116" s="624"/>
      <c r="AV116" s="624"/>
      <c r="AW116" s="624"/>
    </row>
    <row r="117" spans="2:49">
      <c r="B117" s="756"/>
      <c r="C117" s="624"/>
      <c r="D117" s="751"/>
      <c r="E117" s="751"/>
      <c r="F117" s="751"/>
      <c r="G117" s="751"/>
      <c r="H117" s="751"/>
      <c r="I117" s="624"/>
      <c r="J117" s="624"/>
      <c r="K117" s="750"/>
      <c r="L117" s="751"/>
      <c r="M117" s="751"/>
      <c r="N117" s="751"/>
      <c r="O117" s="750"/>
      <c r="P117" s="751"/>
      <c r="Q117" s="751"/>
      <c r="R117" s="751"/>
      <c r="S117" s="624"/>
      <c r="T117" s="751"/>
      <c r="U117" s="751"/>
      <c r="V117" s="751"/>
      <c r="W117" s="624"/>
      <c r="X117" s="751"/>
      <c r="Y117" s="751"/>
      <c r="Z117" s="751"/>
      <c r="AA117" s="750"/>
      <c r="AB117" s="751"/>
      <c r="AC117" s="661"/>
      <c r="AD117" s="661"/>
      <c r="AE117" s="624"/>
      <c r="AF117" s="751"/>
      <c r="AG117" s="751"/>
      <c r="AH117" s="751"/>
      <c r="AI117" s="624"/>
      <c r="AJ117" s="751"/>
      <c r="AK117" s="751"/>
      <c r="AL117" s="751"/>
      <c r="AM117" s="624"/>
      <c r="AN117" s="624"/>
      <c r="AO117" s="624"/>
      <c r="AP117" s="624"/>
      <c r="AQ117" s="737"/>
      <c r="AR117" s="753"/>
      <c r="AS117" s="753"/>
      <c r="AT117" s="753"/>
      <c r="AU117" s="624"/>
      <c r="AV117" s="624"/>
      <c r="AW117" s="624"/>
    </row>
    <row r="118" spans="2:49">
      <c r="B118" s="756"/>
      <c r="C118" s="624"/>
      <c r="D118" s="751"/>
      <c r="E118" s="751"/>
      <c r="F118" s="751"/>
      <c r="G118" s="751"/>
      <c r="H118" s="751"/>
      <c r="I118" s="624"/>
      <c r="J118" s="624"/>
      <c r="K118" s="750"/>
      <c r="L118" s="751"/>
      <c r="M118" s="751"/>
      <c r="N118" s="751"/>
      <c r="O118" s="750"/>
      <c r="P118" s="751"/>
      <c r="Q118" s="751"/>
      <c r="R118" s="751"/>
      <c r="S118" s="624"/>
      <c r="T118" s="751"/>
      <c r="U118" s="751"/>
      <c r="V118" s="751"/>
      <c r="W118" s="624"/>
      <c r="X118" s="751"/>
      <c r="Y118" s="751"/>
      <c r="Z118" s="751"/>
      <c r="AA118" s="750"/>
      <c r="AB118" s="751"/>
      <c r="AC118" s="661"/>
      <c r="AD118" s="661"/>
      <c r="AE118" s="624"/>
      <c r="AF118" s="751"/>
      <c r="AG118" s="751"/>
      <c r="AH118" s="751"/>
      <c r="AI118" s="624"/>
      <c r="AJ118" s="751"/>
      <c r="AK118" s="751"/>
      <c r="AL118" s="751"/>
      <c r="AM118" s="624"/>
      <c r="AN118" s="624"/>
      <c r="AO118" s="624"/>
      <c r="AP118" s="624"/>
      <c r="AQ118" s="737"/>
      <c r="AR118" s="753"/>
      <c r="AS118" s="753"/>
      <c r="AT118" s="753"/>
      <c r="AU118" s="624"/>
      <c r="AV118" s="624"/>
      <c r="AW118" s="624"/>
    </row>
    <row r="119" spans="2:49">
      <c r="B119" s="756"/>
      <c r="C119" s="624"/>
      <c r="D119" s="751"/>
      <c r="E119" s="751"/>
      <c r="F119" s="751"/>
      <c r="G119" s="751"/>
      <c r="H119" s="751"/>
      <c r="I119" s="624"/>
      <c r="J119" s="624"/>
      <c r="K119" s="750"/>
      <c r="L119" s="751"/>
      <c r="M119" s="751"/>
      <c r="N119" s="751"/>
      <c r="O119" s="750"/>
      <c r="P119" s="751"/>
      <c r="Q119" s="751"/>
      <c r="R119" s="751"/>
      <c r="S119" s="624"/>
      <c r="T119" s="751"/>
      <c r="U119" s="751"/>
      <c r="V119" s="751"/>
      <c r="W119" s="624"/>
      <c r="X119" s="751"/>
      <c r="Y119" s="751"/>
      <c r="Z119" s="751"/>
      <c r="AA119" s="750"/>
      <c r="AB119" s="751"/>
      <c r="AC119" s="661"/>
      <c r="AD119" s="661"/>
      <c r="AE119" s="624"/>
      <c r="AF119" s="751"/>
      <c r="AG119" s="751"/>
      <c r="AH119" s="751"/>
      <c r="AI119" s="624"/>
      <c r="AJ119" s="751"/>
      <c r="AK119" s="751"/>
      <c r="AL119" s="751"/>
      <c r="AM119" s="624"/>
      <c r="AN119" s="624"/>
      <c r="AO119" s="624"/>
      <c r="AP119" s="624"/>
      <c r="AQ119" s="737"/>
      <c r="AR119" s="753"/>
      <c r="AS119" s="753"/>
      <c r="AT119" s="753"/>
      <c r="AU119" s="624"/>
      <c r="AV119" s="624"/>
      <c r="AW119" s="624"/>
    </row>
    <row r="120" spans="2:49">
      <c r="B120" s="756"/>
      <c r="C120" s="624"/>
      <c r="D120" s="751"/>
      <c r="E120" s="751"/>
      <c r="F120" s="751"/>
      <c r="G120" s="751"/>
      <c r="H120" s="751"/>
      <c r="I120" s="624"/>
      <c r="J120" s="624"/>
      <c r="K120" s="750"/>
      <c r="L120" s="751"/>
      <c r="M120" s="751"/>
      <c r="N120" s="751"/>
      <c r="O120" s="750"/>
      <c r="P120" s="751"/>
      <c r="Q120" s="751"/>
      <c r="R120" s="751"/>
      <c r="S120" s="624"/>
      <c r="T120" s="751"/>
      <c r="U120" s="751"/>
      <c r="V120" s="751"/>
      <c r="W120" s="624"/>
      <c r="X120" s="751"/>
      <c r="Y120" s="751"/>
      <c r="Z120" s="751"/>
      <c r="AA120" s="750"/>
      <c r="AB120" s="751"/>
      <c r="AC120" s="661"/>
      <c r="AD120" s="661"/>
      <c r="AE120" s="624"/>
      <c r="AF120" s="751"/>
      <c r="AG120" s="751"/>
      <c r="AH120" s="751"/>
      <c r="AI120" s="624"/>
      <c r="AJ120" s="751"/>
      <c r="AK120" s="751"/>
      <c r="AL120" s="751"/>
      <c r="AM120" s="624"/>
      <c r="AN120" s="624"/>
      <c r="AO120" s="624"/>
      <c r="AP120" s="624"/>
      <c r="AQ120" s="737"/>
      <c r="AR120" s="753"/>
      <c r="AS120" s="753"/>
      <c r="AT120" s="753"/>
      <c r="AU120" s="624"/>
      <c r="AV120" s="624"/>
      <c r="AW120" s="624"/>
    </row>
    <row r="121" spans="2:49">
      <c r="B121" s="756"/>
      <c r="C121" s="624"/>
      <c r="D121" s="751"/>
      <c r="E121" s="751"/>
      <c r="F121" s="751"/>
      <c r="G121" s="751"/>
      <c r="H121" s="751"/>
      <c r="I121" s="624"/>
      <c r="J121" s="624"/>
      <c r="K121" s="750"/>
      <c r="L121" s="751"/>
      <c r="M121" s="751"/>
      <c r="N121" s="751"/>
      <c r="O121" s="750"/>
      <c r="P121" s="751"/>
      <c r="Q121" s="751"/>
      <c r="R121" s="751"/>
      <c r="S121" s="624"/>
      <c r="T121" s="751"/>
      <c r="U121" s="751"/>
      <c r="V121" s="751"/>
      <c r="W121" s="624"/>
      <c r="X121" s="751"/>
      <c r="Y121" s="751"/>
      <c r="Z121" s="751"/>
      <c r="AA121" s="750"/>
      <c r="AB121" s="751"/>
      <c r="AC121" s="661"/>
      <c r="AD121" s="661"/>
      <c r="AE121" s="624"/>
      <c r="AF121" s="751"/>
      <c r="AG121" s="751"/>
      <c r="AH121" s="751"/>
      <c r="AI121" s="624"/>
      <c r="AJ121" s="751"/>
      <c r="AK121" s="751"/>
      <c r="AL121" s="751"/>
      <c r="AM121" s="624"/>
      <c r="AN121" s="624"/>
      <c r="AO121" s="624"/>
      <c r="AP121" s="624"/>
      <c r="AQ121" s="737"/>
      <c r="AR121" s="753"/>
      <c r="AS121" s="753"/>
      <c r="AT121" s="753"/>
      <c r="AU121" s="624"/>
      <c r="AV121" s="624"/>
      <c r="AW121" s="624"/>
    </row>
    <row r="122" spans="2:49">
      <c r="B122" s="756"/>
      <c r="C122" s="624"/>
      <c r="D122" s="751"/>
      <c r="E122" s="751"/>
      <c r="F122" s="751"/>
      <c r="G122" s="751"/>
      <c r="H122" s="751"/>
      <c r="I122" s="624"/>
      <c r="J122" s="624"/>
      <c r="K122" s="750"/>
      <c r="L122" s="751"/>
      <c r="M122" s="751"/>
      <c r="N122" s="751"/>
      <c r="O122" s="750"/>
      <c r="P122" s="751"/>
      <c r="Q122" s="751"/>
      <c r="R122" s="751"/>
      <c r="S122" s="624"/>
      <c r="T122" s="751"/>
      <c r="U122" s="751"/>
      <c r="V122" s="751"/>
      <c r="W122" s="624"/>
      <c r="X122" s="751"/>
      <c r="Y122" s="751"/>
      <c r="Z122" s="751"/>
      <c r="AA122" s="750"/>
      <c r="AB122" s="751"/>
      <c r="AC122" s="661"/>
      <c r="AD122" s="661"/>
      <c r="AE122" s="624"/>
      <c r="AF122" s="751"/>
      <c r="AG122" s="751"/>
      <c r="AH122" s="751"/>
      <c r="AI122" s="624"/>
      <c r="AJ122" s="751"/>
      <c r="AK122" s="751"/>
      <c r="AL122" s="751"/>
      <c r="AM122" s="624"/>
      <c r="AN122" s="624"/>
      <c r="AO122" s="624"/>
      <c r="AP122" s="624"/>
      <c r="AQ122" s="737"/>
      <c r="AR122" s="753"/>
      <c r="AS122" s="753"/>
      <c r="AT122" s="753"/>
      <c r="AU122" s="624"/>
      <c r="AV122" s="624"/>
      <c r="AW122" s="624"/>
    </row>
    <row r="123" spans="2:49">
      <c r="B123" s="756"/>
      <c r="C123" s="624"/>
      <c r="D123" s="751"/>
      <c r="E123" s="751"/>
      <c r="F123" s="751"/>
      <c r="G123" s="751"/>
      <c r="H123" s="751"/>
      <c r="I123" s="624"/>
      <c r="J123" s="624"/>
      <c r="K123" s="750"/>
      <c r="L123" s="751"/>
      <c r="M123" s="751"/>
      <c r="N123" s="751"/>
      <c r="O123" s="750"/>
      <c r="P123" s="751"/>
      <c r="Q123" s="751"/>
      <c r="R123" s="751"/>
      <c r="S123" s="624"/>
      <c r="T123" s="751"/>
      <c r="U123" s="751"/>
      <c r="V123" s="751"/>
      <c r="W123" s="624"/>
      <c r="X123" s="751"/>
      <c r="Y123" s="751"/>
      <c r="Z123" s="751"/>
      <c r="AA123" s="750"/>
      <c r="AB123" s="751"/>
      <c r="AC123" s="661"/>
      <c r="AD123" s="661"/>
      <c r="AE123" s="624"/>
      <c r="AF123" s="751"/>
      <c r="AG123" s="751"/>
      <c r="AH123" s="751"/>
      <c r="AI123" s="624"/>
      <c r="AJ123" s="751"/>
      <c r="AK123" s="751"/>
      <c r="AL123" s="751"/>
      <c r="AM123" s="624"/>
      <c r="AN123" s="624"/>
      <c r="AO123" s="624"/>
      <c r="AP123" s="624"/>
      <c r="AQ123" s="737"/>
      <c r="AR123" s="753"/>
      <c r="AS123" s="753"/>
      <c r="AT123" s="753"/>
      <c r="AU123" s="624"/>
      <c r="AV123" s="624"/>
      <c r="AW123" s="624"/>
    </row>
    <row r="124" spans="2:49">
      <c r="B124" s="756"/>
      <c r="C124" s="624"/>
      <c r="D124" s="751"/>
      <c r="E124" s="751"/>
      <c r="F124" s="751"/>
      <c r="G124" s="751"/>
      <c r="H124" s="751"/>
      <c r="I124" s="624"/>
      <c r="J124" s="624"/>
      <c r="K124" s="750"/>
      <c r="L124" s="751"/>
      <c r="M124" s="751"/>
      <c r="N124" s="751"/>
      <c r="O124" s="750"/>
      <c r="P124" s="751"/>
      <c r="Q124" s="751"/>
      <c r="R124" s="751"/>
      <c r="S124" s="624"/>
      <c r="T124" s="751"/>
      <c r="U124" s="751"/>
      <c r="V124" s="751"/>
      <c r="W124" s="624"/>
      <c r="X124" s="751"/>
      <c r="Y124" s="751"/>
      <c r="Z124" s="751"/>
      <c r="AA124" s="750"/>
      <c r="AB124" s="751"/>
      <c r="AC124" s="661"/>
      <c r="AD124" s="661"/>
      <c r="AE124" s="624"/>
      <c r="AF124" s="751"/>
      <c r="AG124" s="751"/>
      <c r="AH124" s="751"/>
      <c r="AI124" s="624"/>
      <c r="AJ124" s="751"/>
      <c r="AK124" s="751"/>
      <c r="AL124" s="751"/>
      <c r="AM124" s="624"/>
      <c r="AN124" s="624"/>
      <c r="AO124" s="624"/>
      <c r="AP124" s="624"/>
      <c r="AQ124" s="737"/>
      <c r="AR124" s="753"/>
      <c r="AS124" s="753"/>
      <c r="AT124" s="753"/>
      <c r="AU124" s="624"/>
      <c r="AV124" s="624"/>
      <c r="AW124" s="624"/>
    </row>
    <row r="125" spans="2:49">
      <c r="B125" s="756"/>
      <c r="C125" s="624"/>
      <c r="D125" s="751"/>
      <c r="E125" s="751"/>
      <c r="F125" s="751"/>
      <c r="G125" s="751"/>
      <c r="H125" s="751"/>
      <c r="I125" s="624"/>
      <c r="J125" s="624"/>
      <c r="K125" s="750"/>
      <c r="L125" s="751"/>
      <c r="M125" s="751"/>
      <c r="N125" s="751"/>
      <c r="O125" s="750"/>
      <c r="P125" s="751"/>
      <c r="Q125" s="751"/>
      <c r="R125" s="751"/>
      <c r="S125" s="624"/>
      <c r="T125" s="751"/>
      <c r="U125" s="751"/>
      <c r="V125" s="751"/>
      <c r="W125" s="624"/>
      <c r="X125" s="751"/>
      <c r="Y125" s="751"/>
      <c r="Z125" s="751"/>
      <c r="AA125" s="750"/>
      <c r="AB125" s="751"/>
      <c r="AC125" s="661"/>
      <c r="AD125" s="661"/>
      <c r="AE125" s="624"/>
      <c r="AF125" s="751"/>
      <c r="AG125" s="751"/>
      <c r="AH125" s="751"/>
      <c r="AI125" s="624"/>
      <c r="AJ125" s="751"/>
      <c r="AK125" s="751"/>
      <c r="AL125" s="751"/>
      <c r="AM125" s="624"/>
      <c r="AN125" s="624"/>
      <c r="AO125" s="624"/>
      <c r="AP125" s="624"/>
      <c r="AQ125" s="737"/>
      <c r="AR125" s="753"/>
      <c r="AS125" s="753"/>
      <c r="AT125" s="753"/>
      <c r="AU125" s="624"/>
      <c r="AV125" s="624"/>
      <c r="AW125" s="624"/>
    </row>
    <row r="126" spans="2:49">
      <c r="B126" s="756"/>
      <c r="C126" s="624"/>
      <c r="D126" s="751"/>
      <c r="E126" s="751"/>
      <c r="F126" s="751"/>
      <c r="G126" s="751"/>
      <c r="H126" s="751"/>
      <c r="I126" s="624"/>
      <c r="J126" s="624"/>
      <c r="K126" s="750"/>
      <c r="L126" s="751"/>
      <c r="M126" s="751"/>
      <c r="N126" s="751"/>
      <c r="O126" s="750"/>
      <c r="P126" s="751"/>
      <c r="Q126" s="751"/>
      <c r="R126" s="751"/>
      <c r="S126" s="624"/>
      <c r="T126" s="751"/>
      <c r="U126" s="751"/>
      <c r="V126" s="751"/>
      <c r="W126" s="624"/>
      <c r="X126" s="751"/>
      <c r="Y126" s="751"/>
      <c r="Z126" s="751"/>
      <c r="AA126" s="750"/>
      <c r="AB126" s="751"/>
      <c r="AC126" s="661"/>
      <c r="AD126" s="661"/>
      <c r="AE126" s="624"/>
      <c r="AF126" s="751"/>
      <c r="AG126" s="751"/>
      <c r="AH126" s="751"/>
      <c r="AI126" s="624"/>
      <c r="AJ126" s="751"/>
      <c r="AK126" s="751"/>
      <c r="AL126" s="751"/>
      <c r="AM126" s="624"/>
      <c r="AN126" s="624"/>
      <c r="AO126" s="624"/>
      <c r="AP126" s="624"/>
      <c r="AQ126" s="737"/>
      <c r="AR126" s="753"/>
      <c r="AS126" s="753"/>
      <c r="AT126" s="753"/>
      <c r="AU126" s="624"/>
      <c r="AV126" s="624"/>
      <c r="AW126" s="624"/>
    </row>
    <row r="127" spans="2:49">
      <c r="B127" s="756"/>
      <c r="C127" s="624"/>
      <c r="D127" s="751"/>
      <c r="E127" s="751"/>
      <c r="F127" s="751"/>
      <c r="G127" s="751"/>
      <c r="H127" s="751"/>
      <c r="I127" s="624"/>
      <c r="J127" s="624"/>
      <c r="K127" s="750"/>
      <c r="L127" s="751"/>
      <c r="M127" s="751"/>
      <c r="N127" s="751"/>
      <c r="O127" s="750"/>
      <c r="P127" s="751"/>
      <c r="Q127" s="751"/>
      <c r="R127" s="751"/>
      <c r="S127" s="624"/>
      <c r="T127" s="751"/>
      <c r="U127" s="751"/>
      <c r="V127" s="751"/>
      <c r="W127" s="624"/>
      <c r="X127" s="751"/>
      <c r="Y127" s="751"/>
      <c r="Z127" s="751"/>
      <c r="AA127" s="750"/>
      <c r="AB127" s="751"/>
      <c r="AC127" s="661"/>
      <c r="AD127" s="661"/>
      <c r="AE127" s="624"/>
      <c r="AF127" s="751"/>
      <c r="AG127" s="751"/>
      <c r="AH127" s="751"/>
      <c r="AI127" s="624"/>
      <c r="AJ127" s="751"/>
      <c r="AK127" s="751"/>
      <c r="AL127" s="751"/>
      <c r="AM127" s="624"/>
      <c r="AN127" s="624"/>
      <c r="AO127" s="624"/>
      <c r="AP127" s="624"/>
      <c r="AQ127" s="737"/>
      <c r="AR127" s="753"/>
      <c r="AS127" s="753"/>
      <c r="AT127" s="753"/>
      <c r="AU127" s="624"/>
      <c r="AV127" s="624"/>
      <c r="AW127" s="624"/>
    </row>
    <row r="128" spans="2:49">
      <c r="B128" s="756"/>
      <c r="C128" s="624"/>
      <c r="D128" s="751"/>
      <c r="E128" s="751"/>
      <c r="F128" s="751"/>
      <c r="G128" s="751"/>
      <c r="H128" s="751"/>
      <c r="I128" s="624"/>
      <c r="J128" s="624"/>
      <c r="K128" s="750"/>
      <c r="L128" s="751"/>
      <c r="M128" s="751"/>
      <c r="N128" s="751"/>
      <c r="O128" s="750"/>
      <c r="P128" s="751"/>
      <c r="Q128" s="751"/>
      <c r="R128" s="751"/>
      <c r="S128" s="624"/>
      <c r="T128" s="751"/>
      <c r="U128" s="751"/>
      <c r="V128" s="751"/>
      <c r="W128" s="624"/>
      <c r="X128" s="751"/>
      <c r="Y128" s="751"/>
      <c r="Z128" s="751"/>
      <c r="AA128" s="750"/>
      <c r="AB128" s="751"/>
      <c r="AC128" s="661"/>
      <c r="AD128" s="661"/>
      <c r="AE128" s="624"/>
      <c r="AF128" s="751"/>
      <c r="AG128" s="751"/>
      <c r="AH128" s="751"/>
      <c r="AI128" s="624"/>
      <c r="AJ128" s="751"/>
      <c r="AK128" s="751"/>
      <c r="AL128" s="751"/>
      <c r="AM128" s="624"/>
      <c r="AN128" s="624"/>
      <c r="AO128" s="624"/>
      <c r="AP128" s="624"/>
      <c r="AQ128" s="737"/>
      <c r="AR128" s="753"/>
      <c r="AS128" s="753"/>
      <c r="AT128" s="753"/>
      <c r="AU128" s="624"/>
      <c r="AV128" s="624"/>
      <c r="AW128" s="624"/>
    </row>
    <row r="129" spans="2:49">
      <c r="B129" s="756"/>
      <c r="C129" s="624"/>
      <c r="D129" s="751"/>
      <c r="E129" s="751"/>
      <c r="F129" s="751"/>
      <c r="G129" s="751"/>
      <c r="H129" s="751"/>
      <c r="I129" s="624"/>
      <c r="J129" s="624"/>
      <c r="K129" s="750"/>
      <c r="L129" s="751"/>
      <c r="M129" s="751"/>
      <c r="N129" s="751"/>
      <c r="O129" s="750"/>
      <c r="P129" s="751"/>
      <c r="Q129" s="751"/>
      <c r="R129" s="751"/>
      <c r="S129" s="624"/>
      <c r="T129" s="751"/>
      <c r="U129" s="751"/>
      <c r="V129" s="751"/>
      <c r="W129" s="624"/>
      <c r="X129" s="751"/>
      <c r="Y129" s="751"/>
      <c r="Z129" s="751"/>
      <c r="AA129" s="750"/>
      <c r="AB129" s="751"/>
      <c r="AC129" s="661"/>
      <c r="AD129" s="661"/>
      <c r="AE129" s="624"/>
      <c r="AF129" s="751"/>
      <c r="AG129" s="751"/>
      <c r="AH129" s="751"/>
      <c r="AI129" s="624"/>
      <c r="AJ129" s="751"/>
      <c r="AK129" s="751"/>
      <c r="AL129" s="751"/>
      <c r="AM129" s="624"/>
      <c r="AN129" s="624"/>
      <c r="AO129" s="624"/>
      <c r="AP129" s="624"/>
      <c r="AQ129" s="737"/>
      <c r="AR129" s="753"/>
      <c r="AS129" s="753"/>
      <c r="AT129" s="753"/>
      <c r="AU129" s="624"/>
      <c r="AV129" s="624"/>
      <c r="AW129" s="624"/>
    </row>
    <row r="130" spans="2:49">
      <c r="B130" s="756"/>
      <c r="C130" s="624"/>
      <c r="D130" s="751"/>
      <c r="E130" s="751"/>
      <c r="F130" s="751"/>
      <c r="G130" s="751"/>
      <c r="H130" s="751"/>
      <c r="I130" s="624"/>
      <c r="J130" s="624"/>
      <c r="K130" s="750"/>
      <c r="L130" s="751"/>
      <c r="M130" s="751"/>
      <c r="N130" s="751"/>
      <c r="O130" s="750"/>
      <c r="P130" s="751"/>
      <c r="Q130" s="751"/>
      <c r="R130" s="751"/>
      <c r="S130" s="624"/>
      <c r="T130" s="751"/>
      <c r="U130" s="751"/>
      <c r="V130" s="751"/>
      <c r="W130" s="624"/>
      <c r="X130" s="751"/>
      <c r="Y130" s="751"/>
      <c r="Z130" s="751"/>
      <c r="AA130" s="750"/>
      <c r="AB130" s="751"/>
      <c r="AC130" s="661"/>
      <c r="AD130" s="661"/>
      <c r="AE130" s="624"/>
      <c r="AF130" s="751"/>
      <c r="AG130" s="751"/>
      <c r="AH130" s="751"/>
      <c r="AI130" s="624"/>
      <c r="AJ130" s="751"/>
      <c r="AK130" s="751"/>
      <c r="AL130" s="751"/>
      <c r="AM130" s="624"/>
      <c r="AN130" s="624"/>
      <c r="AO130" s="624"/>
      <c r="AP130" s="624"/>
      <c r="AQ130" s="737"/>
      <c r="AR130" s="753"/>
      <c r="AS130" s="753"/>
      <c r="AT130" s="753"/>
      <c r="AU130" s="624"/>
      <c r="AV130" s="624"/>
      <c r="AW130" s="624"/>
    </row>
    <row r="131" spans="2:49">
      <c r="B131" s="756"/>
      <c r="C131" s="624"/>
      <c r="D131" s="751"/>
      <c r="E131" s="751"/>
      <c r="F131" s="751"/>
      <c r="G131" s="751"/>
      <c r="H131" s="751"/>
      <c r="I131" s="624"/>
      <c r="J131" s="624"/>
      <c r="K131" s="750"/>
      <c r="L131" s="751"/>
      <c r="M131" s="751"/>
      <c r="N131" s="751"/>
      <c r="O131" s="750"/>
      <c r="P131" s="751"/>
      <c r="Q131" s="751"/>
      <c r="R131" s="751"/>
      <c r="S131" s="624"/>
      <c r="T131" s="751"/>
      <c r="U131" s="751"/>
      <c r="V131" s="751"/>
      <c r="W131" s="624"/>
      <c r="X131" s="751"/>
      <c r="Y131" s="751"/>
      <c r="Z131" s="751"/>
      <c r="AA131" s="750"/>
      <c r="AB131" s="751"/>
      <c r="AC131" s="661"/>
      <c r="AD131" s="661"/>
      <c r="AE131" s="624"/>
      <c r="AF131" s="751"/>
      <c r="AG131" s="751"/>
      <c r="AH131" s="751"/>
      <c r="AI131" s="624"/>
      <c r="AJ131" s="751"/>
      <c r="AK131" s="751"/>
      <c r="AL131" s="751"/>
      <c r="AM131" s="624"/>
      <c r="AN131" s="624"/>
      <c r="AO131" s="624"/>
      <c r="AP131" s="624"/>
      <c r="AQ131" s="737"/>
      <c r="AR131" s="753"/>
      <c r="AS131" s="753"/>
      <c r="AT131" s="753"/>
      <c r="AU131" s="624"/>
      <c r="AV131" s="624"/>
      <c r="AW131" s="624"/>
    </row>
    <row r="132" spans="2:49">
      <c r="B132" s="756"/>
      <c r="C132" s="624"/>
      <c r="D132" s="751"/>
      <c r="E132" s="751"/>
      <c r="F132" s="751"/>
      <c r="G132" s="751"/>
      <c r="H132" s="751"/>
      <c r="I132" s="624"/>
      <c r="J132" s="624"/>
      <c r="K132" s="750"/>
      <c r="L132" s="751"/>
      <c r="M132" s="751"/>
      <c r="N132" s="751"/>
      <c r="O132" s="750"/>
      <c r="P132" s="751"/>
      <c r="Q132" s="751"/>
      <c r="R132" s="751"/>
      <c r="S132" s="624"/>
      <c r="T132" s="751"/>
      <c r="U132" s="751"/>
      <c r="V132" s="751"/>
      <c r="W132" s="624"/>
      <c r="X132" s="751"/>
      <c r="Y132" s="751"/>
      <c r="Z132" s="751"/>
      <c r="AA132" s="750"/>
      <c r="AB132" s="751"/>
      <c r="AC132" s="661"/>
      <c r="AD132" s="661"/>
      <c r="AE132" s="624"/>
      <c r="AF132" s="751"/>
      <c r="AG132" s="751"/>
      <c r="AH132" s="751"/>
      <c r="AI132" s="624"/>
      <c r="AJ132" s="751"/>
      <c r="AK132" s="751"/>
      <c r="AL132" s="751"/>
      <c r="AM132" s="624"/>
      <c r="AN132" s="624"/>
      <c r="AO132" s="624"/>
      <c r="AP132" s="624"/>
      <c r="AQ132" s="737"/>
      <c r="AR132" s="753"/>
      <c r="AS132" s="753"/>
      <c r="AT132" s="753"/>
      <c r="AU132" s="624"/>
      <c r="AV132" s="624"/>
      <c r="AW132" s="624"/>
    </row>
    <row r="133" spans="2:49">
      <c r="B133" s="756"/>
      <c r="C133" s="624"/>
      <c r="D133" s="751"/>
      <c r="E133" s="751"/>
      <c r="F133" s="751"/>
      <c r="G133" s="751"/>
      <c r="H133" s="751"/>
      <c r="I133" s="624"/>
      <c r="J133" s="624"/>
      <c r="K133" s="750"/>
      <c r="L133" s="751"/>
      <c r="M133" s="751"/>
      <c r="N133" s="751"/>
      <c r="O133" s="750"/>
      <c r="P133" s="751"/>
      <c r="Q133" s="751"/>
      <c r="R133" s="751"/>
      <c r="S133" s="624"/>
      <c r="T133" s="751"/>
      <c r="U133" s="751"/>
      <c r="V133" s="751"/>
      <c r="W133" s="624"/>
      <c r="X133" s="751"/>
      <c r="Y133" s="751"/>
      <c r="Z133" s="751"/>
      <c r="AA133" s="750"/>
      <c r="AB133" s="751"/>
      <c r="AC133" s="661"/>
      <c r="AD133" s="661"/>
      <c r="AE133" s="624"/>
      <c r="AF133" s="751"/>
      <c r="AG133" s="751"/>
      <c r="AH133" s="751"/>
      <c r="AI133" s="624"/>
      <c r="AJ133" s="751"/>
      <c r="AK133" s="751"/>
      <c r="AL133" s="751"/>
      <c r="AM133" s="624"/>
      <c r="AN133" s="624"/>
      <c r="AO133" s="624"/>
      <c r="AP133" s="624"/>
      <c r="AQ133" s="737"/>
      <c r="AR133" s="753"/>
      <c r="AS133" s="753"/>
      <c r="AT133" s="753"/>
      <c r="AU133" s="624"/>
      <c r="AV133" s="624"/>
      <c r="AW133" s="624"/>
    </row>
    <row r="134" spans="2:49">
      <c r="B134" s="756"/>
      <c r="C134" s="624"/>
      <c r="D134" s="751"/>
      <c r="E134" s="751"/>
      <c r="F134" s="751"/>
      <c r="G134" s="751"/>
      <c r="H134" s="751"/>
      <c r="I134" s="624"/>
      <c r="J134" s="624"/>
      <c r="K134" s="750"/>
      <c r="L134" s="751"/>
      <c r="M134" s="751"/>
      <c r="N134" s="751"/>
      <c r="O134" s="750"/>
      <c r="P134" s="751"/>
      <c r="Q134" s="751"/>
      <c r="R134" s="751"/>
      <c r="S134" s="624"/>
      <c r="T134" s="751"/>
      <c r="U134" s="751"/>
      <c r="V134" s="751"/>
      <c r="W134" s="624"/>
      <c r="X134" s="751"/>
      <c r="Y134" s="751"/>
      <c r="Z134" s="751"/>
      <c r="AA134" s="750"/>
      <c r="AB134" s="751"/>
      <c r="AC134" s="661"/>
      <c r="AD134" s="661"/>
      <c r="AE134" s="624"/>
      <c r="AF134" s="751"/>
      <c r="AG134" s="751"/>
      <c r="AH134" s="751"/>
      <c r="AI134" s="624"/>
      <c r="AJ134" s="751"/>
      <c r="AK134" s="751"/>
      <c r="AL134" s="751"/>
      <c r="AM134" s="624"/>
      <c r="AN134" s="624"/>
      <c r="AO134" s="624"/>
      <c r="AP134" s="624"/>
      <c r="AQ134" s="737"/>
      <c r="AR134" s="753"/>
      <c r="AS134" s="753"/>
      <c r="AT134" s="753"/>
      <c r="AU134" s="624"/>
      <c r="AV134" s="624"/>
      <c r="AW134" s="624"/>
    </row>
    <row r="135" spans="2:49">
      <c r="B135" s="756"/>
      <c r="C135" s="624"/>
      <c r="D135" s="751"/>
      <c r="E135" s="751"/>
      <c r="F135" s="751"/>
      <c r="G135" s="751"/>
      <c r="H135" s="751"/>
      <c r="I135" s="624"/>
      <c r="J135" s="624"/>
      <c r="K135" s="750"/>
      <c r="L135" s="751"/>
      <c r="M135" s="751"/>
      <c r="N135" s="751"/>
      <c r="O135" s="750"/>
      <c r="P135" s="751"/>
      <c r="Q135" s="751"/>
      <c r="R135" s="751"/>
      <c r="S135" s="624"/>
      <c r="T135" s="751"/>
      <c r="U135" s="751"/>
      <c r="V135" s="751"/>
      <c r="W135" s="624"/>
      <c r="X135" s="751"/>
      <c r="Y135" s="751"/>
      <c r="Z135" s="751"/>
      <c r="AA135" s="750"/>
      <c r="AB135" s="751"/>
      <c r="AC135" s="661"/>
      <c r="AD135" s="661"/>
      <c r="AE135" s="624"/>
      <c r="AF135" s="751"/>
      <c r="AG135" s="751"/>
      <c r="AH135" s="751"/>
      <c r="AI135" s="624"/>
      <c r="AJ135" s="751"/>
      <c r="AK135" s="751"/>
      <c r="AL135" s="751"/>
      <c r="AM135" s="624"/>
      <c r="AN135" s="624"/>
      <c r="AO135" s="624"/>
      <c r="AP135" s="624"/>
      <c r="AQ135" s="737"/>
      <c r="AR135" s="753"/>
      <c r="AS135" s="753"/>
      <c r="AT135" s="753"/>
      <c r="AU135" s="624"/>
      <c r="AV135" s="624"/>
      <c r="AW135" s="624"/>
    </row>
    <row r="136" spans="2:49">
      <c r="B136" s="756"/>
      <c r="C136" s="624"/>
      <c r="D136" s="751"/>
      <c r="E136" s="751"/>
      <c r="F136" s="751"/>
      <c r="G136" s="751"/>
      <c r="H136" s="751"/>
      <c r="I136" s="624"/>
      <c r="J136" s="624"/>
      <c r="K136" s="750"/>
      <c r="L136" s="751"/>
      <c r="M136" s="751"/>
      <c r="N136" s="751"/>
      <c r="O136" s="750"/>
      <c r="P136" s="751"/>
      <c r="Q136" s="751"/>
      <c r="R136" s="751"/>
      <c r="S136" s="624"/>
      <c r="T136" s="751"/>
      <c r="U136" s="751"/>
      <c r="V136" s="751"/>
      <c r="W136" s="624"/>
      <c r="X136" s="751"/>
      <c r="Y136" s="751"/>
      <c r="Z136" s="751"/>
      <c r="AA136" s="750"/>
      <c r="AB136" s="751"/>
      <c r="AC136" s="661"/>
      <c r="AD136" s="661"/>
      <c r="AE136" s="624"/>
      <c r="AF136" s="751"/>
      <c r="AG136" s="751"/>
      <c r="AH136" s="751"/>
      <c r="AI136" s="624"/>
      <c r="AJ136" s="751"/>
      <c r="AK136" s="751"/>
      <c r="AL136" s="751"/>
      <c r="AM136" s="624"/>
      <c r="AN136" s="624"/>
      <c r="AO136" s="624"/>
      <c r="AP136" s="624"/>
      <c r="AQ136" s="737"/>
      <c r="AR136" s="753"/>
      <c r="AS136" s="753"/>
      <c r="AT136" s="753"/>
      <c r="AU136" s="624"/>
      <c r="AV136" s="624"/>
      <c r="AW136" s="624"/>
    </row>
    <row r="137" spans="2:49">
      <c r="B137" s="756"/>
      <c r="C137" s="624"/>
      <c r="D137" s="751"/>
      <c r="E137" s="751"/>
      <c r="F137" s="751"/>
      <c r="G137" s="751"/>
      <c r="H137" s="751"/>
      <c r="I137" s="624"/>
      <c r="J137" s="624"/>
      <c r="K137" s="750"/>
      <c r="L137" s="751"/>
      <c r="M137" s="751"/>
      <c r="N137" s="751"/>
      <c r="O137" s="750"/>
      <c r="P137" s="751"/>
      <c r="Q137" s="751"/>
      <c r="R137" s="751"/>
      <c r="S137" s="624"/>
      <c r="T137" s="751"/>
      <c r="U137" s="751"/>
      <c r="V137" s="751"/>
      <c r="W137" s="624"/>
      <c r="X137" s="751"/>
      <c r="Y137" s="751"/>
      <c r="Z137" s="751"/>
      <c r="AA137" s="750"/>
      <c r="AB137" s="751"/>
      <c r="AC137" s="661"/>
      <c r="AD137" s="661"/>
      <c r="AE137" s="624"/>
      <c r="AF137" s="751"/>
      <c r="AG137" s="751"/>
      <c r="AH137" s="751"/>
      <c r="AI137" s="624"/>
      <c r="AJ137" s="751"/>
      <c r="AK137" s="751"/>
      <c r="AL137" s="751"/>
      <c r="AM137" s="624"/>
      <c r="AN137" s="624"/>
      <c r="AO137" s="624"/>
      <c r="AP137" s="624"/>
      <c r="AQ137" s="737"/>
      <c r="AR137" s="753"/>
      <c r="AS137" s="753"/>
      <c r="AT137" s="753"/>
      <c r="AU137" s="624"/>
      <c r="AV137" s="624"/>
      <c r="AW137" s="624"/>
    </row>
    <row r="138" spans="2:49">
      <c r="B138" s="756"/>
      <c r="C138" s="624"/>
      <c r="D138" s="751"/>
      <c r="E138" s="751"/>
      <c r="F138" s="751"/>
      <c r="G138" s="751"/>
      <c r="H138" s="751"/>
      <c r="I138" s="624"/>
      <c r="J138" s="624"/>
      <c r="K138" s="750"/>
      <c r="L138" s="751"/>
      <c r="M138" s="751"/>
      <c r="N138" s="751"/>
      <c r="O138" s="750"/>
      <c r="P138" s="751"/>
      <c r="Q138" s="751"/>
      <c r="R138" s="751"/>
      <c r="S138" s="624"/>
      <c r="T138" s="751"/>
      <c r="U138" s="751"/>
      <c r="V138" s="751"/>
      <c r="W138" s="624"/>
      <c r="X138" s="751"/>
      <c r="Y138" s="751"/>
      <c r="Z138" s="751"/>
      <c r="AA138" s="750"/>
      <c r="AB138" s="751"/>
      <c r="AC138" s="661"/>
      <c r="AD138" s="661"/>
      <c r="AE138" s="624"/>
      <c r="AF138" s="751"/>
      <c r="AG138" s="751"/>
      <c r="AH138" s="751"/>
      <c r="AI138" s="624"/>
      <c r="AJ138" s="751"/>
      <c r="AK138" s="751"/>
      <c r="AL138" s="751"/>
      <c r="AM138" s="624"/>
      <c r="AN138" s="624"/>
      <c r="AO138" s="624"/>
      <c r="AP138" s="624"/>
      <c r="AQ138" s="737"/>
      <c r="AR138" s="753"/>
      <c r="AS138" s="753"/>
      <c r="AT138" s="753"/>
      <c r="AU138" s="624"/>
      <c r="AV138" s="624"/>
      <c r="AW138" s="624"/>
    </row>
    <row r="139" spans="2:49">
      <c r="B139" s="756"/>
      <c r="C139" s="624"/>
      <c r="D139" s="751"/>
      <c r="E139" s="751"/>
      <c r="F139" s="751"/>
      <c r="G139" s="751"/>
      <c r="H139" s="751"/>
      <c r="I139" s="624"/>
      <c r="J139" s="624"/>
      <c r="K139" s="750"/>
      <c r="L139" s="751"/>
      <c r="M139" s="751"/>
      <c r="N139" s="751"/>
      <c r="O139" s="750"/>
      <c r="P139" s="751"/>
      <c r="Q139" s="751"/>
      <c r="R139" s="751"/>
      <c r="S139" s="624"/>
      <c r="T139" s="751"/>
      <c r="U139" s="751"/>
      <c r="V139" s="751"/>
      <c r="W139" s="624"/>
      <c r="X139" s="751"/>
      <c r="Y139" s="751"/>
      <c r="Z139" s="751"/>
      <c r="AA139" s="750"/>
      <c r="AB139" s="751"/>
      <c r="AC139" s="661"/>
      <c r="AD139" s="661"/>
      <c r="AE139" s="624"/>
      <c r="AF139" s="751"/>
      <c r="AG139" s="751"/>
      <c r="AH139" s="751"/>
      <c r="AI139" s="624"/>
      <c r="AJ139" s="751"/>
      <c r="AK139" s="751"/>
      <c r="AL139" s="751"/>
      <c r="AM139" s="624"/>
      <c r="AN139" s="624"/>
      <c r="AO139" s="624"/>
      <c r="AP139" s="624"/>
      <c r="AQ139" s="737"/>
      <c r="AR139" s="753"/>
      <c r="AS139" s="753"/>
      <c r="AT139" s="753"/>
      <c r="AU139" s="624"/>
      <c r="AV139" s="624"/>
      <c r="AW139" s="624"/>
    </row>
    <row r="140" spans="2:49">
      <c r="B140" s="756"/>
      <c r="C140" s="624"/>
      <c r="D140" s="751"/>
      <c r="E140" s="751"/>
      <c r="F140" s="751"/>
      <c r="G140" s="751"/>
      <c r="H140" s="751"/>
      <c r="I140" s="624"/>
      <c r="J140" s="624"/>
      <c r="K140" s="750"/>
      <c r="L140" s="751"/>
      <c r="M140" s="751"/>
      <c r="N140" s="751"/>
      <c r="O140" s="750"/>
      <c r="P140" s="751"/>
      <c r="Q140" s="751"/>
      <c r="R140" s="751"/>
      <c r="S140" s="624"/>
      <c r="T140" s="751"/>
      <c r="U140" s="751"/>
      <c r="V140" s="751"/>
      <c r="W140" s="624"/>
      <c r="X140" s="751"/>
      <c r="Y140" s="751"/>
      <c r="Z140" s="751"/>
      <c r="AA140" s="750"/>
      <c r="AB140" s="751"/>
      <c r="AC140" s="661"/>
      <c r="AD140" s="661"/>
      <c r="AE140" s="624"/>
      <c r="AF140" s="751"/>
      <c r="AG140" s="751"/>
      <c r="AH140" s="751"/>
      <c r="AI140" s="624"/>
      <c r="AJ140" s="751"/>
      <c r="AK140" s="751"/>
      <c r="AL140" s="751"/>
      <c r="AM140" s="624"/>
      <c r="AN140" s="624"/>
      <c r="AO140" s="624"/>
      <c r="AP140" s="624"/>
      <c r="AQ140" s="737"/>
      <c r="AR140" s="753"/>
      <c r="AS140" s="753"/>
      <c r="AT140" s="753"/>
      <c r="AU140" s="624"/>
      <c r="AV140" s="624"/>
      <c r="AW140" s="624"/>
    </row>
    <row r="141" spans="2:49">
      <c r="B141" s="756"/>
      <c r="C141" s="624"/>
      <c r="D141" s="751"/>
      <c r="E141" s="751"/>
      <c r="F141" s="751"/>
      <c r="G141" s="751"/>
      <c r="H141" s="751"/>
      <c r="I141" s="624"/>
      <c r="J141" s="624"/>
      <c r="K141" s="750"/>
      <c r="L141" s="751"/>
      <c r="M141" s="751"/>
      <c r="N141" s="751"/>
      <c r="O141" s="750"/>
      <c r="P141" s="751"/>
      <c r="Q141" s="751"/>
      <c r="R141" s="751"/>
      <c r="S141" s="624"/>
      <c r="T141" s="751"/>
      <c r="U141" s="751"/>
      <c r="V141" s="751"/>
      <c r="W141" s="624"/>
      <c r="X141" s="751"/>
      <c r="Y141" s="751"/>
      <c r="Z141" s="751"/>
      <c r="AA141" s="750"/>
      <c r="AB141" s="751"/>
      <c r="AC141" s="661"/>
      <c r="AD141" s="661"/>
      <c r="AE141" s="624"/>
      <c r="AF141" s="751"/>
      <c r="AG141" s="751"/>
      <c r="AH141" s="751"/>
      <c r="AI141" s="624"/>
      <c r="AJ141" s="751"/>
      <c r="AK141" s="751"/>
      <c r="AL141" s="751"/>
      <c r="AM141" s="624"/>
      <c r="AN141" s="624"/>
      <c r="AO141" s="624"/>
      <c r="AP141" s="624"/>
      <c r="AQ141" s="737"/>
      <c r="AR141" s="753"/>
      <c r="AS141" s="753"/>
      <c r="AT141" s="753"/>
      <c r="AU141" s="624"/>
      <c r="AV141" s="624"/>
      <c r="AW141" s="624"/>
    </row>
    <row r="142" spans="2:49">
      <c r="B142" s="756"/>
      <c r="C142" s="624"/>
      <c r="D142" s="751"/>
      <c r="E142" s="751"/>
      <c r="F142" s="751"/>
      <c r="G142" s="751"/>
      <c r="H142" s="751"/>
      <c r="I142" s="624"/>
      <c r="J142" s="624"/>
      <c r="K142" s="750"/>
      <c r="L142" s="751"/>
      <c r="M142" s="751"/>
      <c r="N142" s="751"/>
      <c r="O142" s="750"/>
      <c r="P142" s="751"/>
      <c r="Q142" s="751"/>
      <c r="R142" s="751"/>
      <c r="S142" s="624"/>
      <c r="T142" s="751"/>
      <c r="U142" s="751"/>
      <c r="V142" s="751"/>
      <c r="W142" s="624"/>
      <c r="X142" s="751"/>
      <c r="Y142" s="751"/>
      <c r="Z142" s="751"/>
      <c r="AA142" s="750"/>
      <c r="AB142" s="751"/>
      <c r="AC142" s="661"/>
      <c r="AD142" s="661"/>
      <c r="AE142" s="624"/>
      <c r="AF142" s="751"/>
      <c r="AG142" s="751"/>
      <c r="AH142" s="751"/>
      <c r="AI142" s="624"/>
      <c r="AJ142" s="751"/>
      <c r="AK142" s="751"/>
      <c r="AL142" s="751"/>
      <c r="AM142" s="624"/>
      <c r="AN142" s="624"/>
      <c r="AO142" s="624"/>
      <c r="AP142" s="624"/>
      <c r="AQ142" s="737"/>
      <c r="AR142" s="753"/>
      <c r="AS142" s="753"/>
      <c r="AT142" s="753"/>
      <c r="AU142" s="624"/>
      <c r="AV142" s="624"/>
      <c r="AW142" s="624"/>
    </row>
    <row r="143" spans="2:49">
      <c r="B143" s="756"/>
      <c r="C143" s="624"/>
      <c r="D143" s="751"/>
      <c r="E143" s="751"/>
      <c r="F143" s="751"/>
      <c r="G143" s="751"/>
      <c r="H143" s="751"/>
      <c r="I143" s="624"/>
      <c r="J143" s="624"/>
      <c r="K143" s="750"/>
      <c r="L143" s="751"/>
      <c r="M143" s="751"/>
      <c r="N143" s="751"/>
      <c r="O143" s="750"/>
      <c r="P143" s="751"/>
      <c r="Q143" s="751"/>
      <c r="R143" s="751"/>
      <c r="S143" s="624"/>
      <c r="T143" s="751"/>
      <c r="U143" s="751"/>
      <c r="V143" s="751"/>
      <c r="W143" s="624"/>
      <c r="X143" s="751"/>
      <c r="Y143" s="751"/>
      <c r="Z143" s="751"/>
      <c r="AA143" s="750"/>
      <c r="AB143" s="751"/>
      <c r="AC143" s="661"/>
      <c r="AD143" s="661"/>
      <c r="AE143" s="624"/>
      <c r="AF143" s="751"/>
      <c r="AG143" s="751"/>
      <c r="AH143" s="751"/>
      <c r="AI143" s="624"/>
      <c r="AJ143" s="751"/>
      <c r="AK143" s="751"/>
      <c r="AL143" s="751"/>
      <c r="AM143" s="624"/>
      <c r="AN143" s="624"/>
      <c r="AO143" s="624"/>
      <c r="AP143" s="624"/>
      <c r="AQ143" s="737"/>
      <c r="AR143" s="753"/>
      <c r="AS143" s="753"/>
      <c r="AT143" s="753"/>
      <c r="AU143" s="624"/>
      <c r="AV143" s="624"/>
      <c r="AW143" s="624"/>
    </row>
    <row r="144" spans="2:49">
      <c r="B144" s="756"/>
      <c r="C144" s="624"/>
      <c r="D144" s="751"/>
      <c r="E144" s="751"/>
      <c r="F144" s="751"/>
      <c r="G144" s="751"/>
      <c r="H144" s="751"/>
      <c r="I144" s="624"/>
      <c r="J144" s="624"/>
      <c r="K144" s="750"/>
      <c r="L144" s="751"/>
      <c r="M144" s="751"/>
      <c r="N144" s="751"/>
      <c r="O144" s="750"/>
      <c r="P144" s="751"/>
      <c r="Q144" s="751"/>
      <c r="R144" s="751"/>
      <c r="S144" s="624"/>
      <c r="T144" s="751"/>
      <c r="U144" s="751"/>
      <c r="V144" s="751"/>
      <c r="W144" s="624"/>
      <c r="X144" s="751"/>
      <c r="Y144" s="751"/>
      <c r="Z144" s="751"/>
      <c r="AA144" s="750"/>
      <c r="AB144" s="751"/>
      <c r="AC144" s="661"/>
      <c r="AD144" s="661"/>
      <c r="AE144" s="624"/>
      <c r="AF144" s="751"/>
      <c r="AG144" s="751"/>
      <c r="AH144" s="751"/>
      <c r="AI144" s="624"/>
      <c r="AJ144" s="751"/>
      <c r="AK144" s="751"/>
      <c r="AL144" s="751"/>
      <c r="AM144" s="624"/>
      <c r="AN144" s="624"/>
      <c r="AO144" s="624"/>
      <c r="AP144" s="624"/>
      <c r="AQ144" s="737"/>
      <c r="AR144" s="753"/>
      <c r="AS144" s="753"/>
      <c r="AT144" s="753"/>
      <c r="AU144" s="624"/>
      <c r="AV144" s="624"/>
      <c r="AW144" s="624"/>
    </row>
    <row r="145" spans="2:49">
      <c r="B145" s="756"/>
      <c r="C145" s="624"/>
      <c r="D145" s="751"/>
      <c r="E145" s="751"/>
      <c r="F145" s="751"/>
      <c r="G145" s="751"/>
      <c r="H145" s="751"/>
      <c r="I145" s="624"/>
      <c r="J145" s="624"/>
      <c r="K145" s="750"/>
      <c r="L145" s="751"/>
      <c r="M145" s="751"/>
      <c r="N145" s="751"/>
      <c r="O145" s="750"/>
      <c r="P145" s="751"/>
      <c r="Q145" s="751"/>
      <c r="R145" s="751"/>
      <c r="S145" s="624"/>
      <c r="T145" s="751"/>
      <c r="U145" s="751"/>
      <c r="V145" s="751"/>
      <c r="W145" s="624"/>
      <c r="X145" s="751"/>
      <c r="Y145" s="751"/>
      <c r="Z145" s="751"/>
      <c r="AA145" s="750"/>
      <c r="AB145" s="751"/>
      <c r="AC145" s="661"/>
      <c r="AD145" s="661"/>
      <c r="AE145" s="624"/>
      <c r="AF145" s="751"/>
      <c r="AG145" s="751"/>
      <c r="AH145" s="751"/>
      <c r="AI145" s="624"/>
      <c r="AJ145" s="751"/>
      <c r="AK145" s="751"/>
      <c r="AL145" s="751"/>
      <c r="AM145" s="624"/>
      <c r="AN145" s="624"/>
      <c r="AO145" s="624"/>
      <c r="AP145" s="624"/>
      <c r="AQ145" s="737"/>
      <c r="AR145" s="753"/>
      <c r="AS145" s="753"/>
      <c r="AT145" s="753"/>
      <c r="AU145" s="624"/>
      <c r="AV145" s="624"/>
      <c r="AW145" s="624"/>
    </row>
    <row r="146" spans="2:49">
      <c r="B146" s="756"/>
      <c r="C146" s="624"/>
      <c r="D146" s="751"/>
      <c r="E146" s="751"/>
      <c r="F146" s="751"/>
      <c r="G146" s="751"/>
      <c r="H146" s="751"/>
      <c r="I146" s="624"/>
      <c r="J146" s="624"/>
      <c r="K146" s="750"/>
      <c r="L146" s="751"/>
      <c r="M146" s="751"/>
      <c r="N146" s="751"/>
      <c r="O146" s="750"/>
      <c r="P146" s="751"/>
      <c r="Q146" s="751"/>
      <c r="R146" s="751"/>
      <c r="S146" s="624"/>
      <c r="T146" s="751"/>
      <c r="U146" s="751"/>
      <c r="V146" s="751"/>
      <c r="W146" s="624"/>
      <c r="X146" s="751"/>
      <c r="Y146" s="751"/>
      <c r="Z146" s="751"/>
      <c r="AA146" s="750"/>
      <c r="AB146" s="751"/>
      <c r="AC146" s="661"/>
      <c r="AD146" s="661"/>
      <c r="AE146" s="624"/>
      <c r="AF146" s="751"/>
      <c r="AG146" s="751"/>
      <c r="AH146" s="751"/>
      <c r="AI146" s="624"/>
      <c r="AJ146" s="751"/>
      <c r="AK146" s="751"/>
      <c r="AL146" s="751"/>
      <c r="AM146" s="624"/>
      <c r="AN146" s="624"/>
      <c r="AO146" s="624"/>
      <c r="AP146" s="624"/>
      <c r="AQ146" s="737"/>
      <c r="AR146" s="753"/>
      <c r="AS146" s="753"/>
      <c r="AT146" s="753"/>
      <c r="AU146" s="624"/>
      <c r="AV146" s="624"/>
      <c r="AW146" s="624"/>
    </row>
    <row r="147" spans="2:49">
      <c r="B147" s="756"/>
      <c r="C147" s="624"/>
      <c r="D147" s="751"/>
      <c r="E147" s="751"/>
      <c r="F147" s="751"/>
      <c r="G147" s="751"/>
      <c r="H147" s="751"/>
      <c r="I147" s="624"/>
      <c r="J147" s="624"/>
      <c r="K147" s="750"/>
      <c r="L147" s="751"/>
      <c r="M147" s="751"/>
      <c r="N147" s="751"/>
      <c r="O147" s="750"/>
      <c r="P147" s="751"/>
      <c r="Q147" s="751"/>
      <c r="R147" s="751"/>
      <c r="S147" s="624"/>
      <c r="T147" s="751"/>
      <c r="U147" s="751"/>
      <c r="V147" s="751"/>
      <c r="W147" s="624"/>
      <c r="X147" s="751"/>
      <c r="Y147" s="751"/>
      <c r="Z147" s="751"/>
      <c r="AA147" s="750"/>
      <c r="AB147" s="751"/>
      <c r="AC147" s="661"/>
      <c r="AD147" s="661"/>
      <c r="AE147" s="624"/>
      <c r="AF147" s="751"/>
      <c r="AG147" s="751"/>
      <c r="AH147" s="751"/>
      <c r="AI147" s="624"/>
      <c r="AJ147" s="751"/>
      <c r="AK147" s="751"/>
      <c r="AL147" s="751"/>
      <c r="AM147" s="624"/>
      <c r="AN147" s="624"/>
      <c r="AO147" s="624"/>
      <c r="AP147" s="624"/>
      <c r="AQ147" s="737"/>
      <c r="AR147" s="753"/>
      <c r="AS147" s="753"/>
      <c r="AT147" s="753"/>
      <c r="AU147" s="624"/>
      <c r="AV147" s="624"/>
      <c r="AW147" s="624"/>
    </row>
    <row r="148" spans="2:49">
      <c r="B148" s="756"/>
      <c r="C148" s="624"/>
      <c r="D148" s="751"/>
      <c r="E148" s="751"/>
      <c r="F148" s="751"/>
      <c r="G148" s="751"/>
      <c r="H148" s="751"/>
      <c r="I148" s="624"/>
      <c r="J148" s="624"/>
      <c r="K148" s="750"/>
      <c r="L148" s="751"/>
      <c r="M148" s="751"/>
      <c r="N148" s="751"/>
      <c r="O148" s="750"/>
      <c r="P148" s="751"/>
      <c r="Q148" s="751"/>
      <c r="R148" s="751"/>
      <c r="S148" s="624"/>
      <c r="T148" s="751"/>
      <c r="U148" s="751"/>
      <c r="V148" s="751"/>
      <c r="W148" s="624"/>
      <c r="X148" s="751"/>
      <c r="Y148" s="751"/>
      <c r="Z148" s="751"/>
      <c r="AA148" s="750"/>
      <c r="AB148" s="751"/>
      <c r="AC148" s="661"/>
      <c r="AD148" s="661"/>
      <c r="AE148" s="624"/>
      <c r="AF148" s="751"/>
      <c r="AG148" s="751"/>
      <c r="AH148" s="751"/>
      <c r="AI148" s="624"/>
      <c r="AJ148" s="751"/>
      <c r="AK148" s="751"/>
      <c r="AL148" s="751"/>
      <c r="AM148" s="624"/>
      <c r="AN148" s="624"/>
      <c r="AO148" s="624"/>
      <c r="AP148" s="624"/>
      <c r="AQ148" s="737"/>
      <c r="AR148" s="753"/>
      <c r="AS148" s="753"/>
      <c r="AT148" s="753"/>
      <c r="AU148" s="624"/>
      <c r="AV148" s="624"/>
      <c r="AW148" s="624"/>
    </row>
    <row r="149" spans="2:49">
      <c r="B149" s="756"/>
      <c r="C149" s="624"/>
      <c r="D149" s="751"/>
      <c r="E149" s="751"/>
      <c r="F149" s="751"/>
      <c r="G149" s="751"/>
      <c r="H149" s="751"/>
      <c r="I149" s="624"/>
      <c r="J149" s="624"/>
      <c r="K149" s="750"/>
      <c r="L149" s="751"/>
      <c r="M149" s="751"/>
      <c r="N149" s="751"/>
      <c r="O149" s="750"/>
      <c r="P149" s="751"/>
      <c r="Q149" s="751"/>
      <c r="R149" s="751"/>
      <c r="S149" s="624"/>
      <c r="T149" s="751"/>
      <c r="U149" s="751"/>
      <c r="V149" s="751"/>
      <c r="W149" s="624"/>
      <c r="X149" s="751"/>
      <c r="Y149" s="751"/>
      <c r="Z149" s="751"/>
      <c r="AA149" s="750"/>
      <c r="AB149" s="751"/>
      <c r="AC149" s="661"/>
      <c r="AD149" s="661"/>
      <c r="AE149" s="624"/>
      <c r="AF149" s="751"/>
      <c r="AG149" s="751"/>
      <c r="AH149" s="751"/>
      <c r="AI149" s="624"/>
      <c r="AJ149" s="751"/>
      <c r="AK149" s="751"/>
      <c r="AL149" s="751"/>
      <c r="AM149" s="624"/>
      <c r="AN149" s="624"/>
      <c r="AO149" s="624"/>
      <c r="AP149" s="624"/>
      <c r="AQ149" s="737"/>
      <c r="AR149" s="753"/>
      <c r="AS149" s="753"/>
      <c r="AT149" s="753"/>
      <c r="AU149" s="624"/>
      <c r="AV149" s="624"/>
      <c r="AW149" s="624"/>
    </row>
    <row r="150" spans="2:49">
      <c r="B150" s="756"/>
      <c r="C150" s="624"/>
      <c r="D150" s="751"/>
      <c r="E150" s="751"/>
      <c r="F150" s="751"/>
      <c r="G150" s="751"/>
      <c r="H150" s="751"/>
      <c r="I150" s="624"/>
      <c r="J150" s="624"/>
      <c r="K150" s="750"/>
      <c r="L150" s="751"/>
      <c r="M150" s="751"/>
      <c r="N150" s="751"/>
      <c r="O150" s="750"/>
      <c r="P150" s="751"/>
      <c r="Q150" s="751"/>
      <c r="R150" s="751"/>
      <c r="S150" s="624"/>
      <c r="T150" s="751"/>
      <c r="U150" s="751"/>
      <c r="V150" s="751"/>
      <c r="W150" s="624"/>
      <c r="X150" s="751"/>
      <c r="Y150" s="751"/>
      <c r="Z150" s="751"/>
      <c r="AA150" s="750"/>
      <c r="AB150" s="751"/>
      <c r="AC150" s="661"/>
      <c r="AD150" s="661"/>
      <c r="AE150" s="624"/>
      <c r="AF150" s="751"/>
      <c r="AG150" s="751"/>
      <c r="AH150" s="751"/>
      <c r="AI150" s="624"/>
      <c r="AJ150" s="751"/>
      <c r="AK150" s="751"/>
      <c r="AL150" s="751"/>
      <c r="AM150" s="624"/>
      <c r="AN150" s="624"/>
      <c r="AO150" s="624"/>
      <c r="AP150" s="624"/>
      <c r="AQ150" s="737"/>
      <c r="AR150" s="753"/>
      <c r="AS150" s="753"/>
      <c r="AT150" s="753"/>
      <c r="AU150" s="624"/>
      <c r="AV150" s="624"/>
      <c r="AW150" s="624"/>
    </row>
    <row r="151" spans="2:49">
      <c r="B151" s="756"/>
      <c r="C151" s="624"/>
      <c r="D151" s="751"/>
      <c r="E151" s="751"/>
      <c r="F151" s="751"/>
      <c r="G151" s="751"/>
      <c r="H151" s="751"/>
      <c r="I151" s="624"/>
      <c r="J151" s="624"/>
      <c r="K151" s="750"/>
      <c r="L151" s="751"/>
      <c r="M151" s="751"/>
      <c r="N151" s="751"/>
      <c r="O151" s="750"/>
      <c r="P151" s="751"/>
      <c r="Q151" s="751"/>
      <c r="R151" s="751"/>
      <c r="S151" s="624"/>
      <c r="T151" s="751"/>
      <c r="U151" s="751"/>
      <c r="V151" s="751"/>
      <c r="W151" s="624"/>
      <c r="X151" s="751"/>
      <c r="Y151" s="751"/>
      <c r="Z151" s="751"/>
      <c r="AA151" s="750"/>
      <c r="AB151" s="751"/>
      <c r="AC151" s="661"/>
      <c r="AD151" s="661"/>
      <c r="AE151" s="624"/>
      <c r="AF151" s="751"/>
      <c r="AG151" s="751"/>
      <c r="AH151" s="751"/>
      <c r="AI151" s="624"/>
      <c r="AJ151" s="751"/>
      <c r="AK151" s="751"/>
      <c r="AL151" s="751"/>
      <c r="AM151" s="624"/>
      <c r="AN151" s="624"/>
      <c r="AO151" s="624"/>
      <c r="AP151" s="624"/>
      <c r="AQ151" s="737"/>
      <c r="AR151" s="753"/>
      <c r="AS151" s="753"/>
      <c r="AT151" s="753"/>
      <c r="AU151" s="624"/>
      <c r="AV151" s="624"/>
      <c r="AW151" s="624"/>
    </row>
    <row r="152" spans="2:49">
      <c r="B152" s="756"/>
      <c r="C152" s="624"/>
      <c r="D152" s="751"/>
      <c r="E152" s="751"/>
      <c r="F152" s="751"/>
      <c r="G152" s="751"/>
      <c r="H152" s="751"/>
      <c r="I152" s="624"/>
      <c r="J152" s="624"/>
      <c r="K152" s="750"/>
      <c r="L152" s="751"/>
      <c r="M152" s="751"/>
      <c r="N152" s="751"/>
      <c r="O152" s="750"/>
      <c r="P152" s="751"/>
      <c r="Q152" s="751"/>
      <c r="R152" s="751"/>
      <c r="S152" s="624"/>
      <c r="T152" s="751"/>
      <c r="U152" s="751"/>
      <c r="V152" s="751"/>
      <c r="W152" s="624"/>
      <c r="X152" s="751"/>
      <c r="Y152" s="751"/>
      <c r="Z152" s="751"/>
      <c r="AA152" s="750"/>
      <c r="AB152" s="751"/>
      <c r="AC152" s="661"/>
      <c r="AD152" s="661"/>
      <c r="AE152" s="624"/>
      <c r="AF152" s="751"/>
      <c r="AG152" s="751"/>
      <c r="AH152" s="751"/>
      <c r="AI152" s="624"/>
      <c r="AJ152" s="751"/>
      <c r="AK152" s="751"/>
      <c r="AL152" s="751"/>
      <c r="AM152" s="624"/>
      <c r="AN152" s="624"/>
      <c r="AO152" s="624"/>
      <c r="AP152" s="624"/>
      <c r="AQ152" s="737"/>
      <c r="AR152" s="753"/>
      <c r="AS152" s="753"/>
      <c r="AT152" s="753"/>
      <c r="AU152" s="624"/>
      <c r="AV152" s="624"/>
      <c r="AW152" s="624"/>
    </row>
    <row r="153" spans="2:49">
      <c r="B153" s="756"/>
      <c r="C153" s="624"/>
      <c r="D153" s="751"/>
      <c r="E153" s="751"/>
      <c r="F153" s="751"/>
      <c r="G153" s="751"/>
      <c r="H153" s="751"/>
      <c r="I153" s="624"/>
      <c r="J153" s="624"/>
      <c r="K153" s="750"/>
      <c r="L153" s="751"/>
      <c r="M153" s="751"/>
      <c r="N153" s="751"/>
      <c r="O153" s="750"/>
      <c r="P153" s="751"/>
      <c r="Q153" s="751"/>
      <c r="R153" s="751"/>
      <c r="S153" s="624"/>
      <c r="T153" s="751"/>
      <c r="U153" s="751"/>
      <c r="V153" s="751"/>
      <c r="W153" s="624"/>
      <c r="X153" s="751"/>
      <c r="Y153" s="751"/>
      <c r="Z153" s="751"/>
      <c r="AA153" s="750"/>
      <c r="AB153" s="751"/>
      <c r="AC153" s="661"/>
      <c r="AD153" s="661"/>
      <c r="AE153" s="624"/>
      <c r="AF153" s="751"/>
      <c r="AG153" s="751"/>
      <c r="AH153" s="751"/>
      <c r="AI153" s="624"/>
      <c r="AJ153" s="751"/>
      <c r="AK153" s="751"/>
      <c r="AL153" s="751"/>
      <c r="AM153" s="624"/>
      <c r="AN153" s="624"/>
      <c r="AO153" s="624"/>
      <c r="AP153" s="624"/>
      <c r="AQ153" s="737"/>
      <c r="AR153" s="753"/>
      <c r="AS153" s="753"/>
      <c r="AT153" s="753"/>
      <c r="AU153" s="624"/>
      <c r="AV153" s="624"/>
      <c r="AW153" s="624"/>
    </row>
    <row r="154" spans="2:49">
      <c r="B154" s="756"/>
      <c r="C154" s="624"/>
      <c r="D154" s="751"/>
      <c r="E154" s="751"/>
      <c r="F154" s="751"/>
      <c r="G154" s="751"/>
      <c r="H154" s="751"/>
      <c r="I154" s="624"/>
      <c r="J154" s="624"/>
      <c r="K154" s="750"/>
      <c r="L154" s="751"/>
      <c r="M154" s="751"/>
      <c r="N154" s="751"/>
      <c r="O154" s="750"/>
      <c r="P154" s="751"/>
      <c r="Q154" s="751"/>
      <c r="R154" s="751"/>
      <c r="S154" s="624"/>
      <c r="T154" s="751"/>
      <c r="U154" s="751"/>
      <c r="V154" s="751"/>
      <c r="W154" s="624"/>
      <c r="X154" s="751"/>
      <c r="Y154" s="751"/>
      <c r="Z154" s="751"/>
      <c r="AA154" s="750"/>
      <c r="AB154" s="751"/>
      <c r="AC154" s="661"/>
      <c r="AD154" s="661"/>
      <c r="AE154" s="624"/>
      <c r="AF154" s="751"/>
      <c r="AG154" s="751"/>
      <c r="AH154" s="751"/>
      <c r="AI154" s="624"/>
      <c r="AJ154" s="751"/>
      <c r="AK154" s="751"/>
      <c r="AL154" s="751"/>
      <c r="AM154" s="624"/>
      <c r="AN154" s="624"/>
      <c r="AO154" s="624"/>
      <c r="AP154" s="624"/>
      <c r="AQ154" s="737"/>
      <c r="AR154" s="753"/>
      <c r="AS154" s="753"/>
      <c r="AT154" s="753"/>
      <c r="AU154" s="624"/>
      <c r="AV154" s="624"/>
      <c r="AW154" s="624"/>
    </row>
    <row r="155" spans="2:49">
      <c r="B155" s="756"/>
      <c r="C155" s="624"/>
      <c r="D155" s="751"/>
      <c r="E155" s="751"/>
      <c r="F155" s="751"/>
      <c r="G155" s="751"/>
      <c r="H155" s="751"/>
      <c r="I155" s="624"/>
      <c r="J155" s="624"/>
      <c r="K155" s="750"/>
      <c r="L155" s="751"/>
      <c r="M155" s="751"/>
      <c r="N155" s="751"/>
      <c r="O155" s="750"/>
      <c r="P155" s="751"/>
      <c r="Q155" s="751"/>
      <c r="R155" s="751"/>
      <c r="S155" s="624"/>
      <c r="T155" s="751"/>
      <c r="U155" s="751"/>
      <c r="V155" s="751"/>
      <c r="W155" s="624"/>
      <c r="X155" s="751"/>
      <c r="Y155" s="751"/>
      <c r="Z155" s="751"/>
      <c r="AA155" s="750"/>
      <c r="AB155" s="751"/>
      <c r="AC155" s="661"/>
      <c r="AD155" s="661"/>
      <c r="AE155" s="624"/>
      <c r="AF155" s="751"/>
      <c r="AG155" s="751"/>
      <c r="AH155" s="751"/>
      <c r="AI155" s="624"/>
      <c r="AJ155" s="751"/>
      <c r="AK155" s="751"/>
      <c r="AL155" s="751"/>
      <c r="AM155" s="624"/>
      <c r="AN155" s="624"/>
      <c r="AO155" s="624"/>
      <c r="AP155" s="624"/>
      <c r="AQ155" s="737"/>
      <c r="AR155" s="753"/>
      <c r="AS155" s="753"/>
      <c r="AT155" s="753"/>
      <c r="AU155" s="624"/>
      <c r="AV155" s="624"/>
      <c r="AW155" s="624"/>
    </row>
    <row r="156" spans="2:49">
      <c r="B156" s="756"/>
      <c r="C156" s="624"/>
      <c r="D156" s="751"/>
      <c r="E156" s="751"/>
      <c r="F156" s="751"/>
      <c r="G156" s="751"/>
      <c r="H156" s="751"/>
      <c r="I156" s="624"/>
      <c r="J156" s="624"/>
      <c r="K156" s="750"/>
      <c r="L156" s="751"/>
      <c r="M156" s="751"/>
      <c r="N156" s="751"/>
      <c r="O156" s="750"/>
      <c r="P156" s="751"/>
      <c r="Q156" s="751"/>
      <c r="R156" s="751"/>
      <c r="S156" s="624"/>
      <c r="T156" s="751"/>
      <c r="U156" s="751"/>
      <c r="V156" s="751"/>
      <c r="W156" s="624"/>
      <c r="X156" s="751"/>
      <c r="Y156" s="751"/>
      <c r="Z156" s="751"/>
      <c r="AA156" s="750"/>
      <c r="AB156" s="751"/>
      <c r="AC156" s="661"/>
      <c r="AD156" s="661"/>
      <c r="AE156" s="624"/>
      <c r="AF156" s="751"/>
      <c r="AG156" s="751"/>
      <c r="AH156" s="751"/>
      <c r="AI156" s="624"/>
      <c r="AJ156" s="751"/>
      <c r="AK156" s="751"/>
      <c r="AL156" s="751"/>
      <c r="AM156" s="624"/>
      <c r="AN156" s="624"/>
      <c r="AO156" s="624"/>
      <c r="AP156" s="624"/>
      <c r="AQ156" s="737"/>
      <c r="AR156" s="753"/>
      <c r="AS156" s="753"/>
      <c r="AT156" s="753"/>
      <c r="AU156" s="624"/>
      <c r="AV156" s="624"/>
      <c r="AW156" s="624"/>
    </row>
    <row r="157" spans="2:49">
      <c r="B157" s="756"/>
      <c r="C157" s="624"/>
      <c r="D157" s="751"/>
      <c r="E157" s="751"/>
      <c r="F157" s="751"/>
      <c r="G157" s="751"/>
      <c r="H157" s="751"/>
      <c r="I157" s="624"/>
      <c r="J157" s="624"/>
      <c r="K157" s="750"/>
      <c r="L157" s="751"/>
      <c r="M157" s="751"/>
      <c r="N157" s="751"/>
      <c r="O157" s="750"/>
      <c r="P157" s="751"/>
      <c r="Q157" s="751"/>
      <c r="R157" s="751"/>
      <c r="S157" s="624"/>
      <c r="T157" s="751"/>
      <c r="U157" s="751"/>
      <c r="V157" s="751"/>
      <c r="W157" s="624"/>
      <c r="X157" s="751"/>
      <c r="Y157" s="751"/>
      <c r="Z157" s="751"/>
      <c r="AA157" s="750"/>
      <c r="AB157" s="751"/>
      <c r="AC157" s="661"/>
      <c r="AD157" s="661"/>
      <c r="AE157" s="624"/>
      <c r="AF157" s="751"/>
      <c r="AG157" s="751"/>
      <c r="AH157" s="751"/>
      <c r="AI157" s="624"/>
      <c r="AJ157" s="751"/>
      <c r="AK157" s="751"/>
      <c r="AL157" s="751"/>
      <c r="AM157" s="624"/>
      <c r="AN157" s="624"/>
      <c r="AO157" s="624"/>
      <c r="AP157" s="624"/>
      <c r="AQ157" s="737"/>
      <c r="AR157" s="753"/>
      <c r="AS157" s="753"/>
      <c r="AT157" s="753"/>
      <c r="AU157" s="624"/>
      <c r="AV157" s="624"/>
      <c r="AW157" s="624"/>
    </row>
    <row r="158" spans="2:49">
      <c r="B158" s="756"/>
      <c r="C158" s="624"/>
      <c r="D158" s="751"/>
      <c r="E158" s="751"/>
      <c r="F158" s="751"/>
      <c r="G158" s="751"/>
      <c r="H158" s="751"/>
      <c r="I158" s="624"/>
      <c r="J158" s="624"/>
      <c r="K158" s="750"/>
      <c r="L158" s="751"/>
      <c r="M158" s="751"/>
      <c r="N158" s="751"/>
      <c r="O158" s="750"/>
      <c r="P158" s="751"/>
      <c r="Q158" s="751"/>
      <c r="R158" s="751"/>
      <c r="S158" s="624"/>
      <c r="T158" s="751"/>
      <c r="U158" s="751"/>
      <c r="V158" s="751"/>
      <c r="W158" s="624"/>
      <c r="X158" s="751"/>
      <c r="Y158" s="751"/>
      <c r="Z158" s="751"/>
      <c r="AA158" s="750"/>
      <c r="AB158" s="751"/>
      <c r="AC158" s="661"/>
      <c r="AD158" s="661"/>
      <c r="AE158" s="624"/>
      <c r="AF158" s="751"/>
      <c r="AG158" s="751"/>
      <c r="AH158" s="751"/>
      <c r="AI158" s="624"/>
      <c r="AJ158" s="751"/>
      <c r="AK158" s="751"/>
      <c r="AL158" s="751"/>
      <c r="AM158" s="624"/>
      <c r="AN158" s="624"/>
      <c r="AO158" s="624"/>
      <c r="AP158" s="624"/>
      <c r="AQ158" s="737"/>
      <c r="AR158" s="753"/>
      <c r="AS158" s="753"/>
      <c r="AT158" s="753"/>
      <c r="AU158" s="624"/>
      <c r="AV158" s="624"/>
      <c r="AW158" s="624"/>
    </row>
    <row r="159" spans="2:49">
      <c r="B159" s="756"/>
      <c r="C159" s="624"/>
      <c r="D159" s="751"/>
      <c r="E159" s="751"/>
      <c r="F159" s="751"/>
      <c r="G159" s="751"/>
      <c r="H159" s="751"/>
      <c r="I159" s="624"/>
      <c r="J159" s="624"/>
      <c r="K159" s="750"/>
      <c r="L159" s="751"/>
      <c r="M159" s="751"/>
      <c r="N159" s="751"/>
      <c r="O159" s="750"/>
      <c r="P159" s="751"/>
      <c r="Q159" s="751"/>
      <c r="R159" s="751"/>
      <c r="S159" s="624"/>
      <c r="T159" s="751"/>
      <c r="U159" s="751"/>
      <c r="V159" s="751"/>
      <c r="W159" s="624"/>
      <c r="X159" s="751"/>
      <c r="Y159" s="751"/>
      <c r="Z159" s="751"/>
      <c r="AA159" s="750"/>
      <c r="AB159" s="751"/>
      <c r="AC159" s="661"/>
      <c r="AD159" s="661"/>
      <c r="AE159" s="624"/>
      <c r="AF159" s="751"/>
      <c r="AG159" s="751"/>
      <c r="AH159" s="751"/>
      <c r="AI159" s="624"/>
      <c r="AJ159" s="751"/>
      <c r="AK159" s="751"/>
      <c r="AL159" s="751"/>
      <c r="AM159" s="624"/>
      <c r="AN159" s="624"/>
      <c r="AO159" s="624"/>
      <c r="AP159" s="624"/>
      <c r="AQ159" s="737"/>
      <c r="AR159" s="753"/>
      <c r="AS159" s="753"/>
      <c r="AT159" s="753"/>
      <c r="AU159" s="624"/>
      <c r="AV159" s="624"/>
      <c r="AW159" s="624"/>
    </row>
    <row r="160" spans="2:49">
      <c r="B160" s="756"/>
      <c r="C160" s="624"/>
      <c r="D160" s="751"/>
      <c r="E160" s="751"/>
      <c r="F160" s="751"/>
      <c r="G160" s="751"/>
      <c r="H160" s="751"/>
      <c r="I160" s="624"/>
      <c r="J160" s="624"/>
      <c r="K160" s="750"/>
      <c r="L160" s="751"/>
      <c r="M160" s="751"/>
      <c r="N160" s="751"/>
      <c r="O160" s="750"/>
      <c r="P160" s="751"/>
      <c r="Q160" s="751"/>
      <c r="R160" s="751"/>
      <c r="S160" s="624"/>
      <c r="T160" s="751"/>
      <c r="U160" s="751"/>
      <c r="V160" s="751"/>
      <c r="W160" s="624"/>
      <c r="X160" s="751"/>
      <c r="Y160" s="751"/>
      <c r="Z160" s="751"/>
      <c r="AA160" s="750"/>
      <c r="AB160" s="751"/>
      <c r="AC160" s="661"/>
      <c r="AD160" s="661"/>
      <c r="AE160" s="624"/>
      <c r="AF160" s="751"/>
      <c r="AG160" s="751"/>
      <c r="AH160" s="751"/>
      <c r="AI160" s="624"/>
      <c r="AJ160" s="751"/>
      <c r="AK160" s="751"/>
      <c r="AL160" s="751"/>
      <c r="AM160" s="624"/>
      <c r="AN160" s="624"/>
      <c r="AO160" s="624"/>
      <c r="AP160" s="624"/>
      <c r="AQ160" s="737"/>
      <c r="AR160" s="753"/>
      <c r="AS160" s="753"/>
      <c r="AT160" s="753"/>
      <c r="AU160" s="624"/>
      <c r="AV160" s="624"/>
      <c r="AW160" s="624"/>
    </row>
    <row r="161" spans="2:49">
      <c r="B161" s="756"/>
      <c r="C161" s="624"/>
      <c r="D161" s="751"/>
      <c r="E161" s="751"/>
      <c r="F161" s="751"/>
      <c r="G161" s="751"/>
      <c r="H161" s="751"/>
      <c r="I161" s="624"/>
      <c r="J161" s="624"/>
      <c r="K161" s="750"/>
      <c r="L161" s="751"/>
      <c r="M161" s="751"/>
      <c r="N161" s="751"/>
      <c r="O161" s="750"/>
      <c r="P161" s="751"/>
      <c r="Q161" s="751"/>
      <c r="R161" s="751"/>
      <c r="S161" s="624"/>
      <c r="T161" s="751"/>
      <c r="U161" s="751"/>
      <c r="V161" s="751"/>
      <c r="W161" s="624"/>
      <c r="X161" s="751"/>
      <c r="Y161" s="751"/>
      <c r="Z161" s="751"/>
      <c r="AA161" s="750"/>
      <c r="AB161" s="751"/>
      <c r="AC161" s="661"/>
      <c r="AD161" s="661"/>
      <c r="AE161" s="624"/>
      <c r="AF161" s="751"/>
      <c r="AG161" s="751"/>
      <c r="AH161" s="751"/>
      <c r="AI161" s="624"/>
      <c r="AJ161" s="751"/>
      <c r="AK161" s="751"/>
      <c r="AL161" s="751"/>
      <c r="AM161" s="624"/>
      <c r="AN161" s="624"/>
      <c r="AO161" s="624"/>
      <c r="AP161" s="624"/>
      <c r="AQ161" s="737"/>
      <c r="AR161" s="753"/>
      <c r="AS161" s="753"/>
      <c r="AT161" s="753"/>
      <c r="AU161" s="624"/>
      <c r="AV161" s="624"/>
      <c r="AW161" s="624"/>
    </row>
    <row r="162" spans="2:49">
      <c r="B162" s="756"/>
      <c r="C162" s="624"/>
      <c r="D162" s="751"/>
      <c r="E162" s="751"/>
      <c r="F162" s="751"/>
      <c r="G162" s="751"/>
      <c r="H162" s="751"/>
      <c r="I162" s="624"/>
      <c r="J162" s="624"/>
      <c r="K162" s="750"/>
      <c r="L162" s="751"/>
      <c r="M162" s="751"/>
      <c r="N162" s="751"/>
      <c r="O162" s="750"/>
      <c r="P162" s="751"/>
      <c r="Q162" s="751"/>
      <c r="R162" s="751"/>
      <c r="S162" s="624"/>
      <c r="T162" s="751"/>
      <c r="U162" s="751"/>
      <c r="V162" s="751"/>
      <c r="W162" s="624"/>
      <c r="X162" s="751"/>
      <c r="Y162" s="751"/>
      <c r="Z162" s="751"/>
      <c r="AA162" s="750"/>
      <c r="AB162" s="751"/>
      <c r="AC162" s="661"/>
      <c r="AD162" s="661"/>
      <c r="AE162" s="624"/>
      <c r="AF162" s="751"/>
      <c r="AG162" s="751"/>
      <c r="AH162" s="751"/>
      <c r="AI162" s="624"/>
      <c r="AJ162" s="751"/>
      <c r="AK162" s="751"/>
      <c r="AL162" s="751"/>
      <c r="AM162" s="624"/>
      <c r="AN162" s="624"/>
      <c r="AO162" s="624"/>
      <c r="AP162" s="624"/>
      <c r="AQ162" s="737"/>
      <c r="AR162" s="753"/>
      <c r="AS162" s="753"/>
      <c r="AT162" s="753"/>
      <c r="AU162" s="624"/>
      <c r="AV162" s="624"/>
      <c r="AW162" s="624"/>
    </row>
    <row r="163" spans="2:49">
      <c r="B163" s="756"/>
      <c r="C163" s="624"/>
      <c r="D163" s="751"/>
      <c r="E163" s="751"/>
      <c r="F163" s="751"/>
      <c r="G163" s="751"/>
      <c r="H163" s="751"/>
      <c r="I163" s="624"/>
      <c r="J163" s="624"/>
      <c r="K163" s="750"/>
      <c r="L163" s="751"/>
      <c r="M163" s="751"/>
      <c r="N163" s="751"/>
      <c r="O163" s="750"/>
      <c r="P163" s="751"/>
      <c r="Q163" s="751"/>
      <c r="R163" s="751"/>
      <c r="S163" s="624"/>
      <c r="T163" s="751"/>
      <c r="U163" s="751"/>
      <c r="V163" s="751"/>
      <c r="W163" s="624"/>
      <c r="X163" s="751"/>
      <c r="Y163" s="751"/>
      <c r="Z163" s="751"/>
      <c r="AA163" s="750"/>
      <c r="AB163" s="751"/>
      <c r="AC163" s="661"/>
      <c r="AD163" s="661"/>
      <c r="AE163" s="624"/>
      <c r="AF163" s="751"/>
      <c r="AG163" s="751"/>
      <c r="AH163" s="751"/>
      <c r="AI163" s="624"/>
      <c r="AJ163" s="751"/>
      <c r="AK163" s="751"/>
      <c r="AL163" s="751"/>
      <c r="AM163" s="624"/>
      <c r="AN163" s="624"/>
      <c r="AO163" s="624"/>
      <c r="AP163" s="624"/>
      <c r="AQ163" s="737"/>
      <c r="AR163" s="753"/>
      <c r="AS163" s="753"/>
      <c r="AT163" s="753"/>
      <c r="AU163" s="624"/>
      <c r="AV163" s="624"/>
      <c r="AW163" s="624"/>
    </row>
    <row r="164" spans="2:49">
      <c r="B164" s="756"/>
      <c r="C164" s="624"/>
      <c r="D164" s="751"/>
      <c r="E164" s="751"/>
      <c r="F164" s="751"/>
      <c r="G164" s="751"/>
      <c r="H164" s="751"/>
      <c r="I164" s="624"/>
      <c r="J164" s="624"/>
      <c r="K164" s="750"/>
      <c r="L164" s="751"/>
      <c r="M164" s="751"/>
      <c r="N164" s="751"/>
      <c r="O164" s="750"/>
      <c r="P164" s="751"/>
      <c r="Q164" s="751"/>
      <c r="R164" s="751"/>
      <c r="S164" s="624"/>
      <c r="T164" s="751"/>
      <c r="U164" s="751"/>
      <c r="V164" s="751"/>
      <c r="W164" s="624"/>
      <c r="X164" s="751"/>
      <c r="Y164" s="751"/>
      <c r="Z164" s="751"/>
      <c r="AA164" s="750"/>
      <c r="AB164" s="751"/>
      <c r="AC164" s="661"/>
      <c r="AD164" s="661"/>
      <c r="AE164" s="624"/>
      <c r="AF164" s="751"/>
      <c r="AG164" s="751"/>
      <c r="AH164" s="751"/>
      <c r="AI164" s="624"/>
      <c r="AJ164" s="751"/>
      <c r="AK164" s="751"/>
      <c r="AL164" s="751"/>
      <c r="AM164" s="624"/>
      <c r="AN164" s="624"/>
      <c r="AO164" s="624"/>
      <c r="AP164" s="624"/>
      <c r="AQ164" s="737"/>
      <c r="AR164" s="753"/>
      <c r="AS164" s="753"/>
      <c r="AT164" s="753"/>
      <c r="AU164" s="624"/>
      <c r="AV164" s="624"/>
      <c r="AW164" s="624"/>
    </row>
    <row r="165" spans="2:49">
      <c r="B165" s="756"/>
      <c r="C165" s="624"/>
      <c r="D165" s="751"/>
      <c r="E165" s="751"/>
      <c r="F165" s="751"/>
      <c r="G165" s="751"/>
      <c r="H165" s="751"/>
      <c r="I165" s="624"/>
      <c r="J165" s="624"/>
      <c r="K165" s="750"/>
      <c r="L165" s="751"/>
      <c r="M165" s="751"/>
      <c r="N165" s="751"/>
      <c r="O165" s="750"/>
      <c r="P165" s="751"/>
      <c r="Q165" s="751"/>
      <c r="R165" s="751"/>
      <c r="S165" s="624"/>
      <c r="T165" s="751"/>
      <c r="U165" s="751"/>
      <c r="V165" s="751"/>
      <c r="W165" s="624"/>
      <c r="X165" s="751"/>
      <c r="Y165" s="751"/>
      <c r="Z165" s="751"/>
      <c r="AA165" s="750"/>
      <c r="AB165" s="751"/>
      <c r="AC165" s="661"/>
      <c r="AD165" s="661"/>
      <c r="AE165" s="624"/>
      <c r="AF165" s="751"/>
      <c r="AG165" s="751"/>
      <c r="AH165" s="751"/>
      <c r="AI165" s="624"/>
      <c r="AJ165" s="751"/>
      <c r="AK165" s="751"/>
      <c r="AL165" s="751"/>
      <c r="AM165" s="624"/>
      <c r="AN165" s="624"/>
      <c r="AO165" s="624"/>
      <c r="AP165" s="624"/>
      <c r="AQ165" s="737"/>
      <c r="AR165" s="753"/>
      <c r="AS165" s="753"/>
      <c r="AT165" s="753"/>
      <c r="AU165" s="624"/>
      <c r="AV165" s="624"/>
      <c r="AW165" s="624"/>
    </row>
    <row r="166" spans="2:49">
      <c r="B166" s="756"/>
      <c r="C166" s="624"/>
      <c r="D166" s="751"/>
      <c r="E166" s="751"/>
      <c r="F166" s="751"/>
      <c r="G166" s="751"/>
      <c r="H166" s="751"/>
      <c r="I166" s="624"/>
      <c r="J166" s="624"/>
      <c r="K166" s="750"/>
      <c r="L166" s="751"/>
      <c r="M166" s="751"/>
      <c r="N166" s="751"/>
      <c r="O166" s="750"/>
      <c r="P166" s="751"/>
      <c r="Q166" s="751"/>
      <c r="R166" s="751"/>
      <c r="S166" s="624"/>
      <c r="T166" s="751"/>
      <c r="U166" s="751"/>
      <c r="V166" s="751"/>
      <c r="W166" s="624"/>
      <c r="X166" s="751"/>
      <c r="Y166" s="751"/>
      <c r="Z166" s="751"/>
      <c r="AA166" s="750"/>
      <c r="AB166" s="751"/>
      <c r="AC166" s="661"/>
      <c r="AD166" s="661"/>
      <c r="AE166" s="624"/>
      <c r="AF166" s="751"/>
      <c r="AG166" s="751"/>
      <c r="AH166" s="751"/>
      <c r="AI166" s="624"/>
      <c r="AJ166" s="751"/>
      <c r="AK166" s="751"/>
      <c r="AL166" s="751"/>
      <c r="AM166" s="624"/>
      <c r="AN166" s="624"/>
      <c r="AO166" s="624"/>
      <c r="AP166" s="624"/>
      <c r="AQ166" s="737"/>
      <c r="AR166" s="753"/>
      <c r="AS166" s="753"/>
      <c r="AT166" s="753"/>
      <c r="AU166" s="624"/>
      <c r="AV166" s="624"/>
      <c r="AW166" s="624"/>
    </row>
    <row r="167" spans="2:49">
      <c r="B167" s="756"/>
      <c r="C167" s="624"/>
      <c r="D167" s="751"/>
      <c r="E167" s="751"/>
      <c r="F167" s="751"/>
      <c r="G167" s="751"/>
      <c r="H167" s="751"/>
      <c r="I167" s="624"/>
      <c r="J167" s="624"/>
      <c r="K167" s="750"/>
      <c r="L167" s="751"/>
      <c r="M167" s="751"/>
      <c r="N167" s="751"/>
      <c r="O167" s="750"/>
      <c r="P167" s="751"/>
      <c r="Q167" s="751"/>
      <c r="R167" s="751"/>
      <c r="S167" s="624"/>
      <c r="T167" s="751"/>
      <c r="U167" s="751"/>
      <c r="V167" s="751"/>
      <c r="W167" s="624"/>
      <c r="X167" s="751"/>
      <c r="Y167" s="751"/>
      <c r="Z167" s="751"/>
      <c r="AA167" s="750"/>
      <c r="AB167" s="751"/>
      <c r="AC167" s="661"/>
      <c r="AD167" s="661"/>
      <c r="AE167" s="624"/>
      <c r="AF167" s="751"/>
      <c r="AG167" s="751"/>
      <c r="AH167" s="751"/>
      <c r="AI167" s="624"/>
      <c r="AJ167" s="751"/>
      <c r="AK167" s="751"/>
      <c r="AL167" s="751"/>
      <c r="AM167" s="624"/>
      <c r="AN167" s="624"/>
      <c r="AO167" s="624"/>
      <c r="AP167" s="624"/>
      <c r="AQ167" s="737"/>
      <c r="AR167" s="753"/>
      <c r="AS167" s="753"/>
      <c r="AT167" s="753"/>
      <c r="AU167" s="624"/>
      <c r="AV167" s="624"/>
      <c r="AW167" s="624"/>
    </row>
    <row r="168" spans="2:49">
      <c r="B168" s="756"/>
      <c r="C168" s="624"/>
      <c r="D168" s="751"/>
      <c r="E168" s="751"/>
      <c r="F168" s="751"/>
      <c r="G168" s="751"/>
      <c r="H168" s="751"/>
      <c r="I168" s="624"/>
      <c r="J168" s="624"/>
      <c r="K168" s="750"/>
      <c r="L168" s="751"/>
      <c r="M168" s="751"/>
      <c r="N168" s="751"/>
      <c r="O168" s="750"/>
      <c r="P168" s="751"/>
      <c r="Q168" s="751"/>
      <c r="R168" s="751"/>
      <c r="S168" s="624"/>
      <c r="T168" s="751"/>
      <c r="U168" s="751"/>
      <c r="V168" s="751"/>
      <c r="W168" s="624"/>
      <c r="X168" s="751"/>
      <c r="Y168" s="751"/>
      <c r="Z168" s="751"/>
      <c r="AA168" s="750"/>
      <c r="AB168" s="751"/>
      <c r="AC168" s="661"/>
      <c r="AD168" s="661"/>
      <c r="AE168" s="624"/>
      <c r="AF168" s="751"/>
      <c r="AG168" s="751"/>
      <c r="AH168" s="751"/>
      <c r="AI168" s="624"/>
      <c r="AJ168" s="751"/>
      <c r="AK168" s="751"/>
      <c r="AL168" s="751"/>
      <c r="AM168" s="624"/>
      <c r="AN168" s="624"/>
      <c r="AO168" s="624"/>
      <c r="AP168" s="624"/>
      <c r="AQ168" s="737"/>
      <c r="AR168" s="753"/>
      <c r="AS168" s="753"/>
      <c r="AT168" s="753"/>
      <c r="AU168" s="624"/>
      <c r="AV168" s="624"/>
      <c r="AW168" s="624"/>
    </row>
    <row r="169" spans="2:49">
      <c r="B169" s="756"/>
      <c r="C169" s="624"/>
      <c r="D169" s="751"/>
      <c r="E169" s="751"/>
      <c r="F169" s="751"/>
      <c r="G169" s="751"/>
      <c r="H169" s="751"/>
      <c r="I169" s="624"/>
      <c r="J169" s="624"/>
      <c r="K169" s="750"/>
      <c r="L169" s="751"/>
      <c r="M169" s="751"/>
      <c r="N169" s="751"/>
      <c r="O169" s="750"/>
      <c r="P169" s="751"/>
      <c r="Q169" s="751"/>
      <c r="R169" s="751"/>
      <c r="S169" s="624"/>
      <c r="T169" s="751"/>
      <c r="U169" s="751"/>
      <c r="V169" s="751"/>
      <c r="W169" s="624"/>
      <c r="X169" s="751"/>
      <c r="Y169" s="751"/>
      <c r="Z169" s="751"/>
      <c r="AA169" s="750"/>
      <c r="AB169" s="751"/>
      <c r="AC169" s="661"/>
      <c r="AD169" s="661"/>
      <c r="AE169" s="624"/>
      <c r="AF169" s="751"/>
      <c r="AG169" s="751"/>
      <c r="AH169" s="751"/>
      <c r="AI169" s="624"/>
      <c r="AJ169" s="751"/>
      <c r="AK169" s="751"/>
      <c r="AL169" s="751"/>
      <c r="AM169" s="624"/>
      <c r="AN169" s="624"/>
      <c r="AO169" s="624"/>
      <c r="AP169" s="624"/>
      <c r="AQ169" s="737"/>
      <c r="AR169" s="753"/>
      <c r="AS169" s="753"/>
      <c r="AT169" s="753"/>
      <c r="AU169" s="624"/>
      <c r="AV169" s="624"/>
      <c r="AW169" s="624"/>
    </row>
    <row r="170" spans="2:49">
      <c r="B170" s="756"/>
      <c r="C170" s="624"/>
      <c r="D170" s="751"/>
      <c r="E170" s="751"/>
      <c r="F170" s="751"/>
      <c r="G170" s="751"/>
      <c r="H170" s="751"/>
      <c r="I170" s="624"/>
      <c r="J170" s="624"/>
      <c r="K170" s="750"/>
      <c r="L170" s="751"/>
      <c r="M170" s="751"/>
      <c r="N170" s="751"/>
      <c r="O170" s="750"/>
      <c r="P170" s="751"/>
      <c r="Q170" s="751"/>
      <c r="R170" s="751"/>
      <c r="S170" s="624"/>
      <c r="T170" s="751"/>
      <c r="U170" s="751"/>
      <c r="V170" s="751"/>
      <c r="W170" s="624"/>
      <c r="X170" s="751"/>
      <c r="Y170" s="751"/>
      <c r="Z170" s="751"/>
      <c r="AA170" s="750"/>
      <c r="AB170" s="751"/>
      <c r="AC170" s="661"/>
      <c r="AD170" s="661"/>
      <c r="AE170" s="624"/>
      <c r="AF170" s="751"/>
      <c r="AG170" s="751"/>
      <c r="AH170" s="751"/>
      <c r="AI170" s="624"/>
      <c r="AJ170" s="751"/>
      <c r="AK170" s="751"/>
      <c r="AL170" s="751"/>
      <c r="AM170" s="624"/>
      <c r="AN170" s="624"/>
      <c r="AO170" s="624"/>
      <c r="AP170" s="624"/>
      <c r="AQ170" s="737"/>
      <c r="AR170" s="753"/>
      <c r="AS170" s="753"/>
      <c r="AT170" s="753"/>
      <c r="AU170" s="624"/>
      <c r="AV170" s="624"/>
      <c r="AW170" s="624"/>
    </row>
    <row r="171" spans="2:49">
      <c r="B171" s="756"/>
      <c r="C171" s="624"/>
      <c r="D171" s="751"/>
      <c r="E171" s="751"/>
      <c r="F171" s="751"/>
      <c r="G171" s="751"/>
      <c r="H171" s="751"/>
      <c r="I171" s="624"/>
      <c r="J171" s="624"/>
      <c r="K171" s="750"/>
      <c r="L171" s="751"/>
      <c r="M171" s="751"/>
      <c r="N171" s="751"/>
      <c r="O171" s="750"/>
      <c r="P171" s="751"/>
      <c r="Q171" s="751"/>
      <c r="R171" s="751"/>
      <c r="S171" s="624"/>
      <c r="T171" s="751"/>
      <c r="U171" s="751"/>
      <c r="V171" s="751"/>
      <c r="W171" s="624"/>
      <c r="X171" s="751"/>
      <c r="Y171" s="751"/>
      <c r="Z171" s="751"/>
      <c r="AA171" s="750"/>
      <c r="AB171" s="751"/>
      <c r="AC171" s="661"/>
      <c r="AD171" s="661"/>
      <c r="AE171" s="624"/>
      <c r="AF171" s="751"/>
      <c r="AG171" s="751"/>
      <c r="AH171" s="751"/>
      <c r="AI171" s="624"/>
      <c r="AJ171" s="751"/>
      <c r="AK171" s="751"/>
      <c r="AL171" s="751"/>
      <c r="AM171" s="624"/>
      <c r="AN171" s="624"/>
      <c r="AO171" s="624"/>
      <c r="AP171" s="624"/>
      <c r="AQ171" s="737"/>
      <c r="AR171" s="753"/>
      <c r="AS171" s="753"/>
      <c r="AT171" s="753"/>
      <c r="AU171" s="624"/>
      <c r="AV171" s="624"/>
      <c r="AW171" s="624"/>
    </row>
    <row r="172" spans="2:49">
      <c r="B172" s="756"/>
      <c r="C172" s="624"/>
      <c r="D172" s="751"/>
      <c r="E172" s="751"/>
      <c r="F172" s="751"/>
      <c r="G172" s="751"/>
      <c r="H172" s="751"/>
      <c r="I172" s="624"/>
      <c r="J172" s="624"/>
      <c r="K172" s="750"/>
      <c r="L172" s="751"/>
      <c r="M172" s="751"/>
      <c r="N172" s="751"/>
      <c r="O172" s="750"/>
      <c r="P172" s="751"/>
      <c r="Q172" s="751"/>
      <c r="R172" s="751"/>
      <c r="S172" s="624"/>
      <c r="T172" s="751"/>
      <c r="U172" s="751"/>
      <c r="V172" s="751"/>
      <c r="W172" s="624"/>
      <c r="X172" s="751"/>
      <c r="Y172" s="751"/>
      <c r="Z172" s="751"/>
      <c r="AA172" s="750"/>
      <c r="AB172" s="751"/>
      <c r="AC172" s="661"/>
      <c r="AD172" s="661"/>
      <c r="AE172" s="624"/>
      <c r="AF172" s="751"/>
      <c r="AG172" s="751"/>
      <c r="AH172" s="751"/>
      <c r="AI172" s="624"/>
      <c r="AJ172" s="751"/>
      <c r="AK172" s="751"/>
      <c r="AL172" s="751"/>
      <c r="AM172" s="624"/>
      <c r="AN172" s="624"/>
      <c r="AO172" s="624"/>
      <c r="AP172" s="624"/>
      <c r="AQ172" s="737"/>
      <c r="AR172" s="753"/>
      <c r="AS172" s="753"/>
      <c r="AT172" s="753"/>
      <c r="AU172" s="624"/>
      <c r="AV172" s="624"/>
      <c r="AW172" s="624"/>
    </row>
    <row r="173" spans="2:49">
      <c r="B173" s="756"/>
      <c r="C173" s="624"/>
      <c r="D173" s="751"/>
      <c r="E173" s="751"/>
      <c r="F173" s="751"/>
      <c r="G173" s="751"/>
      <c r="H173" s="751"/>
      <c r="I173" s="624"/>
      <c r="J173" s="624"/>
      <c r="K173" s="750"/>
      <c r="L173" s="751"/>
      <c r="M173" s="751"/>
      <c r="N173" s="751"/>
      <c r="O173" s="750"/>
      <c r="P173" s="751"/>
      <c r="Q173" s="751"/>
      <c r="R173" s="751"/>
      <c r="S173" s="624"/>
      <c r="T173" s="751"/>
      <c r="U173" s="751"/>
      <c r="V173" s="751"/>
      <c r="W173" s="624"/>
      <c r="X173" s="751"/>
      <c r="Y173" s="751"/>
      <c r="Z173" s="751"/>
      <c r="AA173" s="750"/>
      <c r="AB173" s="751"/>
      <c r="AC173" s="661"/>
      <c r="AD173" s="661"/>
      <c r="AE173" s="624"/>
      <c r="AF173" s="751"/>
      <c r="AG173" s="751"/>
      <c r="AH173" s="751"/>
      <c r="AI173" s="624"/>
      <c r="AJ173" s="751"/>
      <c r="AK173" s="751"/>
      <c r="AL173" s="751"/>
      <c r="AM173" s="624"/>
      <c r="AN173" s="624"/>
      <c r="AO173" s="624"/>
      <c r="AP173" s="624"/>
      <c r="AQ173" s="737"/>
      <c r="AR173" s="753"/>
      <c r="AS173" s="753"/>
      <c r="AT173" s="753"/>
      <c r="AU173" s="624"/>
      <c r="AV173" s="624"/>
      <c r="AW173" s="624"/>
    </row>
    <row r="174" spans="2:49">
      <c r="B174" s="756"/>
      <c r="C174" s="624"/>
      <c r="D174" s="751"/>
      <c r="E174" s="751"/>
      <c r="F174" s="751"/>
      <c r="G174" s="751"/>
      <c r="H174" s="751"/>
      <c r="I174" s="624"/>
      <c r="J174" s="624"/>
      <c r="K174" s="750"/>
      <c r="L174" s="751"/>
      <c r="M174" s="751"/>
      <c r="N174" s="751"/>
      <c r="O174" s="750"/>
      <c r="P174" s="751"/>
      <c r="Q174" s="751"/>
      <c r="R174" s="751"/>
      <c r="S174" s="624"/>
      <c r="T174" s="751"/>
      <c r="U174" s="751"/>
      <c r="V174" s="751"/>
      <c r="W174" s="624"/>
      <c r="X174" s="751"/>
      <c r="Y174" s="751"/>
      <c r="Z174" s="751"/>
      <c r="AA174" s="750"/>
      <c r="AB174" s="751"/>
      <c r="AC174" s="661"/>
      <c r="AD174" s="661"/>
      <c r="AE174" s="624"/>
      <c r="AF174" s="751"/>
      <c r="AG174" s="751"/>
      <c r="AH174" s="751"/>
      <c r="AI174" s="624"/>
      <c r="AJ174" s="751"/>
      <c r="AK174" s="751"/>
      <c r="AL174" s="751"/>
      <c r="AM174" s="624"/>
      <c r="AN174" s="624"/>
      <c r="AO174" s="624"/>
      <c r="AP174" s="624"/>
      <c r="AQ174" s="737"/>
      <c r="AR174" s="753"/>
      <c r="AS174" s="753"/>
      <c r="AT174" s="753"/>
      <c r="AU174" s="624"/>
      <c r="AV174" s="624"/>
      <c r="AW174" s="624"/>
    </row>
    <row r="175" spans="2:49">
      <c r="B175" s="756"/>
      <c r="C175" s="624"/>
      <c r="D175" s="751"/>
      <c r="E175" s="751"/>
      <c r="F175" s="751"/>
      <c r="G175" s="751"/>
      <c r="H175" s="751"/>
      <c r="I175" s="624"/>
      <c r="J175" s="624"/>
      <c r="K175" s="750"/>
      <c r="L175" s="751"/>
      <c r="M175" s="751"/>
      <c r="N175" s="751"/>
      <c r="O175" s="750"/>
      <c r="P175" s="751"/>
      <c r="Q175" s="751"/>
      <c r="R175" s="751"/>
      <c r="S175" s="624"/>
      <c r="T175" s="751"/>
      <c r="U175" s="751"/>
      <c r="V175" s="751"/>
      <c r="W175" s="624"/>
      <c r="X175" s="751"/>
      <c r="Y175" s="751"/>
      <c r="Z175" s="751"/>
      <c r="AA175" s="750"/>
      <c r="AB175" s="751"/>
      <c r="AC175" s="661"/>
      <c r="AD175" s="661"/>
      <c r="AE175" s="624"/>
      <c r="AF175" s="751"/>
      <c r="AG175" s="751"/>
      <c r="AH175" s="751"/>
      <c r="AI175" s="624"/>
      <c r="AJ175" s="751"/>
      <c r="AK175" s="751"/>
      <c r="AL175" s="751"/>
      <c r="AM175" s="624"/>
      <c r="AN175" s="624"/>
      <c r="AO175" s="624"/>
      <c r="AP175" s="624"/>
      <c r="AQ175" s="737"/>
      <c r="AR175" s="753"/>
      <c r="AS175" s="753"/>
      <c r="AT175" s="753"/>
      <c r="AU175" s="624"/>
      <c r="AV175" s="624"/>
      <c r="AW175" s="624"/>
    </row>
    <row r="176" spans="2:49">
      <c r="B176" s="756"/>
      <c r="C176" s="624"/>
      <c r="D176" s="751"/>
      <c r="E176" s="751"/>
      <c r="F176" s="751"/>
      <c r="G176" s="751"/>
      <c r="H176" s="751"/>
      <c r="I176" s="624"/>
      <c r="J176" s="624"/>
      <c r="K176" s="750"/>
      <c r="L176" s="751"/>
      <c r="M176" s="751"/>
      <c r="N176" s="751"/>
      <c r="O176" s="750"/>
      <c r="P176" s="751"/>
      <c r="Q176" s="751"/>
      <c r="R176" s="751"/>
      <c r="S176" s="624"/>
      <c r="T176" s="751"/>
      <c r="U176" s="751"/>
      <c r="V176" s="751"/>
      <c r="W176" s="624"/>
      <c r="X176" s="751"/>
      <c r="Y176" s="751"/>
      <c r="Z176" s="751"/>
      <c r="AA176" s="750"/>
      <c r="AB176" s="751"/>
      <c r="AC176" s="661"/>
      <c r="AD176" s="661"/>
      <c r="AE176" s="624"/>
      <c r="AF176" s="751"/>
      <c r="AG176" s="751"/>
      <c r="AH176" s="751"/>
      <c r="AI176" s="624"/>
      <c r="AJ176" s="751"/>
      <c r="AK176" s="751"/>
      <c r="AL176" s="751"/>
      <c r="AM176" s="624"/>
      <c r="AN176" s="624"/>
      <c r="AO176" s="624"/>
      <c r="AP176" s="624"/>
      <c r="AQ176" s="737"/>
      <c r="AR176" s="753"/>
      <c r="AS176" s="753"/>
      <c r="AT176" s="753"/>
      <c r="AU176" s="624"/>
      <c r="AV176" s="624"/>
      <c r="AW176" s="624"/>
    </row>
    <row r="177" spans="2:49">
      <c r="B177" s="756"/>
      <c r="C177" s="624"/>
      <c r="D177" s="751"/>
      <c r="E177" s="751"/>
      <c r="F177" s="751"/>
      <c r="G177" s="751"/>
      <c r="H177" s="751"/>
      <c r="I177" s="624"/>
      <c r="J177" s="624"/>
      <c r="K177" s="750"/>
      <c r="L177" s="751"/>
      <c r="M177" s="751"/>
      <c r="N177" s="751"/>
      <c r="O177" s="750"/>
      <c r="P177" s="751"/>
      <c r="Q177" s="751"/>
      <c r="R177" s="751"/>
      <c r="S177" s="624"/>
      <c r="T177" s="751"/>
      <c r="U177" s="751"/>
      <c r="V177" s="751"/>
      <c r="W177" s="624"/>
      <c r="X177" s="751"/>
      <c r="Y177" s="751"/>
      <c r="Z177" s="751"/>
      <c r="AA177" s="750"/>
      <c r="AB177" s="751"/>
      <c r="AC177" s="661"/>
      <c r="AD177" s="661"/>
      <c r="AE177" s="624"/>
      <c r="AF177" s="751"/>
      <c r="AG177" s="751"/>
      <c r="AH177" s="751"/>
      <c r="AI177" s="624"/>
      <c r="AJ177" s="751"/>
      <c r="AK177" s="751"/>
      <c r="AL177" s="751"/>
      <c r="AM177" s="624"/>
      <c r="AN177" s="624"/>
      <c r="AO177" s="624"/>
      <c r="AP177" s="624"/>
      <c r="AQ177" s="737"/>
      <c r="AR177" s="753"/>
      <c r="AS177" s="753"/>
      <c r="AT177" s="753"/>
      <c r="AU177" s="624"/>
      <c r="AV177" s="624"/>
      <c r="AW177" s="624"/>
    </row>
    <row r="178" spans="2:49">
      <c r="B178" s="756"/>
      <c r="C178" s="624"/>
      <c r="D178" s="751"/>
      <c r="E178" s="751"/>
      <c r="F178" s="751"/>
      <c r="G178" s="751"/>
      <c r="H178" s="751"/>
      <c r="I178" s="624"/>
      <c r="J178" s="624"/>
      <c r="K178" s="750"/>
      <c r="L178" s="751"/>
      <c r="M178" s="751"/>
      <c r="N178" s="751"/>
      <c r="O178" s="750"/>
      <c r="P178" s="751"/>
      <c r="Q178" s="751"/>
      <c r="R178" s="751"/>
      <c r="S178" s="624"/>
      <c r="T178" s="751"/>
      <c r="U178" s="751"/>
      <c r="V178" s="751"/>
      <c r="W178" s="624"/>
      <c r="X178" s="751"/>
      <c r="Y178" s="751"/>
      <c r="Z178" s="751"/>
      <c r="AA178" s="750"/>
      <c r="AB178" s="751"/>
      <c r="AC178" s="661"/>
      <c r="AD178" s="661"/>
      <c r="AE178" s="624"/>
      <c r="AF178" s="751"/>
      <c r="AG178" s="751"/>
      <c r="AH178" s="751"/>
      <c r="AI178" s="624"/>
      <c r="AJ178" s="751"/>
      <c r="AK178" s="751"/>
      <c r="AL178" s="751"/>
      <c r="AM178" s="624"/>
      <c r="AN178" s="624"/>
      <c r="AO178" s="624"/>
      <c r="AP178" s="624"/>
      <c r="AQ178" s="737"/>
      <c r="AR178" s="753"/>
      <c r="AS178" s="753"/>
      <c r="AT178" s="753"/>
      <c r="AU178" s="624"/>
      <c r="AV178" s="624"/>
      <c r="AW178" s="624"/>
    </row>
    <row r="179" spans="2:49">
      <c r="B179" s="756"/>
      <c r="C179" s="624"/>
      <c r="D179" s="751"/>
      <c r="E179" s="751"/>
      <c r="F179" s="751"/>
      <c r="G179" s="751"/>
      <c r="H179" s="751"/>
      <c r="I179" s="624"/>
      <c r="J179" s="624"/>
      <c r="K179" s="750"/>
      <c r="L179" s="751"/>
      <c r="M179" s="751"/>
      <c r="N179" s="751"/>
      <c r="O179" s="750"/>
      <c r="P179" s="751"/>
      <c r="Q179" s="751"/>
      <c r="R179" s="751"/>
      <c r="S179" s="624"/>
      <c r="T179" s="751"/>
      <c r="U179" s="751"/>
      <c r="V179" s="751"/>
      <c r="W179" s="624"/>
      <c r="X179" s="751"/>
      <c r="Y179" s="751"/>
      <c r="Z179" s="751"/>
      <c r="AA179" s="750"/>
      <c r="AB179" s="751"/>
      <c r="AC179" s="661"/>
      <c r="AD179" s="661"/>
      <c r="AE179" s="624"/>
      <c r="AF179" s="751"/>
      <c r="AG179" s="751"/>
      <c r="AH179" s="751"/>
      <c r="AI179" s="624"/>
      <c r="AJ179" s="751"/>
      <c r="AK179" s="751"/>
      <c r="AL179" s="751"/>
      <c r="AM179" s="624"/>
      <c r="AN179" s="624"/>
      <c r="AO179" s="624"/>
      <c r="AP179" s="624"/>
      <c r="AQ179" s="737"/>
      <c r="AR179" s="753"/>
      <c r="AS179" s="753"/>
      <c r="AT179" s="753"/>
      <c r="AU179" s="624"/>
      <c r="AV179" s="624"/>
      <c r="AW179" s="624"/>
    </row>
    <row r="180" spans="2:49">
      <c r="B180" s="756"/>
      <c r="C180" s="624"/>
      <c r="D180" s="751"/>
      <c r="E180" s="751"/>
      <c r="F180" s="751"/>
      <c r="G180" s="751"/>
      <c r="H180" s="751"/>
      <c r="I180" s="624"/>
      <c r="J180" s="624"/>
      <c r="K180" s="750"/>
      <c r="L180" s="751"/>
      <c r="M180" s="751"/>
      <c r="N180" s="751"/>
      <c r="O180" s="750"/>
      <c r="P180" s="751"/>
      <c r="Q180" s="751"/>
      <c r="R180" s="751"/>
      <c r="S180" s="624"/>
      <c r="T180" s="751"/>
      <c r="U180" s="751"/>
      <c r="V180" s="751"/>
      <c r="W180" s="624"/>
      <c r="X180" s="751"/>
      <c r="Y180" s="751"/>
      <c r="Z180" s="751"/>
      <c r="AA180" s="750"/>
      <c r="AB180" s="751"/>
      <c r="AC180" s="661"/>
      <c r="AD180" s="661"/>
      <c r="AE180" s="624"/>
      <c r="AF180" s="751"/>
      <c r="AG180" s="751"/>
      <c r="AH180" s="751"/>
      <c r="AI180" s="624"/>
      <c r="AJ180" s="751"/>
      <c r="AK180" s="751"/>
      <c r="AL180" s="751"/>
      <c r="AM180" s="624"/>
      <c r="AN180" s="624"/>
      <c r="AO180" s="624"/>
      <c r="AP180" s="624"/>
      <c r="AQ180" s="737"/>
      <c r="AR180" s="753"/>
      <c r="AS180" s="753"/>
      <c r="AT180" s="753"/>
      <c r="AU180" s="624"/>
      <c r="AV180" s="624"/>
      <c r="AW180" s="624"/>
    </row>
    <row r="181" spans="2:49">
      <c r="B181" s="756"/>
      <c r="C181" s="624"/>
      <c r="D181" s="751"/>
      <c r="E181" s="751"/>
      <c r="F181" s="751"/>
      <c r="G181" s="751"/>
      <c r="H181" s="751"/>
      <c r="I181" s="624"/>
      <c r="J181" s="624"/>
      <c r="K181" s="750"/>
      <c r="L181" s="751"/>
      <c r="M181" s="751"/>
      <c r="N181" s="751"/>
      <c r="O181" s="750"/>
      <c r="P181" s="751"/>
      <c r="Q181" s="751"/>
      <c r="R181" s="751"/>
      <c r="S181" s="624"/>
      <c r="T181" s="751"/>
      <c r="U181" s="751"/>
      <c r="V181" s="751"/>
      <c r="W181" s="624"/>
      <c r="X181" s="751"/>
      <c r="Y181" s="751"/>
      <c r="Z181" s="751"/>
      <c r="AA181" s="750"/>
      <c r="AB181" s="751"/>
      <c r="AC181" s="661"/>
      <c r="AD181" s="661"/>
      <c r="AE181" s="624"/>
      <c r="AF181" s="751"/>
      <c r="AG181" s="751"/>
      <c r="AH181" s="751"/>
      <c r="AI181" s="624"/>
      <c r="AJ181" s="751"/>
      <c r="AK181" s="751"/>
      <c r="AL181" s="751"/>
      <c r="AM181" s="624"/>
      <c r="AN181" s="624"/>
      <c r="AO181" s="624"/>
      <c r="AP181" s="624"/>
      <c r="AQ181" s="737"/>
      <c r="AR181" s="753"/>
      <c r="AS181" s="753"/>
      <c r="AT181" s="753"/>
      <c r="AU181" s="624"/>
      <c r="AV181" s="624"/>
      <c r="AW181" s="624"/>
    </row>
    <row r="182" spans="2:49">
      <c r="B182" s="756"/>
      <c r="C182" s="624"/>
      <c r="D182" s="751"/>
      <c r="E182" s="751"/>
      <c r="F182" s="751"/>
      <c r="G182" s="751"/>
      <c r="H182" s="751"/>
      <c r="I182" s="624"/>
      <c r="J182" s="624"/>
      <c r="K182" s="750"/>
      <c r="L182" s="751"/>
      <c r="M182" s="751"/>
      <c r="N182" s="751"/>
      <c r="O182" s="750"/>
      <c r="P182" s="751"/>
      <c r="Q182" s="751"/>
      <c r="R182" s="751"/>
      <c r="S182" s="624"/>
      <c r="T182" s="751"/>
      <c r="U182" s="751"/>
      <c r="V182" s="751"/>
      <c r="W182" s="624"/>
      <c r="X182" s="751"/>
      <c r="Y182" s="751"/>
      <c r="Z182" s="751"/>
      <c r="AA182" s="750"/>
      <c r="AB182" s="751"/>
      <c r="AC182" s="661"/>
      <c r="AD182" s="661"/>
      <c r="AE182" s="624"/>
      <c r="AF182" s="751"/>
      <c r="AG182" s="751"/>
      <c r="AH182" s="751"/>
      <c r="AI182" s="624"/>
      <c r="AJ182" s="751"/>
      <c r="AK182" s="751"/>
      <c r="AL182" s="751"/>
      <c r="AM182" s="624"/>
      <c r="AN182" s="624"/>
      <c r="AO182" s="624"/>
      <c r="AP182" s="624"/>
      <c r="AQ182" s="737"/>
      <c r="AR182" s="753"/>
      <c r="AS182" s="753"/>
      <c r="AT182" s="753"/>
      <c r="AU182" s="624"/>
      <c r="AV182" s="624"/>
      <c r="AW182" s="624"/>
    </row>
    <row r="183" spans="2:49">
      <c r="B183" s="756"/>
      <c r="C183" s="624"/>
      <c r="D183" s="751"/>
      <c r="E183" s="751"/>
      <c r="F183" s="751"/>
      <c r="G183" s="751"/>
      <c r="H183" s="751"/>
      <c r="I183" s="624"/>
      <c r="J183" s="624"/>
      <c r="K183" s="750"/>
      <c r="L183" s="751"/>
      <c r="M183" s="751"/>
      <c r="N183" s="751"/>
      <c r="O183" s="750"/>
      <c r="P183" s="751"/>
      <c r="Q183" s="751"/>
      <c r="R183" s="751"/>
      <c r="S183" s="624"/>
      <c r="T183" s="751"/>
      <c r="U183" s="751"/>
      <c r="V183" s="751"/>
      <c r="W183" s="624"/>
      <c r="X183" s="751"/>
      <c r="Y183" s="751"/>
      <c r="Z183" s="751"/>
      <c r="AA183" s="750"/>
      <c r="AB183" s="751"/>
      <c r="AC183" s="661"/>
      <c r="AD183" s="661"/>
      <c r="AE183" s="624"/>
      <c r="AF183" s="751"/>
      <c r="AG183" s="751"/>
      <c r="AH183" s="751"/>
      <c r="AI183" s="624"/>
      <c r="AJ183" s="751"/>
      <c r="AK183" s="751"/>
      <c r="AL183" s="751"/>
      <c r="AM183" s="624"/>
      <c r="AN183" s="624"/>
      <c r="AO183" s="624"/>
      <c r="AP183" s="624"/>
      <c r="AQ183" s="737"/>
      <c r="AR183" s="753"/>
      <c r="AS183" s="753"/>
      <c r="AT183" s="753"/>
      <c r="AU183" s="624"/>
      <c r="AV183" s="624"/>
      <c r="AW183" s="624"/>
    </row>
    <row r="184" spans="2:49">
      <c r="B184" s="756"/>
      <c r="C184" s="624"/>
      <c r="D184" s="751"/>
      <c r="E184" s="751"/>
      <c r="F184" s="751"/>
      <c r="G184" s="751"/>
      <c r="H184" s="751"/>
      <c r="I184" s="624"/>
      <c r="J184" s="624"/>
      <c r="K184" s="750"/>
      <c r="L184" s="751"/>
      <c r="M184" s="751"/>
      <c r="N184" s="751"/>
      <c r="O184" s="750"/>
      <c r="P184" s="751"/>
      <c r="Q184" s="751"/>
      <c r="R184" s="751"/>
      <c r="S184" s="624"/>
      <c r="T184" s="751"/>
      <c r="U184" s="751"/>
      <c r="V184" s="751"/>
      <c r="W184" s="624"/>
      <c r="X184" s="751"/>
      <c r="Y184" s="751"/>
      <c r="Z184" s="751"/>
      <c r="AA184" s="750"/>
      <c r="AB184" s="751"/>
      <c r="AC184" s="661"/>
      <c r="AD184" s="661"/>
      <c r="AE184" s="624"/>
      <c r="AF184" s="751"/>
      <c r="AG184" s="751"/>
      <c r="AH184" s="751"/>
      <c r="AI184" s="624"/>
      <c r="AJ184" s="751"/>
      <c r="AK184" s="751"/>
      <c r="AL184" s="751"/>
      <c r="AM184" s="624"/>
      <c r="AN184" s="624"/>
      <c r="AO184" s="624"/>
      <c r="AP184" s="624"/>
      <c r="AQ184" s="737"/>
      <c r="AR184" s="753"/>
      <c r="AS184" s="753"/>
      <c r="AT184" s="753"/>
      <c r="AU184" s="624"/>
      <c r="AV184" s="624"/>
      <c r="AW184" s="624"/>
    </row>
    <row r="185" spans="2:49">
      <c r="B185" s="756"/>
      <c r="C185" s="624"/>
      <c r="D185" s="751"/>
      <c r="E185" s="751"/>
      <c r="F185" s="751"/>
      <c r="G185" s="751"/>
      <c r="H185" s="751"/>
      <c r="I185" s="624"/>
      <c r="J185" s="624"/>
      <c r="K185" s="750"/>
      <c r="L185" s="751"/>
      <c r="M185" s="751"/>
      <c r="N185" s="751"/>
      <c r="O185" s="750"/>
      <c r="P185" s="751"/>
      <c r="Q185" s="751"/>
      <c r="R185" s="751"/>
      <c r="S185" s="624"/>
      <c r="T185" s="751"/>
      <c r="U185" s="751"/>
      <c r="V185" s="751"/>
      <c r="W185" s="624"/>
      <c r="X185" s="751"/>
      <c r="Y185" s="751"/>
      <c r="Z185" s="751"/>
      <c r="AA185" s="750"/>
      <c r="AB185" s="751"/>
      <c r="AC185" s="661"/>
      <c r="AD185" s="661"/>
      <c r="AE185" s="624"/>
      <c r="AF185" s="751"/>
      <c r="AG185" s="751"/>
      <c r="AH185" s="751"/>
      <c r="AI185" s="624"/>
      <c r="AJ185" s="751"/>
      <c r="AK185" s="751"/>
      <c r="AL185" s="751"/>
      <c r="AM185" s="624"/>
      <c r="AN185" s="624"/>
      <c r="AO185" s="624"/>
      <c r="AP185" s="624"/>
      <c r="AQ185" s="737"/>
      <c r="AR185" s="753"/>
      <c r="AS185" s="753"/>
      <c r="AT185" s="753"/>
      <c r="AU185" s="624"/>
      <c r="AV185" s="624"/>
      <c r="AW185" s="624"/>
    </row>
    <row r="186" spans="2:49">
      <c r="B186" s="756"/>
      <c r="C186" s="624"/>
      <c r="D186" s="751"/>
      <c r="E186" s="751"/>
      <c r="F186" s="751"/>
      <c r="G186" s="751"/>
      <c r="H186" s="751"/>
      <c r="I186" s="624"/>
      <c r="J186" s="624"/>
      <c r="K186" s="750"/>
      <c r="L186" s="751"/>
      <c r="M186" s="751"/>
      <c r="N186" s="751"/>
      <c r="O186" s="750"/>
      <c r="P186" s="751"/>
      <c r="Q186" s="751"/>
      <c r="R186" s="751"/>
      <c r="S186" s="624"/>
      <c r="T186" s="751"/>
      <c r="U186" s="751"/>
      <c r="V186" s="751"/>
      <c r="W186" s="624"/>
      <c r="X186" s="751"/>
      <c r="Y186" s="751"/>
      <c r="Z186" s="751"/>
      <c r="AA186" s="750"/>
      <c r="AB186" s="751"/>
      <c r="AC186" s="661"/>
      <c r="AD186" s="661"/>
      <c r="AE186" s="624"/>
      <c r="AF186" s="751"/>
      <c r="AG186" s="751"/>
      <c r="AH186" s="751"/>
      <c r="AI186" s="624"/>
      <c r="AJ186" s="751"/>
      <c r="AK186" s="751"/>
      <c r="AL186" s="751"/>
      <c r="AM186" s="624"/>
      <c r="AN186" s="624"/>
      <c r="AO186" s="624"/>
      <c r="AP186" s="624"/>
      <c r="AQ186" s="737"/>
      <c r="AR186" s="753"/>
      <c r="AS186" s="753"/>
      <c r="AT186" s="753"/>
      <c r="AU186" s="624"/>
      <c r="AV186" s="624"/>
      <c r="AW186" s="624"/>
    </row>
    <row r="187" spans="2:49">
      <c r="B187" s="756"/>
      <c r="C187" s="624"/>
      <c r="D187" s="751"/>
      <c r="E187" s="751"/>
      <c r="F187" s="751"/>
      <c r="G187" s="751"/>
      <c r="H187" s="751"/>
      <c r="I187" s="624"/>
      <c r="J187" s="624"/>
      <c r="K187" s="750"/>
      <c r="L187" s="751"/>
      <c r="M187" s="751"/>
      <c r="N187" s="751"/>
      <c r="O187" s="750"/>
      <c r="P187" s="751"/>
      <c r="Q187" s="751"/>
      <c r="R187" s="751"/>
      <c r="S187" s="624"/>
      <c r="T187" s="751"/>
      <c r="U187" s="751"/>
      <c r="V187" s="751"/>
      <c r="W187" s="624"/>
      <c r="X187" s="751"/>
      <c r="Y187" s="751"/>
      <c r="Z187" s="751"/>
      <c r="AA187" s="750"/>
      <c r="AB187" s="751"/>
      <c r="AC187" s="661"/>
      <c r="AD187" s="661"/>
      <c r="AE187" s="624"/>
      <c r="AF187" s="751"/>
      <c r="AG187" s="751"/>
      <c r="AH187" s="751"/>
      <c r="AI187" s="624"/>
      <c r="AJ187" s="751"/>
      <c r="AK187" s="751"/>
      <c r="AL187" s="751"/>
      <c r="AM187" s="624"/>
      <c r="AN187" s="624"/>
      <c r="AO187" s="624"/>
      <c r="AP187" s="624"/>
      <c r="AQ187" s="737"/>
      <c r="AR187" s="753"/>
      <c r="AS187" s="753"/>
      <c r="AT187" s="753"/>
      <c r="AU187" s="624"/>
      <c r="AV187" s="624"/>
      <c r="AW187" s="624"/>
    </row>
    <row r="188" spans="2:49">
      <c r="B188" s="756"/>
      <c r="C188" s="624"/>
      <c r="D188" s="751"/>
      <c r="E188" s="751"/>
      <c r="F188" s="751"/>
      <c r="G188" s="751"/>
      <c r="H188" s="751"/>
      <c r="I188" s="624"/>
      <c r="J188" s="624"/>
      <c r="K188" s="750"/>
      <c r="L188" s="751"/>
      <c r="M188" s="751"/>
      <c r="N188" s="751"/>
      <c r="O188" s="750"/>
      <c r="P188" s="751"/>
      <c r="Q188" s="751"/>
      <c r="R188" s="751"/>
      <c r="S188" s="624"/>
      <c r="T188" s="751"/>
      <c r="U188" s="751"/>
      <c r="V188" s="751"/>
      <c r="W188" s="624"/>
      <c r="X188" s="751"/>
      <c r="Y188" s="751"/>
      <c r="Z188" s="751"/>
      <c r="AA188" s="750"/>
      <c r="AB188" s="751"/>
      <c r="AC188" s="661"/>
      <c r="AD188" s="661"/>
      <c r="AE188" s="624"/>
      <c r="AF188" s="751"/>
      <c r="AG188" s="751"/>
      <c r="AH188" s="751"/>
      <c r="AI188" s="624"/>
      <c r="AJ188" s="751"/>
      <c r="AK188" s="751"/>
      <c r="AL188" s="751"/>
      <c r="AM188" s="624"/>
      <c r="AN188" s="624"/>
      <c r="AO188" s="624"/>
      <c r="AP188" s="624"/>
      <c r="AQ188" s="737"/>
      <c r="AR188" s="753"/>
      <c r="AS188" s="753"/>
      <c r="AT188" s="753"/>
      <c r="AU188" s="624"/>
      <c r="AV188" s="624"/>
      <c r="AW188" s="624"/>
    </row>
    <row r="189" spans="2:49">
      <c r="B189" s="756"/>
      <c r="C189" s="624"/>
      <c r="D189" s="751"/>
      <c r="E189" s="751"/>
      <c r="F189" s="751"/>
      <c r="G189" s="751"/>
      <c r="H189" s="751"/>
      <c r="I189" s="624"/>
      <c r="J189" s="624"/>
      <c r="K189" s="750"/>
      <c r="L189" s="751"/>
      <c r="M189" s="751"/>
      <c r="N189" s="751"/>
      <c r="O189" s="750"/>
      <c r="P189" s="751"/>
      <c r="Q189" s="751"/>
      <c r="R189" s="751"/>
      <c r="S189" s="624"/>
      <c r="T189" s="751"/>
      <c r="U189" s="751"/>
      <c r="V189" s="751"/>
      <c r="W189" s="624"/>
      <c r="X189" s="751"/>
      <c r="Y189" s="751"/>
      <c r="Z189" s="751"/>
      <c r="AA189" s="750"/>
      <c r="AB189" s="751"/>
      <c r="AC189" s="661"/>
      <c r="AD189" s="661"/>
      <c r="AE189" s="624"/>
      <c r="AF189" s="751"/>
      <c r="AG189" s="751"/>
      <c r="AH189" s="751"/>
      <c r="AI189" s="624"/>
      <c r="AJ189" s="751"/>
      <c r="AK189" s="751"/>
      <c r="AL189" s="751"/>
      <c r="AM189" s="624"/>
      <c r="AN189" s="624"/>
      <c r="AO189" s="624"/>
      <c r="AP189" s="624"/>
      <c r="AQ189" s="737"/>
      <c r="AR189" s="753"/>
      <c r="AS189" s="753"/>
      <c r="AT189" s="753"/>
      <c r="AU189" s="624"/>
      <c r="AV189" s="624"/>
      <c r="AW189" s="624"/>
    </row>
    <row r="190" spans="2:49">
      <c r="B190" s="756"/>
      <c r="C190" s="624"/>
      <c r="D190" s="751"/>
      <c r="E190" s="751"/>
      <c r="F190" s="751"/>
      <c r="G190" s="751"/>
      <c r="H190" s="751"/>
      <c r="I190" s="624"/>
      <c r="J190" s="624"/>
      <c r="K190" s="750"/>
      <c r="L190" s="751"/>
      <c r="M190" s="751"/>
      <c r="N190" s="751"/>
      <c r="O190" s="750"/>
      <c r="P190" s="751"/>
      <c r="Q190" s="751"/>
      <c r="R190" s="751"/>
      <c r="S190" s="624"/>
      <c r="T190" s="751"/>
      <c r="U190" s="751"/>
      <c r="V190" s="751"/>
      <c r="W190" s="624"/>
      <c r="X190" s="751"/>
      <c r="Y190" s="751"/>
      <c r="Z190" s="751"/>
      <c r="AA190" s="750"/>
      <c r="AB190" s="751"/>
      <c r="AC190" s="661"/>
      <c r="AD190" s="661"/>
      <c r="AE190" s="624"/>
      <c r="AF190" s="751"/>
      <c r="AG190" s="751"/>
      <c r="AH190" s="751"/>
      <c r="AI190" s="624"/>
      <c r="AJ190" s="751"/>
      <c r="AK190" s="751"/>
      <c r="AL190" s="751"/>
      <c r="AM190" s="624"/>
      <c r="AN190" s="624"/>
      <c r="AO190" s="624"/>
      <c r="AP190" s="624"/>
      <c r="AQ190" s="737"/>
      <c r="AR190" s="753"/>
      <c r="AS190" s="753"/>
      <c r="AT190" s="753"/>
      <c r="AU190" s="624"/>
      <c r="AV190" s="624"/>
      <c r="AW190" s="624"/>
    </row>
    <row r="191" spans="2:49">
      <c r="B191" s="756"/>
      <c r="C191" s="624"/>
      <c r="D191" s="751"/>
      <c r="E191" s="751"/>
      <c r="F191" s="751"/>
      <c r="G191" s="751"/>
      <c r="H191" s="751"/>
      <c r="I191" s="624"/>
      <c r="J191" s="624"/>
      <c r="K191" s="750"/>
      <c r="L191" s="751"/>
      <c r="M191" s="751"/>
      <c r="N191" s="751"/>
      <c r="O191" s="750"/>
      <c r="P191" s="751"/>
      <c r="Q191" s="751"/>
      <c r="R191" s="751"/>
      <c r="S191" s="624"/>
      <c r="T191" s="751"/>
      <c r="U191" s="751"/>
      <c r="V191" s="751"/>
      <c r="W191" s="624"/>
      <c r="X191" s="751"/>
      <c r="Y191" s="751"/>
      <c r="Z191" s="751"/>
      <c r="AA191" s="750"/>
      <c r="AB191" s="751"/>
      <c r="AC191" s="661"/>
      <c r="AD191" s="661"/>
      <c r="AE191" s="624"/>
      <c r="AF191" s="751"/>
      <c r="AG191" s="751"/>
      <c r="AH191" s="751"/>
      <c r="AI191" s="624"/>
      <c r="AJ191" s="751"/>
      <c r="AK191" s="751"/>
      <c r="AL191" s="751"/>
      <c r="AM191" s="624"/>
      <c r="AN191" s="624"/>
      <c r="AO191" s="624"/>
      <c r="AP191" s="624"/>
      <c r="AQ191" s="737"/>
      <c r="AR191" s="753"/>
      <c r="AS191" s="753"/>
      <c r="AT191" s="753"/>
      <c r="AU191" s="624"/>
      <c r="AV191" s="624"/>
      <c r="AW191" s="624"/>
    </row>
    <row r="192" spans="2:49">
      <c r="B192" s="756"/>
      <c r="C192" s="624"/>
      <c r="D192" s="751"/>
      <c r="E192" s="751"/>
      <c r="F192" s="751"/>
      <c r="G192" s="751"/>
      <c r="H192" s="751"/>
      <c r="I192" s="624"/>
      <c r="J192" s="624"/>
      <c r="K192" s="750"/>
      <c r="L192" s="751"/>
      <c r="M192" s="751"/>
      <c r="N192" s="751"/>
      <c r="O192" s="750"/>
      <c r="P192" s="751"/>
      <c r="Q192" s="751"/>
      <c r="R192" s="751"/>
      <c r="S192" s="624"/>
      <c r="T192" s="751"/>
      <c r="U192" s="751"/>
      <c r="V192" s="751"/>
      <c r="W192" s="624"/>
      <c r="X192" s="751"/>
      <c r="Y192" s="751"/>
      <c r="Z192" s="751"/>
      <c r="AA192" s="750"/>
      <c r="AB192" s="751"/>
      <c r="AC192" s="661"/>
      <c r="AD192" s="661"/>
      <c r="AE192" s="624"/>
      <c r="AF192" s="751"/>
      <c r="AG192" s="751"/>
      <c r="AH192" s="751"/>
      <c r="AI192" s="624"/>
      <c r="AJ192" s="751"/>
      <c r="AK192" s="751"/>
      <c r="AL192" s="751"/>
      <c r="AM192" s="624"/>
      <c r="AN192" s="624"/>
      <c r="AO192" s="624"/>
      <c r="AP192" s="624"/>
      <c r="AQ192" s="737"/>
      <c r="AR192" s="753"/>
      <c r="AS192" s="753"/>
      <c r="AT192" s="753"/>
      <c r="AU192" s="624"/>
      <c r="AV192" s="624"/>
      <c r="AW192" s="624"/>
    </row>
    <row r="193" spans="2:49">
      <c r="B193" s="756"/>
      <c r="C193" s="624"/>
      <c r="D193" s="751"/>
      <c r="E193" s="751"/>
      <c r="F193" s="751"/>
      <c r="G193" s="751"/>
      <c r="H193" s="751"/>
      <c r="I193" s="624"/>
      <c r="J193" s="624"/>
      <c r="K193" s="750"/>
      <c r="L193" s="751"/>
      <c r="M193" s="751"/>
      <c r="N193" s="751"/>
      <c r="O193" s="750"/>
      <c r="P193" s="751"/>
      <c r="Q193" s="751"/>
      <c r="R193" s="751"/>
      <c r="S193" s="624"/>
      <c r="T193" s="751"/>
      <c r="U193" s="751"/>
      <c r="V193" s="751"/>
      <c r="W193" s="624"/>
      <c r="X193" s="751"/>
      <c r="Y193" s="751"/>
      <c r="Z193" s="751"/>
      <c r="AA193" s="750"/>
      <c r="AB193" s="751"/>
      <c r="AC193" s="661"/>
      <c r="AD193" s="661"/>
      <c r="AE193" s="624"/>
      <c r="AF193" s="751"/>
      <c r="AG193" s="751"/>
      <c r="AH193" s="751"/>
      <c r="AI193" s="624"/>
      <c r="AJ193" s="751"/>
      <c r="AK193" s="751"/>
      <c r="AL193" s="751"/>
      <c r="AM193" s="624"/>
      <c r="AN193" s="624"/>
      <c r="AO193" s="624"/>
      <c r="AP193" s="624"/>
      <c r="AQ193" s="737"/>
      <c r="AR193" s="753"/>
      <c r="AS193" s="753"/>
      <c r="AT193" s="753"/>
      <c r="AU193" s="624"/>
      <c r="AV193" s="624"/>
      <c r="AW193" s="624"/>
    </row>
    <row r="194" spans="2:49">
      <c r="B194" s="756"/>
      <c r="C194" s="624"/>
      <c r="D194" s="751"/>
      <c r="E194" s="751"/>
      <c r="F194" s="751"/>
      <c r="G194" s="751"/>
      <c r="H194" s="751"/>
      <c r="I194" s="624"/>
      <c r="J194" s="624"/>
      <c r="K194" s="750"/>
      <c r="L194" s="751"/>
      <c r="M194" s="751"/>
      <c r="N194" s="751"/>
      <c r="O194" s="750"/>
      <c r="P194" s="751"/>
      <c r="Q194" s="751"/>
      <c r="R194" s="751"/>
      <c r="S194" s="624"/>
      <c r="T194" s="751"/>
      <c r="U194" s="751"/>
      <c r="V194" s="751"/>
      <c r="W194" s="624"/>
      <c r="X194" s="751"/>
      <c r="Y194" s="751"/>
      <c r="Z194" s="751"/>
      <c r="AA194" s="750"/>
      <c r="AB194" s="751"/>
      <c r="AC194" s="661"/>
      <c r="AD194" s="661"/>
      <c r="AE194" s="624"/>
      <c r="AF194" s="751"/>
      <c r="AG194" s="751"/>
      <c r="AH194" s="751"/>
      <c r="AI194" s="624"/>
      <c r="AJ194" s="751"/>
      <c r="AK194" s="751"/>
      <c r="AL194" s="751"/>
      <c r="AM194" s="624"/>
      <c r="AN194" s="624"/>
      <c r="AO194" s="624"/>
      <c r="AP194" s="624"/>
      <c r="AQ194" s="737"/>
      <c r="AR194" s="753"/>
      <c r="AS194" s="753"/>
      <c r="AT194" s="753"/>
      <c r="AU194" s="624"/>
      <c r="AV194" s="624"/>
      <c r="AW194" s="624"/>
    </row>
    <row r="195" spans="2:49">
      <c r="B195" s="756"/>
      <c r="C195" s="624"/>
      <c r="D195" s="751"/>
      <c r="E195" s="751"/>
      <c r="F195" s="751"/>
      <c r="G195" s="751"/>
      <c r="H195" s="751"/>
      <c r="I195" s="624"/>
      <c r="J195" s="624"/>
      <c r="K195" s="750"/>
      <c r="L195" s="751"/>
      <c r="M195" s="751"/>
      <c r="N195" s="751"/>
      <c r="O195" s="750"/>
      <c r="P195" s="751"/>
      <c r="Q195" s="751"/>
      <c r="R195" s="751"/>
      <c r="S195" s="624"/>
      <c r="T195" s="751"/>
      <c r="U195" s="751"/>
      <c r="V195" s="751"/>
      <c r="W195" s="624"/>
      <c r="X195" s="751"/>
      <c r="Y195" s="751"/>
      <c r="Z195" s="751"/>
      <c r="AA195" s="750"/>
      <c r="AB195" s="751"/>
      <c r="AC195" s="661"/>
      <c r="AD195" s="661"/>
      <c r="AE195" s="624"/>
      <c r="AF195" s="751"/>
      <c r="AG195" s="751"/>
      <c r="AH195" s="751"/>
      <c r="AI195" s="624"/>
      <c r="AJ195" s="751"/>
      <c r="AK195" s="751"/>
      <c r="AL195" s="751"/>
      <c r="AM195" s="624"/>
      <c r="AN195" s="624"/>
      <c r="AO195" s="624"/>
      <c r="AP195" s="624"/>
      <c r="AQ195" s="737"/>
      <c r="AR195" s="753"/>
      <c r="AS195" s="753"/>
      <c r="AT195" s="753"/>
      <c r="AU195" s="624"/>
      <c r="AV195" s="624"/>
      <c r="AW195" s="624"/>
    </row>
    <row r="196" spans="2:49">
      <c r="B196" s="756"/>
      <c r="C196" s="624"/>
      <c r="D196" s="751"/>
      <c r="E196" s="751"/>
      <c r="F196" s="751"/>
      <c r="G196" s="751"/>
      <c r="H196" s="751"/>
      <c r="I196" s="624"/>
      <c r="J196" s="624"/>
      <c r="K196" s="750"/>
      <c r="L196" s="751"/>
      <c r="M196" s="751"/>
      <c r="N196" s="751"/>
      <c r="O196" s="750"/>
      <c r="P196" s="751"/>
      <c r="Q196" s="751"/>
      <c r="R196" s="751"/>
      <c r="S196" s="624"/>
      <c r="T196" s="751"/>
      <c r="U196" s="751"/>
      <c r="V196" s="751"/>
      <c r="W196" s="624"/>
      <c r="X196" s="751"/>
      <c r="Y196" s="751"/>
      <c r="Z196" s="751"/>
      <c r="AA196" s="750"/>
      <c r="AB196" s="751"/>
      <c r="AC196" s="661"/>
      <c r="AD196" s="661"/>
      <c r="AE196" s="624"/>
      <c r="AF196" s="751"/>
      <c r="AG196" s="751"/>
      <c r="AH196" s="751"/>
      <c r="AI196" s="624"/>
      <c r="AJ196" s="751"/>
      <c r="AK196" s="751"/>
      <c r="AL196" s="751"/>
      <c r="AM196" s="624"/>
      <c r="AN196" s="624"/>
      <c r="AO196" s="624"/>
      <c r="AP196" s="624"/>
      <c r="AQ196" s="737"/>
      <c r="AR196" s="753"/>
      <c r="AS196" s="753"/>
      <c r="AT196" s="753"/>
      <c r="AU196" s="624"/>
      <c r="AV196" s="624"/>
      <c r="AW196" s="624"/>
    </row>
    <row r="197" spans="2:49">
      <c r="B197" s="756"/>
      <c r="C197" s="624"/>
      <c r="D197" s="751"/>
      <c r="E197" s="751"/>
      <c r="F197" s="751"/>
      <c r="G197" s="751"/>
      <c r="H197" s="751"/>
      <c r="I197" s="624"/>
      <c r="J197" s="624"/>
      <c r="K197" s="750"/>
      <c r="L197" s="751"/>
      <c r="M197" s="751"/>
      <c r="N197" s="751"/>
      <c r="O197" s="750"/>
      <c r="P197" s="751"/>
      <c r="Q197" s="751"/>
      <c r="R197" s="751"/>
      <c r="S197" s="624"/>
      <c r="T197" s="751"/>
      <c r="U197" s="751"/>
      <c r="V197" s="751"/>
      <c r="W197" s="624"/>
      <c r="X197" s="751"/>
      <c r="Y197" s="751"/>
      <c r="Z197" s="751"/>
      <c r="AA197" s="750"/>
      <c r="AB197" s="751"/>
      <c r="AC197" s="661"/>
      <c r="AD197" s="661"/>
      <c r="AE197" s="624"/>
      <c r="AF197" s="751"/>
      <c r="AG197" s="751"/>
      <c r="AH197" s="751"/>
      <c r="AI197" s="624"/>
      <c r="AJ197" s="751"/>
      <c r="AK197" s="751"/>
      <c r="AL197" s="751"/>
      <c r="AM197" s="624"/>
      <c r="AN197" s="624"/>
      <c r="AO197" s="624"/>
      <c r="AP197" s="624"/>
      <c r="AQ197" s="737"/>
      <c r="AR197" s="753"/>
      <c r="AS197" s="753"/>
      <c r="AT197" s="753"/>
      <c r="AU197" s="624"/>
      <c r="AV197" s="624"/>
      <c r="AW197" s="624"/>
    </row>
    <row r="198" spans="2:49">
      <c r="B198" s="756"/>
      <c r="C198" s="624"/>
      <c r="D198" s="751"/>
      <c r="E198" s="751"/>
      <c r="F198" s="751"/>
      <c r="G198" s="751"/>
      <c r="H198" s="751"/>
      <c r="I198" s="624"/>
      <c r="J198" s="624"/>
      <c r="K198" s="750"/>
      <c r="L198" s="751"/>
      <c r="M198" s="751"/>
      <c r="N198" s="751"/>
      <c r="O198" s="750"/>
      <c r="P198" s="751"/>
      <c r="Q198" s="751"/>
      <c r="R198" s="751"/>
      <c r="S198" s="624"/>
      <c r="T198" s="751"/>
      <c r="U198" s="751"/>
      <c r="V198" s="751"/>
      <c r="W198" s="624"/>
      <c r="X198" s="751"/>
      <c r="Y198" s="751"/>
      <c r="Z198" s="751"/>
      <c r="AA198" s="750"/>
      <c r="AB198" s="751"/>
      <c r="AC198" s="661"/>
      <c r="AD198" s="661"/>
      <c r="AE198" s="624"/>
      <c r="AF198" s="751"/>
      <c r="AG198" s="751"/>
      <c r="AH198" s="751"/>
      <c r="AI198" s="624"/>
      <c r="AJ198" s="751"/>
      <c r="AK198" s="751"/>
      <c r="AL198" s="751"/>
      <c r="AM198" s="624"/>
      <c r="AN198" s="624"/>
      <c r="AO198" s="624"/>
      <c r="AP198" s="624"/>
      <c r="AQ198" s="737"/>
      <c r="AR198" s="753"/>
      <c r="AS198" s="753"/>
      <c r="AT198" s="753"/>
      <c r="AU198" s="624"/>
      <c r="AV198" s="624"/>
      <c r="AW198" s="624"/>
    </row>
    <row r="199" spans="2:49">
      <c r="B199" s="756"/>
      <c r="C199" s="624"/>
      <c r="D199" s="751"/>
      <c r="E199" s="751"/>
      <c r="F199" s="751"/>
      <c r="G199" s="751"/>
      <c r="H199" s="751"/>
      <c r="I199" s="624"/>
      <c r="J199" s="624"/>
      <c r="K199" s="750"/>
      <c r="L199" s="751"/>
      <c r="M199" s="751"/>
      <c r="N199" s="751"/>
      <c r="O199" s="750"/>
      <c r="P199" s="751"/>
      <c r="Q199" s="751"/>
      <c r="R199" s="751"/>
      <c r="S199" s="624"/>
      <c r="T199" s="751"/>
      <c r="U199" s="751"/>
      <c r="V199" s="751"/>
      <c r="W199" s="624"/>
      <c r="X199" s="751"/>
      <c r="Y199" s="751"/>
      <c r="Z199" s="751"/>
      <c r="AA199" s="750"/>
      <c r="AB199" s="751"/>
      <c r="AC199" s="661"/>
      <c r="AD199" s="661"/>
      <c r="AE199" s="624"/>
      <c r="AF199" s="751"/>
      <c r="AG199" s="751"/>
      <c r="AH199" s="751"/>
      <c r="AI199" s="624"/>
      <c r="AJ199" s="751"/>
      <c r="AK199" s="751"/>
      <c r="AL199" s="751"/>
      <c r="AM199" s="624"/>
      <c r="AN199" s="624"/>
      <c r="AO199" s="624"/>
      <c r="AP199" s="624"/>
      <c r="AQ199" s="737"/>
      <c r="AR199" s="753"/>
      <c r="AS199" s="753"/>
      <c r="AT199" s="753"/>
      <c r="AU199" s="624"/>
      <c r="AV199" s="624"/>
      <c r="AW199" s="624"/>
    </row>
    <row r="200" spans="2:49">
      <c r="B200" s="756"/>
      <c r="C200" s="624"/>
      <c r="D200" s="751"/>
      <c r="E200" s="751"/>
      <c r="F200" s="751"/>
      <c r="G200" s="751"/>
      <c r="H200" s="751"/>
      <c r="I200" s="624"/>
      <c r="J200" s="624"/>
      <c r="K200" s="750"/>
      <c r="L200" s="751"/>
      <c r="M200" s="751"/>
      <c r="N200" s="751"/>
      <c r="O200" s="750"/>
      <c r="P200" s="751"/>
      <c r="Q200" s="751"/>
      <c r="R200" s="751"/>
      <c r="S200" s="624"/>
      <c r="T200" s="751"/>
      <c r="U200" s="751"/>
      <c r="V200" s="751"/>
      <c r="W200" s="624"/>
      <c r="X200" s="751"/>
      <c r="Y200" s="751"/>
      <c r="Z200" s="751"/>
      <c r="AA200" s="750"/>
      <c r="AB200" s="751"/>
      <c r="AC200" s="661"/>
      <c r="AD200" s="661"/>
      <c r="AE200" s="624"/>
      <c r="AF200" s="751"/>
      <c r="AG200" s="751"/>
      <c r="AH200" s="751"/>
      <c r="AI200" s="624"/>
      <c r="AJ200" s="751"/>
      <c r="AK200" s="751"/>
      <c r="AL200" s="751"/>
      <c r="AM200" s="624"/>
      <c r="AN200" s="624"/>
      <c r="AO200" s="624"/>
      <c r="AP200" s="624"/>
      <c r="AQ200" s="737"/>
      <c r="AR200" s="753"/>
      <c r="AS200" s="753"/>
      <c r="AT200" s="753"/>
      <c r="AU200" s="624"/>
      <c r="AV200" s="624"/>
      <c r="AW200" s="624"/>
    </row>
    <row r="201" spans="2:49">
      <c r="B201" s="756"/>
      <c r="C201" s="624"/>
      <c r="D201" s="751"/>
      <c r="E201" s="751"/>
      <c r="F201" s="751"/>
      <c r="G201" s="751"/>
      <c r="H201" s="751"/>
      <c r="I201" s="624"/>
      <c r="J201" s="624"/>
      <c r="K201" s="750"/>
      <c r="L201" s="751"/>
      <c r="M201" s="751"/>
      <c r="N201" s="751"/>
      <c r="O201" s="750"/>
      <c r="P201" s="751"/>
      <c r="Q201" s="751"/>
      <c r="R201" s="751"/>
      <c r="S201" s="624"/>
      <c r="T201" s="751"/>
      <c r="U201" s="751"/>
      <c r="V201" s="751"/>
      <c r="W201" s="624"/>
      <c r="X201" s="751"/>
      <c r="Y201" s="751"/>
      <c r="Z201" s="751"/>
      <c r="AA201" s="750"/>
      <c r="AB201" s="751"/>
      <c r="AC201" s="661"/>
      <c r="AD201" s="661"/>
      <c r="AE201" s="624"/>
      <c r="AF201" s="751"/>
      <c r="AG201" s="751"/>
      <c r="AH201" s="751"/>
      <c r="AI201" s="624"/>
      <c r="AJ201" s="751"/>
      <c r="AK201" s="751"/>
      <c r="AL201" s="751"/>
      <c r="AM201" s="624"/>
      <c r="AN201" s="624"/>
      <c r="AO201" s="624"/>
      <c r="AP201" s="624"/>
      <c r="AQ201" s="737"/>
      <c r="AR201" s="753"/>
      <c r="AS201" s="753"/>
      <c r="AT201" s="753"/>
      <c r="AU201" s="624"/>
      <c r="AV201" s="624"/>
      <c r="AW201" s="624"/>
    </row>
    <row r="202" spans="2:49">
      <c r="B202" s="756"/>
      <c r="C202" s="624"/>
      <c r="D202" s="751"/>
      <c r="E202" s="751"/>
      <c r="F202" s="751"/>
      <c r="G202" s="751"/>
      <c r="H202" s="751"/>
      <c r="I202" s="624"/>
      <c r="J202" s="624"/>
      <c r="K202" s="750"/>
      <c r="L202" s="751"/>
      <c r="M202" s="751"/>
      <c r="N202" s="751"/>
      <c r="O202" s="750"/>
      <c r="P202" s="751"/>
      <c r="Q202" s="751"/>
      <c r="R202" s="751"/>
      <c r="S202" s="624"/>
      <c r="T202" s="751"/>
      <c r="U202" s="751"/>
      <c r="V202" s="751"/>
      <c r="W202" s="624"/>
      <c r="X202" s="751"/>
      <c r="Y202" s="751"/>
      <c r="Z202" s="751"/>
      <c r="AA202" s="750"/>
      <c r="AB202" s="751"/>
      <c r="AC202" s="661"/>
      <c r="AD202" s="661"/>
      <c r="AE202" s="624"/>
      <c r="AF202" s="751"/>
      <c r="AG202" s="751"/>
      <c r="AH202" s="751"/>
      <c r="AI202" s="624"/>
      <c r="AJ202" s="751"/>
      <c r="AK202" s="751"/>
      <c r="AL202" s="751"/>
      <c r="AM202" s="624"/>
      <c r="AN202" s="624"/>
      <c r="AO202" s="624"/>
      <c r="AP202" s="624"/>
      <c r="AQ202" s="737"/>
      <c r="AR202" s="753"/>
      <c r="AS202" s="753"/>
      <c r="AT202" s="753"/>
      <c r="AU202" s="624"/>
      <c r="AV202" s="624"/>
      <c r="AW202" s="624"/>
    </row>
    <row r="203" spans="2:49">
      <c r="B203" s="756"/>
      <c r="C203" s="624"/>
      <c r="D203" s="751"/>
      <c r="E203" s="751"/>
      <c r="F203" s="751"/>
      <c r="G203" s="751"/>
      <c r="H203" s="751"/>
      <c r="I203" s="624"/>
      <c r="J203" s="624"/>
      <c r="K203" s="750"/>
      <c r="L203" s="751"/>
      <c r="M203" s="751"/>
      <c r="N203" s="751"/>
      <c r="O203" s="750"/>
      <c r="P203" s="751"/>
      <c r="Q203" s="751"/>
      <c r="R203" s="751"/>
      <c r="S203" s="624"/>
      <c r="T203" s="751"/>
      <c r="U203" s="751"/>
      <c r="V203" s="751"/>
      <c r="W203" s="624"/>
      <c r="X203" s="751"/>
      <c r="Y203" s="751"/>
      <c r="Z203" s="751"/>
      <c r="AA203" s="750"/>
      <c r="AB203" s="751"/>
      <c r="AC203" s="661"/>
      <c r="AD203" s="661"/>
      <c r="AE203" s="624"/>
      <c r="AF203" s="751"/>
      <c r="AG203" s="751"/>
      <c r="AH203" s="751"/>
      <c r="AI203" s="624"/>
      <c r="AJ203" s="751"/>
      <c r="AK203" s="751"/>
      <c r="AL203" s="751"/>
      <c r="AM203" s="624"/>
      <c r="AN203" s="624"/>
      <c r="AO203" s="624"/>
      <c r="AP203" s="624"/>
      <c r="AQ203" s="737"/>
      <c r="AR203" s="753"/>
      <c r="AS203" s="753"/>
      <c r="AT203" s="753"/>
      <c r="AU203" s="624"/>
      <c r="AV203" s="624"/>
      <c r="AW203" s="624"/>
    </row>
    <row r="204" spans="2:49">
      <c r="B204" s="756"/>
      <c r="C204" s="624"/>
      <c r="D204" s="751"/>
      <c r="E204" s="751"/>
      <c r="F204" s="751"/>
      <c r="G204" s="751"/>
      <c r="H204" s="751"/>
      <c r="I204" s="624"/>
      <c r="J204" s="624"/>
      <c r="K204" s="750"/>
      <c r="L204" s="751"/>
      <c r="M204" s="751"/>
      <c r="N204" s="751"/>
      <c r="O204" s="750"/>
      <c r="P204" s="751"/>
      <c r="Q204" s="751"/>
      <c r="R204" s="751"/>
      <c r="S204" s="624"/>
      <c r="T204" s="751"/>
      <c r="U204" s="751"/>
      <c r="V204" s="751"/>
      <c r="W204" s="624"/>
      <c r="X204" s="751"/>
      <c r="Y204" s="751"/>
      <c r="Z204" s="751"/>
      <c r="AA204" s="750"/>
      <c r="AB204" s="751"/>
      <c r="AC204" s="661"/>
      <c r="AD204" s="661"/>
      <c r="AE204" s="624"/>
      <c r="AF204" s="751"/>
      <c r="AG204" s="751"/>
      <c r="AH204" s="751"/>
      <c r="AI204" s="624"/>
      <c r="AJ204" s="751"/>
      <c r="AK204" s="751"/>
      <c r="AL204" s="751"/>
      <c r="AM204" s="624"/>
      <c r="AN204" s="624"/>
      <c r="AO204" s="624"/>
      <c r="AP204" s="624"/>
      <c r="AQ204" s="737"/>
      <c r="AR204" s="753"/>
      <c r="AS204" s="753"/>
      <c r="AT204" s="753"/>
      <c r="AU204" s="624"/>
      <c r="AV204" s="624"/>
      <c r="AW204" s="624"/>
    </row>
    <row r="205" spans="2:49">
      <c r="B205" s="756"/>
      <c r="C205" s="624"/>
      <c r="D205" s="751"/>
      <c r="E205" s="751"/>
      <c r="F205" s="751"/>
      <c r="G205" s="751"/>
      <c r="H205" s="751"/>
      <c r="I205" s="624"/>
      <c r="J205" s="624"/>
      <c r="K205" s="750"/>
      <c r="L205" s="751"/>
      <c r="M205" s="751"/>
      <c r="N205" s="751"/>
      <c r="O205" s="750"/>
      <c r="P205" s="751"/>
      <c r="Q205" s="751"/>
      <c r="R205" s="751"/>
      <c r="S205" s="624"/>
      <c r="T205" s="751"/>
      <c r="U205" s="751"/>
      <c r="V205" s="751"/>
      <c r="W205" s="624"/>
      <c r="X205" s="751"/>
      <c r="Y205" s="751"/>
      <c r="Z205" s="751"/>
      <c r="AA205" s="750"/>
      <c r="AB205" s="751"/>
      <c r="AC205" s="661"/>
      <c r="AD205" s="661"/>
      <c r="AE205" s="624"/>
      <c r="AF205" s="751"/>
      <c r="AG205" s="751"/>
      <c r="AH205" s="751"/>
      <c r="AI205" s="624"/>
      <c r="AJ205" s="751"/>
      <c r="AK205" s="751"/>
      <c r="AL205" s="751"/>
      <c r="AM205" s="624"/>
      <c r="AN205" s="624"/>
      <c r="AO205" s="624"/>
      <c r="AP205" s="624"/>
      <c r="AQ205" s="737"/>
      <c r="AR205" s="753"/>
      <c r="AS205" s="753"/>
      <c r="AT205" s="753"/>
      <c r="AU205" s="624"/>
      <c r="AV205" s="624"/>
      <c r="AW205" s="624"/>
    </row>
    <row r="206" spans="2:49">
      <c r="B206" s="756"/>
      <c r="C206" s="624"/>
      <c r="D206" s="751"/>
      <c r="E206" s="751"/>
      <c r="F206" s="751"/>
      <c r="G206" s="751"/>
      <c r="H206" s="751"/>
      <c r="I206" s="624"/>
      <c r="J206" s="624"/>
      <c r="K206" s="750"/>
      <c r="L206" s="751"/>
      <c r="M206" s="751"/>
      <c r="N206" s="751"/>
      <c r="O206" s="750"/>
      <c r="P206" s="751"/>
      <c r="Q206" s="751"/>
      <c r="R206" s="751"/>
      <c r="S206" s="624"/>
      <c r="T206" s="751"/>
      <c r="U206" s="751"/>
      <c r="V206" s="751"/>
      <c r="W206" s="624"/>
      <c r="X206" s="751"/>
      <c r="Y206" s="751"/>
      <c r="Z206" s="751"/>
      <c r="AA206" s="750"/>
      <c r="AB206" s="751"/>
      <c r="AC206" s="661"/>
      <c r="AD206" s="661"/>
      <c r="AE206" s="624"/>
      <c r="AF206" s="751"/>
      <c r="AG206" s="751"/>
      <c r="AH206" s="751"/>
      <c r="AI206" s="624"/>
      <c r="AJ206" s="751"/>
      <c r="AK206" s="751"/>
      <c r="AL206" s="751"/>
      <c r="AM206" s="624"/>
      <c r="AN206" s="624"/>
      <c r="AO206" s="624"/>
      <c r="AP206" s="624"/>
      <c r="AQ206" s="737"/>
      <c r="AR206" s="753"/>
      <c r="AS206" s="753"/>
      <c r="AT206" s="753"/>
      <c r="AU206" s="624"/>
      <c r="AV206" s="624"/>
      <c r="AW206" s="624"/>
    </row>
    <row r="207" spans="2:49">
      <c r="B207" s="756"/>
      <c r="C207" s="624"/>
      <c r="D207" s="751"/>
      <c r="E207" s="751"/>
      <c r="F207" s="751"/>
      <c r="G207" s="751"/>
      <c r="H207" s="751"/>
      <c r="I207" s="624"/>
      <c r="J207" s="624"/>
      <c r="K207" s="750"/>
      <c r="L207" s="751"/>
      <c r="M207" s="751"/>
      <c r="N207" s="751"/>
      <c r="O207" s="750"/>
      <c r="P207" s="751"/>
      <c r="Q207" s="751"/>
      <c r="R207" s="751"/>
      <c r="S207" s="624"/>
      <c r="T207" s="751"/>
      <c r="U207" s="751"/>
      <c r="V207" s="751"/>
      <c r="W207" s="624"/>
      <c r="X207" s="751"/>
      <c r="Y207" s="751"/>
      <c r="Z207" s="751"/>
      <c r="AA207" s="750"/>
      <c r="AB207" s="751"/>
      <c r="AC207" s="661"/>
      <c r="AD207" s="661"/>
      <c r="AE207" s="624"/>
      <c r="AF207" s="751"/>
      <c r="AG207" s="751"/>
      <c r="AH207" s="751"/>
      <c r="AI207" s="624"/>
      <c r="AJ207" s="751"/>
      <c r="AK207" s="751"/>
      <c r="AL207" s="751"/>
      <c r="AM207" s="624"/>
      <c r="AN207" s="624"/>
      <c r="AO207" s="624"/>
      <c r="AP207" s="624"/>
      <c r="AQ207" s="737"/>
      <c r="AR207" s="753"/>
      <c r="AS207" s="753"/>
      <c r="AT207" s="753"/>
      <c r="AU207" s="624"/>
      <c r="AV207" s="624"/>
      <c r="AW207" s="624"/>
    </row>
    <row r="208" spans="2:49">
      <c r="B208" s="756"/>
      <c r="C208" s="624"/>
      <c r="D208" s="751"/>
      <c r="E208" s="751"/>
      <c r="F208" s="751"/>
      <c r="G208" s="751"/>
      <c r="H208" s="751"/>
      <c r="I208" s="624"/>
      <c r="J208" s="624"/>
      <c r="K208" s="750"/>
      <c r="L208" s="751"/>
      <c r="M208" s="751"/>
      <c r="N208" s="751"/>
      <c r="O208" s="750"/>
      <c r="P208" s="751"/>
      <c r="Q208" s="751"/>
      <c r="R208" s="751"/>
      <c r="S208" s="624"/>
      <c r="T208" s="751"/>
      <c r="U208" s="751"/>
      <c r="V208" s="751"/>
      <c r="W208" s="624"/>
      <c r="X208" s="751"/>
      <c r="Y208" s="751"/>
      <c r="Z208" s="751"/>
      <c r="AA208" s="750"/>
      <c r="AB208" s="751"/>
      <c r="AC208" s="661"/>
      <c r="AD208" s="661"/>
      <c r="AE208" s="624"/>
      <c r="AF208" s="751"/>
      <c r="AG208" s="751"/>
      <c r="AH208" s="751"/>
      <c r="AI208" s="624"/>
      <c r="AJ208" s="751"/>
      <c r="AK208" s="751"/>
      <c r="AL208" s="751"/>
      <c r="AM208" s="624"/>
      <c r="AN208" s="624"/>
      <c r="AO208" s="624"/>
      <c r="AP208" s="624"/>
      <c r="AQ208" s="737"/>
      <c r="AR208" s="753"/>
      <c r="AS208" s="753"/>
      <c r="AT208" s="753"/>
      <c r="AU208" s="624"/>
      <c r="AV208" s="624"/>
      <c r="AW208" s="624"/>
    </row>
    <row r="209" spans="2:49">
      <c r="B209" s="756"/>
      <c r="C209" s="624"/>
      <c r="D209" s="751"/>
      <c r="E209" s="751"/>
      <c r="F209" s="751"/>
      <c r="G209" s="751"/>
      <c r="H209" s="751"/>
      <c r="I209" s="624"/>
      <c r="J209" s="624"/>
      <c r="K209" s="750"/>
      <c r="L209" s="751"/>
      <c r="M209" s="751"/>
      <c r="N209" s="751"/>
      <c r="O209" s="750"/>
      <c r="P209" s="751"/>
      <c r="Q209" s="751"/>
      <c r="R209" s="751"/>
      <c r="S209" s="624"/>
      <c r="T209" s="751"/>
      <c r="U209" s="751"/>
      <c r="V209" s="751"/>
      <c r="W209" s="624"/>
      <c r="X209" s="751"/>
      <c r="Y209" s="751"/>
      <c r="Z209" s="751"/>
      <c r="AA209" s="750"/>
      <c r="AB209" s="751"/>
      <c r="AC209" s="661"/>
      <c r="AD209" s="661"/>
      <c r="AE209" s="624"/>
      <c r="AF209" s="751"/>
      <c r="AG209" s="751"/>
      <c r="AH209" s="751"/>
      <c r="AI209" s="624"/>
      <c r="AJ209" s="751"/>
      <c r="AK209" s="751"/>
      <c r="AL209" s="751"/>
      <c r="AM209" s="624"/>
      <c r="AN209" s="624"/>
      <c r="AO209" s="624"/>
      <c r="AP209" s="624"/>
      <c r="AQ209" s="737"/>
      <c r="AR209" s="753"/>
      <c r="AS209" s="753"/>
      <c r="AT209" s="753"/>
      <c r="AU209" s="624"/>
      <c r="AV209" s="624"/>
      <c r="AW209" s="624"/>
    </row>
    <row r="210" spans="2:49">
      <c r="B210" s="756"/>
      <c r="C210" s="624"/>
      <c r="D210" s="751"/>
      <c r="E210" s="751"/>
      <c r="F210" s="751"/>
      <c r="G210" s="751"/>
      <c r="H210" s="751"/>
      <c r="I210" s="624"/>
      <c r="J210" s="624"/>
      <c r="K210" s="750"/>
      <c r="L210" s="751"/>
      <c r="M210" s="751"/>
      <c r="N210" s="751"/>
      <c r="O210" s="750"/>
      <c r="P210" s="751"/>
      <c r="Q210" s="751"/>
      <c r="R210" s="751"/>
      <c r="S210" s="624"/>
      <c r="T210" s="751"/>
      <c r="U210" s="751"/>
      <c r="V210" s="751"/>
      <c r="W210" s="624"/>
      <c r="X210" s="751"/>
      <c r="Y210" s="751"/>
      <c r="Z210" s="751"/>
      <c r="AA210" s="750"/>
      <c r="AB210" s="751"/>
      <c r="AC210" s="661"/>
      <c r="AD210" s="661"/>
      <c r="AE210" s="624"/>
      <c r="AF210" s="751"/>
      <c r="AG210" s="751"/>
      <c r="AH210" s="751"/>
      <c r="AI210" s="624"/>
      <c r="AJ210" s="751"/>
      <c r="AK210" s="751"/>
      <c r="AL210" s="751"/>
      <c r="AM210" s="624"/>
      <c r="AN210" s="624"/>
      <c r="AO210" s="624"/>
      <c r="AP210" s="624"/>
      <c r="AQ210" s="737"/>
      <c r="AR210" s="753"/>
      <c r="AS210" s="753"/>
      <c r="AT210" s="753"/>
      <c r="AU210" s="624"/>
      <c r="AV210" s="624"/>
      <c r="AW210" s="624"/>
    </row>
    <row r="211" spans="2:49">
      <c r="B211" s="756"/>
      <c r="C211" s="624"/>
      <c r="D211" s="751"/>
      <c r="E211" s="751"/>
      <c r="F211" s="751"/>
      <c r="G211" s="751"/>
      <c r="H211" s="751"/>
      <c r="I211" s="624"/>
      <c r="J211" s="624"/>
      <c r="K211" s="750"/>
      <c r="L211" s="751"/>
      <c r="M211" s="751"/>
      <c r="N211" s="751"/>
      <c r="O211" s="750"/>
      <c r="P211" s="751"/>
      <c r="Q211" s="751"/>
      <c r="R211" s="751"/>
      <c r="S211" s="624"/>
      <c r="T211" s="751"/>
      <c r="U211" s="751"/>
      <c r="V211" s="751"/>
      <c r="W211" s="624"/>
      <c r="X211" s="751"/>
      <c r="Y211" s="751"/>
      <c r="Z211" s="751"/>
      <c r="AA211" s="750"/>
      <c r="AB211" s="751"/>
      <c r="AC211" s="661"/>
      <c r="AD211" s="661"/>
      <c r="AE211" s="624"/>
      <c r="AF211" s="751"/>
      <c r="AG211" s="751"/>
      <c r="AH211" s="751"/>
      <c r="AI211" s="624"/>
      <c r="AJ211" s="751"/>
      <c r="AK211" s="751"/>
      <c r="AL211" s="751"/>
      <c r="AM211" s="624"/>
      <c r="AN211" s="624"/>
      <c r="AO211" s="624"/>
      <c r="AP211" s="624"/>
      <c r="AQ211" s="737"/>
      <c r="AR211" s="753"/>
      <c r="AS211" s="753"/>
      <c r="AT211" s="753"/>
      <c r="AU211" s="624"/>
      <c r="AV211" s="624"/>
      <c r="AW211" s="624"/>
    </row>
    <row r="212" spans="2:49">
      <c r="B212" s="756"/>
      <c r="C212" s="624"/>
      <c r="D212" s="751"/>
      <c r="E212" s="751"/>
      <c r="F212" s="751"/>
      <c r="G212" s="751"/>
      <c r="H212" s="751"/>
      <c r="I212" s="624"/>
      <c r="J212" s="624"/>
      <c r="K212" s="750"/>
      <c r="L212" s="751"/>
      <c r="M212" s="751"/>
      <c r="N212" s="751"/>
      <c r="O212" s="750"/>
      <c r="P212" s="751"/>
      <c r="Q212" s="751"/>
      <c r="R212" s="751"/>
      <c r="S212" s="624"/>
      <c r="T212" s="751"/>
      <c r="U212" s="751"/>
      <c r="V212" s="751"/>
      <c r="W212" s="624"/>
      <c r="X212" s="751"/>
      <c r="Y212" s="751"/>
      <c r="Z212" s="751"/>
      <c r="AA212" s="750"/>
      <c r="AB212" s="751"/>
      <c r="AC212" s="661"/>
      <c r="AD212" s="661"/>
      <c r="AE212" s="624"/>
      <c r="AF212" s="751"/>
      <c r="AG212" s="751"/>
      <c r="AH212" s="751"/>
      <c r="AI212" s="624"/>
      <c r="AJ212" s="751"/>
      <c r="AK212" s="751"/>
      <c r="AL212" s="751"/>
      <c r="AM212" s="624"/>
      <c r="AN212" s="624"/>
      <c r="AO212" s="624"/>
      <c r="AP212" s="624"/>
      <c r="AQ212" s="737"/>
      <c r="AR212" s="753"/>
      <c r="AS212" s="753"/>
      <c r="AT212" s="753"/>
      <c r="AU212" s="624"/>
      <c r="AV212" s="624"/>
      <c r="AW212" s="624"/>
    </row>
    <row r="213" spans="2:49">
      <c r="B213" s="756"/>
      <c r="C213" s="624"/>
      <c r="D213" s="751"/>
      <c r="E213" s="751"/>
      <c r="F213" s="751"/>
      <c r="G213" s="751"/>
      <c r="H213" s="751"/>
      <c r="I213" s="624"/>
      <c r="J213" s="624"/>
      <c r="K213" s="750"/>
      <c r="L213" s="751"/>
      <c r="M213" s="751"/>
      <c r="N213" s="751"/>
      <c r="O213" s="750"/>
      <c r="P213" s="751"/>
      <c r="Q213" s="751"/>
      <c r="R213" s="751"/>
      <c r="S213" s="624"/>
      <c r="T213" s="751"/>
      <c r="U213" s="751"/>
      <c r="V213" s="751"/>
      <c r="W213" s="624"/>
      <c r="X213" s="751"/>
      <c r="Y213" s="751"/>
      <c r="Z213" s="751"/>
      <c r="AA213" s="750"/>
      <c r="AB213" s="751"/>
      <c r="AC213" s="661"/>
      <c r="AD213" s="661"/>
      <c r="AE213" s="624"/>
      <c r="AF213" s="751"/>
      <c r="AG213" s="751"/>
      <c r="AH213" s="751"/>
      <c r="AI213" s="624"/>
      <c r="AJ213" s="751"/>
      <c r="AK213" s="751"/>
      <c r="AL213" s="751"/>
      <c r="AM213" s="624"/>
      <c r="AN213" s="624"/>
      <c r="AO213" s="624"/>
      <c r="AP213" s="624"/>
      <c r="AQ213" s="737"/>
      <c r="AR213" s="753"/>
      <c r="AS213" s="753"/>
      <c r="AT213" s="753"/>
      <c r="AU213" s="624"/>
      <c r="AV213" s="624"/>
      <c r="AW213" s="624"/>
    </row>
    <row r="214" spans="2:49">
      <c r="B214" s="756"/>
      <c r="C214" s="624"/>
      <c r="D214" s="751"/>
      <c r="E214" s="751"/>
      <c r="F214" s="751"/>
      <c r="G214" s="751"/>
      <c r="H214" s="751"/>
      <c r="I214" s="624"/>
      <c r="J214" s="624"/>
      <c r="K214" s="750"/>
      <c r="L214" s="751"/>
      <c r="M214" s="751"/>
      <c r="N214" s="751"/>
      <c r="O214" s="750"/>
      <c r="P214" s="751"/>
      <c r="Q214" s="751"/>
      <c r="R214" s="751"/>
      <c r="S214" s="624"/>
      <c r="T214" s="751"/>
      <c r="U214" s="751"/>
      <c r="V214" s="751"/>
      <c r="W214" s="624"/>
      <c r="X214" s="751"/>
      <c r="Y214" s="751"/>
      <c r="Z214" s="751"/>
      <c r="AA214" s="750"/>
      <c r="AB214" s="751"/>
      <c r="AC214" s="661"/>
      <c r="AD214" s="661"/>
      <c r="AE214" s="624"/>
      <c r="AF214" s="751"/>
      <c r="AG214" s="751"/>
      <c r="AH214" s="751"/>
      <c r="AI214" s="624"/>
      <c r="AJ214" s="751"/>
      <c r="AK214" s="751"/>
      <c r="AL214" s="751"/>
      <c r="AM214" s="624"/>
      <c r="AN214" s="624"/>
      <c r="AO214" s="624"/>
      <c r="AP214" s="624"/>
      <c r="AQ214" s="737"/>
      <c r="AR214" s="753"/>
      <c r="AS214" s="753"/>
      <c r="AT214" s="753"/>
      <c r="AU214" s="624"/>
      <c r="AV214" s="624"/>
      <c r="AW214" s="624"/>
    </row>
  </sheetData>
  <dataConsolidate/>
  <mergeCells count="34">
    <mergeCell ref="BM3:BP3"/>
    <mergeCell ref="BK3:BK4"/>
    <mergeCell ref="BL3:BL4"/>
    <mergeCell ref="B24:B25"/>
    <mergeCell ref="BE26:BE27"/>
    <mergeCell ref="BJ26:BJ27"/>
    <mergeCell ref="BK26:BK27"/>
    <mergeCell ref="BL26:BL27"/>
    <mergeCell ref="B3:B4"/>
    <mergeCell ref="AU3:AU4"/>
    <mergeCell ref="AV3:AV4"/>
    <mergeCell ref="AX3:AX4"/>
    <mergeCell ref="BE3:BE4"/>
    <mergeCell ref="BJ3:BJ4"/>
    <mergeCell ref="AX19:AZ19"/>
    <mergeCell ref="BA19:BJ19"/>
    <mergeCell ref="B2:AR2"/>
    <mergeCell ref="C3:F3"/>
    <mergeCell ref="G3:J3"/>
    <mergeCell ref="K3:N3"/>
    <mergeCell ref="O3:R3"/>
    <mergeCell ref="S3:V3"/>
    <mergeCell ref="W3:Z3"/>
    <mergeCell ref="AA3:AD3"/>
    <mergeCell ref="AE3:AH3"/>
    <mergeCell ref="AI3:AL3"/>
    <mergeCell ref="AM3:AP3"/>
    <mergeCell ref="AQ3:AT3"/>
    <mergeCell ref="AX41:AZ41"/>
    <mergeCell ref="BA41:BJ41"/>
    <mergeCell ref="BK41:BL41"/>
    <mergeCell ref="AX22:AX23"/>
    <mergeCell ref="BK19:BL19"/>
    <mergeCell ref="AX26:AX27"/>
  </mergeCells>
  <conditionalFormatting sqref="AV12:AV15 AV5:AV10">
    <cfRule type="dataBar" priority="18">
      <dataBar>
        <cfvo type="min" val="0"/>
        <cfvo type="max" val="0"/>
        <color rgb="FF63C384"/>
      </dataBar>
    </cfRule>
  </conditionalFormatting>
  <conditionalFormatting sqref="BL12:BL15 BL5:BL10">
    <cfRule type="dataBar" priority="10">
      <dataBar>
        <cfvo type="min" val="0"/>
        <cfvo type="max" val="0"/>
        <color rgb="FF63C384"/>
      </dataBar>
    </cfRule>
  </conditionalFormatting>
  <conditionalFormatting sqref="BL35:BL38 BL28:BL33">
    <cfRule type="dataBar" priority="1">
      <dataBar>
        <cfvo type="min" val="0"/>
        <cfvo type="max" val="0"/>
        <color rgb="FF63C384"/>
      </dataBar>
    </cfRule>
  </conditionalFormatting>
  <printOptions horizontalCentered="1" verticalCentered="1"/>
  <pageMargins left="0.27559055118110237" right="0.27559055118110237" top="0.35433070866141736" bottom="0.74803149606299213" header="0.31496062992125984" footer="0.31496062992125984"/>
  <pageSetup paperSize="9" scale="91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I80"/>
  <sheetViews>
    <sheetView topLeftCell="H1" zoomScale="55" zoomScaleNormal="55" workbookViewId="0">
      <pane xSplit="2" ySplit="4" topLeftCell="J8" activePane="bottomRight" state="frozen"/>
      <selection activeCell="H1" sqref="H1"/>
      <selection pane="topRight" activeCell="J1" sqref="J1"/>
      <selection pane="bottomLeft" activeCell="H5" sqref="H5"/>
      <selection pane="bottomRight" activeCell="AF30" sqref="AF30"/>
    </sheetView>
  </sheetViews>
  <sheetFormatPr defaultColWidth="9.140625" defaultRowHeight="15"/>
  <cols>
    <col min="1" max="2" width="9.140625" style="23" hidden="1" customWidth="1"/>
    <col min="3" max="3" width="14.5703125" style="23" hidden="1" customWidth="1"/>
    <col min="4" max="4" width="11.42578125" style="27" hidden="1" customWidth="1"/>
    <col min="5" max="5" width="6.85546875" style="27" hidden="1" customWidth="1"/>
    <col min="6" max="6" width="9.140625" style="27" hidden="1" customWidth="1"/>
    <col min="7" max="7" width="3.42578125" style="23" hidden="1" customWidth="1"/>
    <col min="8" max="8" width="6.140625" style="23" customWidth="1"/>
    <col min="9" max="9" width="20.42578125" style="27" customWidth="1"/>
    <col min="10" max="10" width="11.5703125" style="26" customWidth="1"/>
    <col min="11" max="11" width="9.140625" style="24" customWidth="1"/>
    <col min="12" max="13" width="12.85546875" style="24" customWidth="1"/>
    <col min="14" max="14" width="10.5703125" style="26" customWidth="1"/>
    <col min="15" max="15" width="10.28515625" style="24" customWidth="1"/>
    <col min="16" max="16" width="10.5703125" style="24" customWidth="1"/>
    <col min="17" max="17" width="13.42578125" style="24" customWidth="1"/>
    <col min="18" max="18" width="8.5703125" style="26" customWidth="1"/>
    <col min="19" max="19" width="11.5703125" style="24" customWidth="1"/>
    <col min="20" max="20" width="14" style="24" bestFit="1" customWidth="1"/>
    <col min="21" max="21" width="10.5703125" style="24" customWidth="1"/>
    <col min="22" max="22" width="13.7109375" style="26" bestFit="1" customWidth="1"/>
    <col min="23" max="23" width="11" style="24" bestFit="1" customWidth="1"/>
    <col min="24" max="25" width="9.7109375" style="24" customWidth="1"/>
    <col min="26" max="26" width="11" style="26" customWidth="1"/>
    <col min="27" max="27" width="12.42578125" style="24" customWidth="1"/>
    <col min="28" max="29" width="11.85546875" style="24" customWidth="1"/>
    <col min="30" max="30" width="11" style="26" bestFit="1" customWidth="1"/>
    <col min="31" max="31" width="11.7109375" style="24" bestFit="1" customWidth="1"/>
    <col min="32" max="32" width="10.5703125" style="24" bestFit="1" customWidth="1"/>
    <col min="33" max="33" width="10.5703125" style="24" customWidth="1"/>
    <col min="34" max="34" width="11.5703125" style="26" bestFit="1" customWidth="1"/>
    <col min="35" max="35" width="13.5703125" style="24" customWidth="1"/>
    <col min="36" max="37" width="11.5703125" style="24" customWidth="1"/>
    <col min="38" max="38" width="10.5703125" style="49" customWidth="1"/>
    <col min="39" max="39" width="9" style="24" customWidth="1"/>
    <col min="40" max="40" width="12" style="24" bestFit="1" customWidth="1"/>
    <col min="41" max="41" width="12" style="24" customWidth="1"/>
    <col min="42" max="42" width="8.42578125" style="26" customWidth="1"/>
    <col min="43" max="43" width="10" style="24" bestFit="1" customWidth="1"/>
    <col min="44" max="44" width="13.85546875" style="24" bestFit="1" customWidth="1"/>
    <col min="45" max="45" width="13.85546875" style="24" customWidth="1"/>
    <col min="46" max="46" width="11.7109375" style="26" customWidth="1"/>
    <col min="47" max="47" width="11.7109375" style="24" customWidth="1"/>
    <col min="48" max="48" width="10.5703125" style="24" bestFit="1" customWidth="1"/>
    <col min="49" max="49" width="10.5703125" style="24" customWidth="1"/>
    <col min="50" max="50" width="9.140625" style="26" bestFit="1" customWidth="1"/>
    <col min="51" max="51" width="9.140625" style="50" bestFit="1" customWidth="1"/>
    <col min="52" max="52" width="10.5703125" style="50" bestFit="1" customWidth="1"/>
    <col min="53" max="53" width="10.5703125" style="50" customWidth="1"/>
    <col min="54" max="54" width="10.7109375" style="26" bestFit="1" customWidth="1"/>
    <col min="55" max="55" width="12.85546875" style="24" bestFit="1" customWidth="1"/>
    <col min="56" max="56" width="10.5703125" style="24" bestFit="1" customWidth="1"/>
    <col min="57" max="57" width="10.5703125" style="24" customWidth="1"/>
    <col min="58" max="58" width="16" style="25" bestFit="1" customWidth="1"/>
    <col min="59" max="59" width="10.7109375" style="24" bestFit="1" customWidth="1"/>
    <col min="60" max="60" width="13" style="23" bestFit="1" customWidth="1"/>
    <col min="61" max="16384" width="9.140625" style="23"/>
  </cols>
  <sheetData>
    <row r="1" spans="3:61" ht="15" customHeight="1" thickBot="1"/>
    <row r="2" spans="3:61" ht="21.75" thickBot="1">
      <c r="C2" s="1899" t="s">
        <v>45</v>
      </c>
      <c r="D2" s="1900"/>
      <c r="E2" s="1900"/>
      <c r="F2" s="1901"/>
      <c r="H2" s="1915"/>
      <c r="I2" s="1567"/>
      <c r="J2" s="1567"/>
      <c r="K2" s="1567"/>
      <c r="L2" s="1020"/>
      <c r="M2" s="1020"/>
      <c r="N2" s="1916" t="s">
        <v>249</v>
      </c>
      <c r="O2" s="1916"/>
      <c r="P2" s="1916"/>
      <c r="Q2" s="1916"/>
      <c r="R2" s="1916"/>
      <c r="S2" s="1916"/>
      <c r="T2" s="1916"/>
      <c r="U2" s="1916"/>
      <c r="V2" s="1916"/>
      <c r="W2" s="1916"/>
      <c r="X2" s="1916"/>
      <c r="Y2" s="1916"/>
      <c r="Z2" s="1916"/>
      <c r="AA2" s="1916"/>
      <c r="AB2" s="1916"/>
      <c r="AC2" s="1916"/>
      <c r="AD2" s="1916"/>
      <c r="AE2" s="1916"/>
      <c r="AF2" s="1916"/>
      <c r="AG2" s="1916"/>
      <c r="AH2" s="1916"/>
      <c r="AI2" s="1916"/>
      <c r="AJ2" s="1916"/>
      <c r="AK2" s="1916"/>
      <c r="AL2" s="1916"/>
      <c r="AM2" s="1916"/>
      <c r="AN2" s="1916"/>
      <c r="AO2" s="1916"/>
      <c r="AP2" s="1916"/>
      <c r="AQ2" s="1916"/>
      <c r="AR2" s="1916"/>
      <c r="AS2" s="1916"/>
      <c r="AT2" s="1916"/>
      <c r="AU2" s="1916"/>
      <c r="AV2" s="1916"/>
      <c r="AW2" s="1916"/>
      <c r="AX2" s="1916"/>
      <c r="AY2" s="1916"/>
      <c r="AZ2" s="1916"/>
      <c r="BA2" s="1020"/>
      <c r="BB2" s="1902" t="s">
        <v>118</v>
      </c>
      <c r="BC2" s="1903"/>
      <c r="BD2" s="1903"/>
      <c r="BE2" s="1903"/>
      <c r="BF2" s="1903"/>
      <c r="BG2" s="1903"/>
      <c r="BH2" s="1903"/>
      <c r="BI2" s="1904"/>
    </row>
    <row r="3" spans="3:61" ht="19.5" thickBot="1">
      <c r="C3" s="1019"/>
      <c r="D3" s="1017"/>
      <c r="E3" s="1017"/>
      <c r="F3" s="1023"/>
      <c r="H3" s="1905" t="s">
        <v>115</v>
      </c>
      <c r="I3" s="1906"/>
      <c r="J3" s="1906"/>
      <c r="K3" s="1906"/>
      <c r="L3" s="1906"/>
      <c r="M3" s="1906"/>
      <c r="N3" s="1906"/>
      <c r="O3" s="1906"/>
      <c r="P3" s="1906"/>
      <c r="Q3" s="1906"/>
      <c r="R3" s="1906"/>
      <c r="S3" s="1906"/>
      <c r="T3" s="1906"/>
      <c r="U3" s="1906"/>
      <c r="V3" s="1906"/>
      <c r="W3" s="1906"/>
      <c r="X3" s="1906"/>
      <c r="Y3" s="1906"/>
      <c r="Z3" s="1906"/>
      <c r="AA3" s="1906"/>
      <c r="AB3" s="1906"/>
      <c r="AC3" s="1906"/>
      <c r="AD3" s="1906"/>
      <c r="AE3" s="1906"/>
      <c r="AF3" s="1906"/>
      <c r="AG3" s="1906"/>
      <c r="AH3" s="1906"/>
      <c r="AI3" s="1906"/>
      <c r="AJ3" s="1906"/>
      <c r="AK3" s="1906"/>
      <c r="AL3" s="1906"/>
      <c r="AM3" s="1906"/>
      <c r="AN3" s="1906"/>
      <c r="AO3" s="1906"/>
      <c r="AP3" s="1906"/>
      <c r="AQ3" s="1906"/>
      <c r="AR3" s="1906"/>
      <c r="AS3" s="1906"/>
      <c r="AT3" s="1906"/>
      <c r="AU3" s="1906"/>
      <c r="AV3" s="1906"/>
      <c r="AW3" s="1906"/>
      <c r="AX3" s="1906"/>
      <c r="AY3" s="1906"/>
      <c r="AZ3" s="1906"/>
      <c r="BA3" s="1906"/>
      <c r="BB3" s="1906"/>
      <c r="BC3" s="1906"/>
      <c r="BD3" s="1906"/>
      <c r="BE3" s="1906"/>
      <c r="BF3" s="1906"/>
      <c r="BG3" s="1906"/>
      <c r="BH3" s="1906"/>
      <c r="BI3" s="1907"/>
    </row>
    <row r="4" spans="3:61" ht="18.75">
      <c r="C4" s="37" t="s">
        <v>44</v>
      </c>
      <c r="D4" s="1869"/>
      <c r="E4" s="1869"/>
      <c r="F4" s="1870"/>
      <c r="H4" s="1908" t="s">
        <v>33</v>
      </c>
      <c r="I4" s="1909"/>
      <c r="J4" s="1871" t="s">
        <v>43</v>
      </c>
      <c r="K4" s="1872"/>
      <c r="L4" s="1872"/>
      <c r="M4" s="1873"/>
      <c r="N4" s="1871" t="s">
        <v>42</v>
      </c>
      <c r="O4" s="1872"/>
      <c r="P4" s="1872"/>
      <c r="Q4" s="1873"/>
      <c r="R4" s="1871" t="s">
        <v>41</v>
      </c>
      <c r="S4" s="1872"/>
      <c r="T4" s="1872"/>
      <c r="U4" s="1873"/>
      <c r="V4" s="1871" t="s">
        <v>40</v>
      </c>
      <c r="W4" s="1872"/>
      <c r="X4" s="1872"/>
      <c r="Y4" s="1873"/>
      <c r="Z4" s="1871" t="s">
        <v>39</v>
      </c>
      <c r="AA4" s="1872"/>
      <c r="AB4" s="1872"/>
      <c r="AC4" s="1873"/>
      <c r="AD4" s="1871" t="s">
        <v>38</v>
      </c>
      <c r="AE4" s="1872"/>
      <c r="AF4" s="1872"/>
      <c r="AG4" s="1873"/>
      <c r="AH4" s="1874" t="s">
        <v>122</v>
      </c>
      <c r="AI4" s="1875"/>
      <c r="AJ4" s="1875"/>
      <c r="AK4" s="1876"/>
      <c r="AL4" s="1871" t="s">
        <v>37</v>
      </c>
      <c r="AM4" s="1872"/>
      <c r="AN4" s="1872"/>
      <c r="AO4" s="1873"/>
      <c r="AP4" s="1871" t="s">
        <v>36</v>
      </c>
      <c r="AQ4" s="1872"/>
      <c r="AR4" s="1872"/>
      <c r="AS4" s="1873"/>
      <c r="AT4" s="1871" t="s">
        <v>35</v>
      </c>
      <c r="AU4" s="1872"/>
      <c r="AV4" s="1872"/>
      <c r="AW4" s="1873"/>
      <c r="AX4" s="1871" t="s">
        <v>34</v>
      </c>
      <c r="AY4" s="1872"/>
      <c r="AZ4" s="1872"/>
      <c r="BA4" s="1873"/>
      <c r="BB4" s="1874" t="s">
        <v>123</v>
      </c>
      <c r="BC4" s="1875"/>
      <c r="BD4" s="1875"/>
      <c r="BE4" s="1876"/>
      <c r="BF4" s="1877" t="s">
        <v>17</v>
      </c>
      <c r="BG4" s="1878"/>
      <c r="BH4" s="1878"/>
      <c r="BI4" s="1878"/>
    </row>
    <row r="5" spans="3:61" ht="15.75" customHeight="1">
      <c r="C5" s="1879" t="s">
        <v>33</v>
      </c>
      <c r="D5" s="1869"/>
      <c r="E5" s="1017" t="s">
        <v>1</v>
      </c>
      <c r="F5" s="1023" t="s">
        <v>2</v>
      </c>
      <c r="H5" s="1910"/>
      <c r="I5" s="1911"/>
      <c r="J5" s="36" t="s">
        <v>1</v>
      </c>
      <c r="K5" s="271" t="s">
        <v>2</v>
      </c>
      <c r="L5" s="693" t="s">
        <v>182</v>
      </c>
      <c r="M5" s="35" t="s">
        <v>247</v>
      </c>
      <c r="N5" s="36" t="s">
        <v>1</v>
      </c>
      <c r="O5" s="271" t="s">
        <v>2</v>
      </c>
      <c r="P5" s="693" t="s">
        <v>182</v>
      </c>
      <c r="Q5" s="35" t="s">
        <v>247</v>
      </c>
      <c r="R5" s="36" t="s">
        <v>1</v>
      </c>
      <c r="S5" s="271" t="s">
        <v>2</v>
      </c>
      <c r="T5" s="693" t="s">
        <v>182</v>
      </c>
      <c r="U5" s="35" t="s">
        <v>247</v>
      </c>
      <c r="V5" s="36" t="s">
        <v>1</v>
      </c>
      <c r="W5" s="271" t="s">
        <v>2</v>
      </c>
      <c r="X5" s="693" t="s">
        <v>182</v>
      </c>
      <c r="Y5" s="35" t="s">
        <v>247</v>
      </c>
      <c r="Z5" s="36" t="s">
        <v>1</v>
      </c>
      <c r="AA5" s="271" t="s">
        <v>2</v>
      </c>
      <c r="AB5" s="693" t="s">
        <v>182</v>
      </c>
      <c r="AC5" s="35" t="s">
        <v>247</v>
      </c>
      <c r="AD5" s="36" t="s">
        <v>1</v>
      </c>
      <c r="AE5" s="271" t="s">
        <v>2</v>
      </c>
      <c r="AF5" s="693" t="s">
        <v>182</v>
      </c>
      <c r="AG5" s="35" t="s">
        <v>247</v>
      </c>
      <c r="AH5" s="36" t="s">
        <v>1</v>
      </c>
      <c r="AI5" s="271" t="s">
        <v>2</v>
      </c>
      <c r="AJ5" s="271" t="s">
        <v>182</v>
      </c>
      <c r="AK5" s="690" t="s">
        <v>196</v>
      </c>
      <c r="AL5" s="36" t="s">
        <v>1</v>
      </c>
      <c r="AM5" s="271" t="s">
        <v>2</v>
      </c>
      <c r="AN5" s="693" t="s">
        <v>182</v>
      </c>
      <c r="AO5" s="35" t="s">
        <v>247</v>
      </c>
      <c r="AP5" s="36" t="s">
        <v>1</v>
      </c>
      <c r="AQ5" s="271" t="s">
        <v>2</v>
      </c>
      <c r="AR5" s="693" t="s">
        <v>182</v>
      </c>
      <c r="AS5" s="35" t="s">
        <v>247</v>
      </c>
      <c r="AT5" s="36" t="s">
        <v>1</v>
      </c>
      <c r="AU5" s="271" t="s">
        <v>2</v>
      </c>
      <c r="AV5" s="693" t="s">
        <v>182</v>
      </c>
      <c r="AW5" s="35" t="s">
        <v>247</v>
      </c>
      <c r="AX5" s="36" t="s">
        <v>1</v>
      </c>
      <c r="AY5" s="271" t="s">
        <v>2</v>
      </c>
      <c r="AZ5" s="693" t="s">
        <v>182</v>
      </c>
      <c r="BA5" s="35" t="s">
        <v>247</v>
      </c>
      <c r="BB5" s="36" t="s">
        <v>1</v>
      </c>
      <c r="BC5" s="271" t="s">
        <v>2</v>
      </c>
      <c r="BD5" s="271" t="s">
        <v>182</v>
      </c>
      <c r="BE5" s="690" t="s">
        <v>196</v>
      </c>
      <c r="BF5" s="274" t="s">
        <v>1</v>
      </c>
      <c r="BG5" s="275" t="s">
        <v>2</v>
      </c>
      <c r="BH5" s="275" t="s">
        <v>182</v>
      </c>
      <c r="BI5" s="698" t="s">
        <v>196</v>
      </c>
    </row>
    <row r="6" spans="3:61" s="28" customFormat="1" ht="20.100000000000001" customHeight="1">
      <c r="C6" s="1879" t="s">
        <v>19</v>
      </c>
      <c r="D6" s="1017" t="s">
        <v>32</v>
      </c>
      <c r="E6" s="1017"/>
      <c r="F6" s="1018"/>
      <c r="H6" s="1886" t="s">
        <v>32</v>
      </c>
      <c r="I6" s="33" t="s">
        <v>32</v>
      </c>
      <c r="J6" s="462">
        <v>9</v>
      </c>
      <c r="K6" s="463">
        <v>9.9</v>
      </c>
      <c r="L6" s="463">
        <v>9.9</v>
      </c>
      <c r="M6" s="691"/>
      <c r="N6" s="462">
        <v>8</v>
      </c>
      <c r="O6" s="463"/>
      <c r="P6" s="463"/>
      <c r="Q6" s="691"/>
      <c r="R6" s="462"/>
      <c r="S6" s="463"/>
      <c r="T6" s="463"/>
      <c r="U6" s="691"/>
      <c r="V6" s="462"/>
      <c r="W6" s="463"/>
      <c r="X6" s="463"/>
      <c r="Y6" s="691"/>
      <c r="Z6" s="462"/>
      <c r="AA6" s="463"/>
      <c r="AB6" s="463"/>
      <c r="AC6" s="691"/>
      <c r="AD6" s="462">
        <v>10</v>
      </c>
      <c r="AE6" s="463"/>
      <c r="AF6" s="463"/>
      <c r="AG6" s="691"/>
      <c r="AH6" s="128">
        <f>J6+N6+R6+V6+Z6+AD6</f>
        <v>27</v>
      </c>
      <c r="AI6" s="273">
        <f>K6+O6+S6+W6+AA6+AE6</f>
        <v>9.9</v>
      </c>
      <c r="AJ6" s="273">
        <f>L6+P6+T6+X6+AB6+AF6</f>
        <v>9.9</v>
      </c>
      <c r="AK6" s="694">
        <f>M6+Q6+U6+Y6+AC6+AG6</f>
        <v>0</v>
      </c>
      <c r="AL6" s="462">
        <v>3.5</v>
      </c>
      <c r="AM6" s="463">
        <v>3.5</v>
      </c>
      <c r="AN6" s="463">
        <v>3.5</v>
      </c>
      <c r="AO6" s="691"/>
      <c r="AP6" s="462">
        <v>5</v>
      </c>
      <c r="AQ6" s="463"/>
      <c r="AR6" s="463"/>
      <c r="AS6" s="691"/>
      <c r="AT6" s="462">
        <v>8</v>
      </c>
      <c r="AU6" s="463">
        <v>24</v>
      </c>
      <c r="AV6" s="463">
        <v>24</v>
      </c>
      <c r="AW6" s="691"/>
      <c r="AX6" s="462">
        <v>12</v>
      </c>
      <c r="AY6" s="463"/>
      <c r="AZ6" s="463"/>
      <c r="BA6" s="691">
        <v>9</v>
      </c>
      <c r="BB6" s="128">
        <f>AL6+AP6+AT6+AX6</f>
        <v>28.5</v>
      </c>
      <c r="BC6" s="273">
        <f>AM6+AQ6+AU6+AY6</f>
        <v>27.5</v>
      </c>
      <c r="BD6" s="273">
        <f>AN6+AR6+AV6+AZ6</f>
        <v>27.5</v>
      </c>
      <c r="BE6" s="273">
        <f>AO6+AS6+AW6+BA6</f>
        <v>9</v>
      </c>
      <c r="BF6" s="276">
        <f>AH6+BB6</f>
        <v>55.5</v>
      </c>
      <c r="BG6" s="277">
        <f>AI6+BC6</f>
        <v>37.4</v>
      </c>
      <c r="BH6" s="701">
        <f>AJ6+BD6</f>
        <v>37.4</v>
      </c>
      <c r="BI6" s="699">
        <f>AK6+BE6</f>
        <v>9</v>
      </c>
    </row>
    <row r="7" spans="3:61" s="28" customFormat="1" ht="20.100000000000001" customHeight="1">
      <c r="C7" s="1879"/>
      <c r="D7" s="1017" t="s">
        <v>31</v>
      </c>
      <c r="E7" s="1017"/>
      <c r="F7" s="1018"/>
      <c r="H7" s="1887"/>
      <c r="I7" s="33" t="s">
        <v>31</v>
      </c>
      <c r="J7" s="462">
        <v>11</v>
      </c>
      <c r="K7" s="463"/>
      <c r="L7" s="463"/>
      <c r="M7" s="691"/>
      <c r="N7" s="462"/>
      <c r="O7" s="463"/>
      <c r="P7" s="463"/>
      <c r="Q7" s="691"/>
      <c r="R7" s="462"/>
      <c r="S7" s="463"/>
      <c r="T7" s="463"/>
      <c r="U7" s="691"/>
      <c r="V7" s="462"/>
      <c r="W7" s="463"/>
      <c r="X7" s="463"/>
      <c r="Y7" s="691"/>
      <c r="Z7" s="462"/>
      <c r="AA7" s="463"/>
      <c r="AB7" s="463"/>
      <c r="AC7" s="691"/>
      <c r="AD7" s="462"/>
      <c r="AE7" s="463"/>
      <c r="AF7" s="463"/>
      <c r="AG7" s="691"/>
      <c r="AH7" s="128">
        <f t="shared" ref="AH7:AK9" si="0">J7+N7+R7+V7+Z7+AD7</f>
        <v>11</v>
      </c>
      <c r="AI7" s="273">
        <f t="shared" si="0"/>
        <v>0</v>
      </c>
      <c r="AJ7" s="273">
        <f t="shared" si="0"/>
        <v>0</v>
      </c>
      <c r="AK7" s="694">
        <f t="shared" si="0"/>
        <v>0</v>
      </c>
      <c r="AL7" s="462"/>
      <c r="AM7" s="463"/>
      <c r="AN7" s="463"/>
      <c r="AO7" s="691"/>
      <c r="AP7" s="462"/>
      <c r="AQ7" s="463"/>
      <c r="AR7" s="463"/>
      <c r="AS7" s="691"/>
      <c r="AT7" s="462"/>
      <c r="AU7" s="463"/>
      <c r="AV7" s="463"/>
      <c r="AW7" s="691"/>
      <c r="AX7" s="462"/>
      <c r="AY7" s="463"/>
      <c r="AZ7" s="463"/>
      <c r="BA7" s="691"/>
      <c r="BB7" s="128">
        <f t="shared" ref="BB7:BE9" si="1">AL7+AP7+AT7+AX7</f>
        <v>0</v>
      </c>
      <c r="BC7" s="273">
        <f t="shared" si="1"/>
        <v>0</v>
      </c>
      <c r="BD7" s="273">
        <f t="shared" si="1"/>
        <v>0</v>
      </c>
      <c r="BE7" s="273">
        <f t="shared" si="1"/>
        <v>0</v>
      </c>
      <c r="BF7" s="276">
        <f t="shared" ref="BF7:BI9" si="2">AH7+BB7</f>
        <v>11</v>
      </c>
      <c r="BG7" s="277">
        <f t="shared" si="2"/>
        <v>0</v>
      </c>
      <c r="BH7" s="277">
        <f t="shared" si="2"/>
        <v>0</v>
      </c>
      <c r="BI7" s="699">
        <f t="shared" si="2"/>
        <v>0</v>
      </c>
    </row>
    <row r="8" spans="3:61" s="28" customFormat="1" ht="20.100000000000001" customHeight="1">
      <c r="C8" s="1879"/>
      <c r="D8" s="1017" t="s">
        <v>30</v>
      </c>
      <c r="E8" s="1017"/>
      <c r="F8" s="1018"/>
      <c r="H8" s="1887"/>
      <c r="I8" s="33" t="s">
        <v>30</v>
      </c>
      <c r="J8" s="462">
        <v>40</v>
      </c>
      <c r="K8" s="463"/>
      <c r="L8" s="463"/>
      <c r="M8" s="691"/>
      <c r="N8" s="462"/>
      <c r="O8" s="463"/>
      <c r="P8" s="463"/>
      <c r="Q8" s="691"/>
      <c r="R8" s="462"/>
      <c r="S8" s="463"/>
      <c r="T8" s="463"/>
      <c r="U8" s="691"/>
      <c r="V8" s="462"/>
      <c r="W8" s="463"/>
      <c r="X8" s="463"/>
      <c r="Y8" s="691"/>
      <c r="Z8" s="462"/>
      <c r="AA8" s="463"/>
      <c r="AB8" s="463"/>
      <c r="AC8" s="691">
        <v>38.21</v>
      </c>
      <c r="AD8" s="462">
        <v>10</v>
      </c>
      <c r="AE8" s="463"/>
      <c r="AF8" s="463"/>
      <c r="AG8" s="691"/>
      <c r="AH8" s="128">
        <f t="shared" si="0"/>
        <v>50</v>
      </c>
      <c r="AI8" s="273">
        <f t="shared" si="0"/>
        <v>0</v>
      </c>
      <c r="AJ8" s="273">
        <f t="shared" si="0"/>
        <v>0</v>
      </c>
      <c r="AK8" s="694">
        <f t="shared" si="0"/>
        <v>38.21</v>
      </c>
      <c r="AL8" s="462"/>
      <c r="AM8" s="463"/>
      <c r="AN8" s="463"/>
      <c r="AO8" s="691"/>
      <c r="AP8" s="462">
        <v>5</v>
      </c>
      <c r="AQ8" s="463"/>
      <c r="AR8" s="463"/>
      <c r="AS8" s="691"/>
      <c r="AT8" s="462"/>
      <c r="AU8" s="463"/>
      <c r="AV8" s="463"/>
      <c r="AW8" s="691"/>
      <c r="AX8" s="462"/>
      <c r="AY8" s="463">
        <v>10</v>
      </c>
      <c r="AZ8" s="463">
        <v>10</v>
      </c>
      <c r="BA8" s="691"/>
      <c r="BB8" s="128">
        <f t="shared" si="1"/>
        <v>5</v>
      </c>
      <c r="BC8" s="273">
        <f t="shared" si="1"/>
        <v>10</v>
      </c>
      <c r="BD8" s="273">
        <f t="shared" si="1"/>
        <v>10</v>
      </c>
      <c r="BE8" s="273">
        <f t="shared" si="1"/>
        <v>0</v>
      </c>
      <c r="BF8" s="276">
        <f t="shared" si="2"/>
        <v>55</v>
      </c>
      <c r="BG8" s="277">
        <f t="shared" si="2"/>
        <v>10</v>
      </c>
      <c r="BH8" s="277">
        <f t="shared" si="2"/>
        <v>10</v>
      </c>
      <c r="BI8" s="699">
        <f t="shared" si="2"/>
        <v>38.21</v>
      </c>
    </row>
    <row r="9" spans="3:61" s="28" customFormat="1" ht="21">
      <c r="C9" s="1885"/>
      <c r="D9" s="1017" t="s">
        <v>29</v>
      </c>
      <c r="E9" s="1017"/>
      <c r="F9" s="1018"/>
      <c r="H9" s="1887"/>
      <c r="I9" s="33" t="s">
        <v>109</v>
      </c>
      <c r="J9" s="462"/>
      <c r="K9" s="463">
        <v>0.1</v>
      </c>
      <c r="L9" s="463">
        <v>0.1</v>
      </c>
      <c r="M9" s="691"/>
      <c r="N9" s="462">
        <v>2</v>
      </c>
      <c r="O9" s="463">
        <f>1.9+1.5</f>
        <v>3.4</v>
      </c>
      <c r="P9" s="463">
        <v>3.4</v>
      </c>
      <c r="Q9" s="691"/>
      <c r="R9" s="462"/>
      <c r="S9" s="463"/>
      <c r="T9" s="463"/>
      <c r="U9" s="691"/>
      <c r="V9" s="462">
        <v>1</v>
      </c>
      <c r="W9" s="463">
        <v>1</v>
      </c>
      <c r="X9" s="463"/>
      <c r="Y9" s="691"/>
      <c r="Z9" s="462"/>
      <c r="AA9" s="463"/>
      <c r="AB9" s="463"/>
      <c r="AC9" s="691"/>
      <c r="AD9" s="462"/>
      <c r="AE9" s="463"/>
      <c r="AF9" s="463"/>
      <c r="AG9" s="691"/>
      <c r="AH9" s="128">
        <f t="shared" si="0"/>
        <v>3</v>
      </c>
      <c r="AI9" s="273">
        <f t="shared" si="0"/>
        <v>4.5</v>
      </c>
      <c r="AJ9" s="273">
        <f t="shared" si="0"/>
        <v>3.5</v>
      </c>
      <c r="AK9" s="694">
        <f t="shared" si="0"/>
        <v>0</v>
      </c>
      <c r="AL9" s="462"/>
      <c r="AM9" s="463"/>
      <c r="AN9" s="463"/>
      <c r="AO9" s="691"/>
      <c r="AP9" s="462"/>
      <c r="AQ9" s="463"/>
      <c r="AR9" s="463"/>
      <c r="AS9" s="691"/>
      <c r="AT9" s="462"/>
      <c r="AU9" s="463"/>
      <c r="AV9" s="463"/>
      <c r="AW9" s="691"/>
      <c r="AX9" s="462"/>
      <c r="AY9" s="463"/>
      <c r="AZ9" s="463"/>
      <c r="BA9" s="691"/>
      <c r="BB9" s="128">
        <f t="shared" si="1"/>
        <v>0</v>
      </c>
      <c r="BC9" s="273">
        <f t="shared" si="1"/>
        <v>0</v>
      </c>
      <c r="BD9" s="273">
        <f t="shared" si="1"/>
        <v>0</v>
      </c>
      <c r="BE9" s="273">
        <f t="shared" si="1"/>
        <v>0</v>
      </c>
      <c r="BF9" s="276">
        <f t="shared" si="2"/>
        <v>3</v>
      </c>
      <c r="BG9" s="277">
        <f t="shared" si="2"/>
        <v>4.5</v>
      </c>
      <c r="BH9" s="277">
        <f t="shared" si="2"/>
        <v>3.5</v>
      </c>
      <c r="BI9" s="699">
        <f t="shared" si="2"/>
        <v>0</v>
      </c>
    </row>
    <row r="10" spans="3:61" s="28" customFormat="1" ht="19.5" customHeight="1" thickBot="1">
      <c r="C10" s="32"/>
      <c r="D10" s="31" t="s">
        <v>18</v>
      </c>
      <c r="E10" s="31"/>
      <c r="F10" s="30"/>
      <c r="H10" s="1865" t="s">
        <v>47</v>
      </c>
      <c r="I10" s="1866"/>
      <c r="J10" s="118">
        <f t="shared" ref="J10:BG10" si="3">SUM(J6:J9)</f>
        <v>60</v>
      </c>
      <c r="K10" s="272">
        <f t="shared" si="3"/>
        <v>10</v>
      </c>
      <c r="L10" s="272">
        <f t="shared" si="3"/>
        <v>10</v>
      </c>
      <c r="M10" s="272">
        <f t="shared" si="3"/>
        <v>0</v>
      </c>
      <c r="N10" s="118">
        <f t="shared" si="3"/>
        <v>10</v>
      </c>
      <c r="O10" s="272">
        <f t="shared" si="3"/>
        <v>3.4</v>
      </c>
      <c r="P10" s="272">
        <f t="shared" si="3"/>
        <v>3.4</v>
      </c>
      <c r="Q10" s="272">
        <f t="shared" si="3"/>
        <v>0</v>
      </c>
      <c r="R10" s="118">
        <f t="shared" si="3"/>
        <v>0</v>
      </c>
      <c r="S10" s="272">
        <f t="shared" si="3"/>
        <v>0</v>
      </c>
      <c r="T10" s="272">
        <f t="shared" si="3"/>
        <v>0</v>
      </c>
      <c r="U10" s="272">
        <f t="shared" si="3"/>
        <v>0</v>
      </c>
      <c r="V10" s="118">
        <f t="shared" si="3"/>
        <v>1</v>
      </c>
      <c r="W10" s="272">
        <f t="shared" si="3"/>
        <v>1</v>
      </c>
      <c r="X10" s="272">
        <f t="shared" si="3"/>
        <v>0</v>
      </c>
      <c r="Y10" s="272">
        <f t="shared" si="3"/>
        <v>0</v>
      </c>
      <c r="Z10" s="118">
        <f t="shared" si="3"/>
        <v>0</v>
      </c>
      <c r="AA10" s="272">
        <f t="shared" si="3"/>
        <v>0</v>
      </c>
      <c r="AB10" s="272">
        <f t="shared" si="3"/>
        <v>0</v>
      </c>
      <c r="AC10" s="272">
        <f t="shared" si="3"/>
        <v>38.21</v>
      </c>
      <c r="AD10" s="118">
        <f t="shared" si="3"/>
        <v>20</v>
      </c>
      <c r="AE10" s="272">
        <f t="shared" si="3"/>
        <v>0</v>
      </c>
      <c r="AF10" s="272">
        <f t="shared" si="3"/>
        <v>0</v>
      </c>
      <c r="AG10" s="272">
        <f t="shared" si="3"/>
        <v>0</v>
      </c>
      <c r="AH10" s="118">
        <f t="shared" si="3"/>
        <v>91</v>
      </c>
      <c r="AI10" s="272">
        <f t="shared" si="3"/>
        <v>14.4</v>
      </c>
      <c r="AJ10" s="272">
        <f>SUM(AJ6:AJ9)</f>
        <v>13.4</v>
      </c>
      <c r="AK10" s="695">
        <f>SUM(AK6:AK9)</f>
        <v>38.21</v>
      </c>
      <c r="AL10" s="118">
        <f t="shared" si="3"/>
        <v>3.5</v>
      </c>
      <c r="AM10" s="272">
        <f t="shared" si="3"/>
        <v>3.5</v>
      </c>
      <c r="AN10" s="272">
        <f t="shared" si="3"/>
        <v>3.5</v>
      </c>
      <c r="AO10" s="272">
        <f t="shared" si="3"/>
        <v>0</v>
      </c>
      <c r="AP10" s="118">
        <f t="shared" si="3"/>
        <v>10</v>
      </c>
      <c r="AQ10" s="272">
        <f t="shared" si="3"/>
        <v>0</v>
      </c>
      <c r="AR10" s="272">
        <f t="shared" si="3"/>
        <v>0</v>
      </c>
      <c r="AS10" s="272">
        <f t="shared" si="3"/>
        <v>0</v>
      </c>
      <c r="AT10" s="118">
        <f t="shared" si="3"/>
        <v>8</v>
      </c>
      <c r="AU10" s="272">
        <f t="shared" si="3"/>
        <v>24</v>
      </c>
      <c r="AV10" s="272">
        <f t="shared" si="3"/>
        <v>24</v>
      </c>
      <c r="AW10" s="272">
        <f t="shared" si="3"/>
        <v>0</v>
      </c>
      <c r="AX10" s="118">
        <f t="shared" si="3"/>
        <v>12</v>
      </c>
      <c r="AY10" s="272">
        <f t="shared" si="3"/>
        <v>10</v>
      </c>
      <c r="AZ10" s="272">
        <f t="shared" si="3"/>
        <v>10</v>
      </c>
      <c r="BA10" s="272">
        <f t="shared" si="3"/>
        <v>9</v>
      </c>
      <c r="BB10" s="118">
        <f t="shared" si="3"/>
        <v>33.5</v>
      </c>
      <c r="BC10" s="272">
        <f t="shared" si="3"/>
        <v>37.5</v>
      </c>
      <c r="BD10" s="272">
        <f t="shared" si="3"/>
        <v>37.5</v>
      </c>
      <c r="BE10" s="272">
        <f t="shared" si="3"/>
        <v>9</v>
      </c>
      <c r="BF10" s="278">
        <f t="shared" si="3"/>
        <v>124.5</v>
      </c>
      <c r="BG10" s="279">
        <f t="shared" si="3"/>
        <v>51.9</v>
      </c>
      <c r="BH10" s="702">
        <f>AJ10+BD10</f>
        <v>50.9</v>
      </c>
      <c r="BI10" s="700">
        <f>AK10+BE10</f>
        <v>47.21</v>
      </c>
    </row>
    <row r="11" spans="3:61" s="119" customFormat="1" ht="5.25" customHeight="1">
      <c r="D11" s="120"/>
      <c r="E11" s="120"/>
      <c r="F11" s="120"/>
      <c r="H11" s="122"/>
      <c r="I11" s="122"/>
      <c r="J11" s="125"/>
      <c r="K11" s="126"/>
      <c r="L11" s="126"/>
      <c r="M11" s="126"/>
      <c r="N11" s="125"/>
      <c r="O11" s="126"/>
      <c r="P11" s="126"/>
      <c r="Q11" s="126"/>
      <c r="R11" s="125"/>
      <c r="S11" s="126"/>
      <c r="T11" s="126"/>
      <c r="U11" s="126"/>
      <c r="V11" s="125"/>
      <c r="W11" s="126"/>
      <c r="X11" s="126"/>
      <c r="Y11" s="126"/>
      <c r="Z11" s="125"/>
      <c r="AA11" s="126"/>
      <c r="AB11" s="126"/>
      <c r="AC11" s="126"/>
      <c r="AD11" s="125"/>
      <c r="AE11" s="126"/>
      <c r="AF11" s="126"/>
      <c r="AG11" s="126"/>
      <c r="AH11" s="125"/>
      <c r="AI11" s="126"/>
      <c r="AJ11" s="126"/>
      <c r="AK11" s="126"/>
      <c r="AL11" s="125"/>
      <c r="AM11" s="126"/>
      <c r="AN11" s="126"/>
      <c r="AO11" s="126"/>
      <c r="AP11" s="125"/>
      <c r="AQ11" s="126"/>
      <c r="AR11" s="126"/>
      <c r="AS11" s="126"/>
      <c r="AT11" s="125"/>
      <c r="AU11" s="126"/>
      <c r="AV11" s="126"/>
      <c r="AW11" s="126"/>
      <c r="AX11" s="125"/>
      <c r="AY11" s="126"/>
      <c r="AZ11" s="126"/>
      <c r="BA11" s="126"/>
      <c r="BB11" s="125"/>
      <c r="BC11" s="126"/>
      <c r="BD11" s="126"/>
      <c r="BE11" s="126"/>
      <c r="BF11" s="125"/>
      <c r="BG11" s="126"/>
    </row>
    <row r="12" spans="3:61" ht="19.5" thickBot="1">
      <c r="C12" s="1019"/>
      <c r="D12" s="1017"/>
      <c r="E12" s="1017"/>
      <c r="F12" s="1023"/>
      <c r="H12" s="1867" t="s">
        <v>114</v>
      </c>
      <c r="I12" s="1868"/>
      <c r="J12" s="1868"/>
      <c r="K12" s="1868"/>
      <c r="L12" s="1868"/>
      <c r="M12" s="1868"/>
      <c r="N12" s="1868"/>
      <c r="O12" s="1868"/>
      <c r="P12" s="1868"/>
      <c r="Q12" s="1868"/>
      <c r="R12" s="1868"/>
      <c r="S12" s="1868"/>
      <c r="T12" s="1868"/>
      <c r="U12" s="1868"/>
      <c r="V12" s="1868"/>
      <c r="W12" s="1868"/>
      <c r="X12" s="1868"/>
      <c r="Y12" s="1868"/>
      <c r="Z12" s="1868"/>
      <c r="AA12" s="1868"/>
      <c r="AB12" s="1868"/>
      <c r="AC12" s="1868"/>
      <c r="AD12" s="1868"/>
      <c r="AE12" s="1868"/>
      <c r="AF12" s="1868"/>
      <c r="AG12" s="1868"/>
      <c r="AH12" s="1868"/>
      <c r="AI12" s="1868"/>
      <c r="AJ12" s="1868"/>
      <c r="AK12" s="1868"/>
      <c r="AL12" s="1868"/>
      <c r="AM12" s="1868"/>
      <c r="AN12" s="1868"/>
      <c r="AO12" s="1868"/>
      <c r="AP12" s="1868"/>
      <c r="AQ12" s="1868"/>
      <c r="AR12" s="1868"/>
      <c r="AS12" s="1868"/>
      <c r="AT12" s="1868"/>
      <c r="AU12" s="1868"/>
      <c r="AV12" s="1868"/>
      <c r="AW12" s="1868"/>
      <c r="AX12" s="1868"/>
      <c r="AY12" s="1868"/>
      <c r="AZ12" s="1868"/>
      <c r="BA12" s="1868"/>
      <c r="BB12" s="1868"/>
      <c r="BC12" s="1868"/>
      <c r="BD12" s="1868"/>
      <c r="BE12" s="1868"/>
      <c r="BF12" s="1868"/>
      <c r="BG12" s="1868"/>
      <c r="BH12" s="1868"/>
      <c r="BI12" s="1868"/>
    </row>
    <row r="13" spans="3:61" ht="18.75" customHeight="1">
      <c r="C13" s="37" t="s">
        <v>44</v>
      </c>
      <c r="D13" s="1869"/>
      <c r="E13" s="1869"/>
      <c r="F13" s="1870"/>
      <c r="H13" s="1895" t="s">
        <v>117</v>
      </c>
      <c r="I13" s="1896"/>
      <c r="J13" s="1890" t="s">
        <v>43</v>
      </c>
      <c r="K13" s="1891"/>
      <c r="L13" s="1891"/>
      <c r="M13" s="1892"/>
      <c r="N13" s="1890" t="s">
        <v>42</v>
      </c>
      <c r="O13" s="1891"/>
      <c r="P13" s="1891"/>
      <c r="Q13" s="1892"/>
      <c r="R13" s="1890" t="s">
        <v>41</v>
      </c>
      <c r="S13" s="1891"/>
      <c r="T13" s="1891"/>
      <c r="U13" s="1892"/>
      <c r="V13" s="1890" t="s">
        <v>40</v>
      </c>
      <c r="W13" s="1891"/>
      <c r="X13" s="1891"/>
      <c r="Y13" s="1892"/>
      <c r="Z13" s="1890" t="s">
        <v>39</v>
      </c>
      <c r="AA13" s="1891"/>
      <c r="AB13" s="1891"/>
      <c r="AC13" s="1892"/>
      <c r="AD13" s="1890" t="s">
        <v>38</v>
      </c>
      <c r="AE13" s="1891"/>
      <c r="AF13" s="1891"/>
      <c r="AG13" s="1892"/>
      <c r="AH13" s="1882" t="s">
        <v>122</v>
      </c>
      <c r="AI13" s="1883"/>
      <c r="AJ13" s="1883"/>
      <c r="AK13" s="1884"/>
      <c r="AL13" s="1890" t="s">
        <v>37</v>
      </c>
      <c r="AM13" s="1891"/>
      <c r="AN13" s="1891"/>
      <c r="AO13" s="1892"/>
      <c r="AP13" s="1890" t="s">
        <v>36</v>
      </c>
      <c r="AQ13" s="1891"/>
      <c r="AR13" s="1891"/>
      <c r="AS13" s="1892"/>
      <c r="AT13" s="1890" t="s">
        <v>35</v>
      </c>
      <c r="AU13" s="1891"/>
      <c r="AV13" s="1891"/>
      <c r="AW13" s="1892"/>
      <c r="AX13" s="1890" t="s">
        <v>34</v>
      </c>
      <c r="AY13" s="1891"/>
      <c r="AZ13" s="1891"/>
      <c r="BA13" s="1892"/>
      <c r="BB13" s="1882" t="s">
        <v>123</v>
      </c>
      <c r="BC13" s="1883"/>
      <c r="BD13" s="1883"/>
      <c r="BE13" s="1884"/>
      <c r="BF13" s="1880" t="s">
        <v>17</v>
      </c>
      <c r="BG13" s="1881"/>
      <c r="BH13" s="1881"/>
      <c r="BI13" s="1881"/>
    </row>
    <row r="14" spans="3:61" ht="27" customHeight="1">
      <c r="C14" s="1879" t="s">
        <v>33</v>
      </c>
      <c r="D14" s="1869"/>
      <c r="E14" s="1017" t="s">
        <v>1</v>
      </c>
      <c r="F14" s="1023" t="s">
        <v>2</v>
      </c>
      <c r="H14" s="1897"/>
      <c r="I14" s="1898"/>
      <c r="J14" s="36" t="s">
        <v>1</v>
      </c>
      <c r="K14" s="271" t="s">
        <v>2</v>
      </c>
      <c r="L14" s="271" t="s">
        <v>182</v>
      </c>
      <c r="M14" s="35" t="s">
        <v>247</v>
      </c>
      <c r="N14" s="36" t="s">
        <v>1</v>
      </c>
      <c r="O14" s="271" t="s">
        <v>2</v>
      </c>
      <c r="P14" s="271" t="s">
        <v>182</v>
      </c>
      <c r="Q14" s="35" t="s">
        <v>247</v>
      </c>
      <c r="R14" s="36" t="s">
        <v>1</v>
      </c>
      <c r="S14" s="271" t="s">
        <v>2</v>
      </c>
      <c r="T14" s="271" t="s">
        <v>182</v>
      </c>
      <c r="U14" s="35" t="s">
        <v>247</v>
      </c>
      <c r="V14" s="36" t="s">
        <v>1</v>
      </c>
      <c r="W14" s="271" t="s">
        <v>2</v>
      </c>
      <c r="X14" s="271" t="s">
        <v>182</v>
      </c>
      <c r="Y14" s="35" t="s">
        <v>247</v>
      </c>
      <c r="Z14" s="36" t="s">
        <v>1</v>
      </c>
      <c r="AA14" s="271" t="s">
        <v>2</v>
      </c>
      <c r="AB14" s="271" t="s">
        <v>182</v>
      </c>
      <c r="AC14" s="35" t="s">
        <v>247</v>
      </c>
      <c r="AD14" s="36" t="s">
        <v>1</v>
      </c>
      <c r="AE14" s="271" t="s">
        <v>2</v>
      </c>
      <c r="AF14" s="271" t="s">
        <v>182</v>
      </c>
      <c r="AG14" s="35" t="s">
        <v>247</v>
      </c>
      <c r="AH14" s="36" t="s">
        <v>1</v>
      </c>
      <c r="AI14" s="271" t="s">
        <v>2</v>
      </c>
      <c r="AJ14" s="271" t="s">
        <v>182</v>
      </c>
      <c r="AK14" s="690" t="s">
        <v>196</v>
      </c>
      <c r="AL14" s="36" t="s">
        <v>1</v>
      </c>
      <c r="AM14" s="271" t="s">
        <v>2</v>
      </c>
      <c r="AN14" s="271" t="s">
        <v>182</v>
      </c>
      <c r="AO14" s="35" t="s">
        <v>247</v>
      </c>
      <c r="AP14" s="36" t="s">
        <v>1</v>
      </c>
      <c r="AQ14" s="271" t="s">
        <v>2</v>
      </c>
      <c r="AR14" s="271" t="s">
        <v>182</v>
      </c>
      <c r="AS14" s="35" t="s">
        <v>247</v>
      </c>
      <c r="AT14" s="36" t="s">
        <v>1</v>
      </c>
      <c r="AU14" s="271" t="s">
        <v>2</v>
      </c>
      <c r="AV14" s="271" t="s">
        <v>182</v>
      </c>
      <c r="AW14" s="35" t="s">
        <v>247</v>
      </c>
      <c r="AX14" s="36" t="s">
        <v>1</v>
      </c>
      <c r="AY14" s="271" t="s">
        <v>2</v>
      </c>
      <c r="AZ14" s="271" t="s">
        <v>182</v>
      </c>
      <c r="BA14" s="35" t="s">
        <v>247</v>
      </c>
      <c r="BB14" s="36" t="s">
        <v>1</v>
      </c>
      <c r="BC14" s="271" t="s">
        <v>2</v>
      </c>
      <c r="BD14" s="271" t="s">
        <v>182</v>
      </c>
      <c r="BE14" s="690" t="s">
        <v>196</v>
      </c>
      <c r="BF14" s="274" t="s">
        <v>1</v>
      </c>
      <c r="BG14" s="275" t="s">
        <v>2</v>
      </c>
      <c r="BH14" s="275" t="s">
        <v>182</v>
      </c>
      <c r="BI14" s="703" t="s">
        <v>196</v>
      </c>
    </row>
    <row r="15" spans="3:61" s="28" customFormat="1" ht="20.100000000000001" customHeight="1">
      <c r="C15" s="1879" t="s">
        <v>28</v>
      </c>
      <c r="D15" s="1017" t="s">
        <v>27</v>
      </c>
      <c r="E15" s="1021"/>
      <c r="F15" s="34"/>
      <c r="H15" s="1888" t="s">
        <v>112</v>
      </c>
      <c r="I15" s="33" t="s">
        <v>27</v>
      </c>
      <c r="J15" s="462"/>
      <c r="K15" s="463"/>
      <c r="L15" s="463"/>
      <c r="M15" s="692"/>
      <c r="N15" s="462"/>
      <c r="O15" s="463"/>
      <c r="P15" s="463"/>
      <c r="Q15" s="692"/>
      <c r="R15" s="462"/>
      <c r="S15" s="463"/>
      <c r="T15" s="463"/>
      <c r="U15" s="692"/>
      <c r="V15" s="462"/>
      <c r="W15" s="463"/>
      <c r="X15" s="463"/>
      <c r="Y15" s="692"/>
      <c r="Z15" s="462"/>
      <c r="AA15" s="463"/>
      <c r="AB15" s="463"/>
      <c r="AC15" s="692"/>
      <c r="AD15" s="462"/>
      <c r="AE15" s="463"/>
      <c r="AF15" s="463"/>
      <c r="AG15" s="692"/>
      <c r="AH15" s="128">
        <f>J15+N15+R15+V15+Z15+AD15</f>
        <v>0</v>
      </c>
      <c r="AI15" s="273">
        <f>K15+O15+S15+W15+AA15+AE15</f>
        <v>0</v>
      </c>
      <c r="AJ15" s="273">
        <f>L15+P15+T15+X15+AB15+AF15</f>
        <v>0</v>
      </c>
      <c r="AK15" s="694">
        <f>M15+Q15+U15+Y15+AC15+AG15</f>
        <v>0</v>
      </c>
      <c r="AL15" s="462"/>
      <c r="AM15" s="463"/>
      <c r="AN15" s="463"/>
      <c r="AO15" s="692"/>
      <c r="AP15" s="462"/>
      <c r="AQ15" s="463"/>
      <c r="AR15" s="463"/>
      <c r="AS15" s="692"/>
      <c r="AT15" s="462"/>
      <c r="AU15" s="463"/>
      <c r="AV15" s="463"/>
      <c r="AW15" s="692"/>
      <c r="AX15" s="462"/>
      <c r="AY15" s="463"/>
      <c r="AZ15" s="463"/>
      <c r="BA15" s="692"/>
      <c r="BB15" s="128">
        <f>AL15+AP15+AT15+AX15</f>
        <v>0</v>
      </c>
      <c r="BC15" s="273">
        <f>AM15+AQ15+AU15+AY15</f>
        <v>0</v>
      </c>
      <c r="BD15" s="273">
        <f>AN15+AR15+AV15+AZ15</f>
        <v>0</v>
      </c>
      <c r="BE15" s="273">
        <f>AO15+AS15+AW15+BA15</f>
        <v>0</v>
      </c>
      <c r="BF15" s="276">
        <f t="shared" ref="BF15:BI23" si="4">AH15+BB15</f>
        <v>0</v>
      </c>
      <c r="BG15" s="277">
        <f t="shared" si="4"/>
        <v>0</v>
      </c>
      <c r="BH15" s="277">
        <f t="shared" si="4"/>
        <v>0</v>
      </c>
      <c r="BI15" s="704">
        <f t="shared" si="4"/>
        <v>0</v>
      </c>
    </row>
    <row r="16" spans="3:61" s="28" customFormat="1" ht="20.100000000000001" customHeight="1">
      <c r="C16" s="1879"/>
      <c r="D16" s="1017" t="s">
        <v>26</v>
      </c>
      <c r="E16" s="1017"/>
      <c r="F16" s="1018"/>
      <c r="H16" s="1889"/>
      <c r="I16" s="33" t="s">
        <v>26</v>
      </c>
      <c r="J16" s="462"/>
      <c r="K16" s="463"/>
      <c r="L16" s="463"/>
      <c r="M16" s="692"/>
      <c r="N16" s="462"/>
      <c r="O16" s="463"/>
      <c r="P16" s="463"/>
      <c r="Q16" s="692"/>
      <c r="R16" s="462"/>
      <c r="S16" s="463"/>
      <c r="T16" s="463"/>
      <c r="U16" s="692"/>
      <c r="V16" s="462"/>
      <c r="W16" s="463"/>
      <c r="X16" s="463"/>
      <c r="Y16" s="692"/>
      <c r="Z16" s="462"/>
      <c r="AA16" s="463"/>
      <c r="AB16" s="463"/>
      <c r="AC16" s="692"/>
      <c r="AD16" s="462"/>
      <c r="AE16" s="463"/>
      <c r="AF16" s="463"/>
      <c r="AG16" s="692"/>
      <c r="AH16" s="128">
        <f t="shared" ref="AH16:AK23" si="5">J16+N16+R16+V16+Z16+AD16</f>
        <v>0</v>
      </c>
      <c r="AI16" s="273">
        <f t="shared" si="5"/>
        <v>0</v>
      </c>
      <c r="AJ16" s="273">
        <f t="shared" si="5"/>
        <v>0</v>
      </c>
      <c r="AK16" s="694">
        <f t="shared" si="5"/>
        <v>0</v>
      </c>
      <c r="AL16" s="462"/>
      <c r="AM16" s="463"/>
      <c r="AN16" s="463"/>
      <c r="AO16" s="692"/>
      <c r="AP16" s="462"/>
      <c r="AQ16" s="463"/>
      <c r="AR16" s="463"/>
      <c r="AS16" s="692"/>
      <c r="AT16" s="462"/>
      <c r="AU16" s="463"/>
      <c r="AV16" s="463"/>
      <c r="AW16" s="692"/>
      <c r="AX16" s="462">
        <v>8</v>
      </c>
      <c r="AY16" s="463"/>
      <c r="AZ16" s="463"/>
      <c r="BA16" s="692"/>
      <c r="BB16" s="128">
        <f t="shared" ref="BB16:BE23" si="6">AL16+AP16+AT16+AX16</f>
        <v>8</v>
      </c>
      <c r="BC16" s="273">
        <f t="shared" si="6"/>
        <v>0</v>
      </c>
      <c r="BD16" s="273">
        <f t="shared" si="6"/>
        <v>0</v>
      </c>
      <c r="BE16" s="273">
        <f t="shared" si="6"/>
        <v>0</v>
      </c>
      <c r="BF16" s="276">
        <f t="shared" si="4"/>
        <v>8</v>
      </c>
      <c r="BG16" s="277">
        <f t="shared" si="4"/>
        <v>0</v>
      </c>
      <c r="BH16" s="277">
        <f t="shared" si="4"/>
        <v>0</v>
      </c>
      <c r="BI16" s="704">
        <f t="shared" si="4"/>
        <v>0</v>
      </c>
    </row>
    <row r="17" spans="3:61" s="28" customFormat="1" ht="23.25" customHeight="1">
      <c r="C17" s="1879"/>
      <c r="D17" s="1017" t="s">
        <v>25</v>
      </c>
      <c r="E17" s="1017"/>
      <c r="F17" s="1018"/>
      <c r="H17" s="1889"/>
      <c r="I17" s="33" t="s">
        <v>25</v>
      </c>
      <c r="J17" s="462"/>
      <c r="K17" s="463"/>
      <c r="L17" s="463"/>
      <c r="M17" s="692"/>
      <c r="N17" s="462"/>
      <c r="O17" s="463"/>
      <c r="P17" s="463"/>
      <c r="Q17" s="692"/>
      <c r="R17" s="462"/>
      <c r="S17" s="463"/>
      <c r="T17" s="463"/>
      <c r="U17" s="692"/>
      <c r="V17" s="462"/>
      <c r="W17" s="463"/>
      <c r="X17" s="463"/>
      <c r="Y17" s="692"/>
      <c r="Z17" s="462"/>
      <c r="AA17" s="463"/>
      <c r="AB17" s="463"/>
      <c r="AC17" s="692"/>
      <c r="AD17" s="462"/>
      <c r="AE17" s="463"/>
      <c r="AF17" s="463"/>
      <c r="AG17" s="692"/>
      <c r="AH17" s="128">
        <f t="shared" si="5"/>
        <v>0</v>
      </c>
      <c r="AI17" s="273">
        <f t="shared" si="5"/>
        <v>0</v>
      </c>
      <c r="AJ17" s="273">
        <f t="shared" si="5"/>
        <v>0</v>
      </c>
      <c r="AK17" s="694">
        <f t="shared" si="5"/>
        <v>0</v>
      </c>
      <c r="AL17" s="462"/>
      <c r="AM17" s="463"/>
      <c r="AN17" s="463"/>
      <c r="AO17" s="692"/>
      <c r="AP17" s="462"/>
      <c r="AQ17" s="463"/>
      <c r="AR17" s="463"/>
      <c r="AS17" s="692"/>
      <c r="AT17" s="462"/>
      <c r="AU17" s="463"/>
      <c r="AV17" s="463"/>
      <c r="AW17" s="692"/>
      <c r="AX17" s="462"/>
      <c r="AY17" s="463"/>
      <c r="AZ17" s="463"/>
      <c r="BA17" s="692"/>
      <c r="BB17" s="128">
        <f t="shared" si="6"/>
        <v>0</v>
      </c>
      <c r="BC17" s="273">
        <f t="shared" si="6"/>
        <v>0</v>
      </c>
      <c r="BD17" s="273">
        <f t="shared" si="6"/>
        <v>0</v>
      </c>
      <c r="BE17" s="273">
        <f t="shared" si="6"/>
        <v>0</v>
      </c>
      <c r="BF17" s="276">
        <f t="shared" si="4"/>
        <v>0</v>
      </c>
      <c r="BG17" s="277">
        <f t="shared" si="4"/>
        <v>0</v>
      </c>
      <c r="BH17" s="277">
        <f t="shared" si="4"/>
        <v>0</v>
      </c>
      <c r="BI17" s="704">
        <f t="shared" si="4"/>
        <v>0</v>
      </c>
    </row>
    <row r="18" spans="3:61" s="28" customFormat="1" ht="21">
      <c r="C18" s="1879"/>
      <c r="D18" s="1017" t="s">
        <v>24</v>
      </c>
      <c r="E18" s="1017"/>
      <c r="F18" s="1018"/>
      <c r="H18" s="1889"/>
      <c r="I18" s="33" t="s">
        <v>24</v>
      </c>
      <c r="J18" s="462"/>
      <c r="K18" s="463"/>
      <c r="L18" s="463"/>
      <c r="M18" s="692"/>
      <c r="N18" s="462"/>
      <c r="O18" s="463"/>
      <c r="P18" s="463"/>
      <c r="Q18" s="692"/>
      <c r="R18" s="462"/>
      <c r="S18" s="463"/>
      <c r="T18" s="463"/>
      <c r="U18" s="692"/>
      <c r="V18" s="462"/>
      <c r="W18" s="463"/>
      <c r="X18" s="463"/>
      <c r="Y18" s="692"/>
      <c r="Z18" s="462"/>
      <c r="AA18" s="463"/>
      <c r="AB18" s="463"/>
      <c r="AC18" s="692"/>
      <c r="AD18" s="462"/>
      <c r="AE18" s="463"/>
      <c r="AF18" s="463"/>
      <c r="AG18" s="692"/>
      <c r="AH18" s="128">
        <f t="shared" si="5"/>
        <v>0</v>
      </c>
      <c r="AI18" s="273">
        <f t="shared" si="5"/>
        <v>0</v>
      </c>
      <c r="AJ18" s="273">
        <f t="shared" si="5"/>
        <v>0</v>
      </c>
      <c r="AK18" s="694">
        <f t="shared" si="5"/>
        <v>0</v>
      </c>
      <c r="AL18" s="462"/>
      <c r="AM18" s="463"/>
      <c r="AN18" s="463"/>
      <c r="AO18" s="692"/>
      <c r="AP18" s="462"/>
      <c r="AQ18" s="463"/>
      <c r="AR18" s="463"/>
      <c r="AS18" s="692"/>
      <c r="AT18" s="462"/>
      <c r="AU18" s="463"/>
      <c r="AV18" s="463"/>
      <c r="AW18" s="692"/>
      <c r="AX18" s="462"/>
      <c r="AY18" s="463"/>
      <c r="AZ18" s="463"/>
      <c r="BA18" s="692"/>
      <c r="BB18" s="128">
        <f t="shared" si="6"/>
        <v>0</v>
      </c>
      <c r="BC18" s="273">
        <f t="shared" si="6"/>
        <v>0</v>
      </c>
      <c r="BD18" s="273">
        <f t="shared" si="6"/>
        <v>0</v>
      </c>
      <c r="BE18" s="273">
        <f t="shared" si="6"/>
        <v>0</v>
      </c>
      <c r="BF18" s="276">
        <f t="shared" si="4"/>
        <v>0</v>
      </c>
      <c r="BG18" s="277">
        <f t="shared" si="4"/>
        <v>0</v>
      </c>
      <c r="BH18" s="277">
        <f t="shared" si="4"/>
        <v>0</v>
      </c>
      <c r="BI18" s="704">
        <f t="shared" si="4"/>
        <v>0</v>
      </c>
    </row>
    <row r="19" spans="3:61" s="28" customFormat="1" ht="20.100000000000001" customHeight="1">
      <c r="C19" s="1879"/>
      <c r="D19" s="1017" t="s">
        <v>23</v>
      </c>
      <c r="E19" s="1017"/>
      <c r="F19" s="1018"/>
      <c r="H19" s="1889"/>
      <c r="I19" s="33" t="s">
        <v>23</v>
      </c>
      <c r="J19" s="462"/>
      <c r="K19" s="463"/>
      <c r="L19" s="463"/>
      <c r="M19" s="692"/>
      <c r="N19" s="462"/>
      <c r="O19" s="463"/>
      <c r="P19" s="463"/>
      <c r="Q19" s="692"/>
      <c r="R19" s="462"/>
      <c r="S19" s="463"/>
      <c r="T19" s="463"/>
      <c r="U19" s="692"/>
      <c r="V19" s="462"/>
      <c r="W19" s="463"/>
      <c r="X19" s="463"/>
      <c r="Y19" s="692"/>
      <c r="Z19" s="462"/>
      <c r="AA19" s="463"/>
      <c r="AB19" s="463"/>
      <c r="AC19" s="692"/>
      <c r="AD19" s="462"/>
      <c r="AE19" s="463"/>
      <c r="AF19" s="463"/>
      <c r="AG19" s="692"/>
      <c r="AH19" s="128">
        <f t="shared" si="5"/>
        <v>0</v>
      </c>
      <c r="AI19" s="273">
        <f t="shared" si="5"/>
        <v>0</v>
      </c>
      <c r="AJ19" s="273">
        <f t="shared" si="5"/>
        <v>0</v>
      </c>
      <c r="AK19" s="694">
        <f t="shared" si="5"/>
        <v>0</v>
      </c>
      <c r="AL19" s="1012"/>
      <c r="AM19" s="463"/>
      <c r="AN19" s="463"/>
      <c r="AO19" s="692"/>
      <c r="AP19" s="462"/>
      <c r="AQ19" s="463"/>
      <c r="AR19" s="463"/>
      <c r="AS19" s="692"/>
      <c r="AT19" s="462"/>
      <c r="AU19" s="463"/>
      <c r="AV19" s="463"/>
      <c r="AW19" s="692"/>
      <c r="AX19" s="462"/>
      <c r="AY19" s="463"/>
      <c r="AZ19" s="463"/>
      <c r="BA19" s="692"/>
      <c r="BB19" s="128">
        <f t="shared" si="6"/>
        <v>0</v>
      </c>
      <c r="BC19" s="273">
        <f t="shared" si="6"/>
        <v>0</v>
      </c>
      <c r="BD19" s="273">
        <f t="shared" si="6"/>
        <v>0</v>
      </c>
      <c r="BE19" s="273">
        <f t="shared" si="6"/>
        <v>0</v>
      </c>
      <c r="BF19" s="276">
        <f t="shared" si="4"/>
        <v>0</v>
      </c>
      <c r="BG19" s="277">
        <f t="shared" si="4"/>
        <v>0</v>
      </c>
      <c r="BH19" s="277">
        <f t="shared" si="4"/>
        <v>0</v>
      </c>
      <c r="BI19" s="704">
        <f t="shared" si="4"/>
        <v>0</v>
      </c>
    </row>
    <row r="20" spans="3:61" s="28" customFormat="1" ht="20.100000000000001" customHeight="1">
      <c r="C20" s="1879"/>
      <c r="D20" s="1017" t="s">
        <v>22</v>
      </c>
      <c r="E20" s="1017"/>
      <c r="F20" s="1018"/>
      <c r="H20" s="1889"/>
      <c r="I20" s="33" t="s">
        <v>22</v>
      </c>
      <c r="J20" s="462"/>
      <c r="K20" s="463"/>
      <c r="L20" s="463"/>
      <c r="M20" s="692"/>
      <c r="N20" s="462"/>
      <c r="O20" s="463"/>
      <c r="P20" s="463"/>
      <c r="Q20" s="692"/>
      <c r="R20" s="462"/>
      <c r="S20" s="463"/>
      <c r="T20" s="463"/>
      <c r="U20" s="692">
        <v>7.8</v>
      </c>
      <c r="V20" s="462">
        <v>14</v>
      </c>
      <c r="W20" s="463">
        <v>7.5</v>
      </c>
      <c r="X20" s="463"/>
      <c r="Y20" s="692"/>
      <c r="Z20" s="462"/>
      <c r="AA20" s="463"/>
      <c r="AB20" s="463"/>
      <c r="AC20" s="692"/>
      <c r="AD20" s="462"/>
      <c r="AE20" s="463"/>
      <c r="AF20" s="463"/>
      <c r="AG20" s="692"/>
      <c r="AH20" s="128">
        <f t="shared" si="5"/>
        <v>14</v>
      </c>
      <c r="AI20" s="273">
        <f t="shared" si="5"/>
        <v>7.5</v>
      </c>
      <c r="AJ20" s="273">
        <f t="shared" si="5"/>
        <v>0</v>
      </c>
      <c r="AK20" s="694">
        <f t="shared" si="5"/>
        <v>7.8</v>
      </c>
      <c r="AL20" s="462"/>
      <c r="AM20" s="463">
        <f>9.8+6.7</f>
        <v>16.5</v>
      </c>
      <c r="AN20" s="463">
        <v>16.5</v>
      </c>
      <c r="AO20" s="692"/>
      <c r="AP20" s="462"/>
      <c r="AQ20" s="463"/>
      <c r="AR20" s="463"/>
      <c r="AS20" s="692"/>
      <c r="AT20" s="462"/>
      <c r="AU20" s="463"/>
      <c r="AV20" s="463"/>
      <c r="AW20" s="692"/>
      <c r="AX20" s="462"/>
      <c r="AY20" s="463"/>
      <c r="AZ20" s="463"/>
      <c r="BA20" s="692"/>
      <c r="BB20" s="128">
        <f t="shared" si="6"/>
        <v>0</v>
      </c>
      <c r="BC20" s="273">
        <f t="shared" si="6"/>
        <v>16.5</v>
      </c>
      <c r="BD20" s="273">
        <f t="shared" si="6"/>
        <v>16.5</v>
      </c>
      <c r="BE20" s="273">
        <f t="shared" si="6"/>
        <v>0</v>
      </c>
      <c r="BF20" s="276">
        <f t="shared" si="4"/>
        <v>14</v>
      </c>
      <c r="BG20" s="277">
        <f t="shared" si="4"/>
        <v>24</v>
      </c>
      <c r="BH20" s="277">
        <f t="shared" si="4"/>
        <v>16.5</v>
      </c>
      <c r="BI20" s="704">
        <f t="shared" si="4"/>
        <v>7.8</v>
      </c>
    </row>
    <row r="21" spans="3:61" s="28" customFormat="1" ht="20.100000000000001" customHeight="1">
      <c r="C21" s="1885"/>
      <c r="D21" s="1017"/>
      <c r="E21" s="1017"/>
      <c r="F21" s="1018"/>
      <c r="H21" s="1889"/>
      <c r="I21" s="33" t="s">
        <v>21</v>
      </c>
      <c r="J21" s="462"/>
      <c r="K21" s="463"/>
      <c r="L21" s="463"/>
      <c r="M21" s="692"/>
      <c r="N21" s="462"/>
      <c r="O21" s="463"/>
      <c r="P21" s="463"/>
      <c r="Q21" s="692"/>
      <c r="R21" s="462"/>
      <c r="S21" s="463"/>
      <c r="T21" s="463"/>
      <c r="U21" s="692"/>
      <c r="V21" s="462"/>
      <c r="W21" s="463"/>
      <c r="X21" s="463"/>
      <c r="Y21" s="692"/>
      <c r="Z21" s="462"/>
      <c r="AA21" s="463"/>
      <c r="AB21" s="463"/>
      <c r="AC21" s="692"/>
      <c r="AD21" s="462"/>
      <c r="AE21" s="463"/>
      <c r="AF21" s="463"/>
      <c r="AG21" s="692"/>
      <c r="AH21" s="128">
        <f t="shared" si="5"/>
        <v>0</v>
      </c>
      <c r="AI21" s="273">
        <f t="shared" si="5"/>
        <v>0</v>
      </c>
      <c r="AJ21" s="273">
        <f t="shared" si="5"/>
        <v>0</v>
      </c>
      <c r="AK21" s="694">
        <f t="shared" si="5"/>
        <v>0</v>
      </c>
      <c r="AL21" s="462"/>
      <c r="AM21" s="463"/>
      <c r="AN21" s="463"/>
      <c r="AO21" s="692"/>
      <c r="AP21" s="462"/>
      <c r="AQ21" s="463"/>
      <c r="AR21" s="463"/>
      <c r="AS21" s="692"/>
      <c r="AT21" s="462"/>
      <c r="AU21" s="463"/>
      <c r="AV21" s="463"/>
      <c r="AW21" s="692"/>
      <c r="AX21" s="462"/>
      <c r="AY21" s="463"/>
      <c r="AZ21" s="463"/>
      <c r="BA21" s="692"/>
      <c r="BB21" s="128">
        <f t="shared" si="6"/>
        <v>0</v>
      </c>
      <c r="BC21" s="273">
        <f t="shared" si="6"/>
        <v>0</v>
      </c>
      <c r="BD21" s="273">
        <f t="shared" si="6"/>
        <v>0</v>
      </c>
      <c r="BE21" s="273">
        <f t="shared" si="6"/>
        <v>0</v>
      </c>
      <c r="BF21" s="276">
        <f t="shared" si="4"/>
        <v>0</v>
      </c>
      <c r="BG21" s="277">
        <f t="shared" si="4"/>
        <v>0</v>
      </c>
      <c r="BH21" s="277">
        <f t="shared" si="4"/>
        <v>0</v>
      </c>
      <c r="BI21" s="704">
        <f t="shared" si="4"/>
        <v>0</v>
      </c>
    </row>
    <row r="22" spans="3:61" s="28" customFormat="1" ht="20.100000000000001" customHeight="1">
      <c r="C22" s="1885"/>
      <c r="D22" s="1017"/>
      <c r="E22" s="1017"/>
      <c r="F22" s="1018"/>
      <c r="H22" s="1889"/>
      <c r="I22" s="33" t="s">
        <v>20</v>
      </c>
      <c r="J22" s="462"/>
      <c r="K22" s="463"/>
      <c r="L22" s="463"/>
      <c r="M22" s="692"/>
      <c r="N22" s="462"/>
      <c r="O22" s="463"/>
      <c r="P22" s="463"/>
      <c r="Q22" s="692"/>
      <c r="R22" s="462"/>
      <c r="S22" s="463"/>
      <c r="T22" s="463"/>
      <c r="U22" s="692"/>
      <c r="V22" s="462"/>
      <c r="W22" s="463"/>
      <c r="X22" s="463"/>
      <c r="Y22" s="692"/>
      <c r="Z22" s="462"/>
      <c r="AA22" s="463"/>
      <c r="AB22" s="463"/>
      <c r="AC22" s="692"/>
      <c r="AD22" s="462"/>
      <c r="AE22" s="463"/>
      <c r="AF22" s="463"/>
      <c r="AG22" s="692"/>
      <c r="AH22" s="128">
        <f t="shared" si="5"/>
        <v>0</v>
      </c>
      <c r="AI22" s="273">
        <f t="shared" si="5"/>
        <v>0</v>
      </c>
      <c r="AJ22" s="273">
        <f t="shared" si="5"/>
        <v>0</v>
      </c>
      <c r="AK22" s="694">
        <f t="shared" si="5"/>
        <v>0</v>
      </c>
      <c r="AL22" s="462"/>
      <c r="AM22" s="463"/>
      <c r="AN22" s="463"/>
      <c r="AO22" s="692"/>
      <c r="AP22" s="462"/>
      <c r="AQ22" s="463"/>
      <c r="AR22" s="463"/>
      <c r="AS22" s="692"/>
      <c r="AT22" s="462">
        <v>14</v>
      </c>
      <c r="AU22" s="463"/>
      <c r="AV22" s="463"/>
      <c r="AW22" s="692"/>
      <c r="AX22" s="462"/>
      <c r="AY22" s="463"/>
      <c r="AZ22" s="463"/>
      <c r="BA22" s="692"/>
      <c r="BB22" s="128">
        <f t="shared" si="6"/>
        <v>14</v>
      </c>
      <c r="BC22" s="273">
        <f t="shared" si="6"/>
        <v>0</v>
      </c>
      <c r="BD22" s="273">
        <f t="shared" si="6"/>
        <v>0</v>
      </c>
      <c r="BE22" s="273">
        <f t="shared" si="6"/>
        <v>0</v>
      </c>
      <c r="BF22" s="276">
        <f t="shared" si="4"/>
        <v>14</v>
      </c>
      <c r="BG22" s="277">
        <f t="shared" si="4"/>
        <v>0</v>
      </c>
      <c r="BH22" s="277">
        <f t="shared" si="4"/>
        <v>0</v>
      </c>
      <c r="BI22" s="704">
        <f t="shared" si="4"/>
        <v>0</v>
      </c>
    </row>
    <row r="23" spans="3:61" s="28" customFormat="1" ht="20.100000000000001" customHeight="1">
      <c r="C23" s="1885"/>
      <c r="D23" s="1017"/>
      <c r="E23" s="1017"/>
      <c r="F23" s="1018"/>
      <c r="H23" s="1889"/>
      <c r="I23" s="33" t="s">
        <v>19</v>
      </c>
      <c r="J23" s="462"/>
      <c r="K23" s="463"/>
      <c r="L23" s="463"/>
      <c r="M23" s="692"/>
      <c r="N23" s="462"/>
      <c r="O23" s="463"/>
      <c r="P23" s="463"/>
      <c r="Q23" s="692"/>
      <c r="R23" s="462"/>
      <c r="S23" s="463"/>
      <c r="T23" s="463"/>
      <c r="U23" s="692"/>
      <c r="V23" s="462"/>
      <c r="W23" s="463"/>
      <c r="X23" s="463"/>
      <c r="Y23" s="692"/>
      <c r="Z23" s="462"/>
      <c r="AA23" s="463"/>
      <c r="AB23" s="463"/>
      <c r="AC23" s="692"/>
      <c r="AD23" s="462"/>
      <c r="AE23" s="463"/>
      <c r="AF23" s="463"/>
      <c r="AG23" s="692"/>
      <c r="AH23" s="128">
        <f t="shared" si="5"/>
        <v>0</v>
      </c>
      <c r="AI23" s="273">
        <f t="shared" si="5"/>
        <v>0</v>
      </c>
      <c r="AJ23" s="273">
        <f t="shared" si="5"/>
        <v>0</v>
      </c>
      <c r="AK23" s="694">
        <f t="shared" si="5"/>
        <v>0</v>
      </c>
      <c r="AL23" s="462"/>
      <c r="AM23" s="463"/>
      <c r="AN23" s="463"/>
      <c r="AO23" s="692"/>
      <c r="AP23" s="462"/>
      <c r="AQ23" s="463"/>
      <c r="AR23" s="463"/>
      <c r="AS23" s="692"/>
      <c r="AT23" s="462"/>
      <c r="AU23" s="463"/>
      <c r="AV23" s="463"/>
      <c r="AW23" s="692"/>
      <c r="AX23" s="462"/>
      <c r="AY23" s="463"/>
      <c r="AZ23" s="463"/>
      <c r="BA23" s="692"/>
      <c r="BB23" s="128">
        <f t="shared" si="6"/>
        <v>0</v>
      </c>
      <c r="BC23" s="273">
        <f t="shared" si="6"/>
        <v>0</v>
      </c>
      <c r="BD23" s="273">
        <f t="shared" si="6"/>
        <v>0</v>
      </c>
      <c r="BE23" s="273">
        <f t="shared" si="6"/>
        <v>0</v>
      </c>
      <c r="BF23" s="276">
        <f t="shared" si="4"/>
        <v>0</v>
      </c>
      <c r="BG23" s="277">
        <f t="shared" si="4"/>
        <v>0</v>
      </c>
      <c r="BH23" s="277">
        <f t="shared" si="4"/>
        <v>0</v>
      </c>
      <c r="BI23" s="704">
        <f t="shared" si="4"/>
        <v>0</v>
      </c>
    </row>
    <row r="24" spans="3:61" s="28" customFormat="1" ht="20.100000000000001" customHeight="1" thickBot="1">
      <c r="C24" s="1885"/>
      <c r="D24" s="1017"/>
      <c r="E24" s="1017"/>
      <c r="F24" s="1018"/>
      <c r="H24" s="1865" t="s">
        <v>116</v>
      </c>
      <c r="I24" s="1866"/>
      <c r="J24" s="118">
        <f t="shared" ref="J24:BI24" si="7">SUM(J15:J23)</f>
        <v>0</v>
      </c>
      <c r="K24" s="272">
        <f t="shared" si="7"/>
        <v>0</v>
      </c>
      <c r="L24" s="272">
        <f>SUM(L15:L23)</f>
        <v>0</v>
      </c>
      <c r="M24" s="272">
        <f>SUM(M15:M23)</f>
        <v>0</v>
      </c>
      <c r="N24" s="118">
        <f t="shared" ref="N24:AI24" si="8">SUM(N15:N23)</f>
        <v>0</v>
      </c>
      <c r="O24" s="272">
        <f t="shared" si="8"/>
        <v>0</v>
      </c>
      <c r="P24" s="272">
        <f t="shared" si="8"/>
        <v>0</v>
      </c>
      <c r="Q24" s="272">
        <f t="shared" si="8"/>
        <v>0</v>
      </c>
      <c r="R24" s="118">
        <f t="shared" si="8"/>
        <v>0</v>
      </c>
      <c r="S24" s="272">
        <f t="shared" si="8"/>
        <v>0</v>
      </c>
      <c r="T24" s="272">
        <f t="shared" si="8"/>
        <v>0</v>
      </c>
      <c r="U24" s="272">
        <f t="shared" si="8"/>
        <v>7.8</v>
      </c>
      <c r="V24" s="118">
        <f t="shared" si="8"/>
        <v>14</v>
      </c>
      <c r="W24" s="272">
        <f t="shared" si="8"/>
        <v>7.5</v>
      </c>
      <c r="X24" s="272">
        <f t="shared" si="8"/>
        <v>0</v>
      </c>
      <c r="Y24" s="272">
        <f t="shared" si="8"/>
        <v>0</v>
      </c>
      <c r="Z24" s="118">
        <f t="shared" si="8"/>
        <v>0</v>
      </c>
      <c r="AA24" s="272">
        <f t="shared" si="8"/>
        <v>0</v>
      </c>
      <c r="AB24" s="272">
        <f t="shared" si="8"/>
        <v>0</v>
      </c>
      <c r="AC24" s="272">
        <f t="shared" si="8"/>
        <v>0</v>
      </c>
      <c r="AD24" s="118">
        <f t="shared" si="8"/>
        <v>0</v>
      </c>
      <c r="AE24" s="272">
        <f t="shared" si="8"/>
        <v>0</v>
      </c>
      <c r="AF24" s="272">
        <f t="shared" si="8"/>
        <v>0</v>
      </c>
      <c r="AG24" s="272">
        <f t="shared" si="8"/>
        <v>0</v>
      </c>
      <c r="AH24" s="118">
        <f t="shared" si="8"/>
        <v>14</v>
      </c>
      <c r="AI24" s="272">
        <f t="shared" si="8"/>
        <v>7.5</v>
      </c>
      <c r="AJ24" s="272">
        <f>SUM(AJ15:AJ23)</f>
        <v>0</v>
      </c>
      <c r="AK24" s="695">
        <f>SUM(AK15:AK23)</f>
        <v>7.8</v>
      </c>
      <c r="AL24" s="118">
        <f t="shared" ref="AL24:BC24" si="9">SUM(AL15:AL23)</f>
        <v>0</v>
      </c>
      <c r="AM24" s="272">
        <f t="shared" si="9"/>
        <v>16.5</v>
      </c>
      <c r="AN24" s="272">
        <f t="shared" si="9"/>
        <v>16.5</v>
      </c>
      <c r="AO24" s="272">
        <f t="shared" si="9"/>
        <v>0</v>
      </c>
      <c r="AP24" s="118">
        <f t="shared" si="9"/>
        <v>0</v>
      </c>
      <c r="AQ24" s="272">
        <f t="shared" si="9"/>
        <v>0</v>
      </c>
      <c r="AR24" s="272">
        <f t="shared" si="9"/>
        <v>0</v>
      </c>
      <c r="AS24" s="272">
        <f t="shared" si="9"/>
        <v>0</v>
      </c>
      <c r="AT24" s="118">
        <f t="shared" si="9"/>
        <v>14</v>
      </c>
      <c r="AU24" s="272">
        <f t="shared" si="9"/>
        <v>0</v>
      </c>
      <c r="AV24" s="272">
        <f t="shared" si="9"/>
        <v>0</v>
      </c>
      <c r="AW24" s="272">
        <f t="shared" si="9"/>
        <v>0</v>
      </c>
      <c r="AX24" s="118">
        <f t="shared" si="9"/>
        <v>8</v>
      </c>
      <c r="AY24" s="272">
        <f t="shared" si="9"/>
        <v>0</v>
      </c>
      <c r="AZ24" s="272">
        <f t="shared" si="9"/>
        <v>0</v>
      </c>
      <c r="BA24" s="272">
        <f t="shared" si="9"/>
        <v>0</v>
      </c>
      <c r="BB24" s="118">
        <f t="shared" si="9"/>
        <v>22</v>
      </c>
      <c r="BC24" s="272">
        <f t="shared" si="9"/>
        <v>16.5</v>
      </c>
      <c r="BD24" s="272">
        <f>SUM(BD15:BD23)</f>
        <v>16.5</v>
      </c>
      <c r="BE24" s="272">
        <f>SUM(BE15:BE23)</f>
        <v>0</v>
      </c>
      <c r="BF24" s="278">
        <f t="shared" si="7"/>
        <v>36</v>
      </c>
      <c r="BG24" s="279">
        <f t="shared" si="7"/>
        <v>24</v>
      </c>
      <c r="BH24" s="279">
        <f t="shared" si="7"/>
        <v>16.5</v>
      </c>
      <c r="BI24" s="705">
        <f t="shared" si="7"/>
        <v>7.8</v>
      </c>
    </row>
    <row r="25" spans="3:61" s="119" customFormat="1" ht="9" customHeight="1" thickBot="1">
      <c r="C25" s="121"/>
      <c r="D25" s="121"/>
      <c r="E25" s="121"/>
      <c r="F25" s="121"/>
      <c r="H25" s="122"/>
      <c r="I25" s="122"/>
      <c r="J25" s="125"/>
      <c r="K25" s="126"/>
      <c r="L25" s="126"/>
      <c r="M25" s="126"/>
      <c r="N25" s="125"/>
      <c r="O25" s="126"/>
      <c r="P25" s="126"/>
      <c r="Q25" s="126"/>
      <c r="R25" s="125"/>
      <c r="S25" s="126"/>
      <c r="T25" s="126"/>
      <c r="U25" s="126"/>
      <c r="V25" s="125"/>
      <c r="W25" s="126"/>
      <c r="X25" s="126"/>
      <c r="Y25" s="126"/>
      <c r="Z25" s="125"/>
      <c r="AA25" s="126"/>
      <c r="AB25" s="126"/>
      <c r="AC25" s="126"/>
      <c r="AD25" s="125"/>
      <c r="AE25" s="126"/>
      <c r="AF25" s="126"/>
      <c r="AG25" s="126"/>
      <c r="AH25" s="125"/>
      <c r="AI25" s="126"/>
      <c r="AJ25" s="126"/>
      <c r="AK25" s="126"/>
      <c r="AL25" s="125"/>
      <c r="AM25" s="126"/>
      <c r="AN25" s="126"/>
      <c r="AO25" s="126"/>
      <c r="AP25" s="125"/>
      <c r="AQ25" s="126"/>
      <c r="AR25" s="126"/>
      <c r="AS25" s="126"/>
      <c r="AT25" s="125"/>
      <c r="AU25" s="126"/>
      <c r="AV25" s="126"/>
      <c r="AW25" s="126"/>
      <c r="AX25" s="125"/>
      <c r="AY25" s="126"/>
      <c r="AZ25" s="126"/>
      <c r="BA25" s="126"/>
      <c r="BB25" s="125"/>
      <c r="BC25" s="126"/>
      <c r="BD25" s="126"/>
      <c r="BE25" s="126"/>
      <c r="BF25" s="125"/>
      <c r="BG25" s="126"/>
    </row>
    <row r="26" spans="3:61" s="28" customFormat="1" ht="26.25" customHeight="1" thickBot="1">
      <c r="D26" s="29"/>
      <c r="E26" s="29"/>
      <c r="F26" s="29"/>
      <c r="H26" s="1893" t="s">
        <v>49</v>
      </c>
      <c r="I26" s="1894"/>
      <c r="J26" s="123">
        <f t="shared" ref="J26:BI26" si="10">J10+J24</f>
        <v>60</v>
      </c>
      <c r="K26" s="280">
        <f t="shared" si="10"/>
        <v>10</v>
      </c>
      <c r="L26" s="280">
        <f>L10+L24</f>
        <v>10</v>
      </c>
      <c r="M26" s="280">
        <f>M10+M24</f>
        <v>0</v>
      </c>
      <c r="N26" s="123">
        <f t="shared" ref="N26:O26" si="11">N10+N24</f>
        <v>10</v>
      </c>
      <c r="O26" s="280">
        <f t="shared" si="11"/>
        <v>3.4</v>
      </c>
      <c r="P26" s="280">
        <f>P10+P24</f>
        <v>3.4</v>
      </c>
      <c r="Q26" s="280">
        <f>Q10+Q24</f>
        <v>0</v>
      </c>
      <c r="R26" s="123">
        <f t="shared" ref="R26:S26" si="12">R10+R24</f>
        <v>0</v>
      </c>
      <c r="S26" s="280">
        <f t="shared" si="12"/>
        <v>0</v>
      </c>
      <c r="T26" s="280">
        <f>T10+T24</f>
        <v>0</v>
      </c>
      <c r="U26" s="280">
        <f>U10+U24</f>
        <v>7.8</v>
      </c>
      <c r="V26" s="123">
        <f t="shared" ref="V26:W26" si="13">V10+V24</f>
        <v>15</v>
      </c>
      <c r="W26" s="280">
        <f t="shared" si="13"/>
        <v>8.5</v>
      </c>
      <c r="X26" s="280">
        <f>X10+X24</f>
        <v>0</v>
      </c>
      <c r="Y26" s="280">
        <f>Y10+Y24</f>
        <v>0</v>
      </c>
      <c r="Z26" s="123">
        <f t="shared" ref="Z26:AA26" si="14">Z10+Z24</f>
        <v>0</v>
      </c>
      <c r="AA26" s="280">
        <f t="shared" si="14"/>
        <v>0</v>
      </c>
      <c r="AB26" s="280">
        <f>AB10+AB24</f>
        <v>0</v>
      </c>
      <c r="AC26" s="280">
        <f>AC10+AC24</f>
        <v>38.21</v>
      </c>
      <c r="AD26" s="123">
        <f t="shared" ref="AD26:AE26" si="15">AD10+AD24</f>
        <v>20</v>
      </c>
      <c r="AE26" s="280">
        <f t="shared" si="15"/>
        <v>0</v>
      </c>
      <c r="AF26" s="280">
        <f>AF10+AF24</f>
        <v>0</v>
      </c>
      <c r="AG26" s="280">
        <f>AG10+AG24</f>
        <v>0</v>
      </c>
      <c r="AH26" s="127">
        <f t="shared" ref="AH26:AI26" si="16">AH10+AH24</f>
        <v>105</v>
      </c>
      <c r="AI26" s="280">
        <f t="shared" si="16"/>
        <v>21.9</v>
      </c>
      <c r="AJ26" s="697">
        <f>AJ10+AJ24</f>
        <v>13.4</v>
      </c>
      <c r="AK26" s="696">
        <f>AK10+AK24</f>
        <v>46.01</v>
      </c>
      <c r="AL26" s="123">
        <f t="shared" ref="AL26:AM26" si="17">AL10+AL24</f>
        <v>3.5</v>
      </c>
      <c r="AM26" s="280">
        <f t="shared" si="17"/>
        <v>20</v>
      </c>
      <c r="AN26" s="280">
        <f>AN10+AN24</f>
        <v>20</v>
      </c>
      <c r="AO26" s="280">
        <f>AO10+AO24</f>
        <v>0</v>
      </c>
      <c r="AP26" s="123">
        <f t="shared" ref="AP26:AQ26" si="18">AP10+AP24</f>
        <v>10</v>
      </c>
      <c r="AQ26" s="280">
        <f t="shared" si="18"/>
        <v>0</v>
      </c>
      <c r="AR26" s="280">
        <f>AR10+AR24</f>
        <v>0</v>
      </c>
      <c r="AS26" s="280">
        <f>AS10+AS24</f>
        <v>0</v>
      </c>
      <c r="AT26" s="123">
        <f t="shared" ref="AT26:AU26" si="19">AT10+AT24</f>
        <v>22</v>
      </c>
      <c r="AU26" s="280">
        <f t="shared" si="19"/>
        <v>24</v>
      </c>
      <c r="AV26" s="280">
        <f>AV10+AV24</f>
        <v>24</v>
      </c>
      <c r="AW26" s="280">
        <f>AW10+AW24</f>
        <v>0</v>
      </c>
      <c r="AX26" s="123">
        <f t="shared" ref="AX26:AY26" si="20">AX10+AX24</f>
        <v>20</v>
      </c>
      <c r="AY26" s="280">
        <f t="shared" si="20"/>
        <v>10</v>
      </c>
      <c r="AZ26" s="280">
        <f>AZ10+AZ24</f>
        <v>10</v>
      </c>
      <c r="BA26" s="280">
        <f>BA10+BA24</f>
        <v>9</v>
      </c>
      <c r="BB26" s="127">
        <f t="shared" ref="BB26:BC26" si="21">BB10+BB24</f>
        <v>55.5</v>
      </c>
      <c r="BC26" s="280">
        <f t="shared" si="21"/>
        <v>54</v>
      </c>
      <c r="BD26" s="697">
        <f>BD10+BD24</f>
        <v>54</v>
      </c>
      <c r="BE26" s="697">
        <f>BE10+BE24</f>
        <v>9</v>
      </c>
      <c r="BF26" s="124">
        <f>BF10+BF24</f>
        <v>160.5</v>
      </c>
      <c r="BG26" s="707">
        <f t="shared" si="10"/>
        <v>75.900000000000006</v>
      </c>
      <c r="BH26" s="706">
        <f t="shared" si="10"/>
        <v>67.400000000000006</v>
      </c>
      <c r="BI26" s="284">
        <f t="shared" si="10"/>
        <v>55.01</v>
      </c>
    </row>
    <row r="27" spans="3:61" ht="21" customHeight="1">
      <c r="H27" s="320"/>
      <c r="I27" s="320"/>
      <c r="J27" s="321"/>
      <c r="K27" s="321"/>
      <c r="L27" s="321"/>
      <c r="M27" s="321"/>
      <c r="N27" s="321"/>
      <c r="O27" s="321"/>
      <c r="P27" s="321"/>
      <c r="Q27" s="321"/>
      <c r="R27" s="321"/>
      <c r="S27" s="321"/>
      <c r="T27" s="321">
        <v>7.8</v>
      </c>
      <c r="U27" s="321" t="s">
        <v>387</v>
      </c>
      <c r="V27" s="321"/>
      <c r="W27" s="321"/>
      <c r="X27" s="323"/>
      <c r="Y27" s="323"/>
      <c r="Z27" s="321"/>
      <c r="AA27" s="321"/>
      <c r="AB27" s="323">
        <v>38.21</v>
      </c>
      <c r="AC27" s="323" t="s">
        <v>201</v>
      </c>
      <c r="AD27" s="321"/>
      <c r="AE27" s="321"/>
      <c r="AF27" s="321"/>
      <c r="AG27" s="321"/>
      <c r="AH27" s="321"/>
      <c r="AI27" s="321"/>
      <c r="AJ27" s="321"/>
      <c r="AK27" s="321"/>
      <c r="AL27" s="321"/>
      <c r="AM27" s="321"/>
      <c r="AN27" s="321"/>
      <c r="AO27" s="321"/>
      <c r="AP27" s="321"/>
      <c r="AQ27" s="321"/>
      <c r="AR27" s="321"/>
      <c r="AS27" s="321"/>
      <c r="AT27" s="321"/>
      <c r="AU27" s="321"/>
      <c r="AV27" s="321"/>
      <c r="AW27" s="321"/>
      <c r="AX27" s="321"/>
      <c r="AY27" s="321"/>
      <c r="AZ27" s="321">
        <v>9</v>
      </c>
      <c r="BA27" s="321" t="s">
        <v>32</v>
      </c>
      <c r="BB27" s="335"/>
      <c r="BC27" s="1918">
        <f>SUM(I27:AZ29)</f>
        <v>55.01</v>
      </c>
      <c r="BD27" s="335"/>
      <c r="BE27" s="335"/>
      <c r="BF27" s="335"/>
      <c r="BG27" s="335"/>
      <c r="BH27" s="1917">
        <f>BH26+BI26</f>
        <v>122.41</v>
      </c>
      <c r="BI27" s="1917"/>
    </row>
    <row r="28" spans="3:61" ht="21" customHeight="1">
      <c r="H28" s="320"/>
      <c r="I28" s="320"/>
      <c r="J28" s="322"/>
      <c r="K28" s="323"/>
      <c r="L28" s="323"/>
      <c r="M28" s="323"/>
      <c r="N28" s="322"/>
      <c r="O28" s="323"/>
      <c r="P28" s="323"/>
      <c r="Q28" s="323"/>
      <c r="R28" s="322"/>
      <c r="S28" s="323"/>
      <c r="T28" s="323"/>
      <c r="U28" s="323"/>
      <c r="V28" s="321"/>
      <c r="W28" s="323"/>
      <c r="X28" s="323"/>
      <c r="Y28" s="323"/>
      <c r="Z28" s="322"/>
      <c r="AA28" s="323"/>
      <c r="AB28" s="323"/>
      <c r="AC28" s="323"/>
      <c r="AD28" s="322"/>
      <c r="AE28" s="323"/>
      <c r="AF28" s="323"/>
      <c r="AG28" s="322"/>
      <c r="AH28" s="322"/>
      <c r="AI28" s="323"/>
      <c r="AJ28" s="323"/>
      <c r="AK28" s="323"/>
      <c r="AL28" s="321"/>
      <c r="AM28" s="323"/>
      <c r="AN28" s="622"/>
      <c r="AO28" s="622"/>
      <c r="AP28" s="321"/>
      <c r="AQ28" s="323"/>
      <c r="AR28" s="323"/>
      <c r="AS28" s="323"/>
      <c r="AT28" s="322"/>
      <c r="AU28" s="323"/>
      <c r="AV28" s="323"/>
      <c r="AW28" s="323"/>
      <c r="AX28" s="322"/>
      <c r="AY28" s="468"/>
      <c r="AZ28" s="468"/>
      <c r="BA28" s="468"/>
      <c r="BB28" s="392"/>
      <c r="BC28" s="1919"/>
      <c r="BD28" s="434"/>
      <c r="BE28" s="434"/>
      <c r="BF28" s="435"/>
      <c r="BG28" s="434"/>
      <c r="BH28" s="726"/>
      <c r="BI28" s="434"/>
    </row>
    <row r="29" spans="3:61" ht="23.25">
      <c r="H29" s="320"/>
      <c r="I29" s="320"/>
      <c r="J29" s="322"/>
      <c r="K29" s="323"/>
      <c r="L29" s="323"/>
      <c r="M29" s="323"/>
      <c r="N29" s="322"/>
      <c r="O29" s="323"/>
      <c r="P29" s="323"/>
      <c r="Q29" s="323"/>
      <c r="R29" s="322"/>
      <c r="S29" s="323"/>
      <c r="T29" s="323"/>
      <c r="U29" s="323"/>
      <c r="V29" s="322"/>
      <c r="W29" s="323"/>
      <c r="X29" s="323"/>
      <c r="Y29" s="323"/>
      <c r="Z29" s="322"/>
      <c r="AA29" s="323"/>
      <c r="AB29" s="323"/>
      <c r="AC29" s="323"/>
      <c r="AD29" s="322"/>
      <c r="AE29" s="323"/>
      <c r="AF29" s="688"/>
      <c r="AG29" s="688"/>
      <c r="AH29" s="322"/>
      <c r="AI29" s="322"/>
      <c r="AJ29" s="323"/>
      <c r="AK29" s="323"/>
      <c r="AL29" s="321"/>
      <c r="AM29" s="323"/>
      <c r="AN29" s="321"/>
      <c r="AO29" s="321"/>
      <c r="AP29" s="322"/>
      <c r="AQ29" s="323"/>
      <c r="AR29" s="323"/>
      <c r="AS29" s="323"/>
      <c r="AT29" s="322"/>
      <c r="AU29" s="323"/>
      <c r="AV29" s="323"/>
      <c r="AW29" s="323"/>
      <c r="AX29" s="322"/>
      <c r="AY29" s="468"/>
      <c r="AZ29" s="468"/>
      <c r="BA29" s="468"/>
      <c r="BB29" s="392"/>
      <c r="BC29" s="434"/>
      <c r="BD29" s="434"/>
      <c r="BE29" s="434"/>
      <c r="BF29" s="435"/>
      <c r="BG29" s="434"/>
      <c r="BH29" s="682"/>
      <c r="BI29" s="434"/>
    </row>
    <row r="30" spans="3:61" s="464" customFormat="1" ht="21.75" thickBot="1">
      <c r="D30" s="576"/>
      <c r="E30" s="576"/>
      <c r="F30" s="576"/>
      <c r="I30" s="577"/>
      <c r="J30" s="578"/>
      <c r="K30" s="579"/>
      <c r="L30" s="579"/>
      <c r="M30" s="579"/>
      <c r="N30" s="578"/>
      <c r="O30" s="579"/>
      <c r="P30" s="579"/>
      <c r="Q30" s="579"/>
      <c r="R30" s="578"/>
      <c r="S30" s="579"/>
      <c r="T30" s="579"/>
      <c r="U30" s="579"/>
      <c r="V30" s="578"/>
      <c r="W30" s="578"/>
      <c r="X30" s="579"/>
      <c r="Y30" s="579"/>
      <c r="Z30" s="579"/>
      <c r="AA30" s="578"/>
      <c r="AB30" s="579"/>
      <c r="AC30" s="579"/>
      <c r="AD30" s="579"/>
      <c r="AE30" s="578"/>
      <c r="AF30" s="579"/>
      <c r="AG30" s="579"/>
      <c r="AH30" s="621"/>
      <c r="AI30" s="578"/>
      <c r="AJ30" s="579"/>
      <c r="AK30" s="579"/>
      <c r="AM30" s="580"/>
      <c r="AN30" s="579"/>
      <c r="AO30" s="579"/>
      <c r="AP30" s="579"/>
      <c r="AQ30" s="578"/>
      <c r="AR30" s="579"/>
      <c r="AS30" s="579"/>
      <c r="AT30" s="579"/>
      <c r="AU30" s="578"/>
      <c r="AV30" s="579"/>
      <c r="AW30" s="579"/>
      <c r="AZ30" s="581"/>
      <c r="BA30" s="581"/>
      <c r="BB30" s="581"/>
      <c r="BC30" s="582"/>
      <c r="BD30" s="583"/>
      <c r="BE30" s="583"/>
      <c r="BF30" s="583"/>
      <c r="BG30" s="584"/>
      <c r="BH30" s="583"/>
      <c r="BI30" s="585"/>
    </row>
    <row r="31" spans="3:61" ht="35.25" customHeight="1" thickBot="1">
      <c r="L31" s="1929" t="s">
        <v>388</v>
      </c>
      <c r="M31" s="1930"/>
      <c r="N31" s="1930"/>
      <c r="O31" s="1930"/>
      <c r="P31" s="1930"/>
      <c r="Q31" s="1930"/>
      <c r="R31" s="1930"/>
      <c r="S31" s="1931"/>
      <c r="T31" s="579"/>
      <c r="U31" s="579"/>
      <c r="V31" s="1929" t="s">
        <v>204</v>
      </c>
      <c r="W31" s="1930"/>
      <c r="X31" s="1930"/>
      <c r="Y31" s="1930"/>
      <c r="Z31" s="1930"/>
      <c r="AA31" s="1930"/>
      <c r="AB31" s="1930"/>
      <c r="AC31" s="1935"/>
      <c r="AD31" s="1936"/>
      <c r="AE31" s="579"/>
      <c r="AF31" s="579"/>
      <c r="AG31" s="26"/>
      <c r="AH31" s="24"/>
      <c r="AJ31" s="685"/>
      <c r="AL31" s="24"/>
      <c r="AM31" s="599"/>
      <c r="AN31" s="1014"/>
      <c r="AP31" s="24"/>
      <c r="AS31" s="26"/>
      <c r="AT31" s="24"/>
      <c r="AX31" s="24"/>
      <c r="AY31" s="25"/>
      <c r="AZ31" s="25"/>
      <c r="BA31" s="24"/>
      <c r="BB31" s="24"/>
      <c r="BE31" s="23"/>
      <c r="BF31" s="23"/>
      <c r="BG31" s="23"/>
    </row>
    <row r="32" spans="3:61" s="24" customFormat="1" ht="28.5" customHeight="1" thickBot="1">
      <c r="C32" s="23"/>
      <c r="D32" s="27"/>
      <c r="E32" s="27"/>
      <c r="F32" s="27"/>
      <c r="G32" s="23"/>
      <c r="H32" s="23"/>
      <c r="I32" s="27"/>
      <c r="L32" s="450" t="s">
        <v>0</v>
      </c>
      <c r="M32" s="439" t="s">
        <v>200</v>
      </c>
      <c r="N32" s="454" t="s">
        <v>205</v>
      </c>
      <c r="O32" s="439" t="s">
        <v>31</v>
      </c>
      <c r="P32" s="448" t="s">
        <v>201</v>
      </c>
      <c r="Q32" s="455" t="s">
        <v>206</v>
      </c>
      <c r="R32" s="436" t="s">
        <v>22</v>
      </c>
      <c r="S32" s="438" t="s">
        <v>191</v>
      </c>
      <c r="T32" s="579"/>
      <c r="U32" s="579"/>
      <c r="V32" s="571" t="s">
        <v>0</v>
      </c>
      <c r="W32" s="572" t="s">
        <v>200</v>
      </c>
      <c r="X32" s="623" t="s">
        <v>205</v>
      </c>
      <c r="Y32" s="572" t="s">
        <v>31</v>
      </c>
      <c r="Z32" s="573" t="s">
        <v>201</v>
      </c>
      <c r="AA32" s="574" t="s">
        <v>206</v>
      </c>
      <c r="AB32" s="717" t="s">
        <v>22</v>
      </c>
      <c r="AC32" s="721" t="s">
        <v>191</v>
      </c>
      <c r="AD32" s="722" t="s">
        <v>226</v>
      </c>
      <c r="AE32" s="579"/>
      <c r="AF32" s="579"/>
      <c r="AG32" s="599"/>
      <c r="AH32" s="599"/>
      <c r="AI32" s="599"/>
      <c r="AN32" s="26"/>
      <c r="AT32" s="25"/>
      <c r="AU32" s="25"/>
      <c r="AW32" s="23"/>
      <c r="AX32" s="23"/>
    </row>
    <row r="33" spans="1:59" ht="23.25">
      <c r="L33" s="441" t="s">
        <v>189</v>
      </c>
      <c r="M33" s="470">
        <f>$J$6</f>
        <v>9</v>
      </c>
      <c r="N33" s="430">
        <f>$J9</f>
        <v>0</v>
      </c>
      <c r="O33" s="430">
        <f>$J7</f>
        <v>11</v>
      </c>
      <c r="P33" s="430">
        <f>$J8</f>
        <v>40</v>
      </c>
      <c r="Q33" s="430">
        <f>J15+J16+J17+J18+J19+J21+J22+J23</f>
        <v>0</v>
      </c>
      <c r="R33" s="430">
        <f>$J20</f>
        <v>0</v>
      </c>
      <c r="S33" s="446">
        <f t="shared" ref="S33:S42" si="22">SUM(M33:R33)</f>
        <v>60</v>
      </c>
      <c r="T33" s="579"/>
      <c r="U33" s="579"/>
      <c r="V33" s="447" t="s">
        <v>189</v>
      </c>
      <c r="W33" s="569">
        <f>L$6</f>
        <v>9.9</v>
      </c>
      <c r="X33" s="570">
        <f>$L9</f>
        <v>0.1</v>
      </c>
      <c r="Y33" s="570">
        <f>$L7</f>
        <v>0</v>
      </c>
      <c r="Z33" s="570">
        <f>$L8</f>
        <v>0</v>
      </c>
      <c r="AA33" s="570">
        <f>L$15+L$16+L$17+L$18+L$19+L$21+L$22+L$23</f>
        <v>0</v>
      </c>
      <c r="AB33" s="718">
        <f>$L20</f>
        <v>0</v>
      </c>
      <c r="AC33" s="723">
        <f t="shared" ref="AC33:AC42" si="23">SUM(W33:AB33)</f>
        <v>10</v>
      </c>
      <c r="AD33" s="587">
        <f>M6+M7+M8++M9+M15+M16+M17+M18+M19+M21+M20+M22+M23</f>
        <v>0</v>
      </c>
      <c r="AE33" s="579">
        <f>AC33+AD33</f>
        <v>10</v>
      </c>
      <c r="AF33" s="579"/>
      <c r="AG33" s="599"/>
      <c r="AH33" s="599"/>
      <c r="AI33" s="599"/>
      <c r="AL33" s="24"/>
      <c r="AN33" s="26"/>
      <c r="AP33" s="689"/>
      <c r="AT33" s="25"/>
      <c r="AU33" s="25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</row>
    <row r="34" spans="1:59" s="24" customFormat="1" ht="23.25">
      <c r="A34" s="23"/>
      <c r="B34" s="23"/>
      <c r="C34" s="23"/>
      <c r="D34" s="27"/>
      <c r="E34" s="27"/>
      <c r="F34" s="27"/>
      <c r="G34" s="23"/>
      <c r="H34" s="23"/>
      <c r="I34" s="27"/>
      <c r="L34" s="441" t="s">
        <v>183</v>
      </c>
      <c r="M34" s="470">
        <f>$N$6</f>
        <v>8</v>
      </c>
      <c r="N34" s="430">
        <f>$N9</f>
        <v>2</v>
      </c>
      <c r="O34" s="430">
        <f>$N7</f>
        <v>0</v>
      </c>
      <c r="P34" s="430">
        <f>$N8</f>
        <v>0</v>
      </c>
      <c r="Q34" s="430">
        <f>N15+N16+N17+N18+N19+N21+N22+N23</f>
        <v>0</v>
      </c>
      <c r="R34" s="430">
        <f>$N20</f>
        <v>0</v>
      </c>
      <c r="S34" s="446">
        <f t="shared" si="22"/>
        <v>10</v>
      </c>
      <c r="T34" s="686"/>
      <c r="U34" s="26"/>
      <c r="V34" s="441" t="s">
        <v>183</v>
      </c>
      <c r="W34" s="440">
        <f>P$6</f>
        <v>0</v>
      </c>
      <c r="X34" s="430">
        <f>$P9</f>
        <v>3.4</v>
      </c>
      <c r="Y34" s="430">
        <f>$P7</f>
        <v>0</v>
      </c>
      <c r="Z34" s="430">
        <f>$P8</f>
        <v>0</v>
      </c>
      <c r="AA34" s="430">
        <f>P$15+P$16+P$17+P$18+P$19+P$21+P$22+P$23</f>
        <v>0</v>
      </c>
      <c r="AB34" s="719">
        <f>$P20</f>
        <v>0</v>
      </c>
      <c r="AC34" s="723">
        <f t="shared" si="23"/>
        <v>3.4</v>
      </c>
      <c r="AD34" s="587">
        <f>Q6+Q7+Q8+Q9+Q15+Q16+Q17+Q18+Q19+Q20+Q21+Q22+Q23</f>
        <v>0</v>
      </c>
      <c r="AE34" s="579">
        <f t="shared" ref="AE34:AE43" si="24">AC34+AD34</f>
        <v>3.4</v>
      </c>
      <c r="AG34" s="599"/>
      <c r="AH34" s="599"/>
      <c r="AI34" s="599"/>
      <c r="AN34" s="26"/>
      <c r="AP34" s="689"/>
      <c r="AT34" s="25"/>
      <c r="AU34" s="25"/>
    </row>
    <row r="35" spans="1:59" ht="23.25">
      <c r="L35" s="441" t="s">
        <v>184</v>
      </c>
      <c r="M35" s="470">
        <f>$R$6</f>
        <v>0</v>
      </c>
      <c r="N35" s="430">
        <f>$R9</f>
        <v>0</v>
      </c>
      <c r="O35" s="430">
        <f>$R7</f>
        <v>0</v>
      </c>
      <c r="P35" s="430">
        <f>$R8</f>
        <v>0</v>
      </c>
      <c r="Q35" s="430">
        <f>R15+R16+R17+R18+R19+R21+R22+R23</f>
        <v>0</v>
      </c>
      <c r="R35" s="430">
        <f>$R20</f>
        <v>0</v>
      </c>
      <c r="S35" s="446">
        <f t="shared" si="22"/>
        <v>0</v>
      </c>
      <c r="T35" s="686"/>
      <c r="U35" s="26"/>
      <c r="V35" s="441" t="s">
        <v>184</v>
      </c>
      <c r="W35" s="440">
        <f>T$6</f>
        <v>0</v>
      </c>
      <c r="X35" s="430">
        <f>$T9</f>
        <v>0</v>
      </c>
      <c r="Y35" s="430">
        <f>$T7</f>
        <v>0</v>
      </c>
      <c r="Z35" s="430">
        <f>$T8</f>
        <v>0</v>
      </c>
      <c r="AA35" s="430">
        <f>T$15+T$16+T$17+T$18+T$19+T$21+T$22+T$23</f>
        <v>0</v>
      </c>
      <c r="AB35" s="719">
        <f>$T20</f>
        <v>0</v>
      </c>
      <c r="AC35" s="723">
        <f t="shared" si="23"/>
        <v>0</v>
      </c>
      <c r="AD35" s="587">
        <f>U6+U7+U8+U9+U15+U16+U17+U18+U19+U20+U21+U22+U23</f>
        <v>7.8</v>
      </c>
      <c r="AE35" s="579">
        <f t="shared" si="24"/>
        <v>7.8</v>
      </c>
      <c r="AF35" s="26"/>
      <c r="AG35" s="599"/>
      <c r="AH35" s="599"/>
      <c r="AI35" s="599"/>
      <c r="AL35" s="24"/>
      <c r="AN35" s="26"/>
      <c r="AP35" s="689"/>
      <c r="AT35" s="25"/>
      <c r="AU35" s="25"/>
      <c r="AX35" s="23"/>
      <c r="AY35" s="23"/>
      <c r="AZ35" s="23"/>
      <c r="BA35" s="23"/>
      <c r="BB35" s="23"/>
      <c r="BC35" s="23"/>
      <c r="BD35" s="23"/>
      <c r="BE35" s="23"/>
      <c r="BF35" s="23"/>
      <c r="BG35" s="23"/>
    </row>
    <row r="36" spans="1:59" ht="23.25">
      <c r="L36" s="441" t="s">
        <v>170</v>
      </c>
      <c r="M36" s="470">
        <f>$V$6</f>
        <v>0</v>
      </c>
      <c r="N36" s="430">
        <f>$V9</f>
        <v>1</v>
      </c>
      <c r="O36" s="430">
        <f>$V7</f>
        <v>0</v>
      </c>
      <c r="P36" s="430">
        <f>$V8</f>
        <v>0</v>
      </c>
      <c r="Q36" s="430">
        <f>V15+V16+V17+V18+V19+V21++V22+V23</f>
        <v>0</v>
      </c>
      <c r="R36" s="430">
        <f>$V20</f>
        <v>14</v>
      </c>
      <c r="S36" s="446">
        <f t="shared" si="22"/>
        <v>15</v>
      </c>
      <c r="T36" s="686"/>
      <c r="U36" s="26"/>
      <c r="V36" s="441" t="s">
        <v>170</v>
      </c>
      <c r="W36" s="440">
        <f>X$6</f>
        <v>0</v>
      </c>
      <c r="X36" s="430">
        <f>$X9</f>
        <v>0</v>
      </c>
      <c r="Y36" s="430">
        <f>$X7</f>
        <v>0</v>
      </c>
      <c r="Z36" s="430">
        <f>$X8</f>
        <v>0</v>
      </c>
      <c r="AA36" s="430">
        <f>X$15+X$16+X$17+X$18+X$19+X$21+X$22+X$23</f>
        <v>0</v>
      </c>
      <c r="AB36" s="719">
        <f>$X20</f>
        <v>0</v>
      </c>
      <c r="AC36" s="723">
        <f t="shared" si="23"/>
        <v>0</v>
      </c>
      <c r="AD36" s="587">
        <f>Y6+Y7+Y8+Y9+Y15+Y16+Y17+Y18+Y19+Y20+Y21+Y22+Y23</f>
        <v>0</v>
      </c>
      <c r="AE36" s="579">
        <f t="shared" si="24"/>
        <v>0</v>
      </c>
      <c r="AF36" s="26"/>
      <c r="AG36" s="599"/>
      <c r="AH36" s="599"/>
      <c r="AI36" s="599"/>
      <c r="AL36" s="24"/>
      <c r="AN36" s="26"/>
      <c r="AP36" s="689"/>
      <c r="AT36" s="25"/>
      <c r="AU36" s="25"/>
      <c r="AX36" s="23"/>
      <c r="AY36" s="23"/>
      <c r="AZ36" s="23"/>
      <c r="BA36" s="23"/>
      <c r="BB36" s="23"/>
      <c r="BC36" s="23"/>
      <c r="BD36" s="23"/>
      <c r="BE36" s="23"/>
      <c r="BF36" s="23"/>
      <c r="BG36" s="23"/>
    </row>
    <row r="37" spans="1:59" ht="23.25">
      <c r="L37" s="441" t="s">
        <v>171</v>
      </c>
      <c r="M37" s="470">
        <f>$Z$6</f>
        <v>0</v>
      </c>
      <c r="N37" s="430">
        <f>$Z9</f>
        <v>0</v>
      </c>
      <c r="O37" s="430">
        <f>$Z7</f>
        <v>0</v>
      </c>
      <c r="P37" s="430">
        <f>$Z8</f>
        <v>0</v>
      </c>
      <c r="Q37" s="430">
        <f>Z15+Z16+Z17+Z18+Z19+Z21+Z22+Z23</f>
        <v>0</v>
      </c>
      <c r="R37" s="430">
        <f>$Z20</f>
        <v>0</v>
      </c>
      <c r="S37" s="446">
        <f t="shared" si="22"/>
        <v>0</v>
      </c>
      <c r="T37" s="686"/>
      <c r="U37" s="26"/>
      <c r="V37" s="441" t="s">
        <v>171</v>
      </c>
      <c r="W37" s="440">
        <f>AB$6</f>
        <v>0</v>
      </c>
      <c r="X37" s="430">
        <f>$AB9</f>
        <v>0</v>
      </c>
      <c r="Y37" s="430">
        <f>$AB7</f>
        <v>0</v>
      </c>
      <c r="Z37" s="430">
        <f>$AB8</f>
        <v>0</v>
      </c>
      <c r="AA37" s="430">
        <f>AB$15+AB$16+AB$17+AB$18+AB$19+AB$21+AB$22+AB$23</f>
        <v>0</v>
      </c>
      <c r="AB37" s="719">
        <f>$AB20</f>
        <v>0</v>
      </c>
      <c r="AC37" s="723">
        <f t="shared" si="23"/>
        <v>0</v>
      </c>
      <c r="AD37" s="587">
        <f>AC6+AC7+AC8+AC9+AC15+AC17+AC16+AC18+AC19+AC20+AC21+AC22+AC23</f>
        <v>38.21</v>
      </c>
      <c r="AE37" s="579">
        <f t="shared" si="24"/>
        <v>38.21</v>
      </c>
      <c r="AF37" s="26"/>
      <c r="AG37" s="26"/>
      <c r="AI37" s="26"/>
      <c r="AJ37" s="26"/>
      <c r="AK37" s="26"/>
      <c r="AL37" s="24"/>
      <c r="AN37" s="26"/>
      <c r="AP37" s="689"/>
      <c r="AT37" s="24"/>
      <c r="AX37" s="23"/>
      <c r="AY37" s="23"/>
      <c r="AZ37" s="23"/>
      <c r="BA37" s="23"/>
      <c r="BB37" s="23"/>
      <c r="BC37" s="23"/>
      <c r="BD37" s="23"/>
      <c r="BE37" s="23"/>
      <c r="BF37" s="23"/>
      <c r="BG37" s="23"/>
    </row>
    <row r="38" spans="1:59" ht="23.25">
      <c r="L38" s="441" t="s">
        <v>190</v>
      </c>
      <c r="M38" s="492">
        <f>$AD$6</f>
        <v>10</v>
      </c>
      <c r="N38" s="471">
        <f>$AD9</f>
        <v>0</v>
      </c>
      <c r="O38" s="471">
        <f>$AD7</f>
        <v>0</v>
      </c>
      <c r="P38" s="471">
        <f>$AD8</f>
        <v>10</v>
      </c>
      <c r="Q38" s="430">
        <f>AD15+AD16+AD17+AD18+AD19+AD21+AD22+AD23</f>
        <v>0</v>
      </c>
      <c r="R38" s="471">
        <f>$AD20</f>
        <v>0</v>
      </c>
      <c r="S38" s="446">
        <f t="shared" si="22"/>
        <v>20</v>
      </c>
      <c r="T38" s="686"/>
      <c r="U38" s="26"/>
      <c r="V38" s="441" t="s">
        <v>190</v>
      </c>
      <c r="W38" s="440">
        <f>AF$6</f>
        <v>0</v>
      </c>
      <c r="X38" s="430">
        <f>$AF9</f>
        <v>0</v>
      </c>
      <c r="Y38" s="430">
        <f>$AF7</f>
        <v>0</v>
      </c>
      <c r="Z38" s="430">
        <f>$AF8</f>
        <v>0</v>
      </c>
      <c r="AA38" s="430">
        <f>AF$15+AF$16+AF$17+AF$18+AF$19+AF$21+AF$22+AF$23</f>
        <v>0</v>
      </c>
      <c r="AB38" s="719">
        <f>$AF20</f>
        <v>0</v>
      </c>
      <c r="AC38" s="723">
        <f t="shared" si="23"/>
        <v>0</v>
      </c>
      <c r="AD38" s="587">
        <f>AG6+AG7+AG8+AG9+AG15+AG16+AG17+AG18+AG19+AG20+AG21+AG22+AG23</f>
        <v>0</v>
      </c>
      <c r="AE38" s="579">
        <f t="shared" si="24"/>
        <v>0</v>
      </c>
      <c r="AF38" s="26"/>
      <c r="AG38" s="26"/>
      <c r="AI38" s="26"/>
      <c r="AJ38" s="26"/>
      <c r="AK38" s="26"/>
      <c r="AL38" s="24"/>
      <c r="AN38" s="26"/>
      <c r="AP38" s="689"/>
      <c r="AT38" s="24"/>
      <c r="AX38" s="23"/>
      <c r="AY38" s="23"/>
      <c r="AZ38" s="23"/>
      <c r="BA38" s="23"/>
      <c r="BB38" s="23"/>
      <c r="BC38" s="23"/>
      <c r="BD38" s="23"/>
      <c r="BE38" s="23"/>
      <c r="BF38" s="23"/>
      <c r="BG38" s="23"/>
    </row>
    <row r="39" spans="1:59" ht="23.25">
      <c r="L39" s="441" t="s">
        <v>185</v>
      </c>
      <c r="M39" s="470">
        <f>$AL$6</f>
        <v>3.5</v>
      </c>
      <c r="N39" s="430">
        <f>$AL9</f>
        <v>0</v>
      </c>
      <c r="O39" s="430">
        <f>$AL7</f>
        <v>0</v>
      </c>
      <c r="P39" s="430">
        <f>$AL8</f>
        <v>0</v>
      </c>
      <c r="Q39" s="430">
        <f>AL15+AL16+AL17+AL18+AL19+AL21+AL22+AL23</f>
        <v>0</v>
      </c>
      <c r="R39" s="430">
        <f>$AL20</f>
        <v>0</v>
      </c>
      <c r="S39" s="446">
        <f t="shared" si="22"/>
        <v>3.5</v>
      </c>
      <c r="T39" s="686"/>
      <c r="U39" s="26"/>
      <c r="V39" s="441" t="s">
        <v>185</v>
      </c>
      <c r="W39" s="469">
        <f>AN$6</f>
        <v>3.5</v>
      </c>
      <c r="X39" s="430">
        <f>$AN9</f>
        <v>0</v>
      </c>
      <c r="Y39" s="430">
        <f>$AN7</f>
        <v>0</v>
      </c>
      <c r="Z39" s="430">
        <f>$AN8</f>
        <v>0</v>
      </c>
      <c r="AA39" s="430">
        <f>AN$15+AN$16+AN$17+AN$18+AN$19+AN$21+AN$22+AN$23</f>
        <v>0</v>
      </c>
      <c r="AB39" s="719">
        <f>$AN20</f>
        <v>16.5</v>
      </c>
      <c r="AC39" s="723">
        <f t="shared" si="23"/>
        <v>20</v>
      </c>
      <c r="AD39" s="587">
        <f>AO6+AO7+AO8+AO9+AO15+AO16+AO17+AO18+AO19+AO20+AO21+AO22+AO23</f>
        <v>0</v>
      </c>
      <c r="AE39" s="579">
        <f t="shared" si="24"/>
        <v>20</v>
      </c>
      <c r="AF39" s="23"/>
      <c r="AG39" s="26"/>
      <c r="AI39" s="26"/>
      <c r="AJ39" s="26"/>
      <c r="AK39" s="26"/>
      <c r="AL39" s="24"/>
      <c r="AN39" s="26"/>
      <c r="AP39" s="689"/>
      <c r="AT39" s="24"/>
      <c r="AX39" s="23"/>
      <c r="AY39" s="23"/>
      <c r="AZ39" s="23"/>
      <c r="BA39" s="23"/>
      <c r="BB39" s="23"/>
      <c r="BC39" s="23"/>
      <c r="BD39" s="23"/>
      <c r="BE39" s="23"/>
      <c r="BF39" s="23"/>
      <c r="BG39" s="23"/>
    </row>
    <row r="40" spans="1:59" ht="23.25">
      <c r="L40" s="441" t="s">
        <v>202</v>
      </c>
      <c r="M40" s="470">
        <f>$AP$6</f>
        <v>5</v>
      </c>
      <c r="N40" s="430">
        <f>$AP9</f>
        <v>0</v>
      </c>
      <c r="O40" s="430">
        <f>$AP7</f>
        <v>0</v>
      </c>
      <c r="P40" s="430">
        <f>$AP8</f>
        <v>5</v>
      </c>
      <c r="Q40" s="430">
        <f>AP15+AP16+AP17+AP18+AP19+AP21+AP22+AP23</f>
        <v>0</v>
      </c>
      <c r="R40" s="430">
        <f>$AP20</f>
        <v>0</v>
      </c>
      <c r="S40" s="446">
        <f t="shared" si="22"/>
        <v>10</v>
      </c>
      <c r="T40" s="686"/>
      <c r="U40" s="26"/>
      <c r="V40" s="441" t="s">
        <v>202</v>
      </c>
      <c r="W40" s="440">
        <f>AR$6</f>
        <v>0</v>
      </c>
      <c r="X40" s="430">
        <f>$AR9</f>
        <v>0</v>
      </c>
      <c r="Y40" s="430">
        <f>$AR7</f>
        <v>0</v>
      </c>
      <c r="Z40" s="430">
        <f>$AR8</f>
        <v>0</v>
      </c>
      <c r="AA40" s="430">
        <f>AR$15+AR$16+AR$17+AR$18+AR$19+AR$21+AR$22+AR$23</f>
        <v>0</v>
      </c>
      <c r="AB40" s="719">
        <f>$AR20</f>
        <v>0</v>
      </c>
      <c r="AC40" s="723">
        <f t="shared" si="23"/>
        <v>0</v>
      </c>
      <c r="AD40" s="587">
        <f>AS6+AS7+AS8+AS9+AS15+AS16+AS17+AS18+AS19+AS20+AS21+AS22+AS23</f>
        <v>0</v>
      </c>
      <c r="AE40" s="579">
        <f t="shared" si="24"/>
        <v>0</v>
      </c>
      <c r="AF40" s="28"/>
      <c r="AG40" s="26"/>
      <c r="AI40" s="26"/>
      <c r="AJ40" s="26"/>
      <c r="AK40" s="26"/>
      <c r="AL40" s="24"/>
      <c r="AN40" s="26"/>
      <c r="AP40" s="689"/>
      <c r="AS40" s="23"/>
      <c r="AT40" s="24"/>
      <c r="AX40" s="23"/>
      <c r="AY40" s="23"/>
      <c r="AZ40" s="23"/>
      <c r="BA40" s="23"/>
      <c r="BB40" s="23"/>
      <c r="BC40" s="23"/>
      <c r="BD40" s="23"/>
      <c r="BE40" s="23"/>
      <c r="BF40" s="23"/>
      <c r="BG40" s="23"/>
    </row>
    <row r="41" spans="1:59" ht="23.25">
      <c r="L41" s="441" t="s">
        <v>186</v>
      </c>
      <c r="M41" s="470">
        <f>$AT$6</f>
        <v>8</v>
      </c>
      <c r="N41" s="430">
        <f>$AT9</f>
        <v>0</v>
      </c>
      <c r="O41" s="430">
        <f>$AT7</f>
        <v>0</v>
      </c>
      <c r="P41" s="430">
        <f>$AT8</f>
        <v>0</v>
      </c>
      <c r="Q41" s="430">
        <f>AT15+AT16+AT17+AT18+AT19+AT21+AT22+AT23</f>
        <v>14</v>
      </c>
      <c r="R41" s="430">
        <f>$AT20</f>
        <v>0</v>
      </c>
      <c r="S41" s="446">
        <f t="shared" si="22"/>
        <v>22</v>
      </c>
      <c r="T41" s="686"/>
      <c r="U41" s="26"/>
      <c r="V41" s="441" t="s">
        <v>186</v>
      </c>
      <c r="W41" s="440">
        <f>AV$6</f>
        <v>24</v>
      </c>
      <c r="X41" s="430">
        <f>$AV9</f>
        <v>0</v>
      </c>
      <c r="Y41" s="430">
        <f>$AV7</f>
        <v>0</v>
      </c>
      <c r="Z41" s="430">
        <f>$AV8</f>
        <v>0</v>
      </c>
      <c r="AA41" s="430">
        <f>AV$15+AV$16+AV$17+AV$18+AV$19+AV$21+AV$22+AV$23</f>
        <v>0</v>
      </c>
      <c r="AB41" s="719">
        <f>$AV20</f>
        <v>0</v>
      </c>
      <c r="AC41" s="723">
        <f t="shared" si="23"/>
        <v>24</v>
      </c>
      <c r="AD41" s="587">
        <f>AW6+AW7+AW8+AW9+AW15+AW16+AW17+AW18+AW20+AW19+AW21+AW22+AW23</f>
        <v>0</v>
      </c>
      <c r="AE41" s="579">
        <f t="shared" si="24"/>
        <v>24</v>
      </c>
      <c r="AH41" s="24"/>
      <c r="AJ41" s="25">
        <v>8</v>
      </c>
      <c r="AL41" s="24"/>
      <c r="AN41" s="25"/>
      <c r="AP41" s="689"/>
      <c r="AR41" s="25"/>
      <c r="AT41" s="24"/>
      <c r="AX41" s="23"/>
      <c r="AY41" s="23"/>
      <c r="AZ41" s="23"/>
      <c r="BA41" s="23"/>
      <c r="BB41" s="23"/>
      <c r="BC41" s="23"/>
      <c r="BD41" s="23"/>
      <c r="BE41" s="23"/>
      <c r="BF41" s="23"/>
      <c r="BG41" s="23"/>
    </row>
    <row r="42" spans="1:59" ht="23.25">
      <c r="L42" s="441" t="s">
        <v>203</v>
      </c>
      <c r="M42" s="470">
        <f>$AX$6</f>
        <v>12</v>
      </c>
      <c r="N42" s="430">
        <f>$AX9</f>
        <v>0</v>
      </c>
      <c r="O42" s="430">
        <f>$AX7</f>
        <v>0</v>
      </c>
      <c r="P42" s="430">
        <f>$AX8</f>
        <v>0</v>
      </c>
      <c r="Q42" s="430">
        <f>AX15+AX16+AX17+AX18+AX19+AX21+AX22+AX23</f>
        <v>8</v>
      </c>
      <c r="R42" s="430">
        <f>$AX20</f>
        <v>0</v>
      </c>
      <c r="S42" s="446">
        <f t="shared" si="22"/>
        <v>20</v>
      </c>
      <c r="T42" s="686"/>
      <c r="U42" s="26"/>
      <c r="V42" s="441" t="s">
        <v>203</v>
      </c>
      <c r="W42" s="440">
        <f>AZ$6</f>
        <v>0</v>
      </c>
      <c r="X42" s="430">
        <f>$AZ9</f>
        <v>0</v>
      </c>
      <c r="Y42" s="430">
        <f>$AZ7</f>
        <v>0</v>
      </c>
      <c r="Z42" s="430">
        <f>$AZ8</f>
        <v>10</v>
      </c>
      <c r="AA42" s="430">
        <f>AZ$15+AZ$16+AZ$17+AZ$18+AZ$19+AZ$21+AZ$22+AZ$23</f>
        <v>0</v>
      </c>
      <c r="AB42" s="719">
        <f>$AZ20</f>
        <v>0</v>
      </c>
      <c r="AC42" s="723">
        <f t="shared" si="23"/>
        <v>10</v>
      </c>
      <c r="AD42" s="587">
        <f>BA6+BA7+BA8+BA9+BA15+BA16+BA17+BA18+BA19+BA20+BA21+BA22+BA23</f>
        <v>9</v>
      </c>
      <c r="AE42" s="579">
        <f t="shared" si="24"/>
        <v>19</v>
      </c>
      <c r="AH42" s="24"/>
      <c r="AJ42" s="25">
        <v>40</v>
      </c>
      <c r="AL42" s="24"/>
      <c r="AN42" s="25"/>
      <c r="AP42" s="689"/>
      <c r="AR42" s="25"/>
      <c r="AT42" s="24"/>
      <c r="AV42" s="25"/>
      <c r="AX42" s="23"/>
      <c r="AY42" s="23"/>
      <c r="AZ42" s="23"/>
      <c r="BA42" s="23"/>
      <c r="BB42" s="23"/>
      <c r="BC42" s="23"/>
      <c r="BD42" s="23"/>
      <c r="BE42" s="23"/>
      <c r="BF42" s="23"/>
      <c r="BG42" s="23"/>
    </row>
    <row r="43" spans="1:59" ht="24" thickBot="1">
      <c r="L43" s="442" t="s">
        <v>191</v>
      </c>
      <c r="M43" s="443">
        <f t="shared" ref="M43" si="25">SUM(M33:M42)</f>
        <v>55.5</v>
      </c>
      <c r="N43" s="444">
        <f>SUM(N33:N42)</f>
        <v>3</v>
      </c>
      <c r="O43" s="443">
        <f t="shared" ref="O43" si="26">SUM(O33:O42)</f>
        <v>11</v>
      </c>
      <c r="P43" s="444">
        <f>SUM(P33:P42)</f>
        <v>55</v>
      </c>
      <c r="Q43" s="444">
        <f>SUM(Q33:Q42)</f>
        <v>22</v>
      </c>
      <c r="R43" s="445">
        <f>SUM(R33:R42)</f>
        <v>14</v>
      </c>
      <c r="S43" s="451">
        <f>SUM(S33:S42)</f>
        <v>160.5</v>
      </c>
      <c r="T43" s="687"/>
      <c r="U43" s="26"/>
      <c r="V43" s="442" t="s">
        <v>191</v>
      </c>
      <c r="W43" s="443">
        <f t="shared" ref="W43:Y43" si="27">SUM(W33:W42)</f>
        <v>37.4</v>
      </c>
      <c r="X43" s="444">
        <f>SUM(X33:X42)</f>
        <v>3.5</v>
      </c>
      <c r="Y43" s="443">
        <f t="shared" si="27"/>
        <v>0</v>
      </c>
      <c r="Z43" s="444">
        <f>SUM(Z33:Z42)</f>
        <v>10</v>
      </c>
      <c r="AA43" s="444">
        <f>SUM(AA33:AA42)</f>
        <v>0</v>
      </c>
      <c r="AB43" s="720">
        <f>SUM(AB33:AB42)</f>
        <v>16.5</v>
      </c>
      <c r="AC43" s="724">
        <f>SUM(AC33:AC42)</f>
        <v>67.400000000000006</v>
      </c>
      <c r="AD43" s="725">
        <f>SUM(AD33:AD42)</f>
        <v>55.01</v>
      </c>
      <c r="AE43" s="579">
        <f t="shared" si="24"/>
        <v>122.41</v>
      </c>
      <c r="AH43" s="24"/>
      <c r="AJ43" s="25">
        <v>5</v>
      </c>
      <c r="AL43" s="24"/>
      <c r="AN43" s="25"/>
      <c r="AP43" s="24"/>
      <c r="AR43" s="25"/>
      <c r="AT43" s="24"/>
      <c r="AV43" s="25"/>
      <c r="AX43" s="23"/>
      <c r="AY43" s="23"/>
      <c r="AZ43" s="23"/>
      <c r="BA43" s="23"/>
      <c r="BB43" s="23"/>
      <c r="BC43" s="23"/>
      <c r="BD43" s="23"/>
      <c r="BE43" s="23"/>
      <c r="BF43" s="23"/>
      <c r="BG43" s="23"/>
    </row>
    <row r="44" spans="1:59" ht="15" customHeight="1" thickBot="1">
      <c r="L44" s="26"/>
      <c r="M44" s="26"/>
      <c r="N44" s="24"/>
      <c r="P44" s="26"/>
      <c r="Q44" s="26"/>
      <c r="R44" s="24"/>
      <c r="T44" s="26"/>
      <c r="U44" s="26"/>
      <c r="V44" s="24"/>
      <c r="Z44" s="24"/>
      <c r="AD44" s="24"/>
      <c r="AE44" s="26"/>
      <c r="AF44" s="466"/>
      <c r="AG44" s="466"/>
      <c r="AH44" s="466"/>
      <c r="AI44" s="467"/>
      <c r="AJ44" s="24">
        <v>42</v>
      </c>
      <c r="AL44" s="24"/>
      <c r="AM44" s="25"/>
      <c r="AP44" s="24"/>
      <c r="AQ44" s="25"/>
      <c r="AT44" s="24"/>
      <c r="AU44" s="25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</row>
    <row r="45" spans="1:59" ht="27.75" customHeight="1" thickBot="1">
      <c r="L45" s="1929" t="str">
        <f>L31</f>
        <v>Mode wise Collection Plan-11-01-2022</v>
      </c>
      <c r="M45" s="1930"/>
      <c r="N45" s="1930"/>
      <c r="O45" s="1930"/>
      <c r="P45" s="1930"/>
      <c r="Q45" s="1930"/>
      <c r="R45" s="1930"/>
      <c r="S45" s="1930"/>
      <c r="T45" s="1931"/>
      <c r="U45" s="26"/>
      <c r="V45" s="1923" t="s">
        <v>272</v>
      </c>
      <c r="W45" s="1937"/>
      <c r="X45" s="1937"/>
      <c r="Y45" s="1937"/>
      <c r="Z45" s="1937"/>
      <c r="AA45" s="1937"/>
      <c r="AB45" s="1937"/>
      <c r="AC45" s="1937"/>
      <c r="AD45" s="1937"/>
      <c r="AE45" s="1938"/>
      <c r="AF45" s="466"/>
      <c r="AH45" s="23"/>
      <c r="AI45" s="23"/>
      <c r="AJ45" s="23">
        <v>2</v>
      </c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</row>
    <row r="46" spans="1:59" s="28" customFormat="1" ht="31.5">
      <c r="D46" s="29"/>
      <c r="E46" s="29"/>
      <c r="F46" s="29"/>
      <c r="I46" s="29"/>
      <c r="J46" s="1011" t="s">
        <v>270</v>
      </c>
      <c r="K46" s="1011" t="s">
        <v>196</v>
      </c>
      <c r="L46" s="450" t="s">
        <v>0</v>
      </c>
      <c r="M46" s="439" t="s">
        <v>200</v>
      </c>
      <c r="N46" s="454" t="s">
        <v>205</v>
      </c>
      <c r="O46" s="439" t="s">
        <v>31</v>
      </c>
      <c r="P46" s="448" t="s">
        <v>201</v>
      </c>
      <c r="Q46" s="455" t="s">
        <v>206</v>
      </c>
      <c r="R46" s="436" t="s">
        <v>22</v>
      </c>
      <c r="S46" s="438" t="s">
        <v>191</v>
      </c>
      <c r="T46" s="438" t="s">
        <v>244</v>
      </c>
      <c r="U46" s="26"/>
      <c r="V46" s="596" t="s">
        <v>0</v>
      </c>
      <c r="W46" s="436" t="s">
        <v>200</v>
      </c>
      <c r="X46" s="454" t="s">
        <v>205</v>
      </c>
      <c r="Y46" s="436" t="s">
        <v>31</v>
      </c>
      <c r="Z46" s="448" t="s">
        <v>201</v>
      </c>
      <c r="AA46" s="453" t="s">
        <v>206</v>
      </c>
      <c r="AB46" s="453" t="s">
        <v>210</v>
      </c>
      <c r="AC46" s="436" t="s">
        <v>22</v>
      </c>
      <c r="AD46" s="437" t="s">
        <v>191</v>
      </c>
      <c r="AE46" s="438" t="s">
        <v>244</v>
      </c>
      <c r="AF46" s="952" t="s">
        <v>32</v>
      </c>
      <c r="AG46" s="1022" t="s">
        <v>25</v>
      </c>
      <c r="AH46" s="1022" t="s">
        <v>23</v>
      </c>
      <c r="AI46" s="1022" t="s">
        <v>271</v>
      </c>
      <c r="AJ46" s="23"/>
      <c r="AK46" s="23"/>
      <c r="AL46" s="23"/>
      <c r="AM46" s="23"/>
      <c r="AN46" s="23"/>
      <c r="AO46" s="23"/>
      <c r="AP46" s="23"/>
      <c r="AQ46" s="23"/>
      <c r="AR46" s="23"/>
    </row>
    <row r="47" spans="1:59" ht="23.25">
      <c r="J47" s="441">
        <v>19.899999999999999</v>
      </c>
      <c r="K47" s="441"/>
      <c r="L47" s="441" t="s">
        <v>189</v>
      </c>
      <c r="M47" s="470">
        <v>9</v>
      </c>
      <c r="N47" s="430">
        <v>0</v>
      </c>
      <c r="O47" s="430">
        <v>11</v>
      </c>
      <c r="P47" s="430">
        <v>40</v>
      </c>
      <c r="Q47" s="430">
        <v>0</v>
      </c>
      <c r="R47" s="430">
        <v>0</v>
      </c>
      <c r="S47" s="446">
        <f t="shared" ref="S47:S56" si="28">SUM(M47:R47)</f>
        <v>60</v>
      </c>
      <c r="T47" s="446"/>
      <c r="U47" s="26"/>
      <c r="V47" s="586" t="s">
        <v>189</v>
      </c>
      <c r="W47" s="430"/>
      <c r="X47" s="430"/>
      <c r="Y47" s="430"/>
      <c r="Z47" s="430"/>
      <c r="AA47" s="430"/>
      <c r="AB47" s="655"/>
      <c r="AC47" s="430"/>
      <c r="AD47" s="568">
        <f t="shared" ref="AD47:AD56" si="29">SUM(W47:AC47)</f>
        <v>0</v>
      </c>
      <c r="AE47" s="587">
        <f>L27+L28+L29</f>
        <v>0</v>
      </c>
      <c r="AF47" s="953"/>
      <c r="AG47" s="1017"/>
      <c r="AH47" s="1017"/>
      <c r="AI47" s="1017"/>
      <c r="AJ47" s="28"/>
      <c r="AK47" s="28"/>
      <c r="AL47" s="28"/>
      <c r="AM47" s="28"/>
      <c r="AN47" s="28"/>
      <c r="AO47" s="28"/>
      <c r="AP47" s="28"/>
      <c r="AQ47" s="28"/>
      <c r="AR47" s="28"/>
      <c r="AT47" s="24"/>
      <c r="AU47" s="25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</row>
    <row r="48" spans="1:59" ht="23.25">
      <c r="J48" s="441"/>
      <c r="K48" s="441">
        <f>6+8</f>
        <v>14</v>
      </c>
      <c r="L48" s="441" t="s">
        <v>183</v>
      </c>
      <c r="M48" s="470">
        <v>8</v>
      </c>
      <c r="N48" s="430">
        <v>2</v>
      </c>
      <c r="O48" s="430">
        <v>0</v>
      </c>
      <c r="P48" s="430">
        <v>0</v>
      </c>
      <c r="Q48" s="430">
        <v>0</v>
      </c>
      <c r="R48" s="430">
        <v>0</v>
      </c>
      <c r="S48" s="446">
        <f t="shared" si="28"/>
        <v>10</v>
      </c>
      <c r="T48" s="446">
        <v>15</v>
      </c>
      <c r="U48" s="466"/>
      <c r="V48" s="586" t="s">
        <v>183</v>
      </c>
      <c r="W48" s="430"/>
      <c r="X48" s="430"/>
      <c r="Y48" s="430"/>
      <c r="Z48" s="430"/>
      <c r="AA48" s="430"/>
      <c r="AB48" s="655"/>
      <c r="AC48" s="430"/>
      <c r="AD48" s="568">
        <f t="shared" si="29"/>
        <v>0</v>
      </c>
      <c r="AE48" s="587">
        <f>P27+P28+P29</f>
        <v>0</v>
      </c>
      <c r="AF48" s="953"/>
      <c r="AG48" s="951"/>
      <c r="AH48" s="951"/>
      <c r="AI48" s="655"/>
      <c r="AL48" s="24"/>
      <c r="AM48" s="25"/>
      <c r="AP48" s="24"/>
      <c r="AQ48" s="25"/>
      <c r="AT48" s="24"/>
      <c r="AU48" s="25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</row>
    <row r="49" spans="4:59" ht="23.25">
      <c r="J49" s="441"/>
      <c r="K49" s="441"/>
      <c r="L49" s="441" t="s">
        <v>184</v>
      </c>
      <c r="M49" s="470">
        <v>0</v>
      </c>
      <c r="N49" s="430">
        <v>0</v>
      </c>
      <c r="O49" s="430">
        <v>0</v>
      </c>
      <c r="P49" s="430">
        <v>0</v>
      </c>
      <c r="Q49" s="430">
        <v>0</v>
      </c>
      <c r="R49" s="430">
        <v>0</v>
      </c>
      <c r="S49" s="446">
        <f t="shared" si="28"/>
        <v>0</v>
      </c>
      <c r="T49" s="446"/>
      <c r="U49" s="466"/>
      <c r="V49" s="586" t="s">
        <v>184</v>
      </c>
      <c r="W49" s="430"/>
      <c r="X49" s="430"/>
      <c r="Y49" s="430"/>
      <c r="Z49" s="430"/>
      <c r="AA49" s="430"/>
      <c r="AB49" s="655"/>
      <c r="AC49" s="430"/>
      <c r="AD49" s="568">
        <f t="shared" si="29"/>
        <v>0</v>
      </c>
      <c r="AE49" s="587">
        <f>T27+T28+T29</f>
        <v>7.8</v>
      </c>
      <c r="AF49" s="953"/>
      <c r="AG49" s="951"/>
      <c r="AH49" s="951"/>
      <c r="AI49" s="655"/>
      <c r="AL49" s="24"/>
      <c r="AM49" s="25"/>
      <c r="AP49" s="24"/>
      <c r="AQ49" s="25"/>
      <c r="AT49" s="24"/>
      <c r="AU49" s="25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</row>
    <row r="50" spans="4:59" ht="23.25">
      <c r="J50" s="441"/>
      <c r="K50" s="441"/>
      <c r="L50" s="441" t="s">
        <v>170</v>
      </c>
      <c r="M50" s="470">
        <v>0</v>
      </c>
      <c r="N50" s="430">
        <v>1</v>
      </c>
      <c r="O50" s="430">
        <v>0</v>
      </c>
      <c r="P50" s="430">
        <v>0</v>
      </c>
      <c r="Q50" s="430">
        <v>0</v>
      </c>
      <c r="R50" s="430">
        <v>14</v>
      </c>
      <c r="S50" s="446">
        <f t="shared" si="28"/>
        <v>15</v>
      </c>
      <c r="T50" s="446"/>
      <c r="U50" s="466"/>
      <c r="V50" s="586" t="s">
        <v>170</v>
      </c>
      <c r="W50" s="430"/>
      <c r="X50" s="430"/>
      <c r="Y50" s="430"/>
      <c r="Z50" s="430"/>
      <c r="AA50" s="430"/>
      <c r="AB50" s="655"/>
      <c r="AC50" s="430"/>
      <c r="AD50" s="568">
        <f t="shared" si="29"/>
        <v>0</v>
      </c>
      <c r="AE50" s="587">
        <f>X27+X28+X29</f>
        <v>0</v>
      </c>
      <c r="AF50" s="953"/>
      <c r="AG50" s="951"/>
      <c r="AH50" s="951"/>
      <c r="AI50" s="655"/>
      <c r="AL50" s="24"/>
      <c r="AM50" s="25"/>
      <c r="AP50" s="24"/>
      <c r="AQ50" s="25"/>
      <c r="AT50" s="24"/>
      <c r="AU50" s="25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</row>
    <row r="51" spans="4:59" ht="23.25">
      <c r="J51" s="441"/>
      <c r="K51" s="441"/>
      <c r="L51" s="441" t="s">
        <v>171</v>
      </c>
      <c r="M51" s="470">
        <v>0</v>
      </c>
      <c r="N51" s="430">
        <v>0</v>
      </c>
      <c r="O51" s="430">
        <v>0</v>
      </c>
      <c r="P51" s="430">
        <v>0</v>
      </c>
      <c r="Q51" s="430">
        <v>0</v>
      </c>
      <c r="R51" s="430">
        <v>0</v>
      </c>
      <c r="S51" s="446">
        <f t="shared" si="28"/>
        <v>0</v>
      </c>
      <c r="T51" s="446"/>
      <c r="U51" s="466"/>
      <c r="V51" s="586" t="s">
        <v>171</v>
      </c>
      <c r="W51" s="430"/>
      <c r="X51" s="430"/>
      <c r="Y51" s="430"/>
      <c r="Z51" s="430"/>
      <c r="AA51" s="430"/>
      <c r="AB51" s="655"/>
      <c r="AC51" s="430"/>
      <c r="AD51" s="568">
        <f t="shared" si="29"/>
        <v>0</v>
      </c>
      <c r="AE51" s="587">
        <f>AB27+AB28+AB29</f>
        <v>38.21</v>
      </c>
      <c r="AF51" s="953"/>
      <c r="AG51" s="951"/>
      <c r="AH51" s="951"/>
      <c r="AI51" s="655"/>
      <c r="AL51" s="24"/>
      <c r="AM51" s="25"/>
      <c r="AP51" s="24"/>
      <c r="AQ51" s="25"/>
      <c r="AT51" s="24"/>
      <c r="AU51" s="25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</row>
    <row r="52" spans="4:59" ht="23.25">
      <c r="J52" s="441"/>
      <c r="K52" s="441">
        <f>25+18</f>
        <v>43</v>
      </c>
      <c r="L52" s="441" t="s">
        <v>190</v>
      </c>
      <c r="M52" s="492">
        <v>10</v>
      </c>
      <c r="N52" s="471">
        <v>0</v>
      </c>
      <c r="O52" s="471">
        <v>0</v>
      </c>
      <c r="P52" s="471">
        <v>10</v>
      </c>
      <c r="Q52" s="430">
        <v>0</v>
      </c>
      <c r="R52" s="471">
        <v>0</v>
      </c>
      <c r="S52" s="446">
        <f t="shared" si="28"/>
        <v>20</v>
      </c>
      <c r="T52" s="446"/>
      <c r="U52" s="466"/>
      <c r="V52" s="586" t="s">
        <v>190</v>
      </c>
      <c r="W52" s="430"/>
      <c r="X52" s="430"/>
      <c r="Y52" s="430"/>
      <c r="Z52" s="430"/>
      <c r="AA52" s="430"/>
      <c r="AB52" s="655"/>
      <c r="AC52" s="430"/>
      <c r="AD52" s="568">
        <f t="shared" si="29"/>
        <v>0</v>
      </c>
      <c r="AE52" s="587">
        <f>AF27+AF28+AF29</f>
        <v>0</v>
      </c>
      <c r="AF52" s="954"/>
      <c r="AG52" s="951"/>
      <c r="AH52" s="951"/>
      <c r="AI52" s="655"/>
      <c r="AL52" s="24"/>
      <c r="AM52" s="25"/>
      <c r="AP52" s="24"/>
      <c r="AQ52" s="25"/>
      <c r="AT52" s="24"/>
      <c r="AU52" s="25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</row>
    <row r="53" spans="4:59" ht="23.25">
      <c r="J53" s="441">
        <f>17.47</f>
        <v>17.47</v>
      </c>
      <c r="K53" s="441">
        <f>8.23+14.87+19</f>
        <v>42.1</v>
      </c>
      <c r="L53" s="441" t="s">
        <v>185</v>
      </c>
      <c r="M53" s="470">
        <v>3.5</v>
      </c>
      <c r="N53" s="430">
        <v>0</v>
      </c>
      <c r="O53" s="430">
        <v>0</v>
      </c>
      <c r="P53" s="430">
        <v>0</v>
      </c>
      <c r="Q53" s="430">
        <v>0</v>
      </c>
      <c r="R53" s="430">
        <v>0</v>
      </c>
      <c r="S53" s="446">
        <f t="shared" si="28"/>
        <v>3.5</v>
      </c>
      <c r="T53" s="446"/>
      <c r="U53" s="466"/>
      <c r="V53" s="586" t="s">
        <v>185</v>
      </c>
      <c r="W53" s="430"/>
      <c r="X53" s="430"/>
      <c r="Y53" s="430"/>
      <c r="Z53" s="430"/>
      <c r="AA53" s="430"/>
      <c r="AB53" s="655"/>
      <c r="AC53" s="430"/>
      <c r="AD53" s="568">
        <f t="shared" si="29"/>
        <v>0</v>
      </c>
      <c r="AE53" s="587">
        <f>AN27+AN28+AN29</f>
        <v>0</v>
      </c>
      <c r="AF53" s="954"/>
      <c r="AG53" s="951"/>
      <c r="AH53" s="951"/>
      <c r="AI53" s="655"/>
      <c r="AL53" s="24"/>
      <c r="AM53" s="25"/>
      <c r="AP53" s="24"/>
      <c r="AQ53" s="25"/>
      <c r="AT53" s="24"/>
      <c r="AU53" s="25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</row>
    <row r="54" spans="4:59" ht="23.25">
      <c r="J54" s="441"/>
      <c r="K54" s="441"/>
      <c r="L54" s="441" t="s">
        <v>202</v>
      </c>
      <c r="M54" s="470">
        <v>5</v>
      </c>
      <c r="N54" s="430">
        <v>0</v>
      </c>
      <c r="O54" s="430">
        <v>0</v>
      </c>
      <c r="P54" s="430">
        <v>5</v>
      </c>
      <c r="Q54" s="430">
        <v>0</v>
      </c>
      <c r="R54" s="430">
        <v>0</v>
      </c>
      <c r="S54" s="446">
        <f t="shared" si="28"/>
        <v>10</v>
      </c>
      <c r="T54" s="446">
        <v>7</v>
      </c>
      <c r="U54" s="466"/>
      <c r="V54" s="586" t="s">
        <v>202</v>
      </c>
      <c r="W54" s="430"/>
      <c r="X54" s="430"/>
      <c r="Y54" s="430"/>
      <c r="Z54" s="430"/>
      <c r="AA54" s="430"/>
      <c r="AB54" s="655"/>
      <c r="AC54" s="430"/>
      <c r="AD54" s="568">
        <f t="shared" si="29"/>
        <v>0</v>
      </c>
      <c r="AE54" s="587">
        <f>AR27+AR28+AR29</f>
        <v>0</v>
      </c>
      <c r="AF54" s="952"/>
      <c r="AG54" s="951"/>
      <c r="AH54" s="951"/>
      <c r="AI54" s="655"/>
      <c r="AL54" s="24"/>
      <c r="AM54" s="25"/>
      <c r="AP54" s="24"/>
      <c r="AQ54" s="25"/>
      <c r="AT54" s="24"/>
      <c r="AU54" s="25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</row>
    <row r="55" spans="4:59" ht="23.25">
      <c r="J55" s="441">
        <f>29+18.87</f>
        <v>47.870000000000005</v>
      </c>
      <c r="K55" s="441"/>
      <c r="L55" s="441" t="s">
        <v>186</v>
      </c>
      <c r="M55" s="470">
        <v>8</v>
      </c>
      <c r="N55" s="430">
        <v>0</v>
      </c>
      <c r="O55" s="430">
        <v>0</v>
      </c>
      <c r="P55" s="430">
        <v>0</v>
      </c>
      <c r="Q55" s="430">
        <v>14</v>
      </c>
      <c r="R55" s="430">
        <v>0</v>
      </c>
      <c r="S55" s="446">
        <f t="shared" si="28"/>
        <v>22</v>
      </c>
      <c r="T55" s="446"/>
      <c r="U55" s="466"/>
      <c r="V55" s="586" t="s">
        <v>186</v>
      </c>
      <c r="W55" s="430"/>
      <c r="X55" s="430"/>
      <c r="Y55" s="430"/>
      <c r="Z55" s="430"/>
      <c r="AA55" s="430"/>
      <c r="AB55" s="655"/>
      <c r="AC55" s="430"/>
      <c r="AD55" s="568">
        <f t="shared" si="29"/>
        <v>0</v>
      </c>
      <c r="AE55" s="587">
        <f>AV27+AV28+AV29</f>
        <v>0</v>
      </c>
      <c r="AF55" s="952"/>
      <c r="AG55" s="951"/>
      <c r="AH55" s="951"/>
      <c r="AI55" s="655"/>
      <c r="AL55" s="24"/>
      <c r="AM55" s="25"/>
      <c r="AP55" s="24"/>
      <c r="AQ55" s="25"/>
      <c r="AT55" s="24"/>
      <c r="AU55" s="25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</row>
    <row r="56" spans="4:59" ht="23.25">
      <c r="J56" s="441"/>
      <c r="K56" s="441"/>
      <c r="L56" s="441" t="s">
        <v>203</v>
      </c>
      <c r="M56" s="470">
        <v>12</v>
      </c>
      <c r="N56" s="430">
        <v>0</v>
      </c>
      <c r="O56" s="430">
        <v>0</v>
      </c>
      <c r="P56" s="430">
        <v>0</v>
      </c>
      <c r="Q56" s="430">
        <v>8</v>
      </c>
      <c r="R56" s="430">
        <v>0</v>
      </c>
      <c r="S56" s="446">
        <f t="shared" si="28"/>
        <v>20</v>
      </c>
      <c r="T56" s="446">
        <v>9</v>
      </c>
      <c r="U56" s="466"/>
      <c r="V56" s="586" t="s">
        <v>203</v>
      </c>
      <c r="W56" s="430"/>
      <c r="X56" s="430"/>
      <c r="Y56" s="430"/>
      <c r="Z56" s="430"/>
      <c r="AA56" s="430"/>
      <c r="AB56" s="655"/>
      <c r="AC56" s="430"/>
      <c r="AD56" s="568">
        <f t="shared" si="29"/>
        <v>0</v>
      </c>
      <c r="AE56" s="587">
        <f>AZ27+AZ28+AZ29</f>
        <v>9</v>
      </c>
      <c r="AF56" s="952"/>
      <c r="AG56" s="951"/>
      <c r="AH56" s="951"/>
      <c r="AI56" s="655"/>
      <c r="AL56" s="24"/>
      <c r="AM56" s="25"/>
      <c r="AP56" s="24"/>
      <c r="AQ56" s="25"/>
      <c r="AT56" s="24"/>
      <c r="AU56" s="25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</row>
    <row r="57" spans="4:59" ht="24" thickBot="1">
      <c r="J57" s="442">
        <f t="shared" ref="J57:K57" si="30">SUM(J47:J56)</f>
        <v>85.240000000000009</v>
      </c>
      <c r="K57" s="442">
        <f t="shared" si="30"/>
        <v>99.1</v>
      </c>
      <c r="L57" s="442" t="s">
        <v>191</v>
      </c>
      <c r="M57" s="443">
        <f t="shared" ref="M57" si="31">SUM(M47:M56)</f>
        <v>55.5</v>
      </c>
      <c r="N57" s="444">
        <f>SUM(N47:N56)</f>
        <v>3</v>
      </c>
      <c r="O57" s="443">
        <f t="shared" ref="O57" si="32">SUM(O47:O56)</f>
        <v>11</v>
      </c>
      <c r="P57" s="444">
        <f>SUM(P47:P56)</f>
        <v>55</v>
      </c>
      <c r="Q57" s="444">
        <f>SUM(Q47:Q56)</f>
        <v>22</v>
      </c>
      <c r="R57" s="445">
        <f>SUM(R47:R56)</f>
        <v>14</v>
      </c>
      <c r="S57" s="451">
        <f>SUM(S47:S56)</f>
        <v>160.5</v>
      </c>
      <c r="T57" s="451">
        <f>SUM(T47:T56)</f>
        <v>31</v>
      </c>
      <c r="U57" s="466"/>
      <c r="V57" s="588" t="s">
        <v>191</v>
      </c>
      <c r="W57" s="589">
        <f t="shared" ref="W57" si="33">SUM(W47:W56)</f>
        <v>0</v>
      </c>
      <c r="X57" s="444">
        <f>SUM(X47:X56)</f>
        <v>0</v>
      </c>
      <c r="Y57" s="444">
        <f t="shared" ref="Y57" si="34">SUM(Y47:Y56)</f>
        <v>0</v>
      </c>
      <c r="Z57" s="444">
        <f>SUM(Z47:Z56)</f>
        <v>0</v>
      </c>
      <c r="AA57" s="444">
        <f>SUM(AA47:AA56)</f>
        <v>0</v>
      </c>
      <c r="AB57" s="444"/>
      <c r="AC57" s="444">
        <f t="shared" ref="AC57" si="35">SUM(AC47:AC56)</f>
        <v>0</v>
      </c>
      <c r="AD57" s="630">
        <f>SUM(AD47:AD56)</f>
        <v>0</v>
      </c>
      <c r="AE57" s="631">
        <f>SUM(AE47:AE56)</f>
        <v>55.01</v>
      </c>
      <c r="AF57" s="1016">
        <f t="shared" ref="AF57:AI57" si="36">SUM(AF47:AF56)</f>
        <v>0</v>
      </c>
      <c r="AG57" s="1015">
        <f t="shared" si="36"/>
        <v>0</v>
      </c>
      <c r="AH57" s="1015">
        <f t="shared" si="36"/>
        <v>0</v>
      </c>
      <c r="AI57" s="1015">
        <f t="shared" si="36"/>
        <v>0</v>
      </c>
      <c r="AL57" s="24"/>
      <c r="AM57" s="25"/>
      <c r="AP57" s="24"/>
      <c r="AQ57" s="25"/>
      <c r="AT57" s="24"/>
      <c r="AU57" s="25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</row>
    <row r="58" spans="4:59" ht="24" customHeight="1" thickBot="1">
      <c r="N58" s="24"/>
      <c r="O58" s="1924" t="s">
        <v>254</v>
      </c>
      <c r="P58" s="1925"/>
      <c r="Q58" s="1925"/>
      <c r="R58" s="1926"/>
      <c r="S58" s="1927">
        <f>S57+T57</f>
        <v>191.5</v>
      </c>
      <c r="T58" s="1928"/>
      <c r="U58" s="466"/>
      <c r="V58" s="1932" t="s">
        <v>221</v>
      </c>
      <c r="W58" s="1932"/>
      <c r="X58" s="1932"/>
      <c r="Y58" s="1932"/>
      <c r="Z58" s="1932"/>
      <c r="AA58" s="1932"/>
      <c r="AB58" s="1932"/>
      <c r="AC58" s="1932"/>
      <c r="AD58" s="1933">
        <f>AD57+AE57</f>
        <v>55.01</v>
      </c>
      <c r="AE58" s="1934"/>
      <c r="AF58" s="466"/>
      <c r="AH58" s="24"/>
      <c r="AI58" s="25"/>
      <c r="AL58" s="24"/>
      <c r="AM58" s="25"/>
      <c r="AP58" s="24"/>
      <c r="AQ58" s="25"/>
      <c r="AT58" s="24"/>
      <c r="AU58" s="25"/>
      <c r="AX58" s="24"/>
      <c r="AY58" s="24"/>
      <c r="AZ58" s="25"/>
      <c r="BA58" s="24"/>
      <c r="BB58" s="24"/>
      <c r="BC58" s="23"/>
      <c r="BD58" s="23"/>
      <c r="BE58" s="23"/>
      <c r="BF58" s="23"/>
      <c r="BG58" s="23"/>
    </row>
    <row r="59" spans="4:59" ht="27.75" customHeight="1" thickBot="1">
      <c r="J59" s="24"/>
      <c r="N59" s="24"/>
      <c r="R59" s="24"/>
      <c r="T59" s="26"/>
      <c r="U59" s="26"/>
      <c r="V59" s="966"/>
      <c r="W59" s="966"/>
      <c r="X59" s="966"/>
      <c r="Y59" s="1922" t="s">
        <v>235</v>
      </c>
      <c r="Z59" s="1922"/>
      <c r="AA59" s="1922"/>
      <c r="AB59" s="1922"/>
      <c r="AC59" s="1922"/>
      <c r="AD59" s="1920">
        <f>BH6+BI6+BD20+BE20</f>
        <v>62.9</v>
      </c>
      <c r="AE59" s="1921"/>
      <c r="AF59" s="466"/>
      <c r="AH59" s="24"/>
      <c r="AI59" s="25"/>
      <c r="AL59" s="24"/>
      <c r="AP59" s="25"/>
      <c r="AT59" s="25"/>
      <c r="AX59" s="25"/>
      <c r="AY59" s="24"/>
      <c r="AZ59" s="24"/>
      <c r="BA59" s="24"/>
      <c r="BB59" s="25"/>
      <c r="BE59" s="23"/>
      <c r="BF59" s="23"/>
      <c r="BG59" s="23"/>
    </row>
    <row r="60" spans="4:59" s="28" customFormat="1" ht="33.75" customHeight="1" thickBot="1">
      <c r="D60" s="29"/>
      <c r="E60" s="29"/>
      <c r="F60" s="29"/>
      <c r="I60" s="29"/>
      <c r="J60" s="24"/>
      <c r="K60" s="24"/>
      <c r="L60" s="1923" t="s">
        <v>319</v>
      </c>
      <c r="M60" s="1937"/>
      <c r="N60" s="1937"/>
      <c r="O60" s="1937"/>
      <c r="P60" s="1937"/>
      <c r="Q60" s="1937"/>
      <c r="R60" s="1937"/>
      <c r="S60" s="1937"/>
      <c r="T60" s="1937"/>
      <c r="U60" s="1938"/>
      <c r="V60" s="966"/>
      <c r="W60" s="966"/>
      <c r="X60" s="966"/>
      <c r="Y60" s="1013"/>
      <c r="Z60" s="966"/>
      <c r="AA60" s="966"/>
      <c r="AB60" s="966"/>
      <c r="AC60" s="1013"/>
      <c r="AD60" s="966"/>
      <c r="AE60" s="964"/>
      <c r="AF60" s="966"/>
      <c r="AG60" s="964"/>
      <c r="AH60" s="964"/>
      <c r="AI60" s="967"/>
      <c r="AJ60" s="964"/>
      <c r="AK60" s="964"/>
      <c r="AL60" s="964"/>
      <c r="AM60" s="964"/>
      <c r="AN60" s="964"/>
      <c r="AO60" s="964"/>
      <c r="AP60" s="967"/>
      <c r="AQ60" s="964"/>
      <c r="AR60" s="964"/>
      <c r="AS60" s="964"/>
      <c r="AT60" s="967"/>
      <c r="AU60" s="964"/>
      <c r="AV60" s="964"/>
      <c r="AW60" s="964"/>
      <c r="AX60" s="967"/>
      <c r="AY60" s="965"/>
      <c r="AZ60" s="965"/>
      <c r="BA60" s="964"/>
      <c r="BB60" s="964"/>
      <c r="BC60" s="967"/>
      <c r="BD60" s="967"/>
      <c r="BE60" s="964"/>
    </row>
    <row r="61" spans="4:59" ht="31.5">
      <c r="J61" s="24"/>
      <c r="L61" s="596" t="s">
        <v>0</v>
      </c>
      <c r="M61" s="436" t="s">
        <v>200</v>
      </c>
      <c r="N61" s="454" t="s">
        <v>205</v>
      </c>
      <c r="O61" s="436" t="s">
        <v>31</v>
      </c>
      <c r="P61" s="448" t="s">
        <v>201</v>
      </c>
      <c r="Q61" s="453" t="s">
        <v>206</v>
      </c>
      <c r="R61" s="453" t="s">
        <v>210</v>
      </c>
      <c r="S61" s="436" t="s">
        <v>22</v>
      </c>
      <c r="T61" s="437" t="s">
        <v>191</v>
      </c>
      <c r="U61" s="438" t="s">
        <v>244</v>
      </c>
      <c r="V61" s="966"/>
      <c r="W61" s="466"/>
      <c r="X61" s="466"/>
      <c r="Y61" s="465"/>
      <c r="Z61" s="466"/>
      <c r="AA61" s="466"/>
      <c r="AB61" s="466"/>
      <c r="AC61" s="465"/>
      <c r="AD61" s="466"/>
      <c r="AF61" s="466"/>
      <c r="AH61" s="24"/>
      <c r="AI61" s="25"/>
      <c r="AL61" s="24"/>
      <c r="AM61" s="26"/>
      <c r="AN61" s="26"/>
      <c r="AP61" s="24"/>
      <c r="AQ61" s="26"/>
      <c r="AR61" s="26"/>
      <c r="AT61" s="24"/>
      <c r="AU61" s="26"/>
      <c r="AV61" s="26"/>
      <c r="AX61" s="24"/>
      <c r="AY61" s="26"/>
      <c r="AZ61" s="26"/>
      <c r="BA61" s="24"/>
      <c r="BB61" s="24"/>
      <c r="BC61" s="25"/>
      <c r="BD61" s="25"/>
      <c r="BF61" s="23"/>
      <c r="BG61" s="23"/>
    </row>
    <row r="62" spans="4:59" ht="23.25">
      <c r="J62" s="24"/>
      <c r="L62" s="586" t="s">
        <v>189</v>
      </c>
      <c r="M62" s="430">
        <v>9</v>
      </c>
      <c r="N62" s="430">
        <v>0.1</v>
      </c>
      <c r="O62" s="430">
        <v>0</v>
      </c>
      <c r="P62" s="430">
        <v>0</v>
      </c>
      <c r="Q62" s="430">
        <v>0</v>
      </c>
      <c r="R62" s="655"/>
      <c r="S62" s="430"/>
      <c r="T62" s="568">
        <f t="shared" ref="T62:T71" si="37">SUM(M62:S62)</f>
        <v>9.1</v>
      </c>
      <c r="U62" s="587">
        <v>0</v>
      </c>
      <c r="V62" s="966"/>
      <c r="W62" s="466"/>
      <c r="X62" s="466"/>
      <c r="Y62" s="465"/>
      <c r="Z62" s="466"/>
      <c r="AA62" s="466"/>
      <c r="AB62" s="466"/>
      <c r="AC62" s="465"/>
      <c r="AD62" s="466"/>
      <c r="AF62" s="466"/>
      <c r="AH62" s="24"/>
      <c r="AI62" s="25"/>
      <c r="AL62" s="24"/>
      <c r="AM62" s="26"/>
      <c r="AN62" s="26"/>
      <c r="AP62" s="24"/>
      <c r="AQ62" s="26"/>
      <c r="AR62" s="26"/>
      <c r="AT62" s="24"/>
      <c r="AU62" s="26"/>
      <c r="AV62" s="26"/>
      <c r="AX62" s="24"/>
      <c r="AY62" s="26"/>
      <c r="AZ62" s="26"/>
      <c r="BA62" s="24"/>
      <c r="BB62" s="24"/>
      <c r="BC62" s="25"/>
      <c r="BD62" s="25"/>
      <c r="BF62" s="23"/>
      <c r="BG62" s="23"/>
    </row>
    <row r="63" spans="4:59" ht="23.25">
      <c r="J63" s="24"/>
      <c r="L63" s="586" t="s">
        <v>183</v>
      </c>
      <c r="M63" s="430">
        <v>0</v>
      </c>
      <c r="N63" s="430">
        <v>3.4</v>
      </c>
      <c r="O63" s="430">
        <v>0</v>
      </c>
      <c r="P63" s="430">
        <v>0</v>
      </c>
      <c r="Q63" s="430">
        <v>0</v>
      </c>
      <c r="R63" s="655"/>
      <c r="S63" s="430"/>
      <c r="T63" s="568">
        <f t="shared" si="37"/>
        <v>3.4</v>
      </c>
      <c r="U63" s="587">
        <v>0</v>
      </c>
      <c r="V63" s="966"/>
      <c r="W63" s="466"/>
      <c r="X63" s="466"/>
      <c r="Y63" s="465"/>
      <c r="Z63" s="466"/>
      <c r="AA63" s="466"/>
      <c r="AB63" s="466"/>
      <c r="AC63" s="465"/>
      <c r="AD63" s="466"/>
      <c r="AG63" s="26"/>
      <c r="AH63" s="24"/>
      <c r="AK63" s="49"/>
      <c r="AL63" s="24"/>
      <c r="AM63" s="26"/>
      <c r="AN63" s="26"/>
      <c r="AP63" s="24"/>
      <c r="AQ63" s="26"/>
      <c r="AR63" s="26"/>
      <c r="AT63" s="24"/>
      <c r="AU63" s="26"/>
      <c r="AV63" s="26"/>
      <c r="AX63" s="24"/>
      <c r="AY63" s="26"/>
      <c r="AZ63" s="26"/>
      <c r="BA63" s="24"/>
      <c r="BB63" s="24"/>
      <c r="BC63" s="25"/>
      <c r="BD63" s="25"/>
      <c r="BF63" s="23"/>
      <c r="BG63" s="23"/>
    </row>
    <row r="64" spans="4:59" ht="23.25">
      <c r="J64" s="24"/>
      <c r="L64" s="586" t="s">
        <v>184</v>
      </c>
      <c r="M64" s="430">
        <v>0</v>
      </c>
      <c r="N64" s="430">
        <v>0</v>
      </c>
      <c r="O64" s="430">
        <v>0</v>
      </c>
      <c r="P64" s="430">
        <v>0</v>
      </c>
      <c r="Q64" s="430">
        <v>0</v>
      </c>
      <c r="R64" s="655"/>
      <c r="S64" s="430"/>
      <c r="T64" s="568">
        <f t="shared" si="37"/>
        <v>0</v>
      </c>
      <c r="U64" s="587">
        <v>7.8</v>
      </c>
      <c r="V64" s="966"/>
      <c r="W64" s="466"/>
      <c r="X64" s="466"/>
      <c r="Y64" s="465"/>
      <c r="Z64" s="466"/>
      <c r="AA64" s="466"/>
      <c r="AB64" s="466"/>
      <c r="AC64" s="465"/>
      <c r="AD64" s="466"/>
      <c r="AG64" s="26"/>
      <c r="AH64" s="24"/>
      <c r="AK64" s="49"/>
      <c r="AL64" s="24"/>
      <c r="AO64" s="26"/>
      <c r="AP64" s="24"/>
      <c r="AQ64" s="26"/>
      <c r="AR64" s="26"/>
      <c r="AT64" s="24"/>
      <c r="AU64" s="26"/>
      <c r="AV64" s="26"/>
      <c r="AX64" s="24"/>
      <c r="AY64" s="26"/>
      <c r="AZ64" s="26"/>
      <c r="BA64" s="24"/>
      <c r="BB64" s="24"/>
      <c r="BE64" s="25"/>
      <c r="BF64" s="24"/>
      <c r="BG64" s="23"/>
    </row>
    <row r="65" spans="10:59" ht="23.25">
      <c r="J65" s="24"/>
      <c r="L65" s="586" t="s">
        <v>170</v>
      </c>
      <c r="M65" s="430">
        <v>0</v>
      </c>
      <c r="N65" s="430">
        <v>0</v>
      </c>
      <c r="O65" s="430">
        <v>0</v>
      </c>
      <c r="P65" s="430">
        <v>0</v>
      </c>
      <c r="Q65" s="430">
        <v>0</v>
      </c>
      <c r="R65" s="655"/>
      <c r="S65" s="430"/>
      <c r="T65" s="568">
        <f t="shared" si="37"/>
        <v>0</v>
      </c>
      <c r="U65" s="587">
        <v>0</v>
      </c>
      <c r="V65" s="966"/>
      <c r="W65" s="466"/>
      <c r="X65" s="466"/>
      <c r="Y65" s="465"/>
      <c r="Z65" s="466"/>
      <c r="AA65" s="466"/>
      <c r="AB65" s="466"/>
      <c r="AC65" s="465"/>
      <c r="AD65" s="466"/>
      <c r="AG65" s="26"/>
      <c r="AH65" s="24"/>
      <c r="AK65" s="49"/>
      <c r="AL65" s="24"/>
      <c r="AO65" s="26"/>
      <c r="AP65" s="24"/>
      <c r="AQ65" s="26"/>
      <c r="AR65" s="26"/>
      <c r="AT65" s="24"/>
      <c r="AU65" s="26"/>
      <c r="AV65" s="26"/>
      <c r="AX65" s="24"/>
      <c r="AY65" s="26"/>
      <c r="AZ65" s="26"/>
      <c r="BA65" s="24"/>
      <c r="BB65" s="24"/>
      <c r="BE65" s="25"/>
      <c r="BF65" s="24"/>
      <c r="BG65" s="23"/>
    </row>
    <row r="66" spans="10:59" ht="23.25">
      <c r="J66" s="24"/>
      <c r="L66" s="586" t="s">
        <v>171</v>
      </c>
      <c r="M66" s="430">
        <v>0</v>
      </c>
      <c r="N66" s="430">
        <v>0</v>
      </c>
      <c r="O66" s="430">
        <v>0</v>
      </c>
      <c r="P66" s="430">
        <v>0</v>
      </c>
      <c r="Q66" s="430">
        <v>0</v>
      </c>
      <c r="R66" s="655"/>
      <c r="S66" s="430"/>
      <c r="T66" s="568">
        <f t="shared" si="37"/>
        <v>0</v>
      </c>
      <c r="U66" s="587">
        <v>38.21</v>
      </c>
      <c r="V66" s="966"/>
      <c r="W66" s="466"/>
      <c r="X66" s="466"/>
      <c r="Y66" s="465"/>
      <c r="Z66" s="466"/>
      <c r="AA66" s="466"/>
      <c r="AB66" s="466"/>
      <c r="AC66" s="465"/>
      <c r="AD66" s="466"/>
      <c r="AG66" s="26"/>
      <c r="AH66" s="24"/>
      <c r="AK66" s="49"/>
      <c r="AL66" s="24"/>
      <c r="AO66" s="26"/>
      <c r="AP66" s="24"/>
      <c r="AQ66" s="26"/>
      <c r="AR66" s="26"/>
      <c r="AT66" s="24"/>
      <c r="AU66" s="26"/>
      <c r="AV66" s="26"/>
      <c r="AX66" s="24"/>
      <c r="AY66" s="26"/>
      <c r="AZ66" s="26"/>
      <c r="BA66" s="24"/>
      <c r="BB66" s="24"/>
      <c r="BE66" s="25"/>
      <c r="BF66" s="24"/>
      <c r="BG66" s="23"/>
    </row>
    <row r="67" spans="10:59" ht="23.25">
      <c r="J67" s="24"/>
      <c r="L67" s="586" t="s">
        <v>190</v>
      </c>
      <c r="M67" s="430">
        <v>0</v>
      </c>
      <c r="N67" s="430">
        <v>0</v>
      </c>
      <c r="O67" s="430">
        <v>0</v>
      </c>
      <c r="P67" s="430">
        <v>0</v>
      </c>
      <c r="Q67" s="430">
        <v>0</v>
      </c>
      <c r="R67" s="655"/>
      <c r="S67" s="430"/>
      <c r="T67" s="568">
        <f t="shared" si="37"/>
        <v>0</v>
      </c>
      <c r="U67" s="587">
        <v>0</v>
      </c>
      <c r="V67" s="966"/>
      <c r="W67" s="466"/>
      <c r="X67" s="466"/>
      <c r="Y67" s="465"/>
      <c r="Z67" s="466"/>
      <c r="AA67" s="466"/>
      <c r="AB67" s="466"/>
      <c r="AC67" s="465"/>
      <c r="AD67" s="466"/>
      <c r="AG67" s="26"/>
      <c r="AH67" s="24"/>
      <c r="AK67" s="49"/>
      <c r="AL67" s="24"/>
      <c r="AO67" s="26"/>
      <c r="AP67" s="24"/>
      <c r="AQ67" s="26"/>
      <c r="AR67" s="26"/>
      <c r="AT67" s="24"/>
      <c r="AU67" s="26"/>
      <c r="AV67" s="26"/>
      <c r="AX67" s="24"/>
      <c r="AY67" s="26"/>
      <c r="AZ67" s="26"/>
      <c r="BA67" s="24"/>
      <c r="BB67" s="24"/>
      <c r="BE67" s="25"/>
      <c r="BF67" s="24"/>
      <c r="BG67" s="23"/>
    </row>
    <row r="68" spans="10:59" ht="23.25">
      <c r="J68" s="24"/>
      <c r="L68" s="586" t="s">
        <v>185</v>
      </c>
      <c r="M68" s="430">
        <v>3.5</v>
      </c>
      <c r="N68" s="430">
        <v>0</v>
      </c>
      <c r="O68" s="430">
        <v>0</v>
      </c>
      <c r="P68" s="430">
        <v>0</v>
      </c>
      <c r="Q68" s="430">
        <v>0</v>
      </c>
      <c r="R68" s="655"/>
      <c r="S68" s="430"/>
      <c r="T68" s="568">
        <f t="shared" si="37"/>
        <v>3.5</v>
      </c>
      <c r="U68" s="587">
        <v>0</v>
      </c>
      <c r="V68" s="966"/>
      <c r="W68" s="466"/>
      <c r="X68" s="466"/>
      <c r="Y68" s="465"/>
      <c r="Z68" s="466"/>
      <c r="AA68" s="466"/>
      <c r="AB68" s="466"/>
      <c r="AC68" s="465"/>
      <c r="AD68" s="466"/>
      <c r="AG68" s="26"/>
      <c r="AH68" s="24"/>
      <c r="AK68" s="49"/>
      <c r="AL68" s="24"/>
      <c r="AO68" s="26"/>
      <c r="AP68" s="24"/>
      <c r="AQ68" s="26"/>
      <c r="AR68" s="26"/>
      <c r="AT68" s="24"/>
      <c r="AU68" s="26"/>
      <c r="AV68" s="26"/>
      <c r="AX68" s="24"/>
      <c r="AY68" s="26"/>
      <c r="AZ68" s="26"/>
      <c r="BA68" s="24"/>
      <c r="BB68" s="24"/>
      <c r="BE68" s="25"/>
      <c r="BF68" s="24"/>
      <c r="BG68" s="23"/>
    </row>
    <row r="69" spans="10:59" ht="23.25">
      <c r="L69" s="586" t="s">
        <v>202</v>
      </c>
      <c r="M69" s="430">
        <v>0</v>
      </c>
      <c r="N69" s="430">
        <v>0</v>
      </c>
      <c r="O69" s="430">
        <v>0</v>
      </c>
      <c r="P69" s="430">
        <v>0</v>
      </c>
      <c r="Q69" s="430">
        <v>0</v>
      </c>
      <c r="R69" s="655"/>
      <c r="S69" s="430"/>
      <c r="T69" s="568">
        <f t="shared" si="37"/>
        <v>0</v>
      </c>
      <c r="U69" s="587">
        <v>0</v>
      </c>
      <c r="V69" s="466"/>
      <c r="W69" s="466"/>
      <c r="X69" s="466"/>
      <c r="Y69" s="465"/>
      <c r="Z69" s="466"/>
      <c r="AA69" s="466"/>
      <c r="AB69" s="466"/>
      <c r="AC69" s="465"/>
      <c r="AD69" s="466"/>
      <c r="AG69" s="26"/>
      <c r="AH69" s="24"/>
      <c r="AK69" s="49"/>
      <c r="AL69" s="24"/>
      <c r="AO69" s="26"/>
      <c r="AP69" s="24"/>
      <c r="AQ69" s="26"/>
      <c r="AR69" s="26"/>
      <c r="AT69" s="24"/>
      <c r="AU69" s="26"/>
      <c r="AV69" s="26"/>
      <c r="AX69" s="24"/>
      <c r="AY69" s="26"/>
      <c r="AZ69" s="26"/>
      <c r="BA69" s="24"/>
      <c r="BB69" s="24"/>
      <c r="BE69" s="25"/>
      <c r="BF69" s="24"/>
      <c r="BG69" s="23"/>
    </row>
    <row r="70" spans="10:59" ht="23.25">
      <c r="L70" s="586" t="s">
        <v>186</v>
      </c>
      <c r="M70" s="430">
        <v>24</v>
      </c>
      <c r="N70" s="430">
        <v>0</v>
      </c>
      <c r="O70" s="430">
        <v>0</v>
      </c>
      <c r="P70" s="430">
        <v>0</v>
      </c>
      <c r="Q70" s="430">
        <v>0</v>
      </c>
      <c r="R70" s="655"/>
      <c r="S70" s="430"/>
      <c r="T70" s="568">
        <f t="shared" si="37"/>
        <v>24</v>
      </c>
      <c r="U70" s="587">
        <v>0</v>
      </c>
      <c r="V70" s="466"/>
      <c r="W70" s="466"/>
      <c r="X70" s="466"/>
      <c r="Y70" s="465"/>
      <c r="Z70" s="466"/>
      <c r="AA70" s="466"/>
      <c r="AB70" s="466"/>
      <c r="AC70" s="465"/>
      <c r="AD70" s="466"/>
      <c r="AG70" s="26"/>
      <c r="AH70" s="24"/>
      <c r="AK70" s="49"/>
      <c r="AL70" s="24"/>
      <c r="AM70" s="26"/>
      <c r="AN70" s="26"/>
      <c r="AY70" s="24"/>
      <c r="AZ70" s="24"/>
      <c r="BA70" s="24"/>
      <c r="BB70" s="24"/>
      <c r="BC70" s="25"/>
      <c r="BD70" s="25"/>
      <c r="BF70" s="23"/>
      <c r="BG70" s="23"/>
    </row>
    <row r="71" spans="10:59" ht="23.25">
      <c r="L71" s="586" t="s">
        <v>203</v>
      </c>
      <c r="M71" s="430">
        <v>0</v>
      </c>
      <c r="N71" s="430">
        <v>0</v>
      </c>
      <c r="O71" s="430">
        <v>0</v>
      </c>
      <c r="P71" s="430">
        <v>10</v>
      </c>
      <c r="Q71" s="430">
        <v>0</v>
      </c>
      <c r="R71" s="655"/>
      <c r="S71" s="430"/>
      <c r="T71" s="568">
        <f t="shared" si="37"/>
        <v>10</v>
      </c>
      <c r="U71" s="587">
        <v>9</v>
      </c>
      <c r="V71" s="466"/>
      <c r="W71" s="466"/>
      <c r="X71" s="466"/>
      <c r="Y71" s="465"/>
      <c r="Z71" s="466"/>
      <c r="AA71" s="466"/>
      <c r="AB71" s="466"/>
      <c r="AC71" s="465"/>
      <c r="AD71" s="466"/>
      <c r="AG71" s="26"/>
      <c r="AH71" s="24"/>
      <c r="AK71" s="49"/>
      <c r="AL71" s="24"/>
      <c r="AM71" s="26"/>
      <c r="AN71" s="26"/>
      <c r="AY71" s="24"/>
      <c r="AZ71" s="24"/>
      <c r="BA71" s="24"/>
      <c r="BB71" s="24"/>
      <c r="BC71" s="25"/>
      <c r="BD71" s="25"/>
      <c r="BF71" s="23"/>
      <c r="BG71" s="23"/>
    </row>
    <row r="72" spans="10:59" ht="24" thickBot="1">
      <c r="L72" s="588" t="s">
        <v>191</v>
      </c>
      <c r="M72" s="589">
        <f t="shared" ref="M72" si="38">SUM(M62:M71)</f>
        <v>36.5</v>
      </c>
      <c r="N72" s="444">
        <f>SUM(N62:N71)</f>
        <v>3.5</v>
      </c>
      <c r="O72" s="444">
        <f t="shared" ref="O72" si="39">SUM(O62:O71)</f>
        <v>0</v>
      </c>
      <c r="P72" s="444">
        <f>SUM(P62:P71)</f>
        <v>10</v>
      </c>
      <c r="Q72" s="444">
        <f>SUM(Q62:Q71)</f>
        <v>0</v>
      </c>
      <c r="R72" s="444"/>
      <c r="S72" s="444">
        <f t="shared" ref="S72" si="40">SUM(S62:S71)</f>
        <v>0</v>
      </c>
      <c r="T72" s="630">
        <f>SUM(T62:T71)</f>
        <v>50</v>
      </c>
      <c r="U72" s="631">
        <f>SUM(U62:U71)</f>
        <v>55.01</v>
      </c>
      <c r="V72" s="466"/>
      <c r="W72" s="466"/>
      <c r="X72" s="466"/>
      <c r="Y72" s="465"/>
      <c r="Z72" s="466"/>
      <c r="AA72" s="466"/>
      <c r="AB72" s="466"/>
      <c r="AC72" s="465"/>
      <c r="AD72" s="466"/>
      <c r="AG72" s="26"/>
      <c r="AH72" s="24"/>
      <c r="AK72" s="49"/>
      <c r="AL72" s="24"/>
      <c r="AM72" s="26"/>
      <c r="AN72" s="26"/>
      <c r="AY72" s="24"/>
      <c r="AZ72" s="24"/>
      <c r="BA72" s="24"/>
      <c r="BB72" s="24"/>
      <c r="BC72" s="25"/>
      <c r="BD72" s="25"/>
      <c r="BF72" s="23"/>
      <c r="BG72" s="23"/>
    </row>
    <row r="73" spans="10:59" ht="33.75" customHeight="1" thickBot="1">
      <c r="L73" s="1932" t="s">
        <v>221</v>
      </c>
      <c r="M73" s="1932"/>
      <c r="N73" s="1932"/>
      <c r="O73" s="1932"/>
      <c r="P73" s="1932"/>
      <c r="Q73" s="1932"/>
      <c r="R73" s="1932"/>
      <c r="S73" s="1932"/>
      <c r="T73" s="1933">
        <f>T72+U72</f>
        <v>105.00999999999999</v>
      </c>
      <c r="U73" s="1934"/>
      <c r="V73" s="466"/>
      <c r="W73" s="466"/>
      <c r="X73" s="466"/>
      <c r="Y73" s="465"/>
      <c r="Z73" s="466"/>
      <c r="AA73" s="466"/>
      <c r="AB73" s="466"/>
      <c r="AC73" s="465"/>
      <c r="AD73" s="466"/>
      <c r="AG73" s="26"/>
      <c r="AH73" s="24"/>
      <c r="AK73" s="49"/>
      <c r="AL73" s="24"/>
      <c r="AM73" s="26"/>
      <c r="AN73" s="26"/>
      <c r="AY73" s="24"/>
      <c r="AZ73" s="24"/>
      <c r="BA73" s="24"/>
      <c r="BB73" s="24"/>
      <c r="BC73" s="25"/>
      <c r="BD73" s="25"/>
      <c r="BF73" s="23"/>
      <c r="BG73" s="23"/>
    </row>
    <row r="74" spans="10:59" ht="27" customHeight="1">
      <c r="L74" s="966"/>
      <c r="M74" s="966"/>
      <c r="N74" s="966"/>
      <c r="O74" s="1922" t="s">
        <v>235</v>
      </c>
      <c r="P74" s="1922"/>
      <c r="Q74" s="1922"/>
      <c r="R74" s="1922"/>
      <c r="S74" s="1922"/>
      <c r="T74" s="1939">
        <f>M72+9</f>
        <v>45.5</v>
      </c>
      <c r="U74" s="1939"/>
      <c r="V74" s="466"/>
      <c r="W74" s="466"/>
      <c r="X74" s="466"/>
      <c r="Y74" s="465"/>
      <c r="Z74" s="466"/>
      <c r="AA74" s="466"/>
      <c r="AB74" s="466"/>
      <c r="AC74" s="465"/>
      <c r="AD74" s="466"/>
      <c r="AG74" s="26"/>
      <c r="AH74" s="24"/>
      <c r="AK74" s="49"/>
      <c r="AL74" s="24"/>
      <c r="AM74" s="26"/>
      <c r="AN74" s="26"/>
      <c r="AP74" s="24"/>
      <c r="AQ74" s="26"/>
      <c r="AR74" s="26"/>
      <c r="AT74" s="24"/>
      <c r="AU74" s="26"/>
      <c r="AV74" s="26"/>
      <c r="AW74" s="50"/>
      <c r="AX74" s="50"/>
      <c r="AY74" s="26"/>
      <c r="AZ74" s="26"/>
      <c r="BA74" s="24"/>
      <c r="BB74" s="24"/>
      <c r="BC74" s="25"/>
      <c r="BD74" s="25"/>
      <c r="BF74" s="23"/>
      <c r="BG74" s="23"/>
    </row>
    <row r="75" spans="10:59">
      <c r="L75" s="26"/>
      <c r="M75" s="26"/>
      <c r="N75" s="24"/>
      <c r="P75" s="26"/>
      <c r="Q75" s="26"/>
      <c r="R75" s="24"/>
      <c r="T75" s="26"/>
      <c r="U75" s="26"/>
      <c r="V75" s="24"/>
      <c r="W75" s="466"/>
      <c r="X75" s="466"/>
      <c r="Y75" s="466"/>
      <c r="Z75" s="465"/>
      <c r="AA75" s="466"/>
      <c r="AB75" s="466"/>
      <c r="AC75" s="466"/>
      <c r="AD75" s="465"/>
      <c r="AE75" s="466"/>
      <c r="AN75" s="26"/>
      <c r="AO75" s="26"/>
      <c r="AP75" s="24"/>
      <c r="AR75" s="26"/>
      <c r="AS75" s="26"/>
      <c r="AT75" s="24"/>
      <c r="AV75" s="26"/>
      <c r="AW75" s="26"/>
      <c r="AX75" s="50"/>
      <c r="AZ75" s="26"/>
      <c r="BA75" s="26"/>
      <c r="BB75" s="24"/>
      <c r="BD75" s="25"/>
      <c r="BE75" s="25"/>
      <c r="BF75" s="24"/>
      <c r="BG75" s="23"/>
    </row>
    <row r="76" spans="10:59">
      <c r="L76" s="26"/>
      <c r="M76" s="26"/>
      <c r="N76" s="24"/>
      <c r="P76" s="26"/>
      <c r="Q76" s="26"/>
      <c r="R76" s="24"/>
      <c r="T76" s="26"/>
      <c r="U76" s="26"/>
      <c r="V76" s="24"/>
      <c r="W76" s="466"/>
      <c r="X76" s="466"/>
      <c r="Y76" s="466"/>
      <c r="Z76" s="465"/>
      <c r="AA76" s="466"/>
      <c r="AB76" s="466"/>
      <c r="AC76" s="466"/>
      <c r="AD76" s="465"/>
      <c r="AE76" s="466"/>
      <c r="AN76" s="26"/>
      <c r="AO76" s="26"/>
      <c r="AP76" s="24"/>
      <c r="AR76" s="26"/>
      <c r="AS76" s="26"/>
      <c r="AT76" s="24"/>
      <c r="AV76" s="26"/>
      <c r="AW76" s="26"/>
      <c r="AX76" s="50"/>
      <c r="AZ76" s="26"/>
      <c r="BA76" s="26"/>
      <c r="BB76" s="24"/>
      <c r="BD76" s="25"/>
      <c r="BE76" s="25"/>
      <c r="BF76" s="24"/>
      <c r="BG76" s="23"/>
    </row>
    <row r="77" spans="10:59">
      <c r="L77" s="26"/>
      <c r="M77" s="26"/>
      <c r="N77" s="24"/>
      <c r="P77" s="26"/>
      <c r="Q77" s="26"/>
      <c r="R77" s="24"/>
      <c r="T77" s="26"/>
      <c r="U77" s="26"/>
      <c r="V77" s="24"/>
      <c r="W77" s="466"/>
      <c r="X77" s="466"/>
      <c r="Y77" s="466"/>
      <c r="Z77" s="465"/>
      <c r="AA77" s="466"/>
      <c r="AB77" s="466"/>
      <c r="AC77" s="466"/>
      <c r="AD77" s="465"/>
      <c r="AE77" s="466"/>
      <c r="AN77" s="26"/>
      <c r="AO77" s="26"/>
      <c r="AP77" s="24"/>
      <c r="AR77" s="26"/>
      <c r="AS77" s="26"/>
      <c r="AT77" s="24"/>
      <c r="AV77" s="26"/>
      <c r="AW77" s="26"/>
      <c r="AX77" s="50"/>
      <c r="AZ77" s="26"/>
      <c r="BA77" s="26"/>
      <c r="BB77" s="24"/>
      <c r="BD77" s="25"/>
      <c r="BE77" s="25"/>
      <c r="BF77" s="24"/>
      <c r="BG77" s="23"/>
    </row>
    <row r="78" spans="10:59">
      <c r="L78" s="26"/>
      <c r="M78" s="26"/>
      <c r="N78" s="24"/>
      <c r="P78" s="26"/>
      <c r="Q78" s="26"/>
      <c r="R78" s="24"/>
      <c r="T78" s="26"/>
      <c r="U78" s="26"/>
      <c r="V78" s="24"/>
      <c r="W78" s="466"/>
      <c r="X78" s="466"/>
      <c r="Y78" s="466"/>
      <c r="Z78" s="465"/>
      <c r="AA78" s="466"/>
      <c r="AB78" s="466"/>
      <c r="AC78" s="466"/>
      <c r="AD78" s="465"/>
      <c r="AE78" s="466"/>
      <c r="AN78" s="26"/>
      <c r="AO78" s="26"/>
      <c r="AP78" s="24"/>
      <c r="AR78" s="26"/>
      <c r="AS78" s="26"/>
      <c r="AT78" s="24"/>
      <c r="AV78" s="26"/>
      <c r="AW78" s="26"/>
      <c r="AX78" s="50"/>
      <c r="AZ78" s="26"/>
      <c r="BA78" s="26"/>
      <c r="BB78" s="24"/>
      <c r="BD78" s="25"/>
      <c r="BE78" s="25"/>
      <c r="BF78" s="24"/>
      <c r="BG78" s="23"/>
    </row>
    <row r="79" spans="10:59">
      <c r="L79" s="26"/>
      <c r="M79" s="26"/>
      <c r="N79" s="24"/>
      <c r="P79" s="26"/>
      <c r="Q79" s="26"/>
      <c r="R79" s="24"/>
      <c r="T79" s="26"/>
      <c r="U79" s="26"/>
      <c r="V79" s="24"/>
      <c r="X79" s="26"/>
      <c r="Y79" s="26"/>
      <c r="Z79" s="24"/>
      <c r="AB79" s="26"/>
      <c r="AC79" s="26"/>
      <c r="AD79" s="24"/>
      <c r="AF79" s="26"/>
      <c r="AG79" s="26"/>
      <c r="AH79" s="24"/>
      <c r="AJ79" s="49"/>
      <c r="AK79" s="49"/>
      <c r="AL79" s="24"/>
      <c r="AN79" s="26"/>
      <c r="AO79" s="26"/>
      <c r="AP79" s="24"/>
      <c r="AR79" s="26"/>
      <c r="AS79" s="26"/>
      <c r="AT79" s="24"/>
      <c r="AV79" s="26"/>
      <c r="AW79" s="26"/>
      <c r="AX79" s="50"/>
      <c r="AZ79" s="26"/>
      <c r="BA79" s="26"/>
      <c r="BB79" s="24"/>
      <c r="BD79" s="25"/>
      <c r="BE79" s="25"/>
      <c r="BF79" s="24"/>
      <c r="BG79" s="23"/>
    </row>
    <row r="80" spans="10:59">
      <c r="L80" s="26"/>
      <c r="M80" s="26"/>
      <c r="N80" s="24"/>
      <c r="P80" s="26"/>
      <c r="Q80" s="26"/>
      <c r="R80" s="24"/>
      <c r="T80" s="26"/>
      <c r="U80" s="26"/>
      <c r="V80" s="24"/>
      <c r="X80" s="26"/>
      <c r="Y80" s="26"/>
      <c r="Z80" s="24"/>
      <c r="AB80" s="26"/>
      <c r="AC80" s="26"/>
      <c r="AD80" s="24"/>
      <c r="AF80" s="26"/>
      <c r="AG80" s="26"/>
      <c r="AH80" s="24"/>
      <c r="AJ80" s="49"/>
      <c r="AK80" s="49"/>
      <c r="AL80" s="24"/>
      <c r="AN80" s="26"/>
      <c r="AO80" s="26"/>
      <c r="AP80" s="24"/>
      <c r="AR80" s="26"/>
      <c r="AS80" s="26"/>
      <c r="AT80" s="24"/>
      <c r="AV80" s="26"/>
      <c r="AW80" s="26"/>
      <c r="AX80" s="50"/>
      <c r="AZ80" s="26"/>
      <c r="BA80" s="26"/>
      <c r="BB80" s="24"/>
      <c r="BD80" s="25"/>
      <c r="BE80" s="25"/>
      <c r="BF80" s="24"/>
      <c r="BG80" s="23"/>
    </row>
  </sheetData>
  <mergeCells count="62">
    <mergeCell ref="C2:F2"/>
    <mergeCell ref="H2:K2"/>
    <mergeCell ref="N2:AZ2"/>
    <mergeCell ref="V31:AD31"/>
    <mergeCell ref="AD59:AE59"/>
    <mergeCell ref="V58:AC58"/>
    <mergeCell ref="AD58:AE58"/>
    <mergeCell ref="Y59:AC59"/>
    <mergeCell ref="C5:D5"/>
    <mergeCell ref="C6:C9"/>
    <mergeCell ref="H6:H9"/>
    <mergeCell ref="D4:F4"/>
    <mergeCell ref="H4:I5"/>
    <mergeCell ref="H10:I10"/>
    <mergeCell ref="D13:F13"/>
    <mergeCell ref="H12:BI12"/>
    <mergeCell ref="C14:D14"/>
    <mergeCell ref="C15:C24"/>
    <mergeCell ref="H15:H23"/>
    <mergeCell ref="H24:I24"/>
    <mergeCell ref="BF13:BI13"/>
    <mergeCell ref="AL13:AO13"/>
    <mergeCell ref="AP13:AS13"/>
    <mergeCell ref="AT13:AW13"/>
    <mergeCell ref="AX13:BA13"/>
    <mergeCell ref="BB13:BE13"/>
    <mergeCell ref="R13:U13"/>
    <mergeCell ref="V13:Y13"/>
    <mergeCell ref="Z13:AC13"/>
    <mergeCell ref="AD13:AG13"/>
    <mergeCell ref="AH13:AK13"/>
    <mergeCell ref="H26:I26"/>
    <mergeCell ref="H13:I14"/>
    <mergeCell ref="BB2:BI2"/>
    <mergeCell ref="H3:BI3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O58:R58"/>
    <mergeCell ref="S58:T58"/>
    <mergeCell ref="BC27:BC28"/>
    <mergeCell ref="BH27:BI27"/>
    <mergeCell ref="L31:S31"/>
    <mergeCell ref="L45:T45"/>
    <mergeCell ref="V45:AE45"/>
    <mergeCell ref="J13:M13"/>
    <mergeCell ref="N13:Q13"/>
    <mergeCell ref="L60:U60"/>
    <mergeCell ref="L73:S73"/>
    <mergeCell ref="T73:U73"/>
    <mergeCell ref="O74:S74"/>
    <mergeCell ref="T74:U74"/>
  </mergeCells>
  <conditionalFormatting sqref="M47:R56">
    <cfRule type="cellIs" dxfId="48" priority="2" operator="equal">
      <formula>0</formula>
    </cfRule>
  </conditionalFormatting>
  <conditionalFormatting sqref="M62:Q71">
    <cfRule type="cellIs" dxfId="47" priority="1" operator="equal">
      <formula>0</formula>
    </cfRule>
  </conditionalFormatting>
  <pageMargins left="0.7" right="0.7" top="0.75" bottom="0.75" header="0.3" footer="0.3"/>
  <pageSetup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35">
    <pageSetUpPr fitToPage="1"/>
  </sheetPr>
  <dimension ref="A1:BJ81"/>
  <sheetViews>
    <sheetView showGridLines="0" topLeftCell="I1" zoomScale="55" zoomScaleNormal="55" workbookViewId="0">
      <pane xSplit="1" topLeftCell="J1" activePane="topRight" state="frozen"/>
      <selection activeCell="I1" sqref="I1"/>
      <selection pane="topRight" activeCell="Z27" sqref="Z27"/>
    </sheetView>
  </sheetViews>
  <sheetFormatPr defaultColWidth="9.140625" defaultRowHeight="15"/>
  <cols>
    <col min="1" max="2" width="9.140625" style="23" hidden="1" customWidth="1"/>
    <col min="3" max="3" width="14.5703125" style="23" hidden="1" customWidth="1"/>
    <col min="4" max="4" width="11.42578125" style="27" hidden="1" customWidth="1"/>
    <col min="5" max="5" width="6.85546875" style="27" hidden="1" customWidth="1"/>
    <col min="6" max="6" width="9.140625" style="27" hidden="1" customWidth="1"/>
    <col min="7" max="7" width="3.42578125" style="23" hidden="1" customWidth="1"/>
    <col min="8" max="8" width="6.140625" style="23" customWidth="1"/>
    <col min="9" max="9" width="20.140625" style="27" bestFit="1" customWidth="1"/>
    <col min="10" max="10" width="11.5703125" style="26" customWidth="1"/>
    <col min="11" max="11" width="9.140625" style="24" customWidth="1"/>
    <col min="12" max="13" width="12.85546875" style="24" customWidth="1"/>
    <col min="14" max="14" width="10.5703125" style="26" customWidth="1"/>
    <col min="15" max="15" width="10.28515625" style="24" customWidth="1"/>
    <col min="16" max="17" width="10.5703125" style="24" customWidth="1"/>
    <col min="18" max="18" width="8.5703125" style="26" customWidth="1"/>
    <col min="19" max="19" width="11.5703125" style="24" customWidth="1"/>
    <col min="20" max="20" width="12" style="24" customWidth="1"/>
    <col min="21" max="21" width="15.28515625" style="24" customWidth="1"/>
    <col min="22" max="22" width="13.7109375" style="26" customWidth="1"/>
    <col min="23" max="23" width="12.5703125" style="24" bestFit="1" customWidth="1"/>
    <col min="24" max="25" width="9.7109375" style="24" customWidth="1"/>
    <col min="26" max="26" width="11" style="26" customWidth="1"/>
    <col min="27" max="27" width="12.42578125" style="24" customWidth="1"/>
    <col min="28" max="29" width="11.85546875" style="24" customWidth="1"/>
    <col min="30" max="30" width="11.5703125" style="26" bestFit="1" customWidth="1"/>
    <col min="31" max="31" width="11.7109375" style="24" customWidth="1"/>
    <col min="32" max="33" width="10.5703125" style="24" customWidth="1"/>
    <col min="34" max="34" width="11.5703125" style="26" customWidth="1"/>
    <col min="35" max="35" width="13.5703125" style="24" customWidth="1"/>
    <col min="36" max="37" width="11.5703125" style="24" customWidth="1"/>
    <col min="38" max="38" width="10.5703125" style="49" customWidth="1"/>
    <col min="39" max="39" width="9" style="24" customWidth="1"/>
    <col min="40" max="41" width="12" style="24" customWidth="1"/>
    <col min="42" max="42" width="8.42578125" style="26" customWidth="1"/>
    <col min="43" max="43" width="10" style="24" customWidth="1"/>
    <col min="44" max="45" width="13.85546875" style="24" customWidth="1"/>
    <col min="46" max="46" width="11.7109375" style="26" customWidth="1"/>
    <col min="47" max="47" width="11.7109375" style="24" customWidth="1"/>
    <col min="48" max="49" width="10.5703125" style="24" customWidth="1"/>
    <col min="50" max="50" width="9.140625" style="26" customWidth="1"/>
    <col min="51" max="51" width="9.140625" style="50" customWidth="1"/>
    <col min="52" max="53" width="10.5703125" style="50" customWidth="1"/>
    <col min="54" max="54" width="10.7109375" style="26" customWidth="1"/>
    <col min="55" max="55" width="12.85546875" style="24" customWidth="1"/>
    <col min="56" max="57" width="10.5703125" style="24" customWidth="1"/>
    <col min="58" max="58" width="16" style="25" customWidth="1"/>
    <col min="59" max="59" width="10.7109375" style="24" customWidth="1"/>
    <col min="60" max="60" width="13" style="23" bestFit="1" customWidth="1"/>
    <col min="61" max="61" width="9.140625" style="23"/>
    <col min="62" max="62" width="12.42578125" style="23" customWidth="1"/>
    <col min="63" max="16384" width="9.140625" style="23"/>
  </cols>
  <sheetData>
    <row r="1" spans="3:62" ht="15" customHeight="1" thickBot="1"/>
    <row r="2" spans="3:62" ht="21.75" thickBot="1">
      <c r="C2" s="1899" t="s">
        <v>45</v>
      </c>
      <c r="D2" s="1900"/>
      <c r="E2" s="1900"/>
      <c r="F2" s="1901"/>
      <c r="H2" s="1915"/>
      <c r="I2" s="1567"/>
      <c r="J2" s="1567"/>
      <c r="K2" s="1567"/>
      <c r="L2" s="1049"/>
      <c r="M2" s="1049"/>
      <c r="N2" s="1916" t="s">
        <v>289</v>
      </c>
      <c r="O2" s="1916"/>
      <c r="P2" s="1916"/>
      <c r="Q2" s="1916"/>
      <c r="R2" s="1916"/>
      <c r="S2" s="1916"/>
      <c r="T2" s="1916"/>
      <c r="U2" s="1916"/>
      <c r="V2" s="1916"/>
      <c r="W2" s="1916"/>
      <c r="X2" s="1916"/>
      <c r="Y2" s="1916"/>
      <c r="Z2" s="1916"/>
      <c r="AA2" s="1916"/>
      <c r="AB2" s="1916"/>
      <c r="AC2" s="1916"/>
      <c r="AD2" s="1916"/>
      <c r="AE2" s="1916"/>
      <c r="AF2" s="1916"/>
      <c r="AG2" s="1916"/>
      <c r="AH2" s="1916"/>
      <c r="AI2" s="1916"/>
      <c r="AJ2" s="1916"/>
      <c r="AK2" s="1916"/>
      <c r="AL2" s="1916"/>
      <c r="AM2" s="1916"/>
      <c r="AN2" s="1916"/>
      <c r="AO2" s="1916"/>
      <c r="AP2" s="1916"/>
      <c r="AQ2" s="1916"/>
      <c r="AR2" s="1916"/>
      <c r="AS2" s="1916"/>
      <c r="AT2" s="1916"/>
      <c r="AU2" s="1916"/>
      <c r="AV2" s="1916"/>
      <c r="AW2" s="1916"/>
      <c r="AX2" s="1916"/>
      <c r="AY2" s="1916"/>
      <c r="AZ2" s="1916"/>
      <c r="BA2" s="1049"/>
      <c r="BB2" s="1902" t="s">
        <v>118</v>
      </c>
      <c r="BC2" s="1903"/>
      <c r="BD2" s="1903"/>
      <c r="BE2" s="1903"/>
      <c r="BF2" s="1903"/>
      <c r="BG2" s="1903"/>
      <c r="BH2" s="1903"/>
      <c r="BI2" s="1904"/>
    </row>
    <row r="3" spans="3:62" ht="19.5" thickBot="1">
      <c r="C3" s="1048"/>
      <c r="D3" s="1046"/>
      <c r="E3" s="1046"/>
      <c r="F3" s="1052"/>
      <c r="H3" s="1905" t="s">
        <v>115</v>
      </c>
      <c r="I3" s="1906"/>
      <c r="J3" s="1906"/>
      <c r="K3" s="1906"/>
      <c r="L3" s="1906"/>
      <c r="M3" s="1906"/>
      <c r="N3" s="1906"/>
      <c r="O3" s="1906"/>
      <c r="P3" s="1906"/>
      <c r="Q3" s="1906"/>
      <c r="R3" s="1906"/>
      <c r="S3" s="1906"/>
      <c r="T3" s="1906"/>
      <c r="U3" s="1906"/>
      <c r="V3" s="1906"/>
      <c r="W3" s="1906"/>
      <c r="X3" s="1906"/>
      <c r="Y3" s="1906"/>
      <c r="Z3" s="1906"/>
      <c r="AA3" s="1906"/>
      <c r="AB3" s="1906"/>
      <c r="AC3" s="1906"/>
      <c r="AD3" s="1906"/>
      <c r="AE3" s="1906"/>
      <c r="AF3" s="1906"/>
      <c r="AG3" s="1906"/>
      <c r="AH3" s="1906"/>
      <c r="AI3" s="1906"/>
      <c r="AJ3" s="1906"/>
      <c r="AK3" s="1906"/>
      <c r="AL3" s="1906"/>
      <c r="AM3" s="1906"/>
      <c r="AN3" s="1906"/>
      <c r="AO3" s="1906"/>
      <c r="AP3" s="1906"/>
      <c r="AQ3" s="1906"/>
      <c r="AR3" s="1906"/>
      <c r="AS3" s="1906"/>
      <c r="AT3" s="1906"/>
      <c r="AU3" s="1906"/>
      <c r="AV3" s="1906"/>
      <c r="AW3" s="1906"/>
      <c r="AX3" s="1906"/>
      <c r="AY3" s="1906"/>
      <c r="AZ3" s="1906"/>
      <c r="BA3" s="1906"/>
      <c r="BB3" s="1906"/>
      <c r="BC3" s="1906"/>
      <c r="BD3" s="1906"/>
      <c r="BE3" s="1906"/>
      <c r="BF3" s="1906"/>
      <c r="BG3" s="1906"/>
      <c r="BH3" s="1906"/>
      <c r="BI3" s="1907"/>
    </row>
    <row r="4" spans="3:62" ht="18.75">
      <c r="C4" s="37" t="s">
        <v>44</v>
      </c>
      <c r="D4" s="1869"/>
      <c r="E4" s="1869"/>
      <c r="F4" s="1870"/>
      <c r="H4" s="1908" t="s">
        <v>33</v>
      </c>
      <c r="I4" s="1909"/>
      <c r="J4" s="1871" t="s">
        <v>43</v>
      </c>
      <c r="K4" s="1872"/>
      <c r="L4" s="1872"/>
      <c r="M4" s="1873"/>
      <c r="N4" s="1871" t="s">
        <v>42</v>
      </c>
      <c r="O4" s="1872"/>
      <c r="P4" s="1872"/>
      <c r="Q4" s="1873"/>
      <c r="R4" s="1871" t="s">
        <v>41</v>
      </c>
      <c r="S4" s="1872"/>
      <c r="T4" s="1872"/>
      <c r="U4" s="1873"/>
      <c r="V4" s="1871" t="s">
        <v>40</v>
      </c>
      <c r="W4" s="1872"/>
      <c r="X4" s="1872"/>
      <c r="Y4" s="1873"/>
      <c r="Z4" s="1871" t="s">
        <v>39</v>
      </c>
      <c r="AA4" s="1872"/>
      <c r="AB4" s="1872"/>
      <c r="AC4" s="1873"/>
      <c r="AD4" s="1871" t="s">
        <v>38</v>
      </c>
      <c r="AE4" s="1872"/>
      <c r="AF4" s="1872"/>
      <c r="AG4" s="1873"/>
      <c r="AH4" s="1874" t="s">
        <v>122</v>
      </c>
      <c r="AI4" s="1875"/>
      <c r="AJ4" s="1875"/>
      <c r="AK4" s="1876"/>
      <c r="AL4" s="1871" t="s">
        <v>37</v>
      </c>
      <c r="AM4" s="1872"/>
      <c r="AN4" s="1872"/>
      <c r="AO4" s="1873"/>
      <c r="AP4" s="1871" t="s">
        <v>36</v>
      </c>
      <c r="AQ4" s="1872"/>
      <c r="AR4" s="1872"/>
      <c r="AS4" s="1873"/>
      <c r="AT4" s="1871" t="s">
        <v>35</v>
      </c>
      <c r="AU4" s="1872"/>
      <c r="AV4" s="1872"/>
      <c r="AW4" s="1873"/>
      <c r="AX4" s="1871" t="s">
        <v>34</v>
      </c>
      <c r="AY4" s="1872"/>
      <c r="AZ4" s="1872"/>
      <c r="BA4" s="1873"/>
      <c r="BB4" s="1874" t="s">
        <v>123</v>
      </c>
      <c r="BC4" s="1875"/>
      <c r="BD4" s="1875"/>
      <c r="BE4" s="1876"/>
      <c r="BF4" s="1877" t="s">
        <v>17</v>
      </c>
      <c r="BG4" s="1878"/>
      <c r="BH4" s="1878"/>
      <c r="BI4" s="1878"/>
    </row>
    <row r="5" spans="3:62" ht="15.75" customHeight="1">
      <c r="C5" s="1879" t="s">
        <v>33</v>
      </c>
      <c r="D5" s="1869"/>
      <c r="E5" s="1046" t="s">
        <v>1</v>
      </c>
      <c r="F5" s="1052" t="s">
        <v>2</v>
      </c>
      <c r="H5" s="1910"/>
      <c r="I5" s="1911"/>
      <c r="J5" s="36" t="s">
        <v>1</v>
      </c>
      <c r="K5" s="271" t="s">
        <v>2</v>
      </c>
      <c r="L5" s="693" t="s">
        <v>182</v>
      </c>
      <c r="M5" s="35" t="s">
        <v>247</v>
      </c>
      <c r="N5" s="36" t="s">
        <v>1</v>
      </c>
      <c r="O5" s="271" t="s">
        <v>2</v>
      </c>
      <c r="P5" s="693" t="s">
        <v>182</v>
      </c>
      <c r="Q5" s="35" t="s">
        <v>247</v>
      </c>
      <c r="R5" s="36" t="s">
        <v>1</v>
      </c>
      <c r="S5" s="271" t="s">
        <v>2</v>
      </c>
      <c r="T5" s="693" t="s">
        <v>182</v>
      </c>
      <c r="U5" s="35" t="s">
        <v>247</v>
      </c>
      <c r="V5" s="36" t="s">
        <v>1</v>
      </c>
      <c r="W5" s="271" t="s">
        <v>2</v>
      </c>
      <c r="X5" s="693" t="s">
        <v>182</v>
      </c>
      <c r="Y5" s="35" t="s">
        <v>247</v>
      </c>
      <c r="Z5" s="36" t="s">
        <v>1</v>
      </c>
      <c r="AA5" s="271" t="s">
        <v>2</v>
      </c>
      <c r="AB5" s="693" t="s">
        <v>182</v>
      </c>
      <c r="AC5" s="35" t="s">
        <v>247</v>
      </c>
      <c r="AD5" s="36" t="s">
        <v>1</v>
      </c>
      <c r="AE5" s="271" t="s">
        <v>2</v>
      </c>
      <c r="AF5" s="693" t="s">
        <v>182</v>
      </c>
      <c r="AG5" s="35" t="s">
        <v>247</v>
      </c>
      <c r="AH5" s="36" t="s">
        <v>1</v>
      </c>
      <c r="AI5" s="271" t="s">
        <v>2</v>
      </c>
      <c r="AJ5" s="271" t="s">
        <v>182</v>
      </c>
      <c r="AK5" s="690" t="s">
        <v>196</v>
      </c>
      <c r="AL5" s="36" t="s">
        <v>1</v>
      </c>
      <c r="AM5" s="271" t="s">
        <v>2</v>
      </c>
      <c r="AN5" s="693" t="s">
        <v>182</v>
      </c>
      <c r="AO5" s="35" t="s">
        <v>247</v>
      </c>
      <c r="AP5" s="36" t="s">
        <v>1</v>
      </c>
      <c r="AQ5" s="271" t="s">
        <v>2</v>
      </c>
      <c r="AR5" s="693" t="s">
        <v>182</v>
      </c>
      <c r="AS5" s="35" t="s">
        <v>247</v>
      </c>
      <c r="AT5" s="36" t="s">
        <v>1</v>
      </c>
      <c r="AU5" s="271" t="s">
        <v>2</v>
      </c>
      <c r="AV5" s="693" t="s">
        <v>182</v>
      </c>
      <c r="AW5" s="35" t="s">
        <v>247</v>
      </c>
      <c r="AX5" s="36" t="s">
        <v>1</v>
      </c>
      <c r="AY5" s="271" t="s">
        <v>2</v>
      </c>
      <c r="AZ5" s="693" t="s">
        <v>182</v>
      </c>
      <c r="BA5" s="35" t="s">
        <v>247</v>
      </c>
      <c r="BB5" s="36" t="s">
        <v>1</v>
      </c>
      <c r="BC5" s="271" t="s">
        <v>2</v>
      </c>
      <c r="BD5" s="271" t="s">
        <v>182</v>
      </c>
      <c r="BE5" s="690" t="s">
        <v>196</v>
      </c>
      <c r="BF5" s="274" t="s">
        <v>1</v>
      </c>
      <c r="BG5" s="275" t="s">
        <v>2</v>
      </c>
      <c r="BH5" s="275" t="s">
        <v>182</v>
      </c>
      <c r="BI5" s="698" t="s">
        <v>196</v>
      </c>
      <c r="BJ5" s="698" t="s">
        <v>191</v>
      </c>
    </row>
    <row r="6" spans="3:62" s="28" customFormat="1" ht="20.100000000000001" customHeight="1">
      <c r="C6" s="1879" t="s">
        <v>19</v>
      </c>
      <c r="D6" s="1046" t="s">
        <v>32</v>
      </c>
      <c r="E6" s="1046"/>
      <c r="F6" s="1047"/>
      <c r="H6" s="1886" t="s">
        <v>32</v>
      </c>
      <c r="I6" s="33" t="s">
        <v>32</v>
      </c>
      <c r="J6" s="462">
        <v>39</v>
      </c>
      <c r="K6" s="463">
        <v>47</v>
      </c>
      <c r="L6" s="463"/>
      <c r="M6" s="691"/>
      <c r="N6" s="462">
        <v>18</v>
      </c>
      <c r="O6" s="463">
        <v>6</v>
      </c>
      <c r="P6" s="463">
        <v>6</v>
      </c>
      <c r="Q6" s="691">
        <v>7</v>
      </c>
      <c r="R6" s="462"/>
      <c r="S6" s="463"/>
      <c r="T6" s="463"/>
      <c r="U6" s="691"/>
      <c r="V6" s="462"/>
      <c r="W6" s="463"/>
      <c r="X6" s="463"/>
      <c r="Y6" s="691"/>
      <c r="Z6" s="462"/>
      <c r="AA6" s="463">
        <v>3</v>
      </c>
      <c r="AB6" s="463">
        <v>3</v>
      </c>
      <c r="AC6" s="691"/>
      <c r="AD6" s="462">
        <v>20</v>
      </c>
      <c r="AE6" s="463"/>
      <c r="AF6" s="463"/>
      <c r="AG6" s="691"/>
      <c r="AH6" s="128">
        <f>J6+N6+R6+V6+Z6+AD6</f>
        <v>77</v>
      </c>
      <c r="AI6" s="273">
        <f>K6+O6+S6+W6+AA6+AE6</f>
        <v>56</v>
      </c>
      <c r="AJ6" s="273">
        <f>L6+P6+T6+X6+AB6+AF6</f>
        <v>9</v>
      </c>
      <c r="AK6" s="694">
        <f>M6+Q6+U6+Y6+AC6+AG6</f>
        <v>7</v>
      </c>
      <c r="AL6" s="462">
        <v>36</v>
      </c>
      <c r="AM6" s="463">
        <v>2</v>
      </c>
      <c r="AN6" s="1175">
        <v>2</v>
      </c>
      <c r="AO6" s="691"/>
      <c r="AP6" s="462">
        <v>3.5</v>
      </c>
      <c r="AQ6" s="463">
        <v>7.7</v>
      </c>
      <c r="AR6" s="463">
        <v>7.7</v>
      </c>
      <c r="AS6" s="691"/>
      <c r="AT6" s="462">
        <v>15</v>
      </c>
      <c r="AU6" s="463">
        <v>8</v>
      </c>
      <c r="AV6" s="463">
        <v>8</v>
      </c>
      <c r="AW6" s="691"/>
      <c r="AX6" s="462">
        <v>15</v>
      </c>
      <c r="AY6" s="463">
        <v>10</v>
      </c>
      <c r="AZ6" s="463">
        <v>10</v>
      </c>
      <c r="BA6" s="691"/>
      <c r="BB6" s="128">
        <f>AL6+AP6+AT6+AX6</f>
        <v>69.5</v>
      </c>
      <c r="BC6" s="273">
        <f>AM6+AQ6+AU6+AY6</f>
        <v>27.7</v>
      </c>
      <c r="BD6" s="273">
        <f>AN6+AR6+AV6+AZ6</f>
        <v>27.7</v>
      </c>
      <c r="BE6" s="273">
        <f>AO6+AS6+AW6+BA6</f>
        <v>0</v>
      </c>
      <c r="BF6" s="276">
        <f>AH6+BB6</f>
        <v>146.5</v>
      </c>
      <c r="BG6" s="277">
        <f>AI6+BC6</f>
        <v>83.7</v>
      </c>
      <c r="BH6" s="701">
        <f>AJ6+BD6</f>
        <v>36.700000000000003</v>
      </c>
      <c r="BI6" s="699">
        <f>AK6+BE6</f>
        <v>7</v>
      </c>
      <c r="BJ6" s="699">
        <f>BH6+BI6</f>
        <v>43.7</v>
      </c>
    </row>
    <row r="7" spans="3:62" s="28" customFormat="1" ht="20.100000000000001" customHeight="1">
      <c r="C7" s="1879"/>
      <c r="D7" s="1046" t="s">
        <v>31</v>
      </c>
      <c r="E7" s="1046"/>
      <c r="F7" s="1047"/>
      <c r="H7" s="1887"/>
      <c r="I7" s="33" t="s">
        <v>31</v>
      </c>
      <c r="J7" s="462"/>
      <c r="K7" s="463"/>
      <c r="L7" s="463"/>
      <c r="M7" s="691"/>
      <c r="N7" s="462"/>
      <c r="O7" s="463"/>
      <c r="P7" s="463"/>
      <c r="Q7" s="691"/>
      <c r="R7" s="462"/>
      <c r="S7" s="463"/>
      <c r="T7" s="463"/>
      <c r="U7" s="691"/>
      <c r="V7" s="462"/>
      <c r="W7" s="463"/>
      <c r="X7" s="463"/>
      <c r="Y7" s="691"/>
      <c r="Z7" s="462"/>
      <c r="AA7" s="463"/>
      <c r="AB7" s="463"/>
      <c r="AC7" s="691"/>
      <c r="AD7" s="462"/>
      <c r="AE7" s="463"/>
      <c r="AF7" s="463"/>
      <c r="AG7" s="691"/>
      <c r="AH7" s="128">
        <f t="shared" ref="AH7:AK9" si="0">J7+N7+R7+V7+Z7+AD7</f>
        <v>0</v>
      </c>
      <c r="AI7" s="273">
        <f t="shared" si="0"/>
        <v>0</v>
      </c>
      <c r="AJ7" s="273">
        <f t="shared" si="0"/>
        <v>0</v>
      </c>
      <c r="AK7" s="694">
        <f t="shared" si="0"/>
        <v>0</v>
      </c>
      <c r="AL7" s="462"/>
      <c r="AM7" s="463"/>
      <c r="AN7" s="463"/>
      <c r="AO7" s="691"/>
      <c r="AP7" s="462"/>
      <c r="AQ7" s="463"/>
      <c r="AR7" s="463"/>
      <c r="AS7" s="691"/>
      <c r="AT7" s="462"/>
      <c r="AU7" s="463"/>
      <c r="AV7" s="463"/>
      <c r="AW7" s="691"/>
      <c r="AX7" s="462"/>
      <c r="AY7" s="463"/>
      <c r="AZ7" s="463"/>
      <c r="BA7" s="691"/>
      <c r="BB7" s="128">
        <f t="shared" ref="BB7:BE9" si="1">AL7+AP7+AT7+AX7</f>
        <v>0</v>
      </c>
      <c r="BC7" s="273">
        <f t="shared" si="1"/>
        <v>0</v>
      </c>
      <c r="BD7" s="273">
        <f t="shared" si="1"/>
        <v>0</v>
      </c>
      <c r="BE7" s="273">
        <f t="shared" si="1"/>
        <v>0</v>
      </c>
      <c r="BF7" s="276">
        <f t="shared" ref="BF7:BI9" si="2">AH7+BB7</f>
        <v>0</v>
      </c>
      <c r="BG7" s="277">
        <f t="shared" si="2"/>
        <v>0</v>
      </c>
      <c r="BH7" s="277">
        <f t="shared" si="2"/>
        <v>0</v>
      </c>
      <c r="BI7" s="699">
        <f t="shared" si="2"/>
        <v>0</v>
      </c>
      <c r="BJ7" s="699">
        <v>0</v>
      </c>
    </row>
    <row r="8" spans="3:62" s="28" customFormat="1" ht="20.100000000000001" customHeight="1">
      <c r="C8" s="1879"/>
      <c r="D8" s="1046" t="s">
        <v>30</v>
      </c>
      <c r="E8" s="1046"/>
      <c r="F8" s="1047"/>
      <c r="H8" s="1887"/>
      <c r="I8" s="33" t="s">
        <v>30</v>
      </c>
      <c r="J8" s="462">
        <v>48</v>
      </c>
      <c r="K8" s="463">
        <v>1</v>
      </c>
      <c r="L8" s="463">
        <v>1</v>
      </c>
      <c r="M8" s="691"/>
      <c r="N8" s="462"/>
      <c r="O8" s="463"/>
      <c r="P8" s="463"/>
      <c r="Q8" s="691"/>
      <c r="R8" s="462"/>
      <c r="S8" s="463"/>
      <c r="T8" s="463"/>
      <c r="U8" s="691"/>
      <c r="V8" s="462"/>
      <c r="W8" s="463"/>
      <c r="X8" s="463"/>
      <c r="Y8" s="691"/>
      <c r="Z8" s="462"/>
      <c r="AA8" s="463"/>
      <c r="AB8" s="463"/>
      <c r="AC8" s="691"/>
      <c r="AD8" s="462"/>
      <c r="AE8" s="463">
        <v>48</v>
      </c>
      <c r="AF8" s="463">
        <v>48</v>
      </c>
      <c r="AG8" s="691"/>
      <c r="AH8" s="128">
        <f t="shared" si="0"/>
        <v>48</v>
      </c>
      <c r="AI8" s="273">
        <f t="shared" si="0"/>
        <v>49</v>
      </c>
      <c r="AJ8" s="273">
        <f t="shared" si="0"/>
        <v>49</v>
      </c>
      <c r="AK8" s="694">
        <f t="shared" si="0"/>
        <v>0</v>
      </c>
      <c r="AL8" s="462"/>
      <c r="AM8" s="463"/>
      <c r="AN8" s="463"/>
      <c r="AO8" s="691"/>
      <c r="AP8" s="462"/>
      <c r="AQ8" s="463"/>
      <c r="AR8" s="463"/>
      <c r="AS8" s="691"/>
      <c r="AT8" s="462">
        <v>4</v>
      </c>
      <c r="AU8" s="463">
        <f>2.5+2</f>
        <v>4.5</v>
      </c>
      <c r="AV8" s="463">
        <v>2.5</v>
      </c>
      <c r="AW8" s="691"/>
      <c r="AX8" s="462">
        <v>10</v>
      </c>
      <c r="AY8" s="463">
        <v>2</v>
      </c>
      <c r="AZ8" s="463">
        <v>2</v>
      </c>
      <c r="BA8" s="691"/>
      <c r="BB8" s="128">
        <f t="shared" si="1"/>
        <v>14</v>
      </c>
      <c r="BC8" s="273">
        <f t="shared" si="1"/>
        <v>6.5</v>
      </c>
      <c r="BD8" s="273">
        <f t="shared" si="1"/>
        <v>4.5</v>
      </c>
      <c r="BE8" s="273">
        <f t="shared" si="1"/>
        <v>0</v>
      </c>
      <c r="BF8" s="276">
        <f t="shared" si="2"/>
        <v>62</v>
      </c>
      <c r="BG8" s="277">
        <f t="shared" si="2"/>
        <v>55.5</v>
      </c>
      <c r="BH8" s="277">
        <f t="shared" si="2"/>
        <v>53.5</v>
      </c>
      <c r="BI8" s="699">
        <f t="shared" si="2"/>
        <v>0</v>
      </c>
      <c r="BJ8" s="699">
        <v>0</v>
      </c>
    </row>
    <row r="9" spans="3:62" s="28" customFormat="1" ht="20.100000000000001" customHeight="1">
      <c r="C9" s="1885"/>
      <c r="D9" s="1046" t="s">
        <v>29</v>
      </c>
      <c r="E9" s="1046"/>
      <c r="F9" s="1047"/>
      <c r="H9" s="1887"/>
      <c r="I9" s="33" t="s">
        <v>109</v>
      </c>
      <c r="J9" s="462">
        <v>10</v>
      </c>
      <c r="K9" s="463">
        <f>6.25+1.5</f>
        <v>7.75</v>
      </c>
      <c r="L9" s="463">
        <v>7.75</v>
      </c>
      <c r="M9" s="691"/>
      <c r="N9" s="462"/>
      <c r="O9" s="463"/>
      <c r="P9" s="463"/>
      <c r="Q9" s="691"/>
      <c r="R9" s="462"/>
      <c r="S9" s="463"/>
      <c r="T9" s="463"/>
      <c r="U9" s="691"/>
      <c r="V9" s="462">
        <v>3.5</v>
      </c>
      <c r="W9" s="463">
        <v>1</v>
      </c>
      <c r="X9" s="463"/>
      <c r="Y9" s="691"/>
      <c r="Z9" s="462">
        <v>3</v>
      </c>
      <c r="AA9" s="463"/>
      <c r="AB9" s="463"/>
      <c r="AC9" s="691"/>
      <c r="AD9" s="462"/>
      <c r="AE9" s="463">
        <v>1.35</v>
      </c>
      <c r="AF9" s="463">
        <v>1.35</v>
      </c>
      <c r="AG9" s="691"/>
      <c r="AH9" s="128">
        <f t="shared" si="0"/>
        <v>16.5</v>
      </c>
      <c r="AI9" s="273">
        <f t="shared" si="0"/>
        <v>10.1</v>
      </c>
      <c r="AJ9" s="273">
        <f t="shared" si="0"/>
        <v>9.1</v>
      </c>
      <c r="AK9" s="694">
        <f t="shared" si="0"/>
        <v>0</v>
      </c>
      <c r="AL9" s="462"/>
      <c r="AM9" s="463"/>
      <c r="AN9" s="463"/>
      <c r="AO9" s="691"/>
      <c r="AP9" s="462"/>
      <c r="AQ9" s="463">
        <v>2.7</v>
      </c>
      <c r="AR9" s="463">
        <v>2.7</v>
      </c>
      <c r="AS9" s="691"/>
      <c r="AT9" s="462"/>
      <c r="AU9" s="463"/>
      <c r="AV9" s="463"/>
      <c r="AW9" s="691"/>
      <c r="AX9" s="462"/>
      <c r="AY9" s="463"/>
      <c r="AZ9" s="463"/>
      <c r="BA9" s="691"/>
      <c r="BB9" s="128">
        <f t="shared" si="1"/>
        <v>0</v>
      </c>
      <c r="BC9" s="273">
        <f t="shared" si="1"/>
        <v>2.7</v>
      </c>
      <c r="BD9" s="273">
        <f t="shared" si="1"/>
        <v>2.7</v>
      </c>
      <c r="BE9" s="273">
        <f t="shared" si="1"/>
        <v>0</v>
      </c>
      <c r="BF9" s="276">
        <f t="shared" si="2"/>
        <v>16.5</v>
      </c>
      <c r="BG9" s="277">
        <f t="shared" si="2"/>
        <v>12.8</v>
      </c>
      <c r="BH9" s="277">
        <f t="shared" si="2"/>
        <v>11.8</v>
      </c>
      <c r="BI9" s="699">
        <f t="shared" si="2"/>
        <v>0</v>
      </c>
      <c r="BJ9" s="699">
        <v>0</v>
      </c>
    </row>
    <row r="10" spans="3:62" s="28" customFormat="1" ht="19.5" customHeight="1" thickBot="1">
      <c r="C10" s="32"/>
      <c r="D10" s="31" t="s">
        <v>18</v>
      </c>
      <c r="E10" s="31"/>
      <c r="F10" s="30"/>
      <c r="H10" s="1865" t="s">
        <v>47</v>
      </c>
      <c r="I10" s="1866"/>
      <c r="J10" s="118">
        <f t="shared" ref="J10:BG10" si="3">SUM(J6:J9)</f>
        <v>97</v>
      </c>
      <c r="K10" s="272">
        <f t="shared" si="3"/>
        <v>55.75</v>
      </c>
      <c r="L10" s="272">
        <f t="shared" si="3"/>
        <v>8.75</v>
      </c>
      <c r="M10" s="272">
        <f t="shared" si="3"/>
        <v>0</v>
      </c>
      <c r="N10" s="118">
        <f t="shared" si="3"/>
        <v>18</v>
      </c>
      <c r="O10" s="272">
        <f t="shared" si="3"/>
        <v>6</v>
      </c>
      <c r="P10" s="272">
        <f t="shared" si="3"/>
        <v>6</v>
      </c>
      <c r="Q10" s="272">
        <f t="shared" si="3"/>
        <v>7</v>
      </c>
      <c r="R10" s="118">
        <f t="shared" si="3"/>
        <v>0</v>
      </c>
      <c r="S10" s="272">
        <f t="shared" si="3"/>
        <v>0</v>
      </c>
      <c r="T10" s="272">
        <f t="shared" si="3"/>
        <v>0</v>
      </c>
      <c r="U10" s="272">
        <f t="shared" si="3"/>
        <v>0</v>
      </c>
      <c r="V10" s="118">
        <f t="shared" si="3"/>
        <v>3.5</v>
      </c>
      <c r="W10" s="272">
        <f t="shared" si="3"/>
        <v>1</v>
      </c>
      <c r="X10" s="272">
        <f t="shared" si="3"/>
        <v>0</v>
      </c>
      <c r="Y10" s="272">
        <f t="shared" si="3"/>
        <v>0</v>
      </c>
      <c r="Z10" s="118">
        <f t="shared" si="3"/>
        <v>3</v>
      </c>
      <c r="AA10" s="272">
        <f t="shared" si="3"/>
        <v>3</v>
      </c>
      <c r="AB10" s="272">
        <f t="shared" si="3"/>
        <v>3</v>
      </c>
      <c r="AC10" s="272">
        <f t="shared" si="3"/>
        <v>0</v>
      </c>
      <c r="AD10" s="118">
        <f t="shared" si="3"/>
        <v>20</v>
      </c>
      <c r="AE10" s="272">
        <f t="shared" si="3"/>
        <v>49.35</v>
      </c>
      <c r="AF10" s="272">
        <f t="shared" si="3"/>
        <v>49.35</v>
      </c>
      <c r="AG10" s="272">
        <f t="shared" si="3"/>
        <v>0</v>
      </c>
      <c r="AH10" s="118">
        <f t="shared" si="3"/>
        <v>141.5</v>
      </c>
      <c r="AI10" s="272">
        <f t="shared" si="3"/>
        <v>115.1</v>
      </c>
      <c r="AJ10" s="272">
        <f>SUM(AJ6:AJ9)</f>
        <v>67.099999999999994</v>
      </c>
      <c r="AK10" s="695">
        <f>SUM(AK6:AK9)</f>
        <v>7</v>
      </c>
      <c r="AL10" s="118">
        <f t="shared" si="3"/>
        <v>36</v>
      </c>
      <c r="AM10" s="272">
        <f t="shared" si="3"/>
        <v>2</v>
      </c>
      <c r="AN10" s="272">
        <f t="shared" si="3"/>
        <v>2</v>
      </c>
      <c r="AO10" s="272">
        <f t="shared" si="3"/>
        <v>0</v>
      </c>
      <c r="AP10" s="118">
        <f t="shared" si="3"/>
        <v>3.5</v>
      </c>
      <c r="AQ10" s="272">
        <f t="shared" si="3"/>
        <v>10.4</v>
      </c>
      <c r="AR10" s="272">
        <f t="shared" si="3"/>
        <v>10.4</v>
      </c>
      <c r="AS10" s="272">
        <f t="shared" si="3"/>
        <v>0</v>
      </c>
      <c r="AT10" s="118">
        <f t="shared" si="3"/>
        <v>19</v>
      </c>
      <c r="AU10" s="272">
        <f t="shared" si="3"/>
        <v>12.5</v>
      </c>
      <c r="AV10" s="272">
        <f t="shared" si="3"/>
        <v>10.5</v>
      </c>
      <c r="AW10" s="272">
        <f t="shared" si="3"/>
        <v>0</v>
      </c>
      <c r="AX10" s="118">
        <f t="shared" si="3"/>
        <v>25</v>
      </c>
      <c r="AY10" s="272">
        <f t="shared" si="3"/>
        <v>12</v>
      </c>
      <c r="AZ10" s="272">
        <f t="shared" si="3"/>
        <v>12</v>
      </c>
      <c r="BA10" s="272">
        <f t="shared" si="3"/>
        <v>0</v>
      </c>
      <c r="BB10" s="118">
        <f t="shared" si="3"/>
        <v>83.5</v>
      </c>
      <c r="BC10" s="272">
        <f t="shared" si="3"/>
        <v>36.900000000000006</v>
      </c>
      <c r="BD10" s="272">
        <f t="shared" si="3"/>
        <v>34.900000000000006</v>
      </c>
      <c r="BE10" s="272">
        <f t="shared" si="3"/>
        <v>0</v>
      </c>
      <c r="BF10" s="278">
        <f t="shared" si="3"/>
        <v>225</v>
      </c>
      <c r="BG10" s="279">
        <f t="shared" si="3"/>
        <v>152</v>
      </c>
      <c r="BH10" s="702">
        <f>AJ10+BD10</f>
        <v>102</v>
      </c>
      <c r="BI10" s="700">
        <f>AK10+BE10</f>
        <v>7</v>
      </c>
      <c r="BJ10" s="1055">
        <f>SUM(BJ6:BJ9)</f>
        <v>43.7</v>
      </c>
    </row>
    <row r="11" spans="3:62" s="119" customFormat="1" ht="5.25" customHeight="1">
      <c r="D11" s="120"/>
      <c r="E11" s="120"/>
      <c r="F11" s="120"/>
      <c r="H11" s="122"/>
      <c r="I11" s="122"/>
      <c r="J11" s="125"/>
      <c r="K11" s="126"/>
      <c r="L11" s="126"/>
      <c r="M11" s="126"/>
      <c r="N11" s="125"/>
      <c r="O11" s="126"/>
      <c r="P11" s="126"/>
      <c r="Q11" s="126"/>
      <c r="R11" s="125"/>
      <c r="S11" s="126"/>
      <c r="T11" s="126"/>
      <c r="U11" s="126"/>
      <c r="V11" s="125"/>
      <c r="W11" s="126"/>
      <c r="X11" s="126"/>
      <c r="Y11" s="126"/>
      <c r="Z11" s="125"/>
      <c r="AA11" s="126"/>
      <c r="AB11" s="126"/>
      <c r="AC11" s="126"/>
      <c r="AD11" s="125"/>
      <c r="AE11" s="126"/>
      <c r="AF11" s="126"/>
      <c r="AG11" s="126"/>
      <c r="AH11" s="125"/>
      <c r="AI11" s="126"/>
      <c r="AJ11" s="126"/>
      <c r="AK11" s="126"/>
      <c r="AL11" s="125"/>
      <c r="AM11" s="126"/>
      <c r="AN11" s="126"/>
      <c r="AO11" s="126"/>
      <c r="AP11" s="125"/>
      <c r="AQ11" s="126"/>
      <c r="AR11" s="126"/>
      <c r="AS11" s="126"/>
      <c r="AT11" s="125"/>
      <c r="AU11" s="126"/>
      <c r="AV11" s="126"/>
      <c r="AW11" s="126"/>
      <c r="AX11" s="125"/>
      <c r="AY11" s="126"/>
      <c r="AZ11" s="126"/>
      <c r="BA11" s="126"/>
      <c r="BB11" s="125"/>
      <c r="BC11" s="126"/>
      <c r="BD11" s="126"/>
      <c r="BE11" s="126"/>
      <c r="BF11" s="125"/>
      <c r="BG11" s="126"/>
    </row>
    <row r="12" spans="3:62" ht="19.5" thickBot="1">
      <c r="C12" s="1048"/>
      <c r="D12" s="1046"/>
      <c r="E12" s="1046"/>
      <c r="F12" s="1052"/>
      <c r="H12" s="1867" t="s">
        <v>114</v>
      </c>
      <c r="I12" s="1868"/>
      <c r="J12" s="1868"/>
      <c r="K12" s="1868"/>
      <c r="L12" s="1868"/>
      <c r="M12" s="1868"/>
      <c r="N12" s="1868"/>
      <c r="O12" s="1868"/>
      <c r="P12" s="1868"/>
      <c r="Q12" s="1868"/>
      <c r="R12" s="1868"/>
      <c r="S12" s="1868"/>
      <c r="T12" s="1868"/>
      <c r="U12" s="1868"/>
      <c r="V12" s="1868"/>
      <c r="W12" s="1868"/>
      <c r="X12" s="1868"/>
      <c r="Y12" s="1868"/>
      <c r="Z12" s="1868"/>
      <c r="AA12" s="1868"/>
      <c r="AB12" s="1868"/>
      <c r="AC12" s="1868"/>
      <c r="AD12" s="1868"/>
      <c r="AE12" s="1868"/>
      <c r="AF12" s="1868"/>
      <c r="AG12" s="1868"/>
      <c r="AH12" s="1868"/>
      <c r="AI12" s="1868"/>
      <c r="AJ12" s="1868"/>
      <c r="AK12" s="1868"/>
      <c r="AL12" s="1868"/>
      <c r="AM12" s="1868"/>
      <c r="AN12" s="1868"/>
      <c r="AO12" s="1868"/>
      <c r="AP12" s="1868"/>
      <c r="AQ12" s="1868"/>
      <c r="AR12" s="1868"/>
      <c r="AS12" s="1868"/>
      <c r="AT12" s="1868"/>
      <c r="AU12" s="1868"/>
      <c r="AV12" s="1868"/>
      <c r="AW12" s="1868"/>
      <c r="AX12" s="1868"/>
      <c r="AY12" s="1868"/>
      <c r="AZ12" s="1868"/>
      <c r="BA12" s="1868"/>
      <c r="BB12" s="1868"/>
      <c r="BC12" s="1868"/>
      <c r="BD12" s="1868"/>
      <c r="BE12" s="1868"/>
      <c r="BF12" s="1868"/>
      <c r="BG12" s="1868"/>
      <c r="BH12" s="1868"/>
      <c r="BI12" s="1868"/>
    </row>
    <row r="13" spans="3:62" ht="18.75" customHeight="1">
      <c r="C13" s="37" t="s">
        <v>44</v>
      </c>
      <c r="D13" s="1869"/>
      <c r="E13" s="1869"/>
      <c r="F13" s="1870"/>
      <c r="H13" s="1895" t="s">
        <v>117</v>
      </c>
      <c r="I13" s="1896"/>
      <c r="J13" s="1890" t="s">
        <v>43</v>
      </c>
      <c r="K13" s="1891"/>
      <c r="L13" s="1891"/>
      <c r="M13" s="1892"/>
      <c r="N13" s="1890" t="s">
        <v>42</v>
      </c>
      <c r="O13" s="1891"/>
      <c r="P13" s="1891"/>
      <c r="Q13" s="1892"/>
      <c r="R13" s="1890" t="s">
        <v>41</v>
      </c>
      <c r="S13" s="1891"/>
      <c r="T13" s="1891"/>
      <c r="U13" s="1892"/>
      <c r="V13" s="1890" t="s">
        <v>40</v>
      </c>
      <c r="W13" s="1891"/>
      <c r="X13" s="1891"/>
      <c r="Y13" s="1892"/>
      <c r="Z13" s="1890" t="s">
        <v>39</v>
      </c>
      <c r="AA13" s="1891"/>
      <c r="AB13" s="1891"/>
      <c r="AC13" s="1892"/>
      <c r="AD13" s="1890" t="s">
        <v>38</v>
      </c>
      <c r="AE13" s="1891"/>
      <c r="AF13" s="1891"/>
      <c r="AG13" s="1892"/>
      <c r="AH13" s="1882" t="s">
        <v>122</v>
      </c>
      <c r="AI13" s="1883"/>
      <c r="AJ13" s="1883"/>
      <c r="AK13" s="1884"/>
      <c r="AL13" s="1890" t="s">
        <v>37</v>
      </c>
      <c r="AM13" s="1891"/>
      <c r="AN13" s="1891"/>
      <c r="AO13" s="1892"/>
      <c r="AP13" s="1890" t="s">
        <v>36</v>
      </c>
      <c r="AQ13" s="1891"/>
      <c r="AR13" s="1891"/>
      <c r="AS13" s="1892"/>
      <c r="AT13" s="1890" t="s">
        <v>35</v>
      </c>
      <c r="AU13" s="1891"/>
      <c r="AV13" s="1891"/>
      <c r="AW13" s="1892"/>
      <c r="AX13" s="1890" t="s">
        <v>34</v>
      </c>
      <c r="AY13" s="1891"/>
      <c r="AZ13" s="1891"/>
      <c r="BA13" s="1892"/>
      <c r="BB13" s="1882" t="s">
        <v>123</v>
      </c>
      <c r="BC13" s="1883"/>
      <c r="BD13" s="1883"/>
      <c r="BE13" s="1884"/>
      <c r="BF13" s="1880" t="s">
        <v>17</v>
      </c>
      <c r="BG13" s="1881"/>
      <c r="BH13" s="1881"/>
      <c r="BI13" s="1881"/>
    </row>
    <row r="14" spans="3:62" ht="27" customHeight="1">
      <c r="C14" s="1879" t="s">
        <v>33</v>
      </c>
      <c r="D14" s="1869"/>
      <c r="E14" s="1046" t="s">
        <v>1</v>
      </c>
      <c r="F14" s="1052" t="s">
        <v>2</v>
      </c>
      <c r="H14" s="1897"/>
      <c r="I14" s="1898"/>
      <c r="J14" s="36" t="s">
        <v>1</v>
      </c>
      <c r="K14" s="271" t="s">
        <v>2</v>
      </c>
      <c r="L14" s="271" t="s">
        <v>182</v>
      </c>
      <c r="M14" s="35" t="s">
        <v>247</v>
      </c>
      <c r="N14" s="36" t="s">
        <v>1</v>
      </c>
      <c r="O14" s="271" t="s">
        <v>2</v>
      </c>
      <c r="P14" s="271" t="s">
        <v>182</v>
      </c>
      <c r="Q14" s="35" t="s">
        <v>247</v>
      </c>
      <c r="R14" s="36" t="s">
        <v>1</v>
      </c>
      <c r="S14" s="271" t="s">
        <v>2</v>
      </c>
      <c r="T14" s="271" t="s">
        <v>182</v>
      </c>
      <c r="U14" s="35" t="s">
        <v>247</v>
      </c>
      <c r="V14" s="36" t="s">
        <v>1</v>
      </c>
      <c r="W14" s="271" t="s">
        <v>2</v>
      </c>
      <c r="X14" s="271" t="s">
        <v>182</v>
      </c>
      <c r="Y14" s="35" t="s">
        <v>247</v>
      </c>
      <c r="Z14" s="36" t="s">
        <v>1</v>
      </c>
      <c r="AA14" s="271" t="s">
        <v>2</v>
      </c>
      <c r="AB14" s="271" t="s">
        <v>182</v>
      </c>
      <c r="AC14" s="35" t="s">
        <v>247</v>
      </c>
      <c r="AD14" s="36" t="s">
        <v>1</v>
      </c>
      <c r="AE14" s="271" t="s">
        <v>2</v>
      </c>
      <c r="AF14" s="271" t="s">
        <v>182</v>
      </c>
      <c r="AG14" s="35" t="s">
        <v>247</v>
      </c>
      <c r="AH14" s="36" t="s">
        <v>1</v>
      </c>
      <c r="AI14" s="271" t="s">
        <v>2</v>
      </c>
      <c r="AJ14" s="271" t="s">
        <v>182</v>
      </c>
      <c r="AK14" s="690" t="s">
        <v>196</v>
      </c>
      <c r="AL14" s="36" t="s">
        <v>1</v>
      </c>
      <c r="AM14" s="271" t="s">
        <v>2</v>
      </c>
      <c r="AN14" s="271" t="s">
        <v>182</v>
      </c>
      <c r="AO14" s="35" t="s">
        <v>247</v>
      </c>
      <c r="AP14" s="36" t="s">
        <v>1</v>
      </c>
      <c r="AQ14" s="271" t="s">
        <v>2</v>
      </c>
      <c r="AR14" s="271" t="s">
        <v>182</v>
      </c>
      <c r="AS14" s="35" t="s">
        <v>247</v>
      </c>
      <c r="AT14" s="36" t="s">
        <v>1</v>
      </c>
      <c r="AU14" s="271" t="s">
        <v>2</v>
      </c>
      <c r="AV14" s="271" t="s">
        <v>182</v>
      </c>
      <c r="AW14" s="35" t="s">
        <v>247</v>
      </c>
      <c r="AX14" s="36" t="s">
        <v>1</v>
      </c>
      <c r="AY14" s="271" t="s">
        <v>2</v>
      </c>
      <c r="AZ14" s="271" t="s">
        <v>182</v>
      </c>
      <c r="BA14" s="35" t="s">
        <v>247</v>
      </c>
      <c r="BB14" s="36" t="s">
        <v>1</v>
      </c>
      <c r="BC14" s="271" t="s">
        <v>2</v>
      </c>
      <c r="BD14" s="271" t="s">
        <v>182</v>
      </c>
      <c r="BE14" s="690" t="s">
        <v>196</v>
      </c>
      <c r="BF14" s="274" t="s">
        <v>1</v>
      </c>
      <c r="BG14" s="275" t="s">
        <v>2</v>
      </c>
      <c r="BH14" s="275" t="s">
        <v>182</v>
      </c>
      <c r="BI14" s="703" t="s">
        <v>196</v>
      </c>
      <c r="BJ14" s="703"/>
    </row>
    <row r="15" spans="3:62" s="28" customFormat="1" ht="20.100000000000001" customHeight="1">
      <c r="C15" s="1879" t="s">
        <v>28</v>
      </c>
      <c r="D15" s="1046" t="s">
        <v>27</v>
      </c>
      <c r="E15" s="1050"/>
      <c r="F15" s="34"/>
      <c r="H15" s="1888" t="s">
        <v>112</v>
      </c>
      <c r="I15" s="33" t="s">
        <v>27</v>
      </c>
      <c r="J15" s="462"/>
      <c r="K15" s="463"/>
      <c r="L15" s="463"/>
      <c r="M15" s="692"/>
      <c r="N15" s="462"/>
      <c r="O15" s="463"/>
      <c r="P15" s="463"/>
      <c r="Q15" s="692"/>
      <c r="R15" s="462"/>
      <c r="S15" s="463"/>
      <c r="T15" s="463"/>
      <c r="U15" s="692"/>
      <c r="V15" s="462"/>
      <c r="W15" s="463"/>
      <c r="X15" s="463"/>
      <c r="Y15" s="692"/>
      <c r="Z15" s="462"/>
      <c r="AA15" s="463"/>
      <c r="AB15" s="463"/>
      <c r="AC15" s="692"/>
      <c r="AD15" s="462"/>
      <c r="AE15" s="463"/>
      <c r="AF15" s="463"/>
      <c r="AG15" s="692"/>
      <c r="AH15" s="128">
        <f>J15+N15+R15+V15+Z15+AD15</f>
        <v>0</v>
      </c>
      <c r="AI15" s="273">
        <f>K15+O15+S15+W15+AA15+AE15</f>
        <v>0</v>
      </c>
      <c r="AJ15" s="273">
        <f>L15+P15+T15+X15+AB15+AF15</f>
        <v>0</v>
      </c>
      <c r="AK15" s="694">
        <f>M15+Q15+U15+Y15+AC15+AG15</f>
        <v>0</v>
      </c>
      <c r="AL15" s="462"/>
      <c r="AM15" s="463"/>
      <c r="AN15" s="463"/>
      <c r="AO15" s="692"/>
      <c r="AP15" s="462"/>
      <c r="AQ15" s="463"/>
      <c r="AR15" s="463"/>
      <c r="AS15" s="692"/>
      <c r="AT15" s="462"/>
      <c r="AU15" s="463"/>
      <c r="AV15" s="463"/>
      <c r="AW15" s="692"/>
      <c r="AX15" s="462"/>
      <c r="AY15" s="463"/>
      <c r="AZ15" s="463"/>
      <c r="BA15" s="692"/>
      <c r="BB15" s="128">
        <f>AL15+AP15+AT15+AX15</f>
        <v>0</v>
      </c>
      <c r="BC15" s="273">
        <f>AM15+AQ15+AU15+AY15</f>
        <v>0</v>
      </c>
      <c r="BD15" s="273">
        <f>AN15+AR15+AV15+AZ15</f>
        <v>0</v>
      </c>
      <c r="BE15" s="273">
        <f>AO15+AS15+AW15+BA15</f>
        <v>0</v>
      </c>
      <c r="BF15" s="276">
        <f t="shared" ref="BF15:BI23" si="4">AH15+BB15</f>
        <v>0</v>
      </c>
      <c r="BG15" s="277">
        <f t="shared" si="4"/>
        <v>0</v>
      </c>
      <c r="BH15" s="277">
        <f t="shared" si="4"/>
        <v>0</v>
      </c>
      <c r="BI15" s="704">
        <f t="shared" si="4"/>
        <v>0</v>
      </c>
      <c r="BJ15" s="704">
        <f t="shared" ref="BJ15:BJ23" si="5">BH15+BI15</f>
        <v>0</v>
      </c>
    </row>
    <row r="16" spans="3:62" s="28" customFormat="1" ht="20.100000000000001" customHeight="1">
      <c r="C16" s="1879"/>
      <c r="D16" s="1046" t="s">
        <v>26</v>
      </c>
      <c r="E16" s="1046"/>
      <c r="F16" s="1047"/>
      <c r="H16" s="1889"/>
      <c r="I16" s="33" t="s">
        <v>26</v>
      </c>
      <c r="J16" s="462"/>
      <c r="K16" s="463"/>
      <c r="L16" s="463"/>
      <c r="M16" s="692"/>
      <c r="N16" s="462"/>
      <c r="O16" s="463"/>
      <c r="P16" s="463"/>
      <c r="Q16" s="692"/>
      <c r="R16" s="462"/>
      <c r="S16" s="463"/>
      <c r="T16" s="463"/>
      <c r="U16" s="692"/>
      <c r="V16" s="462"/>
      <c r="W16" s="463"/>
      <c r="X16" s="463"/>
      <c r="Y16" s="692"/>
      <c r="Z16" s="462"/>
      <c r="AA16" s="463"/>
      <c r="AB16" s="463"/>
      <c r="AC16" s="692"/>
      <c r="AD16" s="462"/>
      <c r="AE16" s="463"/>
      <c r="AF16" s="463"/>
      <c r="AG16" s="692"/>
      <c r="AH16" s="128">
        <f t="shared" ref="AH16:AK23" si="6">J16+N16+R16+V16+Z16+AD16</f>
        <v>0</v>
      </c>
      <c r="AI16" s="273">
        <f t="shared" si="6"/>
        <v>0</v>
      </c>
      <c r="AJ16" s="273">
        <f t="shared" si="6"/>
        <v>0</v>
      </c>
      <c r="AK16" s="694">
        <f t="shared" si="6"/>
        <v>0</v>
      </c>
      <c r="AL16" s="462"/>
      <c r="AM16" s="463"/>
      <c r="AN16" s="463"/>
      <c r="AO16" s="692"/>
      <c r="AP16" s="462"/>
      <c r="AQ16" s="463"/>
      <c r="AR16" s="463"/>
      <c r="AS16" s="692"/>
      <c r="AT16" s="462"/>
      <c r="AU16" s="463"/>
      <c r="AV16" s="463"/>
      <c r="AW16" s="692"/>
      <c r="AX16" s="462"/>
      <c r="AY16" s="463">
        <v>8</v>
      </c>
      <c r="AZ16" s="463"/>
      <c r="BA16" s="692"/>
      <c r="BB16" s="128">
        <f t="shared" ref="BB16:BE23" si="7">AL16+AP16+AT16+AX16</f>
        <v>0</v>
      </c>
      <c r="BC16" s="273">
        <f t="shared" si="7"/>
        <v>8</v>
      </c>
      <c r="BD16" s="273">
        <f t="shared" si="7"/>
        <v>0</v>
      </c>
      <c r="BE16" s="273">
        <f t="shared" si="7"/>
        <v>0</v>
      </c>
      <c r="BF16" s="276">
        <f t="shared" si="4"/>
        <v>0</v>
      </c>
      <c r="BG16" s="277">
        <f t="shared" si="4"/>
        <v>8</v>
      </c>
      <c r="BH16" s="277">
        <f t="shared" si="4"/>
        <v>0</v>
      </c>
      <c r="BI16" s="704">
        <f t="shared" si="4"/>
        <v>0</v>
      </c>
      <c r="BJ16" s="704">
        <f t="shared" si="5"/>
        <v>0</v>
      </c>
    </row>
    <row r="17" spans="3:62" s="28" customFormat="1" ht="23.25" customHeight="1">
      <c r="C17" s="1879"/>
      <c r="D17" s="1046" t="s">
        <v>25</v>
      </c>
      <c r="E17" s="1046"/>
      <c r="F17" s="1047"/>
      <c r="H17" s="1889"/>
      <c r="I17" s="33" t="s">
        <v>25</v>
      </c>
      <c r="J17" s="462"/>
      <c r="K17" s="463"/>
      <c r="L17" s="463"/>
      <c r="M17" s="692"/>
      <c r="N17" s="462"/>
      <c r="O17" s="463"/>
      <c r="P17" s="463"/>
      <c r="Q17" s="692"/>
      <c r="R17" s="462"/>
      <c r="S17" s="463"/>
      <c r="T17" s="463"/>
      <c r="U17" s="692"/>
      <c r="V17" s="462"/>
      <c r="W17" s="463"/>
      <c r="X17" s="463"/>
      <c r="Y17" s="692"/>
      <c r="Z17" s="462"/>
      <c r="AA17" s="463"/>
      <c r="AB17" s="463"/>
      <c r="AC17" s="692"/>
      <c r="AD17" s="462"/>
      <c r="AE17" s="463"/>
      <c r="AF17" s="463"/>
      <c r="AG17" s="692"/>
      <c r="AH17" s="128">
        <f t="shared" si="6"/>
        <v>0</v>
      </c>
      <c r="AI17" s="273">
        <f t="shared" si="6"/>
        <v>0</v>
      </c>
      <c r="AJ17" s="273">
        <f t="shared" si="6"/>
        <v>0</v>
      </c>
      <c r="AK17" s="694">
        <f t="shared" si="6"/>
        <v>0</v>
      </c>
      <c r="AL17" s="462"/>
      <c r="AM17" s="463"/>
      <c r="AN17" s="463"/>
      <c r="AO17" s="692"/>
      <c r="AP17" s="462"/>
      <c r="AQ17" s="463"/>
      <c r="AR17" s="463"/>
      <c r="AS17" s="692"/>
      <c r="AT17" s="462"/>
      <c r="AU17" s="463"/>
      <c r="AV17" s="463"/>
      <c r="AW17" s="692"/>
      <c r="AX17" s="462"/>
      <c r="AY17" s="463"/>
      <c r="AZ17" s="463"/>
      <c r="BA17" s="692"/>
      <c r="BB17" s="128">
        <f t="shared" si="7"/>
        <v>0</v>
      </c>
      <c r="BC17" s="273">
        <f t="shared" si="7"/>
        <v>0</v>
      </c>
      <c r="BD17" s="273">
        <f t="shared" si="7"/>
        <v>0</v>
      </c>
      <c r="BE17" s="273">
        <f t="shared" si="7"/>
        <v>0</v>
      </c>
      <c r="BF17" s="276">
        <f t="shared" si="4"/>
        <v>0</v>
      </c>
      <c r="BG17" s="277">
        <f t="shared" si="4"/>
        <v>0</v>
      </c>
      <c r="BH17" s="277">
        <f t="shared" si="4"/>
        <v>0</v>
      </c>
      <c r="BI17" s="704">
        <f t="shared" si="4"/>
        <v>0</v>
      </c>
      <c r="BJ17" s="704">
        <f t="shared" si="5"/>
        <v>0</v>
      </c>
    </row>
    <row r="18" spans="3:62" s="28" customFormat="1" ht="21">
      <c r="C18" s="1879"/>
      <c r="D18" s="1046" t="s">
        <v>24</v>
      </c>
      <c r="E18" s="1046"/>
      <c r="F18" s="1047"/>
      <c r="H18" s="1889"/>
      <c r="I18" s="33" t="s">
        <v>24</v>
      </c>
      <c r="J18" s="462"/>
      <c r="K18" s="463"/>
      <c r="L18" s="463"/>
      <c r="M18" s="692"/>
      <c r="N18" s="462"/>
      <c r="O18" s="463"/>
      <c r="P18" s="463"/>
      <c r="Q18" s="692"/>
      <c r="R18" s="462"/>
      <c r="S18" s="463"/>
      <c r="T18" s="463"/>
      <c r="U18" s="692"/>
      <c r="V18" s="462"/>
      <c r="W18" s="463"/>
      <c r="X18" s="463"/>
      <c r="Y18" s="692"/>
      <c r="Z18" s="462"/>
      <c r="AA18" s="463"/>
      <c r="AB18" s="463"/>
      <c r="AC18" s="692"/>
      <c r="AD18" s="462"/>
      <c r="AE18" s="463"/>
      <c r="AF18" s="463"/>
      <c r="AG18" s="692"/>
      <c r="AH18" s="128">
        <f t="shared" si="6"/>
        <v>0</v>
      </c>
      <c r="AI18" s="273">
        <f t="shared" si="6"/>
        <v>0</v>
      </c>
      <c r="AJ18" s="273">
        <f t="shared" si="6"/>
        <v>0</v>
      </c>
      <c r="AK18" s="694">
        <f t="shared" si="6"/>
        <v>0</v>
      </c>
      <c r="AL18" s="462"/>
      <c r="AM18" s="463">
        <v>28</v>
      </c>
      <c r="AN18" s="463"/>
      <c r="AO18" s="692"/>
      <c r="AP18" s="462"/>
      <c r="AQ18" s="463"/>
      <c r="AR18" s="463"/>
      <c r="AS18" s="692"/>
      <c r="AT18" s="462"/>
      <c r="AU18" s="463"/>
      <c r="AV18" s="463"/>
      <c r="AW18" s="692"/>
      <c r="AX18" s="462"/>
      <c r="AY18" s="463"/>
      <c r="AZ18" s="463"/>
      <c r="BA18" s="692"/>
      <c r="BB18" s="128">
        <f t="shared" si="7"/>
        <v>0</v>
      </c>
      <c r="BC18" s="273">
        <f t="shared" si="7"/>
        <v>28</v>
      </c>
      <c r="BD18" s="273">
        <f t="shared" si="7"/>
        <v>0</v>
      </c>
      <c r="BE18" s="273">
        <f t="shared" si="7"/>
        <v>0</v>
      </c>
      <c r="BF18" s="276">
        <f t="shared" si="4"/>
        <v>0</v>
      </c>
      <c r="BG18" s="277">
        <f t="shared" si="4"/>
        <v>28</v>
      </c>
      <c r="BH18" s="277">
        <f t="shared" si="4"/>
        <v>0</v>
      </c>
      <c r="BI18" s="704">
        <f t="shared" si="4"/>
        <v>0</v>
      </c>
      <c r="BJ18" s="704">
        <f t="shared" si="5"/>
        <v>0</v>
      </c>
    </row>
    <row r="19" spans="3:62" s="28" customFormat="1" ht="20.100000000000001" customHeight="1">
      <c r="C19" s="1879"/>
      <c r="D19" s="1046" t="s">
        <v>23</v>
      </c>
      <c r="E19" s="1046"/>
      <c r="F19" s="1047"/>
      <c r="H19" s="1889"/>
      <c r="I19" s="33" t="s">
        <v>23</v>
      </c>
      <c r="J19" s="462"/>
      <c r="K19" s="463"/>
      <c r="L19" s="463"/>
      <c r="M19" s="692"/>
      <c r="N19" s="462"/>
      <c r="O19" s="463"/>
      <c r="P19" s="463"/>
      <c r="Q19" s="692"/>
      <c r="R19" s="462"/>
      <c r="S19" s="463"/>
      <c r="T19" s="463"/>
      <c r="U19" s="692"/>
      <c r="V19" s="462"/>
      <c r="W19" s="463"/>
      <c r="X19" s="463"/>
      <c r="Y19" s="692"/>
      <c r="Z19" s="462"/>
      <c r="AA19" s="463"/>
      <c r="AB19" s="463"/>
      <c r="AC19" s="692"/>
      <c r="AD19" s="462"/>
      <c r="AE19" s="463"/>
      <c r="AF19" s="463"/>
      <c r="AG19" s="692"/>
      <c r="AH19" s="128">
        <f t="shared" si="6"/>
        <v>0</v>
      </c>
      <c r="AI19" s="273">
        <f t="shared" si="6"/>
        <v>0</v>
      </c>
      <c r="AJ19" s="273">
        <f t="shared" si="6"/>
        <v>0</v>
      </c>
      <c r="AK19" s="694">
        <f t="shared" si="6"/>
        <v>0</v>
      </c>
      <c r="AL19" s="1012"/>
      <c r="AM19" s="463"/>
      <c r="AN19" s="463"/>
      <c r="AO19" s="692"/>
      <c r="AP19" s="462"/>
      <c r="AQ19" s="463"/>
      <c r="AR19" s="463"/>
      <c r="AS19" s="692"/>
      <c r="AT19" s="462"/>
      <c r="AU19" s="463"/>
      <c r="AV19" s="463"/>
      <c r="AW19" s="692"/>
      <c r="AX19" s="462"/>
      <c r="AY19" s="463"/>
      <c r="AZ19" s="463"/>
      <c r="BA19" s="692"/>
      <c r="BB19" s="128">
        <f t="shared" si="7"/>
        <v>0</v>
      </c>
      <c r="BC19" s="273">
        <f t="shared" si="7"/>
        <v>0</v>
      </c>
      <c r="BD19" s="273">
        <f t="shared" si="7"/>
        <v>0</v>
      </c>
      <c r="BE19" s="273">
        <f t="shared" si="7"/>
        <v>0</v>
      </c>
      <c r="BF19" s="276">
        <f t="shared" si="4"/>
        <v>0</v>
      </c>
      <c r="BG19" s="277">
        <f t="shared" si="4"/>
        <v>0</v>
      </c>
      <c r="BH19" s="277">
        <f t="shared" si="4"/>
        <v>0</v>
      </c>
      <c r="BI19" s="704">
        <f t="shared" si="4"/>
        <v>0</v>
      </c>
      <c r="BJ19" s="704">
        <f t="shared" si="5"/>
        <v>0</v>
      </c>
    </row>
    <row r="20" spans="3:62" s="28" customFormat="1" ht="19.5" customHeight="1">
      <c r="C20" s="1879"/>
      <c r="D20" s="1046" t="s">
        <v>22</v>
      </c>
      <c r="E20" s="1046"/>
      <c r="F20" s="1047"/>
      <c r="H20" s="1889"/>
      <c r="I20" s="33" t="s">
        <v>22</v>
      </c>
      <c r="J20" s="462"/>
      <c r="K20" s="463"/>
      <c r="L20" s="463"/>
      <c r="M20" s="692"/>
      <c r="N20" s="462"/>
      <c r="O20" s="463"/>
      <c r="P20" s="463"/>
      <c r="Q20" s="692"/>
      <c r="R20" s="462">
        <v>8</v>
      </c>
      <c r="S20" s="463"/>
      <c r="T20" s="463"/>
      <c r="U20" s="692"/>
      <c r="V20" s="462">
        <v>6.5</v>
      </c>
      <c r="W20" s="463">
        <v>7</v>
      </c>
      <c r="X20" s="463">
        <v>7</v>
      </c>
      <c r="Y20" s="692">
        <v>7.47</v>
      </c>
      <c r="Z20" s="462"/>
      <c r="AA20" s="463"/>
      <c r="AB20" s="463"/>
      <c r="AC20" s="692"/>
      <c r="AD20" s="462"/>
      <c r="AE20" s="463"/>
      <c r="AF20" s="463"/>
      <c r="AG20" s="692"/>
      <c r="AH20" s="128">
        <f t="shared" si="6"/>
        <v>14.5</v>
      </c>
      <c r="AI20" s="273">
        <f t="shared" si="6"/>
        <v>7</v>
      </c>
      <c r="AJ20" s="273">
        <f t="shared" si="6"/>
        <v>7</v>
      </c>
      <c r="AK20" s="694">
        <f t="shared" si="6"/>
        <v>7.47</v>
      </c>
      <c r="AL20" s="462"/>
      <c r="AM20" s="463"/>
      <c r="AN20" s="463"/>
      <c r="AO20" s="692"/>
      <c r="AP20" s="462"/>
      <c r="AQ20" s="463"/>
      <c r="AR20" s="463"/>
      <c r="AS20" s="692"/>
      <c r="AT20" s="462"/>
      <c r="AU20" s="463"/>
      <c r="AV20" s="463"/>
      <c r="AW20" s="692"/>
      <c r="AX20" s="462"/>
      <c r="AY20" s="463"/>
      <c r="AZ20" s="463"/>
      <c r="BA20" s="692"/>
      <c r="BB20" s="128">
        <f t="shared" si="7"/>
        <v>0</v>
      </c>
      <c r="BC20" s="273">
        <f t="shared" si="7"/>
        <v>0</v>
      </c>
      <c r="BD20" s="273">
        <f t="shared" si="7"/>
        <v>0</v>
      </c>
      <c r="BE20" s="273">
        <f t="shared" si="7"/>
        <v>0</v>
      </c>
      <c r="BF20" s="276">
        <f t="shared" si="4"/>
        <v>14.5</v>
      </c>
      <c r="BG20" s="277">
        <f t="shared" si="4"/>
        <v>7</v>
      </c>
      <c r="BH20" s="277">
        <f t="shared" si="4"/>
        <v>7</v>
      </c>
      <c r="BI20" s="704">
        <f t="shared" si="4"/>
        <v>7.47</v>
      </c>
      <c r="BJ20" s="704">
        <f t="shared" si="5"/>
        <v>14.469999999999999</v>
      </c>
    </row>
    <row r="21" spans="3:62" s="28" customFormat="1" ht="20.100000000000001" customHeight="1">
      <c r="C21" s="1885"/>
      <c r="D21" s="1046"/>
      <c r="E21" s="1046"/>
      <c r="F21" s="1047"/>
      <c r="H21" s="1889"/>
      <c r="I21" s="33" t="s">
        <v>21</v>
      </c>
      <c r="J21" s="462"/>
      <c r="K21" s="463"/>
      <c r="L21" s="463"/>
      <c r="M21" s="692"/>
      <c r="N21" s="462"/>
      <c r="O21" s="463"/>
      <c r="P21" s="463"/>
      <c r="Q21" s="692"/>
      <c r="R21" s="462"/>
      <c r="S21" s="463"/>
      <c r="T21" s="463"/>
      <c r="U21" s="692"/>
      <c r="V21" s="462"/>
      <c r="W21" s="463"/>
      <c r="X21" s="463"/>
      <c r="Y21" s="692"/>
      <c r="Z21" s="462"/>
      <c r="AA21" s="463"/>
      <c r="AB21" s="463"/>
      <c r="AC21" s="692"/>
      <c r="AD21" s="462"/>
      <c r="AE21" s="463"/>
      <c r="AF21" s="463"/>
      <c r="AG21" s="692"/>
      <c r="AH21" s="128">
        <f t="shared" si="6"/>
        <v>0</v>
      </c>
      <c r="AI21" s="273">
        <f t="shared" si="6"/>
        <v>0</v>
      </c>
      <c r="AJ21" s="273">
        <f t="shared" si="6"/>
        <v>0</v>
      </c>
      <c r="AK21" s="694">
        <f t="shared" si="6"/>
        <v>0</v>
      </c>
      <c r="AL21" s="462"/>
      <c r="AM21" s="463"/>
      <c r="AN21" s="463"/>
      <c r="AO21" s="692"/>
      <c r="AP21" s="462"/>
      <c r="AQ21" s="463"/>
      <c r="AR21" s="463"/>
      <c r="AS21" s="692"/>
      <c r="AT21" s="462"/>
      <c r="AU21" s="463"/>
      <c r="AV21" s="463"/>
      <c r="AW21" s="692"/>
      <c r="AX21" s="462"/>
      <c r="AY21" s="463"/>
      <c r="AZ21" s="463"/>
      <c r="BA21" s="692"/>
      <c r="BB21" s="128">
        <f t="shared" si="7"/>
        <v>0</v>
      </c>
      <c r="BC21" s="273">
        <f t="shared" si="7"/>
        <v>0</v>
      </c>
      <c r="BD21" s="273">
        <f t="shared" si="7"/>
        <v>0</v>
      </c>
      <c r="BE21" s="273">
        <f t="shared" si="7"/>
        <v>0</v>
      </c>
      <c r="BF21" s="276">
        <f t="shared" si="4"/>
        <v>0</v>
      </c>
      <c r="BG21" s="277">
        <f t="shared" si="4"/>
        <v>0</v>
      </c>
      <c r="BH21" s="277">
        <f t="shared" si="4"/>
        <v>0</v>
      </c>
      <c r="BI21" s="704">
        <f t="shared" si="4"/>
        <v>0</v>
      </c>
      <c r="BJ21" s="704">
        <f t="shared" si="5"/>
        <v>0</v>
      </c>
    </row>
    <row r="22" spans="3:62" s="28" customFormat="1" ht="20.100000000000001" customHeight="1">
      <c r="C22" s="1885"/>
      <c r="D22" s="1046"/>
      <c r="E22" s="1046"/>
      <c r="F22" s="1047"/>
      <c r="H22" s="1889"/>
      <c r="I22" s="33" t="s">
        <v>20</v>
      </c>
      <c r="J22" s="462"/>
      <c r="K22" s="463"/>
      <c r="L22" s="463"/>
      <c r="M22" s="692"/>
      <c r="N22" s="462"/>
      <c r="O22" s="463"/>
      <c r="P22" s="463"/>
      <c r="Q22" s="692"/>
      <c r="R22" s="462"/>
      <c r="S22" s="463"/>
      <c r="T22" s="463"/>
      <c r="U22" s="692"/>
      <c r="V22" s="462"/>
      <c r="W22" s="463"/>
      <c r="X22" s="463"/>
      <c r="Y22" s="692"/>
      <c r="Z22" s="462"/>
      <c r="AA22" s="463"/>
      <c r="AB22" s="463"/>
      <c r="AC22" s="692"/>
      <c r="AD22" s="462"/>
      <c r="AE22" s="463"/>
      <c r="AF22" s="463"/>
      <c r="AG22" s="692"/>
      <c r="AH22" s="128">
        <f t="shared" si="6"/>
        <v>0</v>
      </c>
      <c r="AI22" s="273">
        <f t="shared" si="6"/>
        <v>0</v>
      </c>
      <c r="AJ22" s="273">
        <f t="shared" si="6"/>
        <v>0</v>
      </c>
      <c r="AK22" s="694">
        <f t="shared" si="6"/>
        <v>0</v>
      </c>
      <c r="AL22" s="462"/>
      <c r="AM22" s="463"/>
      <c r="AN22" s="463"/>
      <c r="AO22" s="692"/>
      <c r="AP22" s="462"/>
      <c r="AQ22" s="463"/>
      <c r="AR22" s="463"/>
      <c r="AS22" s="692"/>
      <c r="AT22" s="462">
        <v>10</v>
      </c>
      <c r="AU22" s="463"/>
      <c r="AV22" s="463"/>
      <c r="AW22" s="692"/>
      <c r="AX22" s="462"/>
      <c r="AY22" s="463"/>
      <c r="AZ22" s="463"/>
      <c r="BA22" s="692"/>
      <c r="BB22" s="128">
        <f t="shared" si="7"/>
        <v>10</v>
      </c>
      <c r="BC22" s="273">
        <f t="shared" si="7"/>
        <v>0</v>
      </c>
      <c r="BD22" s="273">
        <f t="shared" si="7"/>
        <v>0</v>
      </c>
      <c r="BE22" s="273">
        <f t="shared" si="7"/>
        <v>0</v>
      </c>
      <c r="BF22" s="276">
        <f t="shared" si="4"/>
        <v>10</v>
      </c>
      <c r="BG22" s="277">
        <f t="shared" si="4"/>
        <v>0</v>
      </c>
      <c r="BH22" s="277">
        <f t="shared" si="4"/>
        <v>0</v>
      </c>
      <c r="BI22" s="704">
        <f t="shared" si="4"/>
        <v>0</v>
      </c>
      <c r="BJ22" s="704">
        <f t="shared" si="5"/>
        <v>0</v>
      </c>
    </row>
    <row r="23" spans="3:62" s="28" customFormat="1" ht="20.100000000000001" customHeight="1">
      <c r="C23" s="1885"/>
      <c r="D23" s="1046"/>
      <c r="E23" s="1046"/>
      <c r="F23" s="1047"/>
      <c r="H23" s="1889"/>
      <c r="I23" s="33" t="s">
        <v>19</v>
      </c>
      <c r="J23" s="462"/>
      <c r="K23" s="463"/>
      <c r="L23" s="463"/>
      <c r="M23" s="692"/>
      <c r="N23" s="462"/>
      <c r="O23" s="463"/>
      <c r="P23" s="463"/>
      <c r="Q23" s="692"/>
      <c r="R23" s="462"/>
      <c r="S23" s="463"/>
      <c r="T23" s="463"/>
      <c r="U23" s="692"/>
      <c r="V23" s="462"/>
      <c r="W23" s="463"/>
      <c r="X23" s="463"/>
      <c r="Y23" s="692"/>
      <c r="Z23" s="462"/>
      <c r="AA23" s="463"/>
      <c r="AB23" s="463"/>
      <c r="AC23" s="692"/>
      <c r="AD23" s="462"/>
      <c r="AE23" s="463"/>
      <c r="AF23" s="463"/>
      <c r="AG23" s="692"/>
      <c r="AH23" s="128">
        <f t="shared" si="6"/>
        <v>0</v>
      </c>
      <c r="AI23" s="273">
        <f t="shared" si="6"/>
        <v>0</v>
      </c>
      <c r="AJ23" s="273">
        <f t="shared" si="6"/>
        <v>0</v>
      </c>
      <c r="AK23" s="694">
        <f t="shared" si="6"/>
        <v>0</v>
      </c>
      <c r="AL23" s="462"/>
      <c r="AM23" s="463"/>
      <c r="AN23" s="463"/>
      <c r="AO23" s="692"/>
      <c r="AP23" s="462">
        <v>6.5</v>
      </c>
      <c r="AQ23" s="463"/>
      <c r="AR23" s="463"/>
      <c r="AS23" s="692"/>
      <c r="AT23" s="462"/>
      <c r="AU23" s="463"/>
      <c r="AV23" s="463"/>
      <c r="AW23" s="692"/>
      <c r="AX23" s="462"/>
      <c r="AY23" s="463"/>
      <c r="AZ23" s="463"/>
      <c r="BA23" s="692"/>
      <c r="BB23" s="128">
        <f t="shared" si="7"/>
        <v>6.5</v>
      </c>
      <c r="BC23" s="273">
        <f t="shared" si="7"/>
        <v>0</v>
      </c>
      <c r="BD23" s="273">
        <f t="shared" si="7"/>
        <v>0</v>
      </c>
      <c r="BE23" s="273">
        <f t="shared" si="7"/>
        <v>0</v>
      </c>
      <c r="BF23" s="276">
        <f t="shared" si="4"/>
        <v>6.5</v>
      </c>
      <c r="BG23" s="277">
        <f t="shared" si="4"/>
        <v>0</v>
      </c>
      <c r="BH23" s="277">
        <f t="shared" si="4"/>
        <v>0</v>
      </c>
      <c r="BI23" s="704">
        <f t="shared" si="4"/>
        <v>0</v>
      </c>
      <c r="BJ23" s="704">
        <f t="shared" si="5"/>
        <v>0</v>
      </c>
    </row>
    <row r="24" spans="3:62" s="28" customFormat="1" ht="20.100000000000001" customHeight="1" thickBot="1">
      <c r="C24" s="1885"/>
      <c r="D24" s="1046"/>
      <c r="E24" s="1046"/>
      <c r="F24" s="1047"/>
      <c r="H24" s="1865" t="s">
        <v>116</v>
      </c>
      <c r="I24" s="1866"/>
      <c r="J24" s="118">
        <f t="shared" ref="J24:BI24" si="8">SUM(J15:J23)</f>
        <v>0</v>
      </c>
      <c r="K24" s="272">
        <f t="shared" si="8"/>
        <v>0</v>
      </c>
      <c r="L24" s="272">
        <f>SUM(L15:L23)</f>
        <v>0</v>
      </c>
      <c r="M24" s="272">
        <f>SUM(M15:M23)</f>
        <v>0</v>
      </c>
      <c r="N24" s="118">
        <f t="shared" ref="N24:AI24" si="9">SUM(N15:N23)</f>
        <v>0</v>
      </c>
      <c r="O24" s="272">
        <f t="shared" si="9"/>
        <v>0</v>
      </c>
      <c r="P24" s="272">
        <f t="shared" si="9"/>
        <v>0</v>
      </c>
      <c r="Q24" s="272">
        <f t="shared" si="9"/>
        <v>0</v>
      </c>
      <c r="R24" s="118">
        <f t="shared" si="9"/>
        <v>8</v>
      </c>
      <c r="S24" s="272">
        <f t="shared" si="9"/>
        <v>0</v>
      </c>
      <c r="T24" s="272">
        <f t="shared" si="9"/>
        <v>0</v>
      </c>
      <c r="U24" s="272">
        <f t="shared" si="9"/>
        <v>0</v>
      </c>
      <c r="V24" s="118">
        <f t="shared" si="9"/>
        <v>6.5</v>
      </c>
      <c r="W24" s="272">
        <f t="shared" si="9"/>
        <v>7</v>
      </c>
      <c r="X24" s="272">
        <f t="shared" si="9"/>
        <v>7</v>
      </c>
      <c r="Y24" s="272">
        <f t="shared" si="9"/>
        <v>7.47</v>
      </c>
      <c r="Z24" s="118">
        <f t="shared" si="9"/>
        <v>0</v>
      </c>
      <c r="AA24" s="272">
        <f t="shared" si="9"/>
        <v>0</v>
      </c>
      <c r="AB24" s="272">
        <f t="shared" si="9"/>
        <v>0</v>
      </c>
      <c r="AC24" s="272">
        <f t="shared" si="9"/>
        <v>0</v>
      </c>
      <c r="AD24" s="118">
        <f t="shared" si="9"/>
        <v>0</v>
      </c>
      <c r="AE24" s="272">
        <f t="shared" si="9"/>
        <v>0</v>
      </c>
      <c r="AF24" s="272">
        <f t="shared" si="9"/>
        <v>0</v>
      </c>
      <c r="AG24" s="272">
        <f t="shared" si="9"/>
        <v>0</v>
      </c>
      <c r="AH24" s="118">
        <f t="shared" si="9"/>
        <v>14.5</v>
      </c>
      <c r="AI24" s="272">
        <f t="shared" si="9"/>
        <v>7</v>
      </c>
      <c r="AJ24" s="272">
        <f>SUM(AJ15:AJ23)</f>
        <v>7</v>
      </c>
      <c r="AK24" s="695">
        <f>SUM(AK15:AK23)</f>
        <v>7.47</v>
      </c>
      <c r="AL24" s="118">
        <f t="shared" ref="AL24:BC24" si="10">SUM(AL15:AL23)</f>
        <v>0</v>
      </c>
      <c r="AM24" s="272">
        <f t="shared" si="10"/>
        <v>28</v>
      </c>
      <c r="AN24" s="272">
        <f t="shared" si="10"/>
        <v>0</v>
      </c>
      <c r="AO24" s="272">
        <f t="shared" si="10"/>
        <v>0</v>
      </c>
      <c r="AP24" s="118">
        <f t="shared" si="10"/>
        <v>6.5</v>
      </c>
      <c r="AQ24" s="272">
        <f t="shared" si="10"/>
        <v>0</v>
      </c>
      <c r="AR24" s="272">
        <f t="shared" si="10"/>
        <v>0</v>
      </c>
      <c r="AS24" s="272">
        <f t="shared" si="10"/>
        <v>0</v>
      </c>
      <c r="AT24" s="118">
        <f t="shared" si="10"/>
        <v>10</v>
      </c>
      <c r="AU24" s="272">
        <f t="shared" si="10"/>
        <v>0</v>
      </c>
      <c r="AV24" s="272">
        <f t="shared" si="10"/>
        <v>0</v>
      </c>
      <c r="AW24" s="272">
        <f t="shared" si="10"/>
        <v>0</v>
      </c>
      <c r="AX24" s="118">
        <f t="shared" si="10"/>
        <v>0</v>
      </c>
      <c r="AY24" s="272">
        <f t="shared" si="10"/>
        <v>8</v>
      </c>
      <c r="AZ24" s="272">
        <f t="shared" si="10"/>
        <v>0</v>
      </c>
      <c r="BA24" s="272">
        <f t="shared" si="10"/>
        <v>0</v>
      </c>
      <c r="BB24" s="118">
        <f t="shared" si="10"/>
        <v>16.5</v>
      </c>
      <c r="BC24" s="272">
        <f t="shared" si="10"/>
        <v>36</v>
      </c>
      <c r="BD24" s="272">
        <f>SUM(BD15:BD23)</f>
        <v>0</v>
      </c>
      <c r="BE24" s="272">
        <f>SUM(BE15:BE23)</f>
        <v>0</v>
      </c>
      <c r="BF24" s="278">
        <f t="shared" si="8"/>
        <v>31</v>
      </c>
      <c r="BG24" s="279">
        <f t="shared" si="8"/>
        <v>43</v>
      </c>
      <c r="BH24" s="279">
        <f t="shared" si="8"/>
        <v>7</v>
      </c>
      <c r="BI24" s="705">
        <f t="shared" si="8"/>
        <v>7.47</v>
      </c>
      <c r="BJ24" s="1056">
        <f>SUM(BJ15:BJ23)</f>
        <v>14.469999999999999</v>
      </c>
    </row>
    <row r="25" spans="3:62" s="119" customFormat="1" ht="9" customHeight="1" thickBot="1">
      <c r="C25" s="121"/>
      <c r="D25" s="121"/>
      <c r="E25" s="121"/>
      <c r="F25" s="121"/>
      <c r="H25" s="122"/>
      <c r="I25" s="122"/>
      <c r="J25" s="125"/>
      <c r="K25" s="126"/>
      <c r="L25" s="126"/>
      <c r="M25" s="126"/>
      <c r="N25" s="125"/>
      <c r="O25" s="126"/>
      <c r="P25" s="126"/>
      <c r="Q25" s="126"/>
      <c r="R25" s="125"/>
      <c r="S25" s="126"/>
      <c r="T25" s="126"/>
      <c r="U25" s="126"/>
      <c r="V25" s="125"/>
      <c r="W25" s="126"/>
      <c r="X25" s="126"/>
      <c r="Y25" s="126"/>
      <c r="Z25" s="125"/>
      <c r="AA25" s="126"/>
      <c r="AB25" s="126"/>
      <c r="AC25" s="126"/>
      <c r="AD25" s="125"/>
      <c r="AE25" s="126"/>
      <c r="AF25" s="126"/>
      <c r="AG25" s="126"/>
      <c r="AH25" s="125"/>
      <c r="AI25" s="126"/>
      <c r="AJ25" s="126"/>
      <c r="AK25" s="126"/>
      <c r="AL25" s="125"/>
      <c r="AM25" s="126"/>
      <c r="AN25" s="126"/>
      <c r="AO25" s="126"/>
      <c r="AP25" s="125"/>
      <c r="AQ25" s="126"/>
      <c r="AR25" s="126"/>
      <c r="AS25" s="126"/>
      <c r="AT25" s="125"/>
      <c r="AU25" s="126"/>
      <c r="AV25" s="126"/>
      <c r="AW25" s="126"/>
      <c r="AX25" s="125"/>
      <c r="AY25" s="126"/>
      <c r="AZ25" s="126"/>
      <c r="BA25" s="126"/>
      <c r="BB25" s="125"/>
      <c r="BC25" s="126"/>
      <c r="BD25" s="126"/>
      <c r="BE25" s="126"/>
      <c r="BF25" s="125"/>
      <c r="BG25" s="126"/>
    </row>
    <row r="26" spans="3:62" s="28" customFormat="1" ht="26.25" customHeight="1" thickBot="1">
      <c r="D26" s="29"/>
      <c r="E26" s="29"/>
      <c r="F26" s="29"/>
      <c r="H26" s="1893" t="s">
        <v>49</v>
      </c>
      <c r="I26" s="1894"/>
      <c r="J26" s="123">
        <f t="shared" ref="J26:BI26" si="11">J10+J24</f>
        <v>97</v>
      </c>
      <c r="K26" s="280">
        <f t="shared" si="11"/>
        <v>55.75</v>
      </c>
      <c r="L26" s="280">
        <f>L10+L24</f>
        <v>8.75</v>
      </c>
      <c r="M26" s="280">
        <f>M10+M24</f>
        <v>0</v>
      </c>
      <c r="N26" s="123">
        <f t="shared" ref="N26:O26" si="12">N10+N24</f>
        <v>18</v>
      </c>
      <c r="O26" s="280">
        <f t="shared" si="12"/>
        <v>6</v>
      </c>
      <c r="P26" s="280">
        <f>P10+P24</f>
        <v>6</v>
      </c>
      <c r="Q26" s="280">
        <f>Q10+Q24</f>
        <v>7</v>
      </c>
      <c r="R26" s="123">
        <f t="shared" ref="R26:S26" si="13">R10+R24</f>
        <v>8</v>
      </c>
      <c r="S26" s="280">
        <f t="shared" si="13"/>
        <v>0</v>
      </c>
      <c r="T26" s="280">
        <f>T10+T24</f>
        <v>0</v>
      </c>
      <c r="U26" s="280">
        <f>U10+U24</f>
        <v>0</v>
      </c>
      <c r="V26" s="123">
        <f t="shared" ref="V26:W26" si="14">V10+V24</f>
        <v>10</v>
      </c>
      <c r="W26" s="280">
        <f t="shared" si="14"/>
        <v>8</v>
      </c>
      <c r="X26" s="280">
        <f>X10+X24</f>
        <v>7</v>
      </c>
      <c r="Y26" s="280">
        <f>Y10+Y24</f>
        <v>7.47</v>
      </c>
      <c r="Z26" s="123">
        <f t="shared" ref="Z26:AA26" si="15">Z10+Z24</f>
        <v>3</v>
      </c>
      <c r="AA26" s="280">
        <f t="shared" si="15"/>
        <v>3</v>
      </c>
      <c r="AB26" s="280">
        <f>AB10+AB24</f>
        <v>3</v>
      </c>
      <c r="AC26" s="280">
        <f>AC10+AC24</f>
        <v>0</v>
      </c>
      <c r="AD26" s="123">
        <f t="shared" ref="AD26:AE26" si="16">AD10+AD24</f>
        <v>20</v>
      </c>
      <c r="AE26" s="280">
        <f t="shared" si="16"/>
        <v>49.35</v>
      </c>
      <c r="AF26" s="280">
        <f>AF10+AF24</f>
        <v>49.35</v>
      </c>
      <c r="AG26" s="280">
        <f>AG10+AG24</f>
        <v>0</v>
      </c>
      <c r="AH26" s="127">
        <f t="shared" ref="AH26:AI26" si="17">AH10+AH24</f>
        <v>156</v>
      </c>
      <c r="AI26" s="280">
        <f t="shared" si="17"/>
        <v>122.1</v>
      </c>
      <c r="AJ26" s="697">
        <f>AJ10+AJ24</f>
        <v>74.099999999999994</v>
      </c>
      <c r="AK26" s="696">
        <f>AK10+AK24</f>
        <v>14.469999999999999</v>
      </c>
      <c r="AL26" s="123">
        <f t="shared" ref="AL26:AM26" si="18">AL10+AL24</f>
        <v>36</v>
      </c>
      <c r="AM26" s="280">
        <f t="shared" si="18"/>
        <v>30</v>
      </c>
      <c r="AN26" s="280">
        <f>AN10+AN24</f>
        <v>2</v>
      </c>
      <c r="AO26" s="280">
        <f>AO10+AO24</f>
        <v>0</v>
      </c>
      <c r="AP26" s="123">
        <f t="shared" ref="AP26:AQ26" si="19">AP10+AP24</f>
        <v>10</v>
      </c>
      <c r="AQ26" s="280">
        <f t="shared" si="19"/>
        <v>10.4</v>
      </c>
      <c r="AR26" s="280">
        <f>AR10+AR24</f>
        <v>10.4</v>
      </c>
      <c r="AS26" s="280">
        <f>AS10+AS24</f>
        <v>0</v>
      </c>
      <c r="AT26" s="123">
        <f t="shared" ref="AT26:AU26" si="20">AT10+AT24</f>
        <v>29</v>
      </c>
      <c r="AU26" s="280">
        <f t="shared" si="20"/>
        <v>12.5</v>
      </c>
      <c r="AV26" s="280">
        <f>AV10+AV24</f>
        <v>10.5</v>
      </c>
      <c r="AW26" s="280">
        <f>AW10+AW24</f>
        <v>0</v>
      </c>
      <c r="AX26" s="123">
        <f t="shared" ref="AX26:AY26" si="21">AX10+AX24</f>
        <v>25</v>
      </c>
      <c r="AY26" s="280">
        <f t="shared" si="21"/>
        <v>20</v>
      </c>
      <c r="AZ26" s="280">
        <f>AZ10+AZ24</f>
        <v>12</v>
      </c>
      <c r="BA26" s="280">
        <f>BA10+BA24</f>
        <v>0</v>
      </c>
      <c r="BB26" s="127">
        <f t="shared" ref="BB26:BC26" si="22">BB10+BB24</f>
        <v>100</v>
      </c>
      <c r="BC26" s="280">
        <f t="shared" si="22"/>
        <v>72.900000000000006</v>
      </c>
      <c r="BD26" s="697">
        <f>BD10+BD24</f>
        <v>34.900000000000006</v>
      </c>
      <c r="BE26" s="697">
        <f>BE10+BE24</f>
        <v>0</v>
      </c>
      <c r="BF26" s="124">
        <f>BF10+BF24</f>
        <v>256</v>
      </c>
      <c r="BG26" s="707">
        <f t="shared" si="11"/>
        <v>195</v>
      </c>
      <c r="BH26" s="706">
        <f t="shared" si="11"/>
        <v>109</v>
      </c>
      <c r="BI26" s="284">
        <f t="shared" si="11"/>
        <v>14.469999999999999</v>
      </c>
      <c r="BJ26" s="1057">
        <f>BJ24+BJ10</f>
        <v>58.17</v>
      </c>
    </row>
    <row r="27" spans="3:62" ht="21" customHeight="1">
      <c r="H27" s="320"/>
      <c r="I27" s="320"/>
      <c r="J27" s="321"/>
      <c r="K27" s="321"/>
      <c r="L27" s="321"/>
      <c r="M27" s="321"/>
      <c r="N27" s="321"/>
      <c r="O27" s="321"/>
      <c r="P27" s="321"/>
      <c r="Q27" s="321"/>
      <c r="R27" s="321"/>
      <c r="S27" s="321"/>
      <c r="T27" s="321"/>
      <c r="U27" s="321"/>
      <c r="V27" s="321"/>
      <c r="W27" s="321"/>
      <c r="X27" s="323">
        <v>7.47</v>
      </c>
      <c r="Y27" s="323" t="s">
        <v>22</v>
      </c>
      <c r="Z27" s="321"/>
      <c r="AA27" s="321"/>
      <c r="AB27" s="323"/>
      <c r="AC27" s="323"/>
      <c r="AD27" s="321"/>
      <c r="AE27" s="321"/>
      <c r="AF27" s="321"/>
      <c r="AG27" s="321"/>
      <c r="AH27" s="321"/>
      <c r="AI27" s="321"/>
      <c r="AJ27" s="321"/>
      <c r="AK27" s="321"/>
      <c r="AL27" s="321"/>
      <c r="AM27" s="321"/>
      <c r="AN27" s="321"/>
      <c r="AO27" s="321"/>
      <c r="AP27" s="321"/>
      <c r="AQ27" s="321"/>
      <c r="AR27" s="321"/>
      <c r="AS27" s="321"/>
      <c r="AT27" s="321"/>
      <c r="AU27" s="321"/>
      <c r="AV27" s="321"/>
      <c r="AW27" s="321"/>
      <c r="AX27" s="321"/>
      <c r="AY27" s="321"/>
      <c r="AZ27" s="321"/>
      <c r="BA27" s="321"/>
      <c r="BB27" s="335"/>
      <c r="BC27" s="1918">
        <f>SUM(I27:AZ29)</f>
        <v>7.47</v>
      </c>
      <c r="BD27" s="335"/>
      <c r="BE27" s="335"/>
      <c r="BF27" s="335"/>
      <c r="BG27" s="335"/>
      <c r="BH27" s="1917">
        <f>BH26+BI26</f>
        <v>123.47</v>
      </c>
      <c r="BI27" s="1917"/>
    </row>
    <row r="28" spans="3:62" ht="21" customHeight="1">
      <c r="H28" s="320"/>
      <c r="I28" s="320"/>
      <c r="J28" s="322"/>
      <c r="K28" s="323"/>
      <c r="L28" s="323"/>
      <c r="M28" s="323"/>
      <c r="N28" s="322"/>
      <c r="O28" s="323"/>
      <c r="P28" s="323"/>
      <c r="Q28" s="323"/>
      <c r="R28" s="322"/>
      <c r="S28" s="323"/>
      <c r="T28" s="323"/>
      <c r="U28" s="323"/>
      <c r="V28" s="321"/>
      <c r="W28" s="323"/>
      <c r="X28" s="323"/>
      <c r="Y28" s="323"/>
      <c r="Z28" s="322"/>
      <c r="AA28" s="323"/>
      <c r="AB28" s="323"/>
      <c r="AC28" s="323"/>
      <c r="AD28" s="322"/>
      <c r="AE28" s="323"/>
      <c r="AF28" s="323"/>
      <c r="AG28" s="322"/>
      <c r="AH28" s="322"/>
      <c r="AI28" s="323"/>
      <c r="AJ28" s="323"/>
      <c r="AK28" s="323"/>
      <c r="AL28" s="321"/>
      <c r="AM28" s="323"/>
      <c r="AN28" s="622"/>
      <c r="AO28" s="622"/>
      <c r="AP28" s="321"/>
      <c r="AQ28" s="323"/>
      <c r="AR28" s="323"/>
      <c r="AS28" s="323"/>
      <c r="AT28" s="322"/>
      <c r="AU28" s="323"/>
      <c r="AV28" s="323"/>
      <c r="AW28" s="323"/>
      <c r="AX28" s="322"/>
      <c r="AY28" s="468"/>
      <c r="AZ28" s="468"/>
      <c r="BA28" s="468"/>
      <c r="BB28" s="392"/>
      <c r="BC28" s="1919"/>
      <c r="BD28" s="434"/>
      <c r="BE28" s="434"/>
      <c r="BF28" s="435"/>
      <c r="BG28" s="434"/>
      <c r="BH28" s="726"/>
      <c r="BI28" s="434"/>
    </row>
    <row r="29" spans="3:62" ht="23.25">
      <c r="H29" s="320"/>
      <c r="I29" s="320"/>
      <c r="J29" s="322"/>
      <c r="K29" s="323"/>
      <c r="L29" s="323"/>
      <c r="M29" s="323"/>
      <c r="N29" s="322"/>
      <c r="O29" s="323"/>
      <c r="P29" s="323"/>
      <c r="Q29" s="323"/>
      <c r="R29" s="322"/>
      <c r="S29" s="323"/>
      <c r="T29" s="323"/>
      <c r="U29" s="323"/>
      <c r="V29" s="322"/>
      <c r="W29" s="323"/>
      <c r="X29" s="323"/>
      <c r="Y29" s="323"/>
      <c r="Z29" s="322"/>
      <c r="AA29" s="323"/>
      <c r="AB29" s="323"/>
      <c r="AC29" s="323"/>
      <c r="AD29" s="322"/>
      <c r="AE29" s="323"/>
      <c r="AF29" s="688"/>
      <c r="AG29" s="688"/>
      <c r="AH29" s="322"/>
      <c r="AI29" s="322"/>
      <c r="AJ29" s="323"/>
      <c r="AK29" s="323"/>
      <c r="AL29" s="321"/>
      <c r="AM29" s="323"/>
      <c r="AN29" s="321"/>
      <c r="AO29" s="321"/>
      <c r="AP29" s="322"/>
      <c r="AQ29" s="323"/>
      <c r="AR29" s="323"/>
      <c r="AS29" s="323"/>
      <c r="AT29" s="322"/>
      <c r="AU29" s="323"/>
      <c r="AV29" s="323"/>
      <c r="AW29" s="323"/>
      <c r="AX29" s="322"/>
      <c r="AY29" s="468"/>
      <c r="AZ29" s="468"/>
      <c r="BA29" s="468"/>
      <c r="BB29" s="392"/>
      <c r="BC29" s="434"/>
      <c r="BD29" s="434"/>
      <c r="BE29" s="434"/>
      <c r="BF29" s="435"/>
      <c r="BG29" s="434"/>
      <c r="BH29" s="682"/>
      <c r="BI29" s="434"/>
    </row>
    <row r="30" spans="3:62" s="464" customFormat="1" ht="21.75" thickBot="1">
      <c r="D30" s="576"/>
      <c r="E30" s="576"/>
      <c r="F30" s="576"/>
      <c r="I30" s="577"/>
      <c r="J30" s="578"/>
      <c r="K30" s="579"/>
      <c r="L30" s="579"/>
      <c r="M30" s="579"/>
      <c r="N30" s="578"/>
      <c r="O30" s="579"/>
      <c r="P30" s="579"/>
      <c r="Q30" s="579"/>
      <c r="R30" s="578"/>
      <c r="S30" s="579"/>
      <c r="T30" s="579"/>
      <c r="U30" s="579"/>
      <c r="V30" s="578"/>
      <c r="W30" s="578"/>
      <c r="X30" s="579"/>
      <c r="Y30" s="579"/>
      <c r="Z30" s="579"/>
      <c r="AA30" s="578"/>
      <c r="AB30" s="579"/>
      <c r="AC30" s="579"/>
      <c r="AD30" s="579"/>
      <c r="AE30" s="578"/>
      <c r="AF30" s="579"/>
      <c r="AG30" s="579"/>
      <c r="AH30" s="621"/>
      <c r="AI30" s="578"/>
      <c r="AJ30" s="579"/>
      <c r="AK30" s="579"/>
      <c r="AM30" s="580"/>
      <c r="AN30" s="579"/>
      <c r="AO30" s="579"/>
      <c r="AP30" s="579"/>
      <c r="AQ30" s="578"/>
      <c r="AR30" s="579"/>
      <c r="AS30" s="579"/>
      <c r="AT30" s="579"/>
      <c r="AU30" s="578"/>
      <c r="AV30" s="579"/>
      <c r="AW30" s="579"/>
      <c r="AZ30" s="581"/>
      <c r="BA30" s="581"/>
      <c r="BB30" s="581"/>
      <c r="BC30" s="582"/>
      <c r="BD30" s="583"/>
      <c r="BE30" s="583"/>
      <c r="BF30" s="583"/>
      <c r="BG30" s="584"/>
      <c r="BH30" s="583"/>
      <c r="BI30" s="585"/>
    </row>
    <row r="31" spans="3:62" ht="35.25" customHeight="1" thickBot="1">
      <c r="L31" s="1929" t="s">
        <v>389</v>
      </c>
      <c r="M31" s="1930"/>
      <c r="N31" s="1930"/>
      <c r="O31" s="1930"/>
      <c r="P31" s="1930"/>
      <c r="Q31" s="1930"/>
      <c r="R31" s="1930"/>
      <c r="S31" s="1931"/>
      <c r="T31" s="579"/>
      <c r="U31" s="579"/>
      <c r="V31" s="1929" t="s">
        <v>204</v>
      </c>
      <c r="W31" s="1930"/>
      <c r="X31" s="1930"/>
      <c r="Y31" s="1930"/>
      <c r="Z31" s="1930"/>
      <c r="AA31" s="1930"/>
      <c r="AB31" s="1930"/>
      <c r="AC31" s="1935"/>
      <c r="AD31" s="1936"/>
      <c r="AE31" s="579"/>
      <c r="AF31" s="579"/>
      <c r="AG31" s="26"/>
      <c r="AH31" s="24"/>
      <c r="AJ31" s="685"/>
      <c r="AL31" s="24"/>
      <c r="AM31" s="580"/>
      <c r="AN31" s="579"/>
      <c r="AP31" s="24"/>
      <c r="AS31" s="26"/>
      <c r="AT31" s="24"/>
      <c r="AX31" s="24"/>
      <c r="AY31" s="25"/>
      <c r="AZ31" s="25"/>
      <c r="BA31" s="24"/>
      <c r="BB31" s="24"/>
      <c r="BE31" s="23"/>
      <c r="BF31" s="23"/>
      <c r="BG31" s="23"/>
    </row>
    <row r="32" spans="3:62" s="24" customFormat="1" ht="28.5" customHeight="1" thickBot="1">
      <c r="C32" s="23"/>
      <c r="D32" s="27"/>
      <c r="E32" s="27"/>
      <c r="F32" s="27"/>
      <c r="G32" s="23"/>
      <c r="H32" s="23"/>
      <c r="I32" s="27"/>
      <c r="L32" s="450" t="s">
        <v>0</v>
      </c>
      <c r="M32" s="439" t="s">
        <v>200</v>
      </c>
      <c r="N32" s="454" t="s">
        <v>205</v>
      </c>
      <c r="O32" s="439" t="s">
        <v>31</v>
      </c>
      <c r="P32" s="448" t="s">
        <v>201</v>
      </c>
      <c r="Q32" s="455" t="s">
        <v>206</v>
      </c>
      <c r="R32" s="436" t="s">
        <v>22</v>
      </c>
      <c r="S32" s="438" t="s">
        <v>191</v>
      </c>
      <c r="T32" s="579"/>
      <c r="U32" s="579"/>
      <c r="V32" s="571" t="s">
        <v>0</v>
      </c>
      <c r="W32" s="572" t="s">
        <v>200</v>
      </c>
      <c r="X32" s="623" t="s">
        <v>205</v>
      </c>
      <c r="Y32" s="572" t="s">
        <v>31</v>
      </c>
      <c r="Z32" s="573" t="s">
        <v>201</v>
      </c>
      <c r="AA32" s="574" t="s">
        <v>206</v>
      </c>
      <c r="AB32" s="717" t="s">
        <v>22</v>
      </c>
      <c r="AC32" s="721" t="s">
        <v>191</v>
      </c>
      <c r="AD32" s="722" t="s">
        <v>226</v>
      </c>
      <c r="AE32" s="579"/>
      <c r="AF32" s="579"/>
      <c r="AG32" s="599"/>
      <c r="AH32" s="599"/>
      <c r="AI32" s="599"/>
      <c r="AM32" s="580"/>
      <c r="AN32" s="599"/>
      <c r="AT32" s="25"/>
      <c r="AU32" s="25"/>
      <c r="AW32" s="23"/>
      <c r="AX32" s="23"/>
    </row>
    <row r="33" spans="1:59" ht="23.25">
      <c r="J33" s="26">
        <v>80</v>
      </c>
      <c r="L33" s="441" t="s">
        <v>189</v>
      </c>
      <c r="M33" s="470">
        <f>$J$6</f>
        <v>39</v>
      </c>
      <c r="N33" s="430">
        <f>$J9</f>
        <v>10</v>
      </c>
      <c r="O33" s="430">
        <f>$J7</f>
        <v>0</v>
      </c>
      <c r="P33" s="430">
        <f>$J8</f>
        <v>48</v>
      </c>
      <c r="Q33" s="430">
        <f>J15+J16+J17+J18+J19+J21+J22+J23</f>
        <v>0</v>
      </c>
      <c r="R33" s="430">
        <f>$J20</f>
        <v>0</v>
      </c>
      <c r="S33" s="446">
        <f t="shared" ref="S33:S42" si="23">SUM(M33:R33)</f>
        <v>97</v>
      </c>
      <c r="T33" s="579"/>
      <c r="U33" s="579"/>
      <c r="V33" s="447" t="s">
        <v>189</v>
      </c>
      <c r="W33" s="569">
        <f>L$6</f>
        <v>0</v>
      </c>
      <c r="X33" s="570">
        <f>$L9</f>
        <v>7.75</v>
      </c>
      <c r="Y33" s="570">
        <f>$L7</f>
        <v>0</v>
      </c>
      <c r="Z33" s="570">
        <f>$L8</f>
        <v>1</v>
      </c>
      <c r="AA33" s="570">
        <f>L$15+L$16+L$17+L$18+L$19+L$21+L$22+L$23</f>
        <v>0</v>
      </c>
      <c r="AB33" s="718">
        <f>$L20</f>
        <v>0</v>
      </c>
      <c r="AC33" s="723">
        <f t="shared" ref="AC33:AC42" si="24">SUM(W33:AB33)</f>
        <v>8.75</v>
      </c>
      <c r="AD33" s="587">
        <f>M6+M7+M8++M9+M15+M16+M17+M18+M19+M21+M20+M22+M23</f>
        <v>0</v>
      </c>
      <c r="AE33" s="579">
        <f>AC33+AD33</f>
        <v>8.75</v>
      </c>
      <c r="AF33" s="579"/>
      <c r="AG33" s="599"/>
      <c r="AH33" s="599"/>
      <c r="AL33" s="24"/>
      <c r="AM33" s="580"/>
      <c r="AN33" s="579"/>
      <c r="AP33" s="24"/>
      <c r="AT33" s="25"/>
      <c r="AU33" s="25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</row>
    <row r="34" spans="1:59" s="24" customFormat="1" ht="23.25">
      <c r="A34" s="23"/>
      <c r="B34" s="23"/>
      <c r="C34" s="23"/>
      <c r="D34" s="27"/>
      <c r="E34" s="27"/>
      <c r="F34" s="27"/>
      <c r="G34" s="23"/>
      <c r="H34" s="23"/>
      <c r="I34" s="27"/>
      <c r="J34" s="24">
        <v>18</v>
      </c>
      <c r="L34" s="441" t="s">
        <v>183</v>
      </c>
      <c r="M34" s="470">
        <f>$N$6</f>
        <v>18</v>
      </c>
      <c r="N34" s="430">
        <f>$N9</f>
        <v>0</v>
      </c>
      <c r="O34" s="430">
        <f>$N7</f>
        <v>0</v>
      </c>
      <c r="P34" s="430">
        <f>$N8</f>
        <v>0</v>
      </c>
      <c r="Q34" s="430">
        <f>N15+N16+N17+N18+N19+N21+N22+N23</f>
        <v>0</v>
      </c>
      <c r="R34" s="430">
        <f>$N20</f>
        <v>0</v>
      </c>
      <c r="S34" s="446">
        <f t="shared" si="23"/>
        <v>18</v>
      </c>
      <c r="T34" s="686"/>
      <c r="U34" s="26"/>
      <c r="V34" s="441" t="s">
        <v>183</v>
      </c>
      <c r="W34" s="440">
        <f>P$6</f>
        <v>6</v>
      </c>
      <c r="X34" s="430">
        <f>$P9</f>
        <v>0</v>
      </c>
      <c r="Y34" s="430">
        <f>$P7</f>
        <v>0</v>
      </c>
      <c r="Z34" s="430">
        <f>$P8</f>
        <v>0</v>
      </c>
      <c r="AA34" s="430">
        <f>P$15+P$16+P$17+P$18+P$19+P$21+P$22+P$23</f>
        <v>0</v>
      </c>
      <c r="AB34" s="719">
        <f>$P20</f>
        <v>0</v>
      </c>
      <c r="AC34" s="723">
        <f t="shared" si="24"/>
        <v>6</v>
      </c>
      <c r="AD34" s="587">
        <f>Q6+Q7+Q8+Q9+Q15+Q16+Q17+Q18+Q19+Q20+Q21+Q22+Q23</f>
        <v>7</v>
      </c>
      <c r="AE34" s="579">
        <f t="shared" ref="AE34:AE43" si="25">AC34+AD34</f>
        <v>13</v>
      </c>
      <c r="AG34" s="599"/>
      <c r="AH34" s="599"/>
      <c r="AI34" s="599"/>
      <c r="AN34" s="26"/>
      <c r="AT34" s="25"/>
      <c r="AU34" s="25"/>
    </row>
    <row r="35" spans="1:59" ht="23.25">
      <c r="L35" s="441" t="s">
        <v>184</v>
      </c>
      <c r="M35" s="470">
        <f>$R$6</f>
        <v>0</v>
      </c>
      <c r="N35" s="430">
        <f>$R9</f>
        <v>0</v>
      </c>
      <c r="O35" s="430">
        <f>$R7</f>
        <v>0</v>
      </c>
      <c r="P35" s="430">
        <f>$R8</f>
        <v>0</v>
      </c>
      <c r="Q35" s="430">
        <f>R15+R16+R17+R18+R19+R21+R22+R23</f>
        <v>0</v>
      </c>
      <c r="R35" s="430">
        <f>$R20</f>
        <v>8</v>
      </c>
      <c r="S35" s="446">
        <f t="shared" si="23"/>
        <v>8</v>
      </c>
      <c r="T35" s="686"/>
      <c r="U35" s="26"/>
      <c r="V35" s="441" t="s">
        <v>184</v>
      </c>
      <c r="W35" s="440">
        <f>T$6</f>
        <v>0</v>
      </c>
      <c r="X35" s="430">
        <f>$T9</f>
        <v>0</v>
      </c>
      <c r="Y35" s="430">
        <f>$T7</f>
        <v>0</v>
      </c>
      <c r="Z35" s="430">
        <f>$T8</f>
        <v>0</v>
      </c>
      <c r="AA35" s="430">
        <f>T$15+T$16+T$17+T$18+T$19+T$21+T$22+T$23</f>
        <v>0</v>
      </c>
      <c r="AB35" s="719">
        <f>$T20</f>
        <v>0</v>
      </c>
      <c r="AC35" s="723">
        <f t="shared" si="24"/>
        <v>0</v>
      </c>
      <c r="AD35" s="587">
        <f>U6+U7+U8+U9+U15+U16+U17+U18+U19+U20+U21+U22+U23</f>
        <v>0</v>
      </c>
      <c r="AE35" s="579">
        <f t="shared" si="25"/>
        <v>0</v>
      </c>
      <c r="AF35" s="26"/>
      <c r="AG35" s="599"/>
      <c r="AH35" s="599"/>
      <c r="AI35" s="599"/>
      <c r="AL35" s="24"/>
      <c r="AN35" s="26"/>
      <c r="AP35" s="24"/>
      <c r="AT35" s="25"/>
      <c r="AU35" s="25"/>
      <c r="AX35" s="23"/>
      <c r="AY35" s="23"/>
      <c r="AZ35" s="23"/>
      <c r="BA35" s="23"/>
      <c r="BB35" s="23"/>
      <c r="BC35" s="23"/>
      <c r="BD35" s="23"/>
      <c r="BE35" s="23"/>
      <c r="BF35" s="23"/>
      <c r="BG35" s="23"/>
    </row>
    <row r="36" spans="1:59" ht="23.25">
      <c r="L36" s="441" t="s">
        <v>192</v>
      </c>
      <c r="M36" s="470">
        <f>$V$6</f>
        <v>0</v>
      </c>
      <c r="N36" s="430">
        <f>$V9</f>
        <v>3.5</v>
      </c>
      <c r="O36" s="430">
        <f>$V7</f>
        <v>0</v>
      </c>
      <c r="P36" s="430">
        <f>$V8</f>
        <v>0</v>
      </c>
      <c r="Q36" s="430">
        <f>V15+V16+V17+V18+V19+V21++V22+V23</f>
        <v>0</v>
      </c>
      <c r="R36" s="430">
        <f>$V20</f>
        <v>6.5</v>
      </c>
      <c r="S36" s="446">
        <f t="shared" si="23"/>
        <v>10</v>
      </c>
      <c r="T36" s="686"/>
      <c r="U36" s="26"/>
      <c r="V36" s="441" t="s">
        <v>192</v>
      </c>
      <c r="W36" s="440">
        <f>X$6</f>
        <v>0</v>
      </c>
      <c r="X36" s="430">
        <f>$X9</f>
        <v>0</v>
      </c>
      <c r="Y36" s="430">
        <f>$X7</f>
        <v>0</v>
      </c>
      <c r="Z36" s="430">
        <f>$X8</f>
        <v>0</v>
      </c>
      <c r="AA36" s="430">
        <f>X$15+X$16+X$17+X$18+X$19+X$21+X$22+X$23</f>
        <v>0</v>
      </c>
      <c r="AB36" s="719">
        <f>$X20</f>
        <v>7</v>
      </c>
      <c r="AC36" s="723">
        <f t="shared" si="24"/>
        <v>7</v>
      </c>
      <c r="AD36" s="587">
        <f>Y6+Y7+Y8+Y9+Y15+Y16+Y17+Y18+Y19+Y20+Y21+Y22+Y23</f>
        <v>7.47</v>
      </c>
      <c r="AE36" s="579">
        <f t="shared" si="25"/>
        <v>14.469999999999999</v>
      </c>
      <c r="AF36" s="26"/>
      <c r="AG36" s="599"/>
      <c r="AH36" s="599"/>
      <c r="AI36" s="599"/>
      <c r="AL36" s="24"/>
      <c r="AN36" s="26"/>
      <c r="AP36" s="24"/>
      <c r="AT36" s="25"/>
      <c r="AU36" s="25"/>
      <c r="AX36" s="23"/>
      <c r="AY36" s="23"/>
      <c r="AZ36" s="23"/>
      <c r="BA36" s="23"/>
      <c r="BB36" s="23"/>
      <c r="BC36" s="23"/>
      <c r="BD36" s="23"/>
      <c r="BE36" s="23"/>
      <c r="BF36" s="23"/>
      <c r="BG36" s="23"/>
    </row>
    <row r="37" spans="1:59" ht="23.25">
      <c r="L37" s="441" t="s">
        <v>171</v>
      </c>
      <c r="M37" s="470">
        <f>$Z$6</f>
        <v>0</v>
      </c>
      <c r="N37" s="430">
        <f>$Z9</f>
        <v>3</v>
      </c>
      <c r="O37" s="430">
        <f>$Z7</f>
        <v>0</v>
      </c>
      <c r="P37" s="430">
        <f>$Z8</f>
        <v>0</v>
      </c>
      <c r="Q37" s="430">
        <f>Z15+Z16+Z17+Z18+Z19+Z21+Z22+Z23</f>
        <v>0</v>
      </c>
      <c r="R37" s="430">
        <f>$Z20</f>
        <v>0</v>
      </c>
      <c r="S37" s="446">
        <f t="shared" si="23"/>
        <v>3</v>
      </c>
      <c r="T37" s="686"/>
      <c r="U37" s="26"/>
      <c r="V37" s="441" t="s">
        <v>171</v>
      </c>
      <c r="W37" s="440">
        <f>AB$6</f>
        <v>3</v>
      </c>
      <c r="X37" s="430">
        <f>$AB9</f>
        <v>0</v>
      </c>
      <c r="Y37" s="430">
        <f>$AB7</f>
        <v>0</v>
      </c>
      <c r="Z37" s="430">
        <f>$AB8</f>
        <v>0</v>
      </c>
      <c r="AA37" s="430">
        <f>AB$15+AB$16+AB$17+AB$18+AB$19+AB$21+AB$22+AB$23</f>
        <v>0</v>
      </c>
      <c r="AB37" s="719">
        <f>$AB20</f>
        <v>0</v>
      </c>
      <c r="AC37" s="723">
        <f t="shared" si="24"/>
        <v>3</v>
      </c>
      <c r="AD37" s="587">
        <f>AC6+AC7+AC8+AC9+AC15+AC17+AC16+AC18+AC19+AC20+AC21+AC22+AC23</f>
        <v>0</v>
      </c>
      <c r="AE37" s="579">
        <f t="shared" si="25"/>
        <v>3</v>
      </c>
      <c r="AF37" s="26"/>
      <c r="AG37" s="26"/>
      <c r="AI37" s="26"/>
      <c r="AJ37" s="26"/>
      <c r="AK37" s="26"/>
      <c r="AL37" s="24"/>
      <c r="AN37" s="26"/>
      <c r="AP37" s="24"/>
      <c r="AT37" s="24"/>
      <c r="AX37" s="23"/>
      <c r="AY37" s="23"/>
      <c r="AZ37" s="23"/>
      <c r="BA37" s="23"/>
      <c r="BB37" s="23"/>
      <c r="BC37" s="23"/>
      <c r="BD37" s="23"/>
      <c r="BE37" s="23"/>
      <c r="BF37" s="23"/>
      <c r="BG37" s="23"/>
    </row>
    <row r="38" spans="1:59" ht="23.25">
      <c r="L38" s="441" t="s">
        <v>190</v>
      </c>
      <c r="M38" s="492">
        <f>$AD$6</f>
        <v>20</v>
      </c>
      <c r="N38" s="471">
        <f>$AD9</f>
        <v>0</v>
      </c>
      <c r="O38" s="471">
        <f>$AD7</f>
        <v>0</v>
      </c>
      <c r="P38" s="471">
        <f>$AD8</f>
        <v>0</v>
      </c>
      <c r="Q38" s="430">
        <f>AD15+AD16+AD17+AD18+AD19+AD21+AD22+AD23</f>
        <v>0</v>
      </c>
      <c r="R38" s="471">
        <f>$AD20</f>
        <v>0</v>
      </c>
      <c r="S38" s="446">
        <f t="shared" si="23"/>
        <v>20</v>
      </c>
      <c r="T38" s="686"/>
      <c r="U38" s="26"/>
      <c r="V38" s="441" t="s">
        <v>190</v>
      </c>
      <c r="W38" s="440">
        <f>AF$6</f>
        <v>0</v>
      </c>
      <c r="X38" s="430">
        <f>$AF9</f>
        <v>1.35</v>
      </c>
      <c r="Y38" s="430">
        <f>$AF7</f>
        <v>0</v>
      </c>
      <c r="Z38" s="430">
        <f>$AF8</f>
        <v>48</v>
      </c>
      <c r="AA38" s="430">
        <f>AF$15+AF$16+AF$17+AF$18+AF$19+AF$21+AF$22+AF$23</f>
        <v>0</v>
      </c>
      <c r="AB38" s="719">
        <f>$AF20</f>
        <v>0</v>
      </c>
      <c r="AC38" s="723">
        <f t="shared" si="24"/>
        <v>49.35</v>
      </c>
      <c r="AD38" s="587">
        <f>AG6+AG7+AG8+AG9+AG15+AG16+AG17+AG18+AG19+AG20+AG21+AG22+AG23</f>
        <v>0</v>
      </c>
      <c r="AE38" s="579">
        <f t="shared" si="25"/>
        <v>49.35</v>
      </c>
      <c r="AF38" s="26"/>
      <c r="AG38" s="26"/>
      <c r="AI38" s="26"/>
      <c r="AJ38" s="26"/>
      <c r="AK38" s="26"/>
      <c r="AL38" s="24"/>
      <c r="AN38" s="26"/>
      <c r="AP38" s="24"/>
      <c r="AT38" s="24"/>
      <c r="AX38" s="23"/>
      <c r="AY38" s="23"/>
      <c r="AZ38" s="23"/>
      <c r="BA38" s="23"/>
      <c r="BB38" s="23"/>
      <c r="BC38" s="23"/>
      <c r="BD38" s="23"/>
      <c r="BE38" s="23"/>
      <c r="BF38" s="23"/>
      <c r="BG38" s="23"/>
    </row>
    <row r="39" spans="1:59" ht="23.25">
      <c r="L39" s="441" t="s">
        <v>185</v>
      </c>
      <c r="M39" s="470">
        <f>$AL$6</f>
        <v>36</v>
      </c>
      <c r="N39" s="430">
        <f>$AL9</f>
        <v>0</v>
      </c>
      <c r="O39" s="430">
        <f>$AL7</f>
        <v>0</v>
      </c>
      <c r="P39" s="430">
        <f>$AL8</f>
        <v>0</v>
      </c>
      <c r="Q39" s="430">
        <f>AL15+AL16+AL17+AL18+AL19+AL21+AL22+AL23</f>
        <v>0</v>
      </c>
      <c r="R39" s="430">
        <f>$AL20</f>
        <v>0</v>
      </c>
      <c r="S39" s="446">
        <f t="shared" si="23"/>
        <v>36</v>
      </c>
      <c r="T39" s="686"/>
      <c r="U39" s="26"/>
      <c r="V39" s="441" t="s">
        <v>185</v>
      </c>
      <c r="W39" s="469">
        <f>AN$6</f>
        <v>2</v>
      </c>
      <c r="X39" s="430">
        <f>$AN9</f>
        <v>0</v>
      </c>
      <c r="Y39" s="430">
        <f>$AN7</f>
        <v>0</v>
      </c>
      <c r="Z39" s="430">
        <f>$AN8</f>
        <v>0</v>
      </c>
      <c r="AA39" s="430">
        <f>AN$15+AN$16+AN$17+AN$18+AN$19+AN$21+AN$22+AN$23</f>
        <v>0</v>
      </c>
      <c r="AB39" s="719">
        <f>$AN20</f>
        <v>0</v>
      </c>
      <c r="AC39" s="723">
        <f t="shared" si="24"/>
        <v>2</v>
      </c>
      <c r="AD39" s="587">
        <f>AO6+AO7+AO8+AO9+AO15+AO16+AO17+AO18+AO19+AO20+AO21+AO22+AO23</f>
        <v>0</v>
      </c>
      <c r="AE39" s="579">
        <f t="shared" si="25"/>
        <v>2</v>
      </c>
      <c r="AF39" s="23"/>
      <c r="AG39" s="26"/>
      <c r="AI39" s="26"/>
      <c r="AJ39" s="26"/>
      <c r="AK39" s="26"/>
      <c r="AL39" s="24"/>
      <c r="AN39" s="26"/>
      <c r="AP39" s="24"/>
      <c r="AT39" s="24"/>
      <c r="AX39" s="23"/>
      <c r="AY39" s="23"/>
      <c r="AZ39" s="23"/>
      <c r="BA39" s="23"/>
      <c r="BB39" s="23"/>
      <c r="BC39" s="23"/>
      <c r="BD39" s="23"/>
      <c r="BE39" s="23"/>
      <c r="BF39" s="23"/>
      <c r="BG39" s="23"/>
    </row>
    <row r="40" spans="1:59" ht="23.25">
      <c r="L40" s="441" t="s">
        <v>202</v>
      </c>
      <c r="M40" s="470">
        <f>$AP$6</f>
        <v>3.5</v>
      </c>
      <c r="N40" s="430">
        <f>$AP9</f>
        <v>0</v>
      </c>
      <c r="O40" s="430">
        <f>$AP7</f>
        <v>0</v>
      </c>
      <c r="P40" s="430">
        <f>$AP8</f>
        <v>0</v>
      </c>
      <c r="Q40" s="430">
        <f>AP15+AP16+AP17+AP18+AP19+AP21+AP22+AP23</f>
        <v>6.5</v>
      </c>
      <c r="R40" s="430">
        <f>$AP20</f>
        <v>0</v>
      </c>
      <c r="S40" s="446">
        <f t="shared" si="23"/>
        <v>10</v>
      </c>
      <c r="T40" s="686"/>
      <c r="U40" s="26"/>
      <c r="V40" s="441" t="s">
        <v>202</v>
      </c>
      <c r="W40" s="440">
        <f>AR$6</f>
        <v>7.7</v>
      </c>
      <c r="X40" s="430">
        <f>$AR9</f>
        <v>2.7</v>
      </c>
      <c r="Y40" s="430">
        <f>$AR7</f>
        <v>0</v>
      </c>
      <c r="Z40" s="430">
        <f>$AR8</f>
        <v>0</v>
      </c>
      <c r="AA40" s="430">
        <f>AR$15+AR$16+AR$17+AR$18+AR$19+AR$21+AR$22+AR$23</f>
        <v>0</v>
      </c>
      <c r="AB40" s="719">
        <f>$AR20</f>
        <v>0</v>
      </c>
      <c r="AC40" s="723">
        <f t="shared" si="24"/>
        <v>10.4</v>
      </c>
      <c r="AD40" s="587">
        <f>AS6+AS7+AS8+AS9+AS15+AS16+AS17+AS18+AS19+AS20+AS21+AS22+AS23</f>
        <v>0</v>
      </c>
      <c r="AE40" s="579">
        <f t="shared" si="25"/>
        <v>10.4</v>
      </c>
      <c r="AF40" s="28"/>
      <c r="AG40" s="26"/>
      <c r="AI40" s="26"/>
      <c r="AJ40" s="26"/>
      <c r="AK40" s="26"/>
      <c r="AL40" s="24"/>
      <c r="AN40" s="26"/>
      <c r="AP40" s="24"/>
      <c r="AS40" s="23"/>
      <c r="AT40" s="24"/>
      <c r="AX40" s="23"/>
      <c r="AY40" s="23"/>
      <c r="AZ40" s="23"/>
      <c r="BA40" s="23"/>
      <c r="BB40" s="23"/>
      <c r="BC40" s="23"/>
      <c r="BD40" s="23"/>
      <c r="BE40" s="23"/>
      <c r="BF40" s="23"/>
      <c r="BG40" s="23"/>
    </row>
    <row r="41" spans="1:59" ht="23.25">
      <c r="L41" s="441" t="s">
        <v>186</v>
      </c>
      <c r="M41" s="470">
        <f>$AT$6</f>
        <v>15</v>
      </c>
      <c r="N41" s="430">
        <f>$AT9</f>
        <v>0</v>
      </c>
      <c r="O41" s="430">
        <f>$AT7</f>
        <v>0</v>
      </c>
      <c r="P41" s="430">
        <f>$AT8</f>
        <v>4</v>
      </c>
      <c r="Q41" s="430">
        <f>AT15+AT16+AT17+AT18+AT19+AT21+AT22+AT23</f>
        <v>10</v>
      </c>
      <c r="R41" s="430">
        <f>$AT20</f>
        <v>0</v>
      </c>
      <c r="S41" s="446">
        <f t="shared" si="23"/>
        <v>29</v>
      </c>
      <c r="T41" s="686"/>
      <c r="U41" s="26"/>
      <c r="V41" s="441" t="s">
        <v>186</v>
      </c>
      <c r="W41" s="440">
        <f>AV$6</f>
        <v>8</v>
      </c>
      <c r="X41" s="430">
        <f>$AV9</f>
        <v>0</v>
      </c>
      <c r="Y41" s="430">
        <f>$AV7</f>
        <v>0</v>
      </c>
      <c r="Z41" s="430">
        <f>$AV8</f>
        <v>2.5</v>
      </c>
      <c r="AA41" s="430">
        <f>AV$15+AV$16+AV$17+AV$18+AV$19+AV$21+AV$22+AV$23</f>
        <v>0</v>
      </c>
      <c r="AB41" s="719">
        <f>$AV20</f>
        <v>0</v>
      </c>
      <c r="AC41" s="723">
        <f t="shared" si="24"/>
        <v>10.5</v>
      </c>
      <c r="AD41" s="587">
        <f>AW6+AW7+AW8+AW9+AW15+AW16+AW17+AW18+AW20+AW19+AW21+AW22+AW23</f>
        <v>0</v>
      </c>
      <c r="AE41" s="579">
        <f t="shared" si="25"/>
        <v>10.5</v>
      </c>
      <c r="AH41" s="24"/>
      <c r="AJ41" s="25"/>
      <c r="AL41" s="24"/>
      <c r="AN41" s="25"/>
      <c r="AP41" s="24"/>
      <c r="AR41" s="25"/>
      <c r="AT41" s="24"/>
      <c r="AX41" s="23"/>
      <c r="AY41" s="23"/>
      <c r="AZ41" s="23"/>
      <c r="BA41" s="23"/>
      <c r="BB41" s="23"/>
      <c r="BC41" s="23"/>
      <c r="BD41" s="23"/>
      <c r="BE41" s="23"/>
      <c r="BF41" s="23"/>
      <c r="BG41" s="23"/>
    </row>
    <row r="42" spans="1:59" ht="23.25">
      <c r="L42" s="441" t="s">
        <v>203</v>
      </c>
      <c r="M42" s="470">
        <f>$AX$6</f>
        <v>15</v>
      </c>
      <c r="N42" s="430">
        <f>$AX9</f>
        <v>0</v>
      </c>
      <c r="O42" s="430">
        <f>$AX7</f>
        <v>0</v>
      </c>
      <c r="P42" s="430">
        <f>$AX8</f>
        <v>10</v>
      </c>
      <c r="Q42" s="430">
        <f>AX15+AX16+AX17+AX18+AX19+AX21+AX22+AX23</f>
        <v>0</v>
      </c>
      <c r="R42" s="430">
        <f>$AX20</f>
        <v>0</v>
      </c>
      <c r="S42" s="446">
        <f t="shared" si="23"/>
        <v>25</v>
      </c>
      <c r="T42" s="686"/>
      <c r="U42" s="26"/>
      <c r="V42" s="441" t="s">
        <v>203</v>
      </c>
      <c r="W42" s="440">
        <f>AZ$6</f>
        <v>10</v>
      </c>
      <c r="X42" s="430">
        <f>$AZ9</f>
        <v>0</v>
      </c>
      <c r="Y42" s="430">
        <f>$AZ7</f>
        <v>0</v>
      </c>
      <c r="Z42" s="430">
        <f>$AZ8</f>
        <v>2</v>
      </c>
      <c r="AA42" s="430">
        <f>AZ$15+AZ$16+AZ$17+AZ$18+AZ$19+AZ$21+AZ$22+AZ$23</f>
        <v>0</v>
      </c>
      <c r="AB42" s="719">
        <f>$AZ20</f>
        <v>0</v>
      </c>
      <c r="AC42" s="723">
        <f t="shared" si="24"/>
        <v>12</v>
      </c>
      <c r="AD42" s="587">
        <f>BA6+BA7+BA8+BA9+BA15+BA16+BA17+BA18+BA19+BA20+BA21+BA22+BA23</f>
        <v>0</v>
      </c>
      <c r="AE42" s="579">
        <f t="shared" si="25"/>
        <v>12</v>
      </c>
      <c r="AH42" s="24"/>
      <c r="AJ42" s="25"/>
      <c r="AL42" s="24"/>
      <c r="AN42" s="25"/>
      <c r="AP42" s="24"/>
      <c r="AR42" s="25"/>
      <c r="AT42" s="24"/>
      <c r="AV42" s="25"/>
      <c r="AX42" s="23"/>
      <c r="AY42" s="23"/>
      <c r="AZ42" s="23"/>
      <c r="BA42" s="23"/>
      <c r="BB42" s="23"/>
      <c r="BC42" s="23"/>
      <c r="BD42" s="23"/>
      <c r="BE42" s="23"/>
      <c r="BF42" s="23"/>
      <c r="BG42" s="23"/>
    </row>
    <row r="43" spans="1:59" ht="24" thickBot="1">
      <c r="L43" s="442" t="s">
        <v>191</v>
      </c>
      <c r="M43" s="443">
        <f t="shared" ref="M43" si="26">SUM(M33:M42)</f>
        <v>146.5</v>
      </c>
      <c r="N43" s="444">
        <f>SUM(N33:N42)</f>
        <v>16.5</v>
      </c>
      <c r="O43" s="443">
        <f t="shared" ref="O43" si="27">SUM(O33:O42)</f>
        <v>0</v>
      </c>
      <c r="P43" s="444">
        <f>SUM(P33:P42)</f>
        <v>62</v>
      </c>
      <c r="Q43" s="444">
        <f>SUM(Q33:Q42)</f>
        <v>16.5</v>
      </c>
      <c r="R43" s="445">
        <f>SUM(R33:R42)</f>
        <v>14.5</v>
      </c>
      <c r="S43" s="451">
        <f>SUM(S33:S42)</f>
        <v>256</v>
      </c>
      <c r="T43" s="687"/>
      <c r="U43" s="26"/>
      <c r="V43" s="442" t="s">
        <v>191</v>
      </c>
      <c r="W43" s="443">
        <f t="shared" ref="W43:Y43" si="28">SUM(W33:W42)</f>
        <v>36.700000000000003</v>
      </c>
      <c r="X43" s="444">
        <f>SUM(X33:X42)</f>
        <v>11.8</v>
      </c>
      <c r="Y43" s="443">
        <f t="shared" si="28"/>
        <v>0</v>
      </c>
      <c r="Z43" s="444">
        <f>SUM(Z33:Z42)</f>
        <v>53.5</v>
      </c>
      <c r="AA43" s="444">
        <f>SUM(AA33:AA42)</f>
        <v>0</v>
      </c>
      <c r="AB43" s="720">
        <f>SUM(AB33:AB42)</f>
        <v>7</v>
      </c>
      <c r="AC43" s="724">
        <f>SUM(AC33:AC42)</f>
        <v>109</v>
      </c>
      <c r="AD43" s="725">
        <f>SUM(AD33:AD42)</f>
        <v>14.469999999999999</v>
      </c>
      <c r="AE43" s="579">
        <f t="shared" si="25"/>
        <v>123.47</v>
      </c>
      <c r="AH43" s="24"/>
      <c r="AJ43" s="25"/>
      <c r="AL43" s="24"/>
      <c r="AN43" s="25"/>
      <c r="AP43" s="24"/>
      <c r="AR43" s="25"/>
      <c r="AT43" s="24"/>
      <c r="AV43" s="25"/>
      <c r="AX43" s="23"/>
      <c r="AY43" s="23"/>
      <c r="AZ43" s="23"/>
      <c r="BA43" s="23"/>
      <c r="BB43" s="23"/>
      <c r="BC43" s="23"/>
      <c r="BD43" s="23"/>
      <c r="BE43" s="23"/>
      <c r="BF43" s="23"/>
      <c r="BG43" s="23"/>
    </row>
    <row r="44" spans="1:59" ht="15" customHeight="1" thickBot="1">
      <c r="L44" s="26"/>
      <c r="M44" s="26"/>
      <c r="N44" s="24"/>
      <c r="P44" s="26"/>
      <c r="Q44" s="26"/>
      <c r="R44" s="24"/>
      <c r="T44" s="26"/>
      <c r="U44" s="26"/>
      <c r="V44" s="24"/>
      <c r="Z44" s="24"/>
      <c r="AD44" s="24"/>
      <c r="AE44" s="26"/>
      <c r="AF44" s="466"/>
      <c r="AG44" s="466"/>
      <c r="AH44" s="466"/>
      <c r="AI44" s="467"/>
      <c r="AL44" s="24"/>
      <c r="AM44" s="25"/>
      <c r="AP44" s="24"/>
      <c r="AQ44" s="25"/>
      <c r="AT44" s="24"/>
      <c r="AU44" s="25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</row>
    <row r="45" spans="1:59" ht="39" customHeight="1" thickBot="1">
      <c r="L45" s="1929" t="str">
        <f>L31</f>
        <v>Mode wise Collection Plan-12-01-2022</v>
      </c>
      <c r="M45" s="1930"/>
      <c r="N45" s="1930"/>
      <c r="O45" s="1930"/>
      <c r="P45" s="1930"/>
      <c r="Q45" s="1930"/>
      <c r="R45" s="1930"/>
      <c r="S45" s="1930"/>
      <c r="T45" s="1931"/>
      <c r="U45" s="26"/>
      <c r="V45" s="1923" t="s">
        <v>305</v>
      </c>
      <c r="W45" s="1937"/>
      <c r="X45" s="1937"/>
      <c r="Y45" s="1937"/>
      <c r="Z45" s="1937"/>
      <c r="AA45" s="1937"/>
      <c r="AB45" s="1937"/>
      <c r="AC45" s="1937"/>
      <c r="AD45" s="1937"/>
      <c r="AE45" s="1938"/>
      <c r="AF45" s="466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</row>
    <row r="46" spans="1:59" s="28" customFormat="1" ht="31.5">
      <c r="D46" s="29"/>
      <c r="E46" s="29"/>
      <c r="F46" s="29"/>
      <c r="I46" s="29"/>
      <c r="J46" s="1011" t="s">
        <v>270</v>
      </c>
      <c r="K46" s="1011" t="s">
        <v>196</v>
      </c>
      <c r="L46" s="450" t="s">
        <v>0</v>
      </c>
      <c r="M46" s="439" t="s">
        <v>200</v>
      </c>
      <c r="N46" s="454" t="s">
        <v>205</v>
      </c>
      <c r="O46" s="439" t="s">
        <v>31</v>
      </c>
      <c r="P46" s="448" t="s">
        <v>201</v>
      </c>
      <c r="Q46" s="455" t="s">
        <v>206</v>
      </c>
      <c r="R46" s="436" t="s">
        <v>22</v>
      </c>
      <c r="S46" s="438" t="s">
        <v>191</v>
      </c>
      <c r="T46" s="438" t="s">
        <v>244</v>
      </c>
      <c r="U46" s="26"/>
      <c r="V46" s="596" t="s">
        <v>0</v>
      </c>
      <c r="W46" s="436" t="s">
        <v>200</v>
      </c>
      <c r="X46" s="454" t="s">
        <v>205</v>
      </c>
      <c r="Y46" s="436" t="s">
        <v>31</v>
      </c>
      <c r="Z46" s="448" t="s">
        <v>201</v>
      </c>
      <c r="AA46" s="453" t="s">
        <v>206</v>
      </c>
      <c r="AB46" s="453" t="s">
        <v>210</v>
      </c>
      <c r="AC46" s="436" t="s">
        <v>22</v>
      </c>
      <c r="AD46" s="437" t="s">
        <v>191</v>
      </c>
      <c r="AE46" s="438" t="s">
        <v>244</v>
      </c>
      <c r="AF46" s="952" t="s">
        <v>32</v>
      </c>
      <c r="AG46" s="1051" t="s">
        <v>25</v>
      </c>
      <c r="AH46" s="1051" t="s">
        <v>23</v>
      </c>
      <c r="AI46" s="1051" t="s">
        <v>271</v>
      </c>
      <c r="AJ46" s="23"/>
      <c r="AK46" s="23"/>
      <c r="AL46" s="23"/>
      <c r="AM46" s="23"/>
      <c r="AN46" s="23"/>
      <c r="AO46" s="23"/>
      <c r="AP46" s="23"/>
      <c r="AQ46" s="23"/>
      <c r="AR46" s="23"/>
    </row>
    <row r="47" spans="1:59" ht="23.25">
      <c r="J47" s="441">
        <v>19.899999999999999</v>
      </c>
      <c r="K47" s="441"/>
      <c r="L47" s="441" t="s">
        <v>189</v>
      </c>
      <c r="M47" s="470">
        <v>39</v>
      </c>
      <c r="N47" s="430">
        <v>10</v>
      </c>
      <c r="O47" s="430">
        <v>0</v>
      </c>
      <c r="P47" s="430">
        <v>48</v>
      </c>
      <c r="Q47" s="430">
        <v>0</v>
      </c>
      <c r="R47" s="430">
        <v>0</v>
      </c>
      <c r="S47" s="446">
        <f t="shared" ref="S47:S56" si="29">SUM(M47:R47)</f>
        <v>97</v>
      </c>
      <c r="T47" s="446"/>
      <c r="U47" s="26"/>
      <c r="V47" s="586" t="s">
        <v>189</v>
      </c>
      <c r="W47" s="430">
        <v>10</v>
      </c>
      <c r="X47" s="430">
        <v>0.5</v>
      </c>
      <c r="Y47" s="430">
        <v>0</v>
      </c>
      <c r="Z47" s="430">
        <v>1</v>
      </c>
      <c r="AA47" s="430">
        <v>0</v>
      </c>
      <c r="AB47" s="655">
        <v>0</v>
      </c>
      <c r="AC47" s="430"/>
      <c r="AD47" s="568">
        <f t="shared" ref="AD47:AD56" si="30">SUM(W47:AC47)</f>
        <v>11.5</v>
      </c>
      <c r="AE47" s="587">
        <f>L27+L28+L29</f>
        <v>0</v>
      </c>
      <c r="AF47" s="953"/>
      <c r="AG47" s="1046"/>
      <c r="AH47" s="1046"/>
      <c r="AI47" s="1046"/>
      <c r="AJ47" s="28"/>
      <c r="AK47" s="28"/>
      <c r="AL47" s="28"/>
      <c r="AM47" s="28"/>
      <c r="AN47" s="28"/>
      <c r="AO47" s="28"/>
      <c r="AP47" s="28"/>
      <c r="AQ47" s="28"/>
      <c r="AR47" s="28"/>
      <c r="AT47" s="24"/>
      <c r="AU47" s="25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</row>
    <row r="48" spans="1:59" ht="23.25">
      <c r="J48" s="441"/>
      <c r="K48" s="441">
        <f>6+8</f>
        <v>14</v>
      </c>
      <c r="L48" s="441" t="s">
        <v>183</v>
      </c>
      <c r="M48" s="470">
        <v>18</v>
      </c>
      <c r="N48" s="430">
        <v>0</v>
      </c>
      <c r="O48" s="430">
        <v>0</v>
      </c>
      <c r="P48" s="430">
        <v>0</v>
      </c>
      <c r="Q48" s="430">
        <v>0</v>
      </c>
      <c r="R48" s="430">
        <v>0</v>
      </c>
      <c r="S48" s="446">
        <f t="shared" si="29"/>
        <v>18</v>
      </c>
      <c r="T48" s="446">
        <v>7</v>
      </c>
      <c r="U48" s="466"/>
      <c r="V48" s="586" t="s">
        <v>183</v>
      </c>
      <c r="W48" s="430">
        <v>4.5</v>
      </c>
      <c r="X48" s="430">
        <v>1.7</v>
      </c>
      <c r="Y48" s="430">
        <v>0</v>
      </c>
      <c r="Z48" s="430">
        <v>0</v>
      </c>
      <c r="AA48" s="430">
        <v>0</v>
      </c>
      <c r="AB48" s="655">
        <v>0</v>
      </c>
      <c r="AC48" s="430"/>
      <c r="AD48" s="568">
        <f t="shared" si="30"/>
        <v>6.2</v>
      </c>
      <c r="AE48" s="587">
        <f>P27+P28+P29</f>
        <v>0</v>
      </c>
      <c r="AF48" s="953"/>
      <c r="AG48" s="951"/>
      <c r="AH48" s="951"/>
      <c r="AI48" s="655"/>
      <c r="AL48" s="24"/>
      <c r="AM48" s="25"/>
      <c r="AP48" s="24"/>
      <c r="AQ48" s="25"/>
      <c r="AT48" s="24"/>
      <c r="AU48" s="25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</row>
    <row r="49" spans="4:59" ht="23.25">
      <c r="J49" s="441"/>
      <c r="K49" s="441"/>
      <c r="L49" s="441" t="s">
        <v>184</v>
      </c>
      <c r="M49" s="470">
        <v>0</v>
      </c>
      <c r="N49" s="430">
        <v>0</v>
      </c>
      <c r="O49" s="430">
        <v>0</v>
      </c>
      <c r="P49" s="430">
        <v>0</v>
      </c>
      <c r="Q49" s="430">
        <v>0</v>
      </c>
      <c r="R49" s="430">
        <v>8</v>
      </c>
      <c r="S49" s="446">
        <f t="shared" si="29"/>
        <v>8</v>
      </c>
      <c r="T49" s="446"/>
      <c r="U49" s="466"/>
      <c r="V49" s="586" t="s">
        <v>184</v>
      </c>
      <c r="W49" s="430">
        <v>15</v>
      </c>
      <c r="X49" s="430">
        <v>0</v>
      </c>
      <c r="Y49" s="430">
        <v>0</v>
      </c>
      <c r="Z49" s="430">
        <v>0</v>
      </c>
      <c r="AA49" s="430">
        <v>0</v>
      </c>
      <c r="AB49" s="655">
        <v>0</v>
      </c>
      <c r="AC49" s="430"/>
      <c r="AD49" s="568">
        <f t="shared" si="30"/>
        <v>15</v>
      </c>
      <c r="AE49" s="587">
        <f>T27+T28+T29</f>
        <v>0</v>
      </c>
      <c r="AF49" s="953"/>
      <c r="AG49" s="951"/>
      <c r="AH49" s="951"/>
      <c r="AI49" s="655"/>
      <c r="AL49" s="24"/>
      <c r="AM49" s="25"/>
      <c r="AP49" s="24"/>
      <c r="AQ49" s="25"/>
      <c r="AT49" s="24"/>
      <c r="AU49" s="25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</row>
    <row r="50" spans="4:59" ht="23.25">
      <c r="J50" s="441"/>
      <c r="K50" s="441"/>
      <c r="L50" s="441" t="s">
        <v>192</v>
      </c>
      <c r="M50" s="470">
        <v>0</v>
      </c>
      <c r="N50" s="430">
        <v>3.5</v>
      </c>
      <c r="O50" s="430">
        <v>0</v>
      </c>
      <c r="P50" s="430">
        <v>0</v>
      </c>
      <c r="Q50" s="430">
        <v>0</v>
      </c>
      <c r="R50" s="430">
        <v>6.5</v>
      </c>
      <c r="S50" s="446">
        <f t="shared" si="29"/>
        <v>10</v>
      </c>
      <c r="T50" s="446"/>
      <c r="U50" s="466"/>
      <c r="V50" s="586" t="s">
        <v>192</v>
      </c>
      <c r="W50" s="430">
        <v>0</v>
      </c>
      <c r="X50" s="430">
        <v>0</v>
      </c>
      <c r="Y50" s="430">
        <v>0</v>
      </c>
      <c r="Z50" s="430">
        <v>1</v>
      </c>
      <c r="AA50" s="430">
        <v>0</v>
      </c>
      <c r="AB50" s="655">
        <v>0</v>
      </c>
      <c r="AC50" s="430"/>
      <c r="AD50" s="568">
        <f t="shared" si="30"/>
        <v>1</v>
      </c>
      <c r="AE50" s="587">
        <f>X27+X28+X29</f>
        <v>7.47</v>
      </c>
      <c r="AF50" s="953"/>
      <c r="AG50" s="951"/>
      <c r="AH50" s="951"/>
      <c r="AI50" s="655"/>
      <c r="AL50" s="24"/>
      <c r="AM50" s="25"/>
      <c r="AP50" s="24"/>
      <c r="AQ50" s="25"/>
      <c r="AT50" s="24"/>
      <c r="AU50" s="25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</row>
    <row r="51" spans="4:59" ht="23.25">
      <c r="J51" s="441"/>
      <c r="K51" s="441"/>
      <c r="L51" s="441" t="s">
        <v>171</v>
      </c>
      <c r="M51" s="470">
        <v>0</v>
      </c>
      <c r="N51" s="430">
        <v>3</v>
      </c>
      <c r="O51" s="430">
        <v>0</v>
      </c>
      <c r="P51" s="430">
        <v>0</v>
      </c>
      <c r="Q51" s="430">
        <v>0</v>
      </c>
      <c r="R51" s="430">
        <v>0</v>
      </c>
      <c r="S51" s="446">
        <f t="shared" si="29"/>
        <v>3</v>
      </c>
      <c r="T51" s="446"/>
      <c r="U51" s="466"/>
      <c r="V51" s="586" t="s">
        <v>171</v>
      </c>
      <c r="W51" s="430">
        <v>0</v>
      </c>
      <c r="X51" s="430">
        <v>1</v>
      </c>
      <c r="Y51" s="430">
        <v>0</v>
      </c>
      <c r="Z51" s="430">
        <v>0</v>
      </c>
      <c r="AA51" s="430">
        <v>0</v>
      </c>
      <c r="AB51" s="655">
        <v>0</v>
      </c>
      <c r="AC51" s="430"/>
      <c r="AD51" s="568">
        <f t="shared" si="30"/>
        <v>1</v>
      </c>
      <c r="AE51" s="587">
        <f>AB27+AB28+AB29</f>
        <v>0</v>
      </c>
      <c r="AF51" s="953"/>
      <c r="AG51" s="951"/>
      <c r="AH51" s="951"/>
      <c r="AI51" s="655"/>
      <c r="AL51" s="24"/>
      <c r="AM51" s="25"/>
      <c r="AP51" s="24"/>
      <c r="AQ51" s="25"/>
      <c r="AT51" s="24"/>
      <c r="AU51" s="25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</row>
    <row r="52" spans="4:59" ht="23.25">
      <c r="J52" s="441"/>
      <c r="K52" s="441">
        <f>25+18</f>
        <v>43</v>
      </c>
      <c r="L52" s="441" t="s">
        <v>190</v>
      </c>
      <c r="M52" s="492">
        <v>20</v>
      </c>
      <c r="N52" s="471">
        <v>0</v>
      </c>
      <c r="O52" s="471">
        <v>0</v>
      </c>
      <c r="P52" s="471">
        <v>0</v>
      </c>
      <c r="Q52" s="430">
        <v>0</v>
      </c>
      <c r="R52" s="471">
        <v>0</v>
      </c>
      <c r="S52" s="446">
        <f t="shared" si="29"/>
        <v>20</v>
      </c>
      <c r="T52" s="446"/>
      <c r="U52" s="466"/>
      <c r="V52" s="586" t="s">
        <v>190</v>
      </c>
      <c r="W52" s="430">
        <v>22.4</v>
      </c>
      <c r="X52" s="430">
        <v>0</v>
      </c>
      <c r="Y52" s="430">
        <v>0</v>
      </c>
      <c r="Z52" s="430">
        <v>18</v>
      </c>
      <c r="AA52" s="430">
        <v>0</v>
      </c>
      <c r="AB52" s="655">
        <v>0</v>
      </c>
      <c r="AC52" s="430"/>
      <c r="AD52" s="568">
        <f t="shared" si="30"/>
        <v>40.4</v>
      </c>
      <c r="AE52" s="587">
        <f>AF27+AF28+AF29</f>
        <v>0</v>
      </c>
      <c r="AF52" s="954"/>
      <c r="AG52" s="951"/>
      <c r="AH52" s="951"/>
      <c r="AI52" s="655"/>
      <c r="AL52" s="24"/>
      <c r="AM52" s="25"/>
      <c r="AP52" s="24"/>
      <c r="AQ52" s="25"/>
      <c r="AT52" s="24"/>
      <c r="AU52" s="25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</row>
    <row r="53" spans="4:59" ht="23.25">
      <c r="I53" s="27">
        <v>29.8</v>
      </c>
      <c r="J53" s="441">
        <f>17.47+29.87</f>
        <v>47.34</v>
      </c>
      <c r="K53" s="441">
        <f>8.23+14.87+19</f>
        <v>42.1</v>
      </c>
      <c r="L53" s="441" t="s">
        <v>185</v>
      </c>
      <c r="M53" s="470">
        <v>36</v>
      </c>
      <c r="N53" s="430">
        <v>0</v>
      </c>
      <c r="O53" s="430">
        <v>0</v>
      </c>
      <c r="P53" s="430">
        <v>0</v>
      </c>
      <c r="Q53" s="430">
        <v>0</v>
      </c>
      <c r="R53" s="430">
        <v>0</v>
      </c>
      <c r="S53" s="446">
        <f t="shared" si="29"/>
        <v>36</v>
      </c>
      <c r="T53" s="446"/>
      <c r="U53" s="466"/>
      <c r="V53" s="586" t="s">
        <v>185</v>
      </c>
      <c r="W53" s="430">
        <v>5.2</v>
      </c>
      <c r="X53" s="430">
        <v>1.1000000000000001</v>
      </c>
      <c r="Y53" s="430">
        <v>0</v>
      </c>
      <c r="Z53" s="430">
        <v>0.5</v>
      </c>
      <c r="AA53" s="430">
        <v>0</v>
      </c>
      <c r="AB53" s="655">
        <v>0</v>
      </c>
      <c r="AC53" s="430"/>
      <c r="AD53" s="568">
        <f t="shared" si="30"/>
        <v>6.8000000000000007</v>
      </c>
      <c r="AE53" s="587">
        <f>AN27+AN28+AN29</f>
        <v>0</v>
      </c>
      <c r="AF53" s="954"/>
      <c r="AG53" s="951"/>
      <c r="AH53" s="951"/>
      <c r="AI53" s="655"/>
      <c r="AL53" s="24"/>
      <c r="AM53" s="25"/>
      <c r="AP53" s="24"/>
      <c r="AQ53" s="25"/>
      <c r="AT53" s="24"/>
      <c r="AU53" s="25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</row>
    <row r="54" spans="4:59" ht="23.25">
      <c r="J54" s="441"/>
      <c r="K54" s="441"/>
      <c r="L54" s="441" t="s">
        <v>202</v>
      </c>
      <c r="M54" s="470">
        <v>3.5</v>
      </c>
      <c r="N54" s="430">
        <v>0</v>
      </c>
      <c r="O54" s="430">
        <v>0</v>
      </c>
      <c r="P54" s="430">
        <v>0</v>
      </c>
      <c r="Q54" s="430">
        <v>6.5</v>
      </c>
      <c r="R54" s="430">
        <v>0</v>
      </c>
      <c r="S54" s="446">
        <f t="shared" si="29"/>
        <v>10</v>
      </c>
      <c r="T54" s="446"/>
      <c r="U54" s="466"/>
      <c r="V54" s="586" t="s">
        <v>202</v>
      </c>
      <c r="W54" s="430">
        <v>0</v>
      </c>
      <c r="X54" s="430">
        <v>0</v>
      </c>
      <c r="Y54" s="430">
        <v>0</v>
      </c>
      <c r="Z54" s="430">
        <v>0</v>
      </c>
      <c r="AA54" s="430">
        <v>0</v>
      </c>
      <c r="AB54" s="655">
        <v>0</v>
      </c>
      <c r="AC54" s="430"/>
      <c r="AD54" s="568">
        <f t="shared" si="30"/>
        <v>0</v>
      </c>
      <c r="AE54" s="587">
        <f>AR27+AR28+AR29</f>
        <v>0</v>
      </c>
      <c r="AF54" s="952"/>
      <c r="AG54" s="951"/>
      <c r="AH54" s="951"/>
      <c r="AI54" s="655"/>
      <c r="AL54" s="24"/>
      <c r="AM54" s="25"/>
      <c r="AP54" s="24"/>
      <c r="AQ54" s="25"/>
      <c r="AT54" s="24"/>
      <c r="AU54" s="25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</row>
    <row r="55" spans="4:59" ht="23.25">
      <c r="I55" s="27">
        <v>18.8</v>
      </c>
      <c r="J55" s="441">
        <f>29+18.8</f>
        <v>47.8</v>
      </c>
      <c r="K55" s="441"/>
      <c r="L55" s="441" t="s">
        <v>186</v>
      </c>
      <c r="M55" s="470">
        <v>15</v>
      </c>
      <c r="N55" s="430">
        <v>0</v>
      </c>
      <c r="O55" s="430">
        <v>0</v>
      </c>
      <c r="P55" s="430">
        <v>4</v>
      </c>
      <c r="Q55" s="430">
        <v>10</v>
      </c>
      <c r="R55" s="430">
        <v>0</v>
      </c>
      <c r="S55" s="446">
        <f t="shared" si="29"/>
        <v>29</v>
      </c>
      <c r="T55" s="446"/>
      <c r="U55" s="466"/>
      <c r="V55" s="586" t="s">
        <v>186</v>
      </c>
      <c r="W55" s="430">
        <v>33</v>
      </c>
      <c r="X55" s="430">
        <v>0</v>
      </c>
      <c r="Y55" s="430">
        <v>0</v>
      </c>
      <c r="Z55" s="430">
        <v>0</v>
      </c>
      <c r="AA55" s="430">
        <v>0</v>
      </c>
      <c r="AB55" s="655">
        <v>0</v>
      </c>
      <c r="AC55" s="430"/>
      <c r="AD55" s="568">
        <f t="shared" si="30"/>
        <v>33</v>
      </c>
      <c r="AE55" s="587">
        <f>AV27+AV28+AV29</f>
        <v>0</v>
      </c>
      <c r="AF55" s="952"/>
      <c r="AG55" s="951"/>
      <c r="AH55" s="951"/>
      <c r="AI55" s="655"/>
      <c r="AL55" s="24"/>
      <c r="AM55" s="25"/>
      <c r="AP55" s="24"/>
      <c r="AQ55" s="25"/>
      <c r="AT55" s="24"/>
      <c r="AU55" s="25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</row>
    <row r="56" spans="4:59" ht="23.25">
      <c r="J56" s="441"/>
      <c r="K56" s="441"/>
      <c r="L56" s="441" t="s">
        <v>203</v>
      </c>
      <c r="M56" s="470">
        <v>15</v>
      </c>
      <c r="N56" s="430">
        <v>0</v>
      </c>
      <c r="O56" s="430">
        <v>0</v>
      </c>
      <c r="P56" s="430">
        <v>10</v>
      </c>
      <c r="Q56" s="430">
        <v>0</v>
      </c>
      <c r="R56" s="430">
        <v>0</v>
      </c>
      <c r="S56" s="446">
        <f t="shared" si="29"/>
        <v>25</v>
      </c>
      <c r="T56" s="446"/>
      <c r="U56" s="466"/>
      <c r="V56" s="586" t="s">
        <v>203</v>
      </c>
      <c r="W56" s="430">
        <v>0</v>
      </c>
      <c r="X56" s="430">
        <v>0</v>
      </c>
      <c r="Y56" s="430">
        <v>0</v>
      </c>
      <c r="Z56" s="430">
        <v>0</v>
      </c>
      <c r="AA56" s="430">
        <v>0</v>
      </c>
      <c r="AB56" s="655">
        <v>0</v>
      </c>
      <c r="AC56" s="430"/>
      <c r="AD56" s="568">
        <f t="shared" si="30"/>
        <v>0</v>
      </c>
      <c r="AE56" s="587">
        <f>AZ27+AZ28+AZ29</f>
        <v>0</v>
      </c>
      <c r="AF56" s="952"/>
      <c r="AG56" s="951"/>
      <c r="AH56" s="951"/>
      <c r="AI56" s="655"/>
      <c r="AL56" s="24"/>
      <c r="AM56" s="25"/>
      <c r="AP56" s="24"/>
      <c r="AQ56" s="25"/>
      <c r="AT56" s="24"/>
      <c r="AU56" s="25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</row>
    <row r="57" spans="4:59" ht="24" thickBot="1">
      <c r="J57" s="442">
        <f t="shared" ref="J57:K57" si="31">SUM(J47:J56)</f>
        <v>115.04</v>
      </c>
      <c r="K57" s="442">
        <f t="shared" si="31"/>
        <v>99.1</v>
      </c>
      <c r="L57" s="442" t="s">
        <v>191</v>
      </c>
      <c r="M57" s="443">
        <f t="shared" ref="M57" si="32">SUM(M47:M56)</f>
        <v>146.5</v>
      </c>
      <c r="N57" s="444">
        <f>SUM(N47:N56)</f>
        <v>16.5</v>
      </c>
      <c r="O57" s="443">
        <f t="shared" ref="O57" si="33">SUM(O47:O56)</f>
        <v>0</v>
      </c>
      <c r="P57" s="444">
        <f>SUM(P47:P56)</f>
        <v>62</v>
      </c>
      <c r="Q57" s="444">
        <f>SUM(Q47:Q56)</f>
        <v>16.5</v>
      </c>
      <c r="R57" s="445">
        <f>SUM(R47:R56)</f>
        <v>14.5</v>
      </c>
      <c r="S57" s="451">
        <f>SUM(S47:S56)</f>
        <v>256</v>
      </c>
      <c r="T57" s="451">
        <f>SUM(T47:T56)</f>
        <v>7</v>
      </c>
      <c r="U57" s="466"/>
      <c r="V57" s="588" t="s">
        <v>191</v>
      </c>
      <c r="W57" s="589">
        <f t="shared" ref="W57" si="34">SUM(W47:W56)</f>
        <v>90.1</v>
      </c>
      <c r="X57" s="444">
        <f>SUM(X47:X56)</f>
        <v>4.3000000000000007</v>
      </c>
      <c r="Y57" s="444">
        <f t="shared" ref="Y57" si="35">SUM(Y47:Y56)</f>
        <v>0</v>
      </c>
      <c r="Z57" s="444">
        <f>SUM(Z47:Z56)</f>
        <v>20.5</v>
      </c>
      <c r="AA57" s="444">
        <f>SUM(AA47:AA56)</f>
        <v>0</v>
      </c>
      <c r="AB57" s="444"/>
      <c r="AC57" s="444">
        <f t="shared" ref="AC57" si="36">SUM(AC47:AC56)</f>
        <v>0</v>
      </c>
      <c r="AD57" s="630">
        <f>SUM(AD47:AD56)</f>
        <v>114.89999999999999</v>
      </c>
      <c r="AE57" s="631">
        <f>SUM(AE47:AE56)</f>
        <v>7.47</v>
      </c>
      <c r="AF57" s="1016">
        <f t="shared" ref="AF57:AI57" si="37">SUM(AF47:AF56)</f>
        <v>0</v>
      </c>
      <c r="AG57" s="1015">
        <f t="shared" si="37"/>
        <v>0</v>
      </c>
      <c r="AH57" s="1015">
        <f t="shared" si="37"/>
        <v>0</v>
      </c>
      <c r="AI57" s="1015">
        <f t="shared" si="37"/>
        <v>0</v>
      </c>
      <c r="AL57" s="24"/>
      <c r="AM57" s="25"/>
      <c r="AP57" s="24"/>
      <c r="AQ57" s="25"/>
      <c r="AT57" s="24"/>
      <c r="AU57" s="25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</row>
    <row r="58" spans="4:59" ht="24" customHeight="1" thickBot="1">
      <c r="N58" s="24"/>
      <c r="O58" s="1924" t="s">
        <v>254</v>
      </c>
      <c r="P58" s="1925"/>
      <c r="Q58" s="1925"/>
      <c r="R58" s="1926"/>
      <c r="S58" s="1927">
        <f>S57+T57</f>
        <v>263</v>
      </c>
      <c r="T58" s="1928"/>
      <c r="U58" s="466"/>
      <c r="V58" s="1932" t="s">
        <v>221</v>
      </c>
      <c r="W58" s="1932"/>
      <c r="X58" s="1932"/>
      <c r="Y58" s="1932"/>
      <c r="Z58" s="1932"/>
      <c r="AA58" s="1932"/>
      <c r="AB58" s="1932"/>
      <c r="AC58" s="1932"/>
      <c r="AD58" s="1933">
        <f>AD57+AE57</f>
        <v>122.36999999999999</v>
      </c>
      <c r="AE58" s="1934"/>
      <c r="AF58" s="466"/>
      <c r="AH58" s="24"/>
      <c r="AI58" s="25"/>
      <c r="AL58" s="24"/>
      <c r="AM58" s="25"/>
      <c r="AP58" s="24"/>
      <c r="AQ58" s="25"/>
      <c r="AT58" s="24"/>
      <c r="AU58" s="25"/>
      <c r="AX58" s="24"/>
      <c r="AY58" s="24"/>
      <c r="AZ58" s="25"/>
      <c r="BA58" s="24"/>
      <c r="BB58" s="24"/>
      <c r="BC58" s="23"/>
      <c r="BD58" s="23"/>
      <c r="BE58" s="23"/>
      <c r="BF58" s="23"/>
      <c r="BG58" s="23"/>
    </row>
    <row r="59" spans="4:59" ht="30" customHeight="1" thickBot="1">
      <c r="J59" s="24"/>
      <c r="N59" s="24"/>
      <c r="R59" s="24"/>
      <c r="T59" s="26"/>
      <c r="U59" s="26"/>
      <c r="V59" s="966"/>
      <c r="W59" s="966"/>
      <c r="X59" s="966"/>
      <c r="Y59" s="1922" t="s">
        <v>235</v>
      </c>
      <c r="Z59" s="1922"/>
      <c r="AA59" s="1922"/>
      <c r="AB59" s="1922"/>
      <c r="AC59" s="1922"/>
      <c r="AD59" s="1920">
        <f>BH6+BI6+BD20+BE20+BJ16+BJ23</f>
        <v>43.7</v>
      </c>
      <c r="AE59" s="1921"/>
      <c r="AF59" s="466"/>
      <c r="AH59" s="24"/>
      <c r="AI59" s="25"/>
      <c r="AL59" s="24"/>
      <c r="AP59" s="25"/>
      <c r="AT59" s="25"/>
      <c r="AX59" s="25"/>
      <c r="AY59" s="24"/>
      <c r="AZ59" s="24"/>
      <c r="BA59" s="24"/>
      <c r="BB59" s="25"/>
      <c r="BE59" s="23"/>
      <c r="BF59" s="23"/>
      <c r="BG59" s="23"/>
    </row>
    <row r="60" spans="4:59" s="28" customFormat="1" ht="30" customHeight="1" thickBot="1">
      <c r="D60" s="29"/>
      <c r="E60" s="29"/>
      <c r="F60" s="29"/>
      <c r="I60" s="29"/>
      <c r="J60" s="24"/>
      <c r="K60" s="24"/>
      <c r="L60" s="1923" t="s">
        <v>344</v>
      </c>
      <c r="M60" s="1937"/>
      <c r="N60" s="1937"/>
      <c r="O60" s="1937"/>
      <c r="P60" s="1937"/>
      <c r="Q60" s="1937"/>
      <c r="R60" s="1937"/>
      <c r="S60" s="1937"/>
      <c r="T60" s="1937"/>
      <c r="U60" s="1938"/>
      <c r="V60" s="966"/>
      <c r="W60" s="966"/>
      <c r="X60" s="966"/>
      <c r="Y60" s="1013"/>
      <c r="Z60" s="966"/>
      <c r="AA60" s="966"/>
      <c r="AB60" s="966"/>
      <c r="AC60" s="1013"/>
      <c r="AD60" s="966">
        <f>17+19+20</f>
        <v>56</v>
      </c>
      <c r="AE60" s="964"/>
      <c r="AF60" s="966"/>
      <c r="AG60" s="964"/>
      <c r="AH60" s="964"/>
      <c r="AI60" s="967"/>
      <c r="AJ60" s="964"/>
      <c r="AK60" s="964"/>
      <c r="AL60" s="964"/>
      <c r="AM60" s="964"/>
      <c r="AN60" s="964"/>
      <c r="AO60" s="964"/>
      <c r="AP60" s="967"/>
      <c r="AQ60" s="964"/>
      <c r="AR60" s="964"/>
      <c r="AS60" s="964"/>
      <c r="AT60" s="967"/>
      <c r="AU60" s="964"/>
      <c r="AV60" s="964"/>
      <c r="AW60" s="964"/>
      <c r="AX60" s="967"/>
      <c r="AY60" s="965"/>
      <c r="AZ60" s="965"/>
      <c r="BA60" s="964"/>
      <c r="BB60" s="964"/>
      <c r="BC60" s="967"/>
      <c r="BD60" s="967"/>
      <c r="BE60" s="964"/>
    </row>
    <row r="61" spans="4:59" ht="45" customHeight="1">
      <c r="J61" s="24"/>
      <c r="L61" s="596" t="s">
        <v>0</v>
      </c>
      <c r="M61" s="436" t="s">
        <v>200</v>
      </c>
      <c r="N61" s="454" t="s">
        <v>205</v>
      </c>
      <c r="O61" s="436" t="s">
        <v>31</v>
      </c>
      <c r="P61" s="448" t="s">
        <v>201</v>
      </c>
      <c r="Q61" s="453" t="s">
        <v>206</v>
      </c>
      <c r="R61" s="453" t="s">
        <v>210</v>
      </c>
      <c r="S61" s="436" t="s">
        <v>22</v>
      </c>
      <c r="T61" s="437" t="s">
        <v>191</v>
      </c>
      <c r="U61" s="438" t="s">
        <v>244</v>
      </c>
      <c r="V61" s="966"/>
      <c r="W61" s="466"/>
      <c r="X61" s="466"/>
      <c r="Y61" s="465"/>
      <c r="Z61" s="466"/>
      <c r="AA61" s="466"/>
      <c r="AB61" s="466"/>
      <c r="AC61" s="465"/>
      <c r="AD61" s="466"/>
      <c r="AF61" s="466"/>
      <c r="AH61" s="24"/>
      <c r="AI61" s="25"/>
      <c r="AL61" s="24"/>
      <c r="AM61" s="26"/>
      <c r="AN61" s="26"/>
      <c r="AP61" s="24"/>
      <c r="AQ61" s="26"/>
      <c r="AR61" s="26"/>
      <c r="AT61" s="24"/>
      <c r="AU61" s="26"/>
      <c r="AV61" s="26"/>
      <c r="AX61" s="24"/>
      <c r="AY61" s="26"/>
      <c r="AZ61" s="26"/>
      <c r="BA61" s="24"/>
      <c r="BB61" s="24"/>
      <c r="BC61" s="25"/>
      <c r="BD61" s="25"/>
      <c r="BF61" s="23"/>
      <c r="BG61" s="23"/>
    </row>
    <row r="62" spans="4:59" ht="24.75" customHeight="1">
      <c r="J62" s="24"/>
      <c r="L62" s="586" t="s">
        <v>189</v>
      </c>
      <c r="M62" s="430">
        <v>0</v>
      </c>
      <c r="N62" s="430">
        <v>7.75</v>
      </c>
      <c r="O62" s="430">
        <v>0</v>
      </c>
      <c r="P62" s="430">
        <v>1</v>
      </c>
      <c r="Q62" s="430"/>
      <c r="R62" s="655"/>
      <c r="S62" s="430"/>
      <c r="T62" s="568">
        <f t="shared" ref="T62:T71" si="38">SUM(M62:S62)</f>
        <v>8.75</v>
      </c>
      <c r="U62" s="587">
        <v>0</v>
      </c>
      <c r="V62" s="966"/>
      <c r="W62" s="466"/>
      <c r="X62" s="466"/>
      <c r="Y62" s="465"/>
      <c r="Z62" s="466"/>
      <c r="AA62" s="466"/>
      <c r="AB62" s="466"/>
      <c r="AC62" s="465"/>
      <c r="AD62" s="466"/>
      <c r="AF62" s="466"/>
      <c r="AH62" s="24"/>
      <c r="AI62" s="25"/>
      <c r="AL62" s="24"/>
      <c r="AM62" s="26"/>
      <c r="AN62" s="26"/>
      <c r="AP62" s="24"/>
      <c r="AQ62" s="26"/>
      <c r="AR62" s="26"/>
      <c r="AT62" s="24"/>
      <c r="AU62" s="26"/>
      <c r="AV62" s="26"/>
      <c r="AX62" s="24"/>
      <c r="AY62" s="26"/>
      <c r="AZ62" s="26"/>
      <c r="BA62" s="24"/>
      <c r="BB62" s="24"/>
      <c r="BC62" s="25"/>
      <c r="BD62" s="25"/>
      <c r="BF62" s="23"/>
      <c r="BG62" s="23"/>
    </row>
    <row r="63" spans="4:59" ht="23.25">
      <c r="J63" s="24"/>
      <c r="L63" s="586" t="s">
        <v>183</v>
      </c>
      <c r="M63" s="430">
        <v>6</v>
      </c>
      <c r="N63" s="430">
        <v>0</v>
      </c>
      <c r="O63" s="430">
        <v>0</v>
      </c>
      <c r="P63" s="430">
        <v>0</v>
      </c>
      <c r="Q63" s="430"/>
      <c r="R63" s="655"/>
      <c r="S63" s="430"/>
      <c r="T63" s="568">
        <f t="shared" si="38"/>
        <v>6</v>
      </c>
      <c r="U63" s="587">
        <v>7</v>
      </c>
      <c r="V63" s="966"/>
      <c r="W63" s="466"/>
      <c r="X63" s="466"/>
      <c r="Y63" s="465"/>
      <c r="Z63" s="466"/>
      <c r="AA63" s="466"/>
      <c r="AB63" s="466"/>
      <c r="AC63" s="465"/>
      <c r="AD63" s="466"/>
      <c r="AG63" s="26"/>
      <c r="AH63" s="24"/>
      <c r="AK63" s="49"/>
      <c r="AL63" s="24"/>
      <c r="AM63" s="26"/>
      <c r="AN63" s="26"/>
      <c r="AP63" s="24"/>
      <c r="AQ63" s="26"/>
      <c r="AR63" s="26"/>
      <c r="AT63" s="24"/>
      <c r="AU63" s="26"/>
      <c r="AV63" s="26"/>
      <c r="AX63" s="24"/>
      <c r="AY63" s="26"/>
      <c r="AZ63" s="26"/>
      <c r="BA63" s="24"/>
      <c r="BB63" s="24"/>
      <c r="BC63" s="25"/>
      <c r="BD63" s="25"/>
      <c r="BF63" s="23"/>
      <c r="BG63" s="23"/>
    </row>
    <row r="64" spans="4:59" ht="23.25">
      <c r="J64" s="24"/>
      <c r="L64" s="586" t="s">
        <v>184</v>
      </c>
      <c r="M64" s="430">
        <v>0</v>
      </c>
      <c r="N64" s="430">
        <v>0</v>
      </c>
      <c r="O64" s="430">
        <v>0</v>
      </c>
      <c r="P64" s="430">
        <v>0</v>
      </c>
      <c r="Q64" s="430"/>
      <c r="R64" s="655"/>
      <c r="S64" s="430"/>
      <c r="T64" s="568">
        <f t="shared" si="38"/>
        <v>0</v>
      </c>
      <c r="U64" s="587">
        <v>0</v>
      </c>
      <c r="V64" s="966"/>
      <c r="W64" s="466"/>
      <c r="X64" s="466"/>
      <c r="Y64" s="465"/>
      <c r="Z64" s="466"/>
      <c r="AA64" s="466"/>
      <c r="AB64" s="466"/>
      <c r="AC64" s="465"/>
      <c r="AD64" s="466"/>
      <c r="AG64" s="26"/>
      <c r="AH64" s="24"/>
      <c r="AK64" s="49"/>
      <c r="AL64" s="24"/>
      <c r="AO64" s="26"/>
      <c r="AP64" s="24"/>
      <c r="AQ64" s="26"/>
      <c r="AR64" s="26"/>
      <c r="AT64" s="24"/>
      <c r="AU64" s="26"/>
      <c r="AV64" s="26"/>
      <c r="AX64" s="24"/>
      <c r="AY64" s="26"/>
      <c r="AZ64" s="26"/>
      <c r="BA64" s="24"/>
      <c r="BB64" s="24"/>
      <c r="BE64" s="25"/>
      <c r="BF64" s="24"/>
      <c r="BG64" s="23"/>
    </row>
    <row r="65" spans="10:59" ht="23.25">
      <c r="J65" s="24"/>
      <c r="L65" s="586" t="s">
        <v>192</v>
      </c>
      <c r="M65" s="430">
        <v>0</v>
      </c>
      <c r="N65" s="430">
        <v>0</v>
      </c>
      <c r="O65" s="430">
        <v>0</v>
      </c>
      <c r="P65" s="430">
        <v>0</v>
      </c>
      <c r="Q65" s="430"/>
      <c r="R65" s="655"/>
      <c r="S65" s="430"/>
      <c r="T65" s="568">
        <f t="shared" si="38"/>
        <v>0</v>
      </c>
      <c r="U65" s="1312">
        <v>0</v>
      </c>
      <c r="V65" s="966"/>
      <c r="W65" s="466"/>
      <c r="X65" s="466"/>
      <c r="Y65" s="465"/>
      <c r="Z65" s="466"/>
      <c r="AA65" s="466"/>
      <c r="AB65" s="466"/>
      <c r="AC65" s="465"/>
      <c r="AD65" s="466"/>
      <c r="AG65" s="26"/>
      <c r="AH65" s="24"/>
      <c r="AK65" s="49"/>
      <c r="AL65" s="24"/>
      <c r="AO65" s="26"/>
      <c r="AP65" s="24"/>
      <c r="AQ65" s="26"/>
      <c r="AR65" s="26"/>
      <c r="AT65" s="24"/>
      <c r="AU65" s="26"/>
      <c r="AV65" s="26"/>
      <c r="AX65" s="24"/>
      <c r="AY65" s="26"/>
      <c r="AZ65" s="26"/>
      <c r="BA65" s="24"/>
      <c r="BB65" s="24"/>
      <c r="BE65" s="25"/>
      <c r="BF65" s="24"/>
      <c r="BG65" s="23"/>
    </row>
    <row r="66" spans="10:59" ht="23.25">
      <c r="J66" s="24"/>
      <c r="L66" s="586" t="s">
        <v>171</v>
      </c>
      <c r="M66" s="430">
        <v>3</v>
      </c>
      <c r="N66" s="430">
        <v>0</v>
      </c>
      <c r="O66" s="430">
        <v>0</v>
      </c>
      <c r="P66" s="430">
        <v>0</v>
      </c>
      <c r="Q66" s="430"/>
      <c r="R66" s="655"/>
      <c r="S66" s="430"/>
      <c r="T66" s="568">
        <f t="shared" si="38"/>
        <v>3</v>
      </c>
      <c r="U66" s="587">
        <v>0</v>
      </c>
      <c r="V66" s="966"/>
      <c r="W66" s="466"/>
      <c r="X66" s="466"/>
      <c r="Y66" s="465"/>
      <c r="Z66" s="466"/>
      <c r="AA66" s="466"/>
      <c r="AB66" s="466"/>
      <c r="AC66" s="465"/>
      <c r="AD66" s="466"/>
      <c r="AG66" s="26"/>
      <c r="AH66" s="24"/>
      <c r="AK66" s="49"/>
      <c r="AL66" s="24"/>
      <c r="AO66" s="26"/>
      <c r="AP66" s="24"/>
      <c r="AQ66" s="26"/>
      <c r="AR66" s="26"/>
      <c r="AT66" s="24"/>
      <c r="AU66" s="26"/>
      <c r="AV66" s="26"/>
      <c r="AX66" s="24"/>
      <c r="AY66" s="26"/>
      <c r="AZ66" s="26"/>
      <c r="BA66" s="24"/>
      <c r="BB66" s="24"/>
      <c r="BE66" s="25"/>
      <c r="BF66" s="24"/>
      <c r="BG66" s="23"/>
    </row>
    <row r="67" spans="10:59" ht="23.25">
      <c r="J67" s="24"/>
      <c r="L67" s="586" t="s">
        <v>190</v>
      </c>
      <c r="M67" s="430">
        <v>0</v>
      </c>
      <c r="N67" s="430">
        <v>1.35</v>
      </c>
      <c r="O67" s="430">
        <v>0</v>
      </c>
      <c r="P67" s="430">
        <v>48</v>
      </c>
      <c r="Q67" s="430"/>
      <c r="R67" s="655"/>
      <c r="S67" s="430"/>
      <c r="T67" s="568">
        <f t="shared" si="38"/>
        <v>49.35</v>
      </c>
      <c r="U67" s="587">
        <v>0</v>
      </c>
      <c r="V67" s="966"/>
      <c r="W67" s="466"/>
      <c r="X67" s="466"/>
      <c r="Y67" s="465"/>
      <c r="Z67" s="466"/>
      <c r="AA67" s="466"/>
      <c r="AB67" s="466"/>
      <c r="AC67" s="465"/>
      <c r="AD67" s="466"/>
      <c r="AG67" s="26"/>
      <c r="AH67" s="24"/>
      <c r="AK67" s="49"/>
      <c r="AL67" s="24"/>
      <c r="AO67" s="26"/>
      <c r="AP67" s="24"/>
      <c r="AQ67" s="26"/>
      <c r="AR67" s="26"/>
      <c r="AT67" s="24"/>
      <c r="AU67" s="26"/>
      <c r="AV67" s="26"/>
      <c r="AX67" s="24"/>
      <c r="AY67" s="26"/>
      <c r="AZ67" s="26"/>
      <c r="BA67" s="24"/>
      <c r="BB67" s="24"/>
      <c r="BE67" s="25"/>
      <c r="BF67" s="24"/>
      <c r="BG67" s="23"/>
    </row>
    <row r="68" spans="10:59" ht="23.25">
      <c r="J68" s="24"/>
      <c r="L68" s="586" t="s">
        <v>185</v>
      </c>
      <c r="M68" s="430">
        <v>2</v>
      </c>
      <c r="N68" s="430">
        <v>0</v>
      </c>
      <c r="O68" s="430">
        <v>0</v>
      </c>
      <c r="P68" s="430">
        <v>0</v>
      </c>
      <c r="Q68" s="430"/>
      <c r="R68" s="655"/>
      <c r="S68" s="430"/>
      <c r="T68" s="568">
        <f t="shared" si="38"/>
        <v>2</v>
      </c>
      <c r="U68" s="587">
        <v>0</v>
      </c>
      <c r="V68" s="966"/>
      <c r="W68" s="466"/>
      <c r="X68" s="466"/>
      <c r="Y68" s="465"/>
      <c r="Z68" s="466"/>
      <c r="AA68" s="466"/>
      <c r="AB68" s="466"/>
      <c r="AC68" s="465"/>
      <c r="AD68" s="466"/>
      <c r="AG68" s="26"/>
      <c r="AH68" s="24"/>
      <c r="AK68" s="49"/>
      <c r="AL68" s="24"/>
      <c r="AO68" s="26"/>
      <c r="AP68" s="24"/>
      <c r="AQ68" s="26"/>
      <c r="AR68" s="26"/>
      <c r="AT68" s="24"/>
      <c r="AU68" s="26"/>
      <c r="AV68" s="26"/>
      <c r="AX68" s="24"/>
      <c r="AY68" s="26"/>
      <c r="AZ68" s="26"/>
      <c r="BA68" s="24"/>
      <c r="BB68" s="24"/>
      <c r="BE68" s="25"/>
      <c r="BF68" s="24"/>
      <c r="BG68" s="23"/>
    </row>
    <row r="69" spans="10:59" ht="23.25">
      <c r="L69" s="586" t="s">
        <v>202</v>
      </c>
      <c r="M69" s="430">
        <v>7.7</v>
      </c>
      <c r="N69" s="430">
        <v>2.7</v>
      </c>
      <c r="O69" s="430">
        <v>0</v>
      </c>
      <c r="P69" s="430">
        <v>0</v>
      </c>
      <c r="Q69" s="430"/>
      <c r="R69" s="655"/>
      <c r="S69" s="430"/>
      <c r="T69" s="568">
        <f t="shared" si="38"/>
        <v>10.4</v>
      </c>
      <c r="U69" s="587">
        <v>0</v>
      </c>
      <c r="V69" s="466"/>
      <c r="W69" s="466"/>
      <c r="X69" s="466"/>
      <c r="Y69" s="465"/>
      <c r="Z69" s="466"/>
      <c r="AA69" s="466"/>
      <c r="AB69" s="466"/>
      <c r="AC69" s="465"/>
      <c r="AD69" s="466"/>
      <c r="AG69" s="26"/>
      <c r="AH69" s="24"/>
      <c r="AK69" s="49"/>
      <c r="AL69" s="24"/>
      <c r="AO69" s="26"/>
      <c r="AP69" s="24"/>
      <c r="AQ69" s="26"/>
      <c r="AR69" s="26"/>
      <c r="AT69" s="24"/>
      <c r="AU69" s="26"/>
      <c r="AV69" s="26"/>
      <c r="AX69" s="24"/>
      <c r="AY69" s="26"/>
      <c r="AZ69" s="26"/>
      <c r="BA69" s="24"/>
      <c r="BB69" s="24"/>
      <c r="BE69" s="25"/>
      <c r="BF69" s="24"/>
      <c r="BG69" s="23"/>
    </row>
    <row r="70" spans="10:59" ht="23.25">
      <c r="L70" s="586" t="s">
        <v>186</v>
      </c>
      <c r="M70" s="430">
        <v>8</v>
      </c>
      <c r="N70" s="430">
        <v>0</v>
      </c>
      <c r="O70" s="430">
        <v>0</v>
      </c>
      <c r="P70" s="430">
        <v>2.5</v>
      </c>
      <c r="Q70" s="430"/>
      <c r="R70" s="655"/>
      <c r="S70" s="430"/>
      <c r="T70" s="568">
        <f t="shared" si="38"/>
        <v>10.5</v>
      </c>
      <c r="U70" s="587">
        <v>0</v>
      </c>
      <c r="V70" s="466"/>
      <c r="W70" s="466"/>
      <c r="X70" s="466"/>
      <c r="Y70" s="465"/>
      <c r="Z70" s="466"/>
      <c r="AA70" s="466"/>
      <c r="AB70" s="466"/>
      <c r="AC70" s="465"/>
      <c r="AD70" s="466"/>
      <c r="AG70" s="26"/>
      <c r="AH70" s="24"/>
      <c r="AK70" s="49"/>
      <c r="AL70" s="24"/>
      <c r="AM70" s="26"/>
      <c r="AN70" s="26"/>
      <c r="AY70" s="24"/>
      <c r="AZ70" s="24"/>
      <c r="BA70" s="24"/>
      <c r="BB70" s="24"/>
      <c r="BC70" s="25"/>
      <c r="BD70" s="25"/>
      <c r="BF70" s="23"/>
      <c r="BG70" s="23"/>
    </row>
    <row r="71" spans="10:59" ht="23.25">
      <c r="L71" s="586" t="s">
        <v>203</v>
      </c>
      <c r="M71" s="430">
        <v>10</v>
      </c>
      <c r="N71" s="430">
        <v>0</v>
      </c>
      <c r="O71" s="430">
        <v>0</v>
      </c>
      <c r="P71" s="430">
        <v>2</v>
      </c>
      <c r="Q71" s="430"/>
      <c r="R71" s="655"/>
      <c r="S71" s="430"/>
      <c r="T71" s="568">
        <f t="shared" si="38"/>
        <v>12</v>
      </c>
      <c r="U71" s="587">
        <v>0</v>
      </c>
      <c r="V71" s="466"/>
      <c r="W71" s="466"/>
      <c r="X71" s="466"/>
      <c r="Y71" s="465"/>
      <c r="Z71" s="466"/>
      <c r="AA71" s="466"/>
      <c r="AB71" s="466"/>
      <c r="AC71" s="465"/>
      <c r="AD71" s="466"/>
      <c r="AG71" s="26"/>
      <c r="AH71" s="24"/>
      <c r="AK71" s="49"/>
      <c r="AL71" s="24"/>
      <c r="AM71" s="26"/>
      <c r="AN71" s="26"/>
      <c r="AY71" s="24"/>
      <c r="AZ71" s="24"/>
      <c r="BA71" s="24"/>
      <c r="BB71" s="24"/>
      <c r="BC71" s="25"/>
      <c r="BD71" s="25"/>
      <c r="BF71" s="23"/>
      <c r="BG71" s="23"/>
    </row>
    <row r="72" spans="10:59" ht="24" thickBot="1">
      <c r="L72" s="588" t="s">
        <v>191</v>
      </c>
      <c r="M72" s="589">
        <f t="shared" ref="M72" si="39">SUM(M62:M71)</f>
        <v>36.700000000000003</v>
      </c>
      <c r="N72" s="444">
        <f>SUM(N62:N71)</f>
        <v>11.8</v>
      </c>
      <c r="O72" s="444">
        <f t="shared" ref="O72" si="40">SUM(O62:O71)</f>
        <v>0</v>
      </c>
      <c r="P72" s="444">
        <f>SUM(P62:P71)</f>
        <v>53.5</v>
      </c>
      <c r="Q72" s="444">
        <f>SUM(Q62:Q71)</f>
        <v>0</v>
      </c>
      <c r="R72" s="444">
        <f>SUM(R62:R71)</f>
        <v>0</v>
      </c>
      <c r="S72" s="444">
        <f t="shared" ref="S72" si="41">SUM(S62:S71)</f>
        <v>0</v>
      </c>
      <c r="T72" s="630">
        <f>SUM(T62:T71)</f>
        <v>102</v>
      </c>
      <c r="U72" s="631">
        <f>SUM(U62:U71)</f>
        <v>7</v>
      </c>
      <c r="V72" s="466"/>
      <c r="W72" s="466"/>
      <c r="X72" s="466"/>
      <c r="Y72" s="465"/>
      <c r="Z72" s="466"/>
      <c r="AA72" s="466"/>
      <c r="AB72" s="466"/>
      <c r="AC72" s="465"/>
      <c r="AD72" s="466"/>
      <c r="AG72" s="26"/>
      <c r="AH72" s="24"/>
      <c r="AK72" s="49"/>
      <c r="AL72" s="24"/>
      <c r="AM72" s="26"/>
      <c r="AN72" s="26"/>
      <c r="AY72" s="24"/>
      <c r="AZ72" s="24"/>
      <c r="BA72" s="24"/>
      <c r="BB72" s="24"/>
      <c r="BC72" s="25"/>
      <c r="BD72" s="25"/>
      <c r="BF72" s="23"/>
      <c r="BG72" s="23"/>
    </row>
    <row r="73" spans="10:59" ht="27" thickBot="1">
      <c r="L73" s="1932" t="s">
        <v>221</v>
      </c>
      <c r="M73" s="1932"/>
      <c r="N73" s="1932"/>
      <c r="O73" s="1932"/>
      <c r="P73" s="1932"/>
      <c r="Q73" s="1932"/>
      <c r="R73" s="1932"/>
      <c r="S73" s="1932"/>
      <c r="T73" s="1933">
        <f>T72+U72</f>
        <v>109</v>
      </c>
      <c r="U73" s="1934"/>
      <c r="V73" s="466"/>
      <c r="W73" s="466"/>
      <c r="X73" s="466"/>
      <c r="Y73" s="465"/>
      <c r="Z73" s="466"/>
      <c r="AA73" s="466"/>
      <c r="AB73" s="466"/>
      <c r="AC73" s="465"/>
      <c r="AD73" s="466"/>
      <c r="AG73" s="26"/>
      <c r="AH73" s="24"/>
      <c r="AK73" s="49"/>
      <c r="AL73" s="24"/>
      <c r="AM73" s="26"/>
      <c r="AN73" s="26"/>
      <c r="AY73" s="24"/>
      <c r="AZ73" s="24"/>
      <c r="BA73" s="24"/>
      <c r="BB73" s="24"/>
      <c r="BC73" s="25"/>
      <c r="BD73" s="25"/>
      <c r="BF73" s="23"/>
      <c r="BG73" s="23"/>
    </row>
    <row r="74" spans="10:59" ht="31.5" customHeight="1">
      <c r="L74" s="966"/>
      <c r="M74" s="966"/>
      <c r="N74" s="966"/>
      <c r="O74" s="1922" t="s">
        <v>235</v>
      </c>
      <c r="P74" s="1922"/>
      <c r="Q74" s="1922"/>
      <c r="R74" s="1922"/>
      <c r="S74" s="1922"/>
      <c r="T74" s="1939">
        <v>44</v>
      </c>
      <c r="U74" s="1939"/>
      <c r="V74" s="466"/>
      <c r="W74" s="466"/>
      <c r="X74" s="466"/>
      <c r="Y74" s="465"/>
      <c r="Z74" s="466"/>
      <c r="AA74" s="466"/>
      <c r="AB74" s="466"/>
      <c r="AC74" s="465"/>
      <c r="AD74" s="466"/>
      <c r="AG74" s="26"/>
      <c r="AH74" s="24"/>
      <c r="AK74" s="49"/>
      <c r="AL74" s="24"/>
      <c r="AM74" s="26"/>
      <c r="AN74" s="26"/>
      <c r="AP74" s="24"/>
      <c r="AQ74" s="26"/>
      <c r="AR74" s="26"/>
      <c r="AT74" s="24"/>
      <c r="AU74" s="26"/>
      <c r="AV74" s="26"/>
      <c r="AW74" s="50"/>
      <c r="AX74" s="50"/>
      <c r="AY74" s="26"/>
      <c r="AZ74" s="26"/>
      <c r="BA74" s="24"/>
      <c r="BB74" s="24"/>
      <c r="BC74" s="25"/>
      <c r="BD74" s="25"/>
      <c r="BF74" s="23"/>
      <c r="BG74" s="23"/>
    </row>
    <row r="75" spans="10:59" ht="27" customHeight="1">
      <c r="L75" s="26"/>
      <c r="M75" s="26"/>
      <c r="N75" s="24"/>
      <c r="P75" s="26"/>
      <c r="Q75" s="26"/>
      <c r="R75" s="24"/>
      <c r="T75" s="26"/>
      <c r="U75" s="26"/>
      <c r="V75" s="24"/>
      <c r="W75" s="466"/>
      <c r="X75" s="466"/>
      <c r="Y75" s="466"/>
      <c r="Z75" s="465"/>
      <c r="AA75" s="466"/>
      <c r="AB75" s="466"/>
      <c r="AC75" s="466"/>
      <c r="AD75" s="465"/>
      <c r="AE75" s="466"/>
      <c r="AN75" s="26"/>
      <c r="AO75" s="26"/>
      <c r="AP75" s="24"/>
      <c r="AR75" s="26"/>
      <c r="AS75" s="26"/>
      <c r="AT75" s="24"/>
      <c r="AV75" s="26"/>
      <c r="AW75" s="26"/>
      <c r="AX75" s="50"/>
      <c r="AZ75" s="26"/>
      <c r="BA75" s="26"/>
      <c r="BB75" s="24"/>
      <c r="BD75" s="25"/>
      <c r="BE75" s="25"/>
      <c r="BF75" s="24"/>
      <c r="BG75" s="23"/>
    </row>
    <row r="76" spans="10:59">
      <c r="L76" s="26"/>
      <c r="M76" s="26"/>
      <c r="N76" s="24"/>
      <c r="P76" s="26"/>
      <c r="Q76" s="26"/>
      <c r="R76" s="24"/>
      <c r="T76" s="26"/>
      <c r="U76" s="26"/>
      <c r="V76" s="24"/>
      <c r="W76" s="466"/>
      <c r="X76" s="466"/>
      <c r="Y76" s="466"/>
      <c r="Z76" s="465"/>
      <c r="AA76" s="466"/>
      <c r="AB76" s="466"/>
      <c r="AC76" s="466"/>
      <c r="AD76" s="465"/>
      <c r="AE76" s="466"/>
      <c r="AN76" s="26"/>
      <c r="AO76" s="26"/>
      <c r="AP76" s="24"/>
      <c r="AR76" s="26"/>
      <c r="AS76" s="26"/>
      <c r="AT76" s="24"/>
      <c r="AV76" s="26"/>
      <c r="AW76" s="26"/>
      <c r="AX76" s="50"/>
      <c r="AZ76" s="26"/>
      <c r="BA76" s="26"/>
      <c r="BB76" s="24"/>
      <c r="BD76" s="25"/>
      <c r="BE76" s="25"/>
      <c r="BF76" s="24"/>
      <c r="BG76" s="23"/>
    </row>
    <row r="77" spans="10:59">
      <c r="L77" s="26"/>
      <c r="M77" s="26"/>
      <c r="N77" s="24"/>
      <c r="P77" s="26"/>
      <c r="Q77" s="26"/>
      <c r="R77" s="24"/>
      <c r="T77" s="26"/>
      <c r="U77" s="26"/>
      <c r="V77" s="24"/>
      <c r="W77" s="466"/>
      <c r="X77" s="466"/>
      <c r="Y77" s="466"/>
      <c r="Z77" s="465"/>
      <c r="AA77" s="466"/>
      <c r="AB77" s="466"/>
      <c r="AC77" s="466"/>
      <c r="AD77" s="465"/>
      <c r="AE77" s="466"/>
      <c r="AN77" s="26"/>
      <c r="AO77" s="26"/>
      <c r="AP77" s="24"/>
      <c r="AR77" s="26"/>
      <c r="AS77" s="26"/>
      <c r="AT77" s="24"/>
      <c r="AV77" s="26"/>
      <c r="AW77" s="26"/>
      <c r="AX77" s="50"/>
      <c r="AZ77" s="26"/>
      <c r="BA77" s="26"/>
      <c r="BB77" s="24"/>
      <c r="BD77" s="25"/>
      <c r="BE77" s="25"/>
      <c r="BF77" s="24"/>
      <c r="BG77" s="23"/>
    </row>
    <row r="78" spans="10:59">
      <c r="L78" s="26"/>
      <c r="M78" s="26"/>
      <c r="N78" s="24"/>
      <c r="P78" s="26"/>
      <c r="Q78" s="26"/>
      <c r="R78" s="24"/>
      <c r="T78" s="26"/>
      <c r="U78" s="26"/>
      <c r="V78" s="24"/>
      <c r="W78" s="466"/>
      <c r="X78" s="466"/>
      <c r="Y78" s="466"/>
      <c r="Z78" s="465"/>
      <c r="AA78" s="466"/>
      <c r="AB78" s="466"/>
      <c r="AC78" s="466"/>
      <c r="AD78" s="465"/>
      <c r="AE78" s="466"/>
      <c r="AN78" s="26"/>
      <c r="AO78" s="26"/>
      <c r="AP78" s="24"/>
      <c r="AR78" s="26"/>
      <c r="AS78" s="26"/>
      <c r="AT78" s="24"/>
      <c r="AV78" s="26"/>
      <c r="AW78" s="26"/>
      <c r="AX78" s="50"/>
      <c r="AZ78" s="26"/>
      <c r="BA78" s="26"/>
      <c r="BB78" s="24"/>
      <c r="BD78" s="25"/>
      <c r="BE78" s="25"/>
      <c r="BF78" s="24"/>
      <c r="BG78" s="23"/>
    </row>
    <row r="79" spans="10:59">
      <c r="L79" s="26"/>
      <c r="M79" s="26"/>
      <c r="N79" s="24"/>
      <c r="P79" s="26"/>
      <c r="Q79" s="26"/>
      <c r="R79" s="24"/>
      <c r="T79" s="26"/>
      <c r="U79" s="26"/>
      <c r="V79" s="24"/>
      <c r="X79" s="26"/>
      <c r="Y79" s="26"/>
      <c r="Z79" s="24"/>
      <c r="AB79" s="26"/>
      <c r="AC79" s="26"/>
      <c r="AD79" s="24"/>
      <c r="AF79" s="26"/>
      <c r="AG79" s="26"/>
      <c r="AH79" s="24"/>
      <c r="AJ79" s="49"/>
      <c r="AK79" s="49"/>
      <c r="AL79" s="24"/>
      <c r="AN79" s="26"/>
      <c r="AO79" s="26"/>
      <c r="AP79" s="24"/>
      <c r="AR79" s="26"/>
      <c r="AS79" s="26"/>
      <c r="AT79" s="24"/>
      <c r="AV79" s="26"/>
      <c r="AW79" s="26"/>
      <c r="AX79" s="50"/>
      <c r="AZ79" s="26"/>
      <c r="BA79" s="26"/>
      <c r="BB79" s="24"/>
      <c r="BD79" s="25"/>
      <c r="BE79" s="25"/>
      <c r="BF79" s="24"/>
      <c r="BG79" s="23"/>
    </row>
    <row r="80" spans="10:59">
      <c r="L80" s="26"/>
      <c r="M80" s="26"/>
      <c r="N80" s="24"/>
      <c r="P80" s="26"/>
      <c r="Q80" s="26"/>
      <c r="R80" s="24"/>
      <c r="T80" s="26"/>
      <c r="U80" s="26"/>
      <c r="V80" s="24"/>
      <c r="X80" s="26"/>
      <c r="Y80" s="26"/>
      <c r="Z80" s="24"/>
      <c r="AB80" s="26"/>
      <c r="AC80" s="26"/>
      <c r="AD80" s="24"/>
      <c r="AF80" s="26"/>
      <c r="AG80" s="26"/>
      <c r="AH80" s="24"/>
      <c r="AJ80" s="49"/>
      <c r="AK80" s="49"/>
      <c r="AL80" s="24"/>
      <c r="AN80" s="26"/>
      <c r="AO80" s="26"/>
      <c r="AP80" s="24"/>
      <c r="AR80" s="26"/>
      <c r="AS80" s="26"/>
      <c r="AT80" s="24"/>
      <c r="AV80" s="26"/>
      <c r="AW80" s="26"/>
      <c r="AX80" s="50"/>
      <c r="AZ80" s="26"/>
      <c r="BA80" s="26"/>
      <c r="BB80" s="24"/>
      <c r="BD80" s="25"/>
      <c r="BE80" s="25"/>
      <c r="BF80" s="24"/>
      <c r="BG80" s="23"/>
    </row>
    <row r="81" spans="22:22">
      <c r="V81" s="26">
        <f>174-114</f>
        <v>60</v>
      </c>
    </row>
  </sheetData>
  <mergeCells count="62">
    <mergeCell ref="L60:U60"/>
    <mergeCell ref="L73:S73"/>
    <mergeCell ref="T73:U73"/>
    <mergeCell ref="O74:S74"/>
    <mergeCell ref="T74:U74"/>
    <mergeCell ref="H26:I26"/>
    <mergeCell ref="V31:AD31"/>
    <mergeCell ref="AD59:AE59"/>
    <mergeCell ref="H10:I10"/>
    <mergeCell ref="L31:S31"/>
    <mergeCell ref="L45:T45"/>
    <mergeCell ref="V45:AE45"/>
    <mergeCell ref="H12:BI12"/>
    <mergeCell ref="J13:M13"/>
    <mergeCell ref="N13:Q13"/>
    <mergeCell ref="R13:U13"/>
    <mergeCell ref="V13:Y13"/>
    <mergeCell ref="Z13:AC13"/>
    <mergeCell ref="AD13:AG13"/>
    <mergeCell ref="AH13:AK13"/>
    <mergeCell ref="BC27:BC28"/>
    <mergeCell ref="C15:C24"/>
    <mergeCell ref="H15:H23"/>
    <mergeCell ref="H24:I24"/>
    <mergeCell ref="D13:F13"/>
    <mergeCell ref="H13:I14"/>
    <mergeCell ref="C14:D14"/>
    <mergeCell ref="C2:F2"/>
    <mergeCell ref="H2:K2"/>
    <mergeCell ref="C6:C9"/>
    <mergeCell ref="H6:H9"/>
    <mergeCell ref="D4:F4"/>
    <mergeCell ref="H4:I5"/>
    <mergeCell ref="C5:D5"/>
    <mergeCell ref="N2:AZ2"/>
    <mergeCell ref="BB2:BI2"/>
    <mergeCell ref="H3:BI3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H27:BI27"/>
    <mergeCell ref="AL13:AO13"/>
    <mergeCell ref="AP13:AS13"/>
    <mergeCell ref="AT13:AW13"/>
    <mergeCell ref="AX13:BA13"/>
    <mergeCell ref="BB13:BE13"/>
    <mergeCell ref="BF13:BI13"/>
    <mergeCell ref="O58:R58"/>
    <mergeCell ref="S58:T58"/>
    <mergeCell ref="V58:AC58"/>
    <mergeCell ref="AD58:AE58"/>
    <mergeCell ref="Y59:AC59"/>
  </mergeCells>
  <conditionalFormatting sqref="M47:R56">
    <cfRule type="cellIs" dxfId="46" priority="2" operator="equal">
      <formula>0</formula>
    </cfRule>
  </conditionalFormatting>
  <conditionalFormatting sqref="M62:P71">
    <cfRule type="cellIs" dxfId="45" priority="1" operator="equal">
      <formula>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8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0">
    <pageSetUpPr fitToPage="1"/>
  </sheetPr>
  <dimension ref="A1:BI80"/>
  <sheetViews>
    <sheetView showGridLines="0" topLeftCell="I1" zoomScale="55" zoomScaleNormal="55" workbookViewId="0">
      <pane xSplit="1" topLeftCell="AF1" activePane="topRight" state="frozen"/>
      <selection activeCell="I1" sqref="I1"/>
      <selection pane="topRight" activeCell="BH28" sqref="BH28"/>
    </sheetView>
  </sheetViews>
  <sheetFormatPr defaultColWidth="9.140625" defaultRowHeight="15"/>
  <cols>
    <col min="1" max="2" width="9.140625" style="23" hidden="1" customWidth="1"/>
    <col min="3" max="3" width="14.5703125" style="23" hidden="1" customWidth="1"/>
    <col min="4" max="4" width="11.42578125" style="27" hidden="1" customWidth="1"/>
    <col min="5" max="5" width="6.85546875" style="27" hidden="1" customWidth="1"/>
    <col min="6" max="6" width="9.140625" style="27" hidden="1" customWidth="1"/>
    <col min="7" max="7" width="3.42578125" style="23" hidden="1" customWidth="1"/>
    <col min="8" max="8" width="6.140625" style="23" customWidth="1"/>
    <col min="9" max="9" width="20.140625" style="27" bestFit="1" customWidth="1"/>
    <col min="10" max="10" width="11.5703125" style="26" customWidth="1"/>
    <col min="11" max="11" width="9.140625" style="24" customWidth="1"/>
    <col min="12" max="12" width="15" style="24" bestFit="1" customWidth="1"/>
    <col min="13" max="13" width="12.85546875" style="24" customWidth="1"/>
    <col min="14" max="14" width="10.5703125" style="26" customWidth="1"/>
    <col min="15" max="15" width="10.28515625" style="24" customWidth="1"/>
    <col min="16" max="17" width="10.5703125" style="24" customWidth="1"/>
    <col min="18" max="18" width="8.5703125" style="26" customWidth="1"/>
    <col min="19" max="19" width="11.5703125" style="24" customWidth="1"/>
    <col min="20" max="20" width="14" style="24" bestFit="1" customWidth="1"/>
    <col min="21" max="21" width="13.140625" style="24" customWidth="1"/>
    <col min="22" max="22" width="13.7109375" style="26" bestFit="1" customWidth="1"/>
    <col min="23" max="23" width="11" style="24" bestFit="1" customWidth="1"/>
    <col min="24" max="25" width="9.7109375" style="24" customWidth="1"/>
    <col min="26" max="26" width="11" style="26" customWidth="1"/>
    <col min="27" max="27" width="12.42578125" style="24" customWidth="1"/>
    <col min="28" max="29" width="11.85546875" style="24" customWidth="1"/>
    <col min="30" max="30" width="11" style="26" bestFit="1" customWidth="1"/>
    <col min="31" max="31" width="11.7109375" style="24" bestFit="1" customWidth="1"/>
    <col min="32" max="32" width="10.5703125" style="24" bestFit="1" customWidth="1"/>
    <col min="33" max="33" width="10.5703125" style="24" customWidth="1"/>
    <col min="34" max="34" width="11.5703125" style="26" bestFit="1" customWidth="1"/>
    <col min="35" max="35" width="13.5703125" style="24" customWidth="1"/>
    <col min="36" max="37" width="11.5703125" style="24" customWidth="1"/>
    <col min="38" max="38" width="10.5703125" style="49" customWidth="1"/>
    <col min="39" max="39" width="9" style="24" customWidth="1"/>
    <col min="40" max="40" width="12" style="24" bestFit="1" customWidth="1"/>
    <col min="41" max="41" width="12" style="24" customWidth="1"/>
    <col min="42" max="42" width="8.42578125" style="26" customWidth="1"/>
    <col min="43" max="43" width="10" style="24" bestFit="1" customWidth="1"/>
    <col min="44" max="44" width="13.85546875" style="24" bestFit="1" customWidth="1"/>
    <col min="45" max="45" width="13.85546875" style="24" customWidth="1"/>
    <col min="46" max="46" width="11.7109375" style="26" customWidth="1"/>
    <col min="47" max="47" width="11.7109375" style="24" customWidth="1"/>
    <col min="48" max="48" width="10.5703125" style="24" bestFit="1" customWidth="1"/>
    <col min="49" max="49" width="10.5703125" style="24" customWidth="1"/>
    <col min="50" max="50" width="9.140625" style="26" bestFit="1" customWidth="1"/>
    <col min="51" max="51" width="9.140625" style="50" bestFit="1" customWidth="1"/>
    <col min="52" max="52" width="10.5703125" style="50" bestFit="1" customWidth="1"/>
    <col min="53" max="53" width="10.5703125" style="50" customWidth="1"/>
    <col min="54" max="54" width="10.7109375" style="26" bestFit="1" customWidth="1"/>
    <col min="55" max="55" width="12.85546875" style="24" bestFit="1" customWidth="1"/>
    <col min="56" max="56" width="10.5703125" style="24" bestFit="1" customWidth="1"/>
    <col min="57" max="57" width="10.5703125" style="24" customWidth="1"/>
    <col min="58" max="58" width="16" style="25" bestFit="1" customWidth="1"/>
    <col min="59" max="59" width="10.7109375" style="24" bestFit="1" customWidth="1"/>
    <col min="60" max="60" width="13" style="23" bestFit="1" customWidth="1"/>
    <col min="61" max="16384" width="9.140625" style="23"/>
  </cols>
  <sheetData>
    <row r="1" spans="3:61" ht="15" customHeight="1" thickBot="1"/>
    <row r="2" spans="3:61" ht="21.75" thickBot="1">
      <c r="C2" s="1899" t="s">
        <v>45</v>
      </c>
      <c r="D2" s="1900"/>
      <c r="E2" s="1900"/>
      <c r="F2" s="1901"/>
      <c r="H2" s="1915"/>
      <c r="I2" s="1567"/>
      <c r="J2" s="1567"/>
      <c r="K2" s="1567"/>
      <c r="L2" s="1020"/>
      <c r="M2" s="1020"/>
      <c r="N2" s="1916" t="s">
        <v>249</v>
      </c>
      <c r="O2" s="1916"/>
      <c r="P2" s="1916"/>
      <c r="Q2" s="1916"/>
      <c r="R2" s="1916"/>
      <c r="S2" s="1916"/>
      <c r="T2" s="1916"/>
      <c r="U2" s="1916"/>
      <c r="V2" s="1916"/>
      <c r="W2" s="1916"/>
      <c r="X2" s="1916"/>
      <c r="Y2" s="1916"/>
      <c r="Z2" s="1916"/>
      <c r="AA2" s="1916"/>
      <c r="AB2" s="1916"/>
      <c r="AC2" s="1916"/>
      <c r="AD2" s="1916"/>
      <c r="AE2" s="1916"/>
      <c r="AF2" s="1916"/>
      <c r="AG2" s="1916"/>
      <c r="AH2" s="1916"/>
      <c r="AI2" s="1916"/>
      <c r="AJ2" s="1916"/>
      <c r="AK2" s="1916"/>
      <c r="AL2" s="1916"/>
      <c r="AM2" s="1916"/>
      <c r="AN2" s="1916"/>
      <c r="AO2" s="1916"/>
      <c r="AP2" s="1916"/>
      <c r="AQ2" s="1916"/>
      <c r="AR2" s="1916"/>
      <c r="AS2" s="1916"/>
      <c r="AT2" s="1916"/>
      <c r="AU2" s="1916"/>
      <c r="AV2" s="1916"/>
      <c r="AW2" s="1916"/>
      <c r="AX2" s="1916"/>
      <c r="AY2" s="1916"/>
      <c r="AZ2" s="1916"/>
      <c r="BA2" s="1020"/>
      <c r="BB2" s="1902" t="s">
        <v>118</v>
      </c>
      <c r="BC2" s="1903"/>
      <c r="BD2" s="1903"/>
      <c r="BE2" s="1903"/>
      <c r="BF2" s="1903"/>
      <c r="BG2" s="1903"/>
      <c r="BH2" s="1903"/>
      <c r="BI2" s="1904"/>
    </row>
    <row r="3" spans="3:61" ht="19.5" thickBot="1">
      <c r="C3" s="1019"/>
      <c r="D3" s="1017"/>
      <c r="E3" s="1017"/>
      <c r="F3" s="1023"/>
      <c r="H3" s="1905" t="s">
        <v>115</v>
      </c>
      <c r="I3" s="1906"/>
      <c r="J3" s="1906"/>
      <c r="K3" s="1906"/>
      <c r="L3" s="1906"/>
      <c r="M3" s="1906"/>
      <c r="N3" s="1906"/>
      <c r="O3" s="1906"/>
      <c r="P3" s="1906"/>
      <c r="Q3" s="1906"/>
      <c r="R3" s="1906"/>
      <c r="S3" s="1906"/>
      <c r="T3" s="1906"/>
      <c r="U3" s="1906"/>
      <c r="V3" s="1906"/>
      <c r="W3" s="1906"/>
      <c r="X3" s="1906"/>
      <c r="Y3" s="1906"/>
      <c r="Z3" s="1906"/>
      <c r="AA3" s="1906"/>
      <c r="AB3" s="1906"/>
      <c r="AC3" s="1906"/>
      <c r="AD3" s="1906"/>
      <c r="AE3" s="1906"/>
      <c r="AF3" s="1906"/>
      <c r="AG3" s="1906"/>
      <c r="AH3" s="1906"/>
      <c r="AI3" s="1906"/>
      <c r="AJ3" s="1906"/>
      <c r="AK3" s="1906"/>
      <c r="AL3" s="1906"/>
      <c r="AM3" s="1906"/>
      <c r="AN3" s="1906"/>
      <c r="AO3" s="1906"/>
      <c r="AP3" s="1906"/>
      <c r="AQ3" s="1906"/>
      <c r="AR3" s="1906"/>
      <c r="AS3" s="1906"/>
      <c r="AT3" s="1906"/>
      <c r="AU3" s="1906"/>
      <c r="AV3" s="1906"/>
      <c r="AW3" s="1906"/>
      <c r="AX3" s="1906"/>
      <c r="AY3" s="1906"/>
      <c r="AZ3" s="1906"/>
      <c r="BA3" s="1906"/>
      <c r="BB3" s="1906"/>
      <c r="BC3" s="1906"/>
      <c r="BD3" s="1906"/>
      <c r="BE3" s="1906"/>
      <c r="BF3" s="1906"/>
      <c r="BG3" s="1906"/>
      <c r="BH3" s="1906"/>
      <c r="BI3" s="1907"/>
    </row>
    <row r="4" spans="3:61" ht="18.75">
      <c r="C4" s="37" t="s">
        <v>44</v>
      </c>
      <c r="D4" s="1869"/>
      <c r="E4" s="1869"/>
      <c r="F4" s="1870"/>
      <c r="H4" s="1908" t="s">
        <v>33</v>
      </c>
      <c r="I4" s="1909"/>
      <c r="J4" s="1871" t="s">
        <v>43</v>
      </c>
      <c r="K4" s="1872"/>
      <c r="L4" s="1872"/>
      <c r="M4" s="1873"/>
      <c r="N4" s="1871" t="s">
        <v>42</v>
      </c>
      <c r="O4" s="1872"/>
      <c r="P4" s="1872"/>
      <c r="Q4" s="1873"/>
      <c r="R4" s="1871" t="s">
        <v>41</v>
      </c>
      <c r="S4" s="1872"/>
      <c r="T4" s="1872"/>
      <c r="U4" s="1873"/>
      <c r="V4" s="1871" t="s">
        <v>40</v>
      </c>
      <c r="W4" s="1872"/>
      <c r="X4" s="1872"/>
      <c r="Y4" s="1873"/>
      <c r="Z4" s="1871" t="s">
        <v>39</v>
      </c>
      <c r="AA4" s="1872"/>
      <c r="AB4" s="1872"/>
      <c r="AC4" s="1873"/>
      <c r="AD4" s="1871" t="s">
        <v>38</v>
      </c>
      <c r="AE4" s="1872"/>
      <c r="AF4" s="1872"/>
      <c r="AG4" s="1873"/>
      <c r="AH4" s="1874" t="s">
        <v>122</v>
      </c>
      <c r="AI4" s="1875"/>
      <c r="AJ4" s="1875"/>
      <c r="AK4" s="1876"/>
      <c r="AL4" s="1871" t="s">
        <v>37</v>
      </c>
      <c r="AM4" s="1872"/>
      <c r="AN4" s="1872"/>
      <c r="AO4" s="1873"/>
      <c r="AP4" s="1871" t="s">
        <v>36</v>
      </c>
      <c r="AQ4" s="1872"/>
      <c r="AR4" s="1872"/>
      <c r="AS4" s="1873"/>
      <c r="AT4" s="1871" t="s">
        <v>35</v>
      </c>
      <c r="AU4" s="1872"/>
      <c r="AV4" s="1872"/>
      <c r="AW4" s="1873"/>
      <c r="AX4" s="1871" t="s">
        <v>34</v>
      </c>
      <c r="AY4" s="1872"/>
      <c r="AZ4" s="1872"/>
      <c r="BA4" s="1873"/>
      <c r="BB4" s="1874" t="s">
        <v>123</v>
      </c>
      <c r="BC4" s="1875"/>
      <c r="BD4" s="1875"/>
      <c r="BE4" s="1876"/>
      <c r="BF4" s="1877" t="s">
        <v>17</v>
      </c>
      <c r="BG4" s="1878"/>
      <c r="BH4" s="1878"/>
      <c r="BI4" s="1878"/>
    </row>
    <row r="5" spans="3:61" ht="15.75" customHeight="1">
      <c r="C5" s="1879" t="s">
        <v>33</v>
      </c>
      <c r="D5" s="1869"/>
      <c r="E5" s="1017" t="s">
        <v>1</v>
      </c>
      <c r="F5" s="1023" t="s">
        <v>2</v>
      </c>
      <c r="H5" s="1910"/>
      <c r="I5" s="1911"/>
      <c r="J5" s="36" t="s">
        <v>1</v>
      </c>
      <c r="K5" s="271" t="s">
        <v>2</v>
      </c>
      <c r="L5" s="693" t="s">
        <v>182</v>
      </c>
      <c r="M5" s="35" t="s">
        <v>247</v>
      </c>
      <c r="N5" s="36" t="s">
        <v>1</v>
      </c>
      <c r="O5" s="271" t="s">
        <v>2</v>
      </c>
      <c r="P5" s="693" t="s">
        <v>182</v>
      </c>
      <c r="Q5" s="35" t="s">
        <v>247</v>
      </c>
      <c r="R5" s="36" t="s">
        <v>1</v>
      </c>
      <c r="S5" s="271" t="s">
        <v>2</v>
      </c>
      <c r="T5" s="693" t="s">
        <v>182</v>
      </c>
      <c r="U5" s="35" t="s">
        <v>247</v>
      </c>
      <c r="V5" s="36" t="s">
        <v>1</v>
      </c>
      <c r="W5" s="271" t="s">
        <v>2</v>
      </c>
      <c r="X5" s="693" t="s">
        <v>182</v>
      </c>
      <c r="Y5" s="35" t="s">
        <v>247</v>
      </c>
      <c r="Z5" s="36" t="s">
        <v>1</v>
      </c>
      <c r="AA5" s="271" t="s">
        <v>2</v>
      </c>
      <c r="AB5" s="693" t="s">
        <v>182</v>
      </c>
      <c r="AC5" s="35" t="s">
        <v>247</v>
      </c>
      <c r="AD5" s="36" t="s">
        <v>1</v>
      </c>
      <c r="AE5" s="271" t="s">
        <v>2</v>
      </c>
      <c r="AF5" s="693" t="s">
        <v>182</v>
      </c>
      <c r="AG5" s="35" t="s">
        <v>247</v>
      </c>
      <c r="AH5" s="36" t="s">
        <v>1</v>
      </c>
      <c r="AI5" s="271" t="s">
        <v>2</v>
      </c>
      <c r="AJ5" s="271" t="s">
        <v>182</v>
      </c>
      <c r="AK5" s="690" t="s">
        <v>196</v>
      </c>
      <c r="AL5" s="36" t="s">
        <v>1</v>
      </c>
      <c r="AM5" s="271" t="s">
        <v>2</v>
      </c>
      <c r="AN5" s="693" t="s">
        <v>182</v>
      </c>
      <c r="AO5" s="35" t="s">
        <v>247</v>
      </c>
      <c r="AP5" s="36" t="s">
        <v>1</v>
      </c>
      <c r="AQ5" s="271" t="s">
        <v>2</v>
      </c>
      <c r="AR5" s="693" t="s">
        <v>182</v>
      </c>
      <c r="AS5" s="35" t="s">
        <v>247</v>
      </c>
      <c r="AT5" s="36" t="s">
        <v>1</v>
      </c>
      <c r="AU5" s="271" t="s">
        <v>2</v>
      </c>
      <c r="AV5" s="693" t="s">
        <v>182</v>
      </c>
      <c r="AW5" s="35" t="s">
        <v>247</v>
      </c>
      <c r="AX5" s="36" t="s">
        <v>1</v>
      </c>
      <c r="AY5" s="271" t="s">
        <v>2</v>
      </c>
      <c r="AZ5" s="693" t="s">
        <v>182</v>
      </c>
      <c r="BA5" s="35" t="s">
        <v>247</v>
      </c>
      <c r="BB5" s="36" t="s">
        <v>1</v>
      </c>
      <c r="BC5" s="271" t="s">
        <v>2</v>
      </c>
      <c r="BD5" s="271" t="s">
        <v>182</v>
      </c>
      <c r="BE5" s="690" t="s">
        <v>196</v>
      </c>
      <c r="BF5" s="274" t="s">
        <v>1</v>
      </c>
      <c r="BG5" s="275" t="s">
        <v>2</v>
      </c>
      <c r="BH5" s="275" t="s">
        <v>182</v>
      </c>
      <c r="BI5" s="698" t="s">
        <v>196</v>
      </c>
    </row>
    <row r="6" spans="3:61" s="28" customFormat="1" ht="20.100000000000001" customHeight="1">
      <c r="C6" s="1879" t="s">
        <v>19</v>
      </c>
      <c r="D6" s="1017" t="s">
        <v>32</v>
      </c>
      <c r="E6" s="1017"/>
      <c r="F6" s="1018"/>
      <c r="H6" s="1886" t="s">
        <v>32</v>
      </c>
      <c r="I6" s="33" t="s">
        <v>32</v>
      </c>
      <c r="J6" s="462">
        <v>30</v>
      </c>
      <c r="K6" s="463">
        <v>9</v>
      </c>
      <c r="L6" s="463">
        <v>9</v>
      </c>
      <c r="M6" s="691"/>
      <c r="N6" s="462">
        <v>12</v>
      </c>
      <c r="O6" s="463">
        <f>3.15+3</f>
        <v>6.15</v>
      </c>
      <c r="P6" s="463">
        <v>3.15</v>
      </c>
      <c r="Q6" s="691"/>
      <c r="R6" s="462"/>
      <c r="S6" s="463">
        <v>40</v>
      </c>
      <c r="T6" s="463">
        <v>40</v>
      </c>
      <c r="U6" s="691"/>
      <c r="V6" s="462">
        <v>28</v>
      </c>
      <c r="W6" s="463">
        <f>20+6+2.5</f>
        <v>28.5</v>
      </c>
      <c r="X6" s="463">
        <v>28.5</v>
      </c>
      <c r="Y6" s="691"/>
      <c r="Z6" s="462"/>
      <c r="AA6" s="463"/>
      <c r="AB6" s="463"/>
      <c r="AC6" s="691"/>
      <c r="AD6" s="462">
        <v>25</v>
      </c>
      <c r="AE6" s="463">
        <v>20</v>
      </c>
      <c r="AF6" s="463">
        <v>20</v>
      </c>
      <c r="AG6" s="691"/>
      <c r="AH6" s="128">
        <f>J6+N6+R6+V6+Z6+AD6</f>
        <v>95</v>
      </c>
      <c r="AI6" s="273">
        <f>K6+O6+S6+W6+AA6+AE6</f>
        <v>103.65</v>
      </c>
      <c r="AJ6" s="273">
        <f>L6+P6+T6+X6+AB6+AF6</f>
        <v>100.65</v>
      </c>
      <c r="AK6" s="694">
        <f>M6+Q6+U6+Y6+AC6+AG6</f>
        <v>0</v>
      </c>
      <c r="AL6" s="462">
        <v>11</v>
      </c>
      <c r="AM6" s="463">
        <v>5.5</v>
      </c>
      <c r="AN6" s="463">
        <v>5.5</v>
      </c>
      <c r="AO6" s="691"/>
      <c r="AP6" s="462">
        <v>25</v>
      </c>
      <c r="AQ6" s="463">
        <v>27.36</v>
      </c>
      <c r="AR6" s="463">
        <v>27.36</v>
      </c>
      <c r="AS6" s="691"/>
      <c r="AT6" s="462">
        <v>15</v>
      </c>
      <c r="AU6" s="463">
        <v>14</v>
      </c>
      <c r="AV6" s="463">
        <v>2</v>
      </c>
      <c r="AW6" s="691"/>
      <c r="AX6" s="462"/>
      <c r="AY6" s="463"/>
      <c r="AZ6" s="463"/>
      <c r="BA6" s="691"/>
      <c r="BB6" s="128">
        <f>AL6+AP6+AT6+AX6</f>
        <v>51</v>
      </c>
      <c r="BC6" s="273">
        <f>AM6+AQ6+AU6+AY6</f>
        <v>46.86</v>
      </c>
      <c r="BD6" s="273">
        <f>AN6+AR6+AV6+AZ6</f>
        <v>34.86</v>
      </c>
      <c r="BE6" s="273">
        <f>AO6+AS6+AW6+BA6</f>
        <v>0</v>
      </c>
      <c r="BF6" s="276">
        <f>AH6+BB6</f>
        <v>146</v>
      </c>
      <c r="BG6" s="277">
        <f>AI6+BC6</f>
        <v>150.51</v>
      </c>
      <c r="BH6" s="701">
        <f>AJ6+BD6</f>
        <v>135.51</v>
      </c>
      <c r="BI6" s="699">
        <f>AK6+BE6</f>
        <v>0</v>
      </c>
    </row>
    <row r="7" spans="3:61" s="28" customFormat="1" ht="20.100000000000001" customHeight="1">
      <c r="C7" s="1879"/>
      <c r="D7" s="1017" t="s">
        <v>31</v>
      </c>
      <c r="E7" s="1017"/>
      <c r="F7" s="1018"/>
      <c r="H7" s="1887"/>
      <c r="I7" s="33" t="s">
        <v>31</v>
      </c>
      <c r="J7" s="462"/>
      <c r="K7" s="463"/>
      <c r="L7" s="463"/>
      <c r="M7" s="691"/>
      <c r="N7" s="462"/>
      <c r="O7" s="463"/>
      <c r="P7" s="463"/>
      <c r="Q7" s="691"/>
      <c r="R7" s="462"/>
      <c r="S7" s="463"/>
      <c r="T7" s="463"/>
      <c r="U7" s="691"/>
      <c r="V7" s="462"/>
      <c r="W7" s="463"/>
      <c r="X7" s="463"/>
      <c r="Y7" s="691"/>
      <c r="Z7" s="462"/>
      <c r="AA7" s="463"/>
      <c r="AB7" s="463"/>
      <c r="AC7" s="691"/>
      <c r="AD7" s="462"/>
      <c r="AE7" s="463"/>
      <c r="AF7" s="463"/>
      <c r="AG7" s="691"/>
      <c r="AH7" s="128">
        <f t="shared" ref="AH7:AK9" si="0">J7+N7+R7+V7+Z7+AD7</f>
        <v>0</v>
      </c>
      <c r="AI7" s="273">
        <f t="shared" si="0"/>
        <v>0</v>
      </c>
      <c r="AJ7" s="273">
        <f t="shared" si="0"/>
        <v>0</v>
      </c>
      <c r="AK7" s="694">
        <f t="shared" si="0"/>
        <v>0</v>
      </c>
      <c r="AL7" s="462"/>
      <c r="AM7" s="463"/>
      <c r="AN7" s="463"/>
      <c r="AO7" s="691"/>
      <c r="AP7" s="462"/>
      <c r="AQ7" s="463"/>
      <c r="AR7" s="463"/>
      <c r="AS7" s="691"/>
      <c r="AT7" s="462"/>
      <c r="AU7" s="463"/>
      <c r="AV7" s="463"/>
      <c r="AW7" s="691"/>
      <c r="AX7" s="462"/>
      <c r="AY7" s="463">
        <v>6</v>
      </c>
      <c r="AZ7" s="463">
        <v>6</v>
      </c>
      <c r="BA7" s="691"/>
      <c r="BB7" s="128">
        <f t="shared" ref="BB7:BE9" si="1">AL7+AP7+AT7+AX7</f>
        <v>0</v>
      </c>
      <c r="BC7" s="273">
        <f t="shared" si="1"/>
        <v>6</v>
      </c>
      <c r="BD7" s="273">
        <f t="shared" si="1"/>
        <v>6</v>
      </c>
      <c r="BE7" s="273">
        <f t="shared" si="1"/>
        <v>0</v>
      </c>
      <c r="BF7" s="276">
        <f t="shared" ref="BF7:BI9" si="2">AH7+BB7</f>
        <v>0</v>
      </c>
      <c r="BG7" s="277">
        <f t="shared" si="2"/>
        <v>6</v>
      </c>
      <c r="BH7" s="277">
        <f t="shared" si="2"/>
        <v>6</v>
      </c>
      <c r="BI7" s="699">
        <f t="shared" si="2"/>
        <v>0</v>
      </c>
    </row>
    <row r="8" spans="3:61" s="28" customFormat="1" ht="20.100000000000001" customHeight="1">
      <c r="C8" s="1879"/>
      <c r="D8" s="1017" t="s">
        <v>30</v>
      </c>
      <c r="E8" s="1017"/>
      <c r="F8" s="1018"/>
      <c r="H8" s="1887"/>
      <c r="I8" s="33" t="s">
        <v>30</v>
      </c>
      <c r="J8" s="462"/>
      <c r="K8" s="463">
        <v>5.48</v>
      </c>
      <c r="L8" s="463">
        <v>5.48</v>
      </c>
      <c r="M8" s="691"/>
      <c r="N8" s="462"/>
      <c r="O8" s="463"/>
      <c r="P8" s="463"/>
      <c r="Q8" s="691"/>
      <c r="R8" s="462"/>
      <c r="S8" s="463"/>
      <c r="T8" s="463"/>
      <c r="U8" s="691"/>
      <c r="V8" s="462"/>
      <c r="W8" s="463"/>
      <c r="X8" s="463"/>
      <c r="Y8" s="691"/>
      <c r="Z8" s="462"/>
      <c r="AA8" s="463"/>
      <c r="AB8" s="463"/>
      <c r="AC8" s="691"/>
      <c r="AD8" s="462"/>
      <c r="AE8" s="463"/>
      <c r="AF8" s="463"/>
      <c r="AG8" s="691"/>
      <c r="AH8" s="128">
        <f t="shared" si="0"/>
        <v>0</v>
      </c>
      <c r="AI8" s="273">
        <f t="shared" si="0"/>
        <v>5.48</v>
      </c>
      <c r="AJ8" s="273">
        <f t="shared" si="0"/>
        <v>5.48</v>
      </c>
      <c r="AK8" s="694">
        <f t="shared" si="0"/>
        <v>0</v>
      </c>
      <c r="AL8" s="462"/>
      <c r="AM8" s="463"/>
      <c r="AN8" s="463"/>
      <c r="AO8" s="691"/>
      <c r="AP8" s="462"/>
      <c r="AQ8" s="463"/>
      <c r="AR8" s="463"/>
      <c r="AS8" s="691"/>
      <c r="AT8" s="462">
        <v>5</v>
      </c>
      <c r="AU8" s="463"/>
      <c r="AV8" s="463"/>
      <c r="AW8" s="691"/>
      <c r="AX8" s="462"/>
      <c r="AY8" s="463"/>
      <c r="AZ8" s="463">
        <v>0</v>
      </c>
      <c r="BA8" s="691"/>
      <c r="BB8" s="128">
        <f t="shared" si="1"/>
        <v>5</v>
      </c>
      <c r="BC8" s="273">
        <f t="shared" si="1"/>
        <v>0</v>
      </c>
      <c r="BD8" s="273">
        <f t="shared" si="1"/>
        <v>0</v>
      </c>
      <c r="BE8" s="273">
        <f t="shared" si="1"/>
        <v>0</v>
      </c>
      <c r="BF8" s="276">
        <f t="shared" si="2"/>
        <v>5</v>
      </c>
      <c r="BG8" s="277">
        <f t="shared" si="2"/>
        <v>5.48</v>
      </c>
      <c r="BH8" s="277">
        <f t="shared" si="2"/>
        <v>5.48</v>
      </c>
      <c r="BI8" s="699">
        <f t="shared" si="2"/>
        <v>0</v>
      </c>
    </row>
    <row r="9" spans="3:61" s="28" customFormat="1" ht="20.100000000000001" customHeight="1">
      <c r="C9" s="1885"/>
      <c r="D9" s="1017" t="s">
        <v>29</v>
      </c>
      <c r="E9" s="1017"/>
      <c r="F9" s="1018"/>
      <c r="H9" s="1887"/>
      <c r="I9" s="33" t="s">
        <v>109</v>
      </c>
      <c r="J9" s="462">
        <v>20</v>
      </c>
      <c r="K9" s="463">
        <v>1</v>
      </c>
      <c r="L9" s="463">
        <v>1</v>
      </c>
      <c r="M9" s="691"/>
      <c r="N9" s="462"/>
      <c r="O9" s="463"/>
      <c r="P9" s="463"/>
      <c r="Q9" s="691"/>
      <c r="R9" s="462"/>
      <c r="S9" s="463"/>
      <c r="T9" s="463"/>
      <c r="U9" s="691"/>
      <c r="V9" s="462"/>
      <c r="W9" s="463"/>
      <c r="X9" s="463"/>
      <c r="Y9" s="691"/>
      <c r="Z9" s="462"/>
      <c r="AA9" s="463"/>
      <c r="AB9" s="463"/>
      <c r="AC9" s="691"/>
      <c r="AD9" s="462"/>
      <c r="AE9" s="463"/>
      <c r="AF9" s="463"/>
      <c r="AG9" s="691"/>
      <c r="AH9" s="128">
        <f t="shared" si="0"/>
        <v>20</v>
      </c>
      <c r="AI9" s="273">
        <f t="shared" si="0"/>
        <v>1</v>
      </c>
      <c r="AJ9" s="273">
        <f t="shared" si="0"/>
        <v>1</v>
      </c>
      <c r="AK9" s="694">
        <f t="shared" si="0"/>
        <v>0</v>
      </c>
      <c r="AL9" s="462"/>
      <c r="AM9" s="463"/>
      <c r="AN9" s="463"/>
      <c r="AO9" s="691"/>
      <c r="AP9" s="462"/>
      <c r="AQ9" s="463"/>
      <c r="AR9" s="463"/>
      <c r="AS9" s="691"/>
      <c r="AT9" s="462"/>
      <c r="AU9" s="463"/>
      <c r="AV9" s="463"/>
      <c r="AW9" s="691"/>
      <c r="AX9" s="462"/>
      <c r="AY9" s="463">
        <v>0.5</v>
      </c>
      <c r="AZ9" s="463">
        <v>0.5</v>
      </c>
      <c r="BA9" s="691"/>
      <c r="BB9" s="128">
        <f t="shared" si="1"/>
        <v>0</v>
      </c>
      <c r="BC9" s="273">
        <f t="shared" si="1"/>
        <v>0.5</v>
      </c>
      <c r="BD9" s="273">
        <f t="shared" si="1"/>
        <v>0.5</v>
      </c>
      <c r="BE9" s="273">
        <f t="shared" si="1"/>
        <v>0</v>
      </c>
      <c r="BF9" s="276">
        <f t="shared" si="2"/>
        <v>20</v>
      </c>
      <c r="BG9" s="277">
        <f t="shared" si="2"/>
        <v>1.5</v>
      </c>
      <c r="BH9" s="277">
        <f t="shared" si="2"/>
        <v>1.5</v>
      </c>
      <c r="BI9" s="699">
        <f t="shared" si="2"/>
        <v>0</v>
      </c>
    </row>
    <row r="10" spans="3:61" s="28" customFormat="1" ht="19.5" customHeight="1" thickBot="1">
      <c r="C10" s="32"/>
      <c r="D10" s="31" t="s">
        <v>18</v>
      </c>
      <c r="E10" s="31"/>
      <c r="F10" s="30"/>
      <c r="H10" s="1865" t="s">
        <v>47</v>
      </c>
      <c r="I10" s="1866"/>
      <c r="J10" s="118">
        <f t="shared" ref="J10:BG10" si="3">SUM(J6:J9)</f>
        <v>50</v>
      </c>
      <c r="K10" s="272">
        <f t="shared" si="3"/>
        <v>15.48</v>
      </c>
      <c r="L10" s="272">
        <f t="shared" si="3"/>
        <v>15.48</v>
      </c>
      <c r="M10" s="272">
        <f t="shared" si="3"/>
        <v>0</v>
      </c>
      <c r="N10" s="118">
        <f t="shared" si="3"/>
        <v>12</v>
      </c>
      <c r="O10" s="272">
        <f t="shared" si="3"/>
        <v>6.15</v>
      </c>
      <c r="P10" s="272">
        <f t="shared" si="3"/>
        <v>3.15</v>
      </c>
      <c r="Q10" s="272">
        <f t="shared" si="3"/>
        <v>0</v>
      </c>
      <c r="R10" s="118">
        <f t="shared" si="3"/>
        <v>0</v>
      </c>
      <c r="S10" s="272">
        <f t="shared" si="3"/>
        <v>40</v>
      </c>
      <c r="T10" s="272">
        <f t="shared" si="3"/>
        <v>40</v>
      </c>
      <c r="U10" s="272">
        <f t="shared" si="3"/>
        <v>0</v>
      </c>
      <c r="V10" s="118">
        <f t="shared" si="3"/>
        <v>28</v>
      </c>
      <c r="W10" s="272">
        <f t="shared" si="3"/>
        <v>28.5</v>
      </c>
      <c r="X10" s="272">
        <f t="shared" si="3"/>
        <v>28.5</v>
      </c>
      <c r="Y10" s="272">
        <f t="shared" si="3"/>
        <v>0</v>
      </c>
      <c r="Z10" s="118">
        <f t="shared" si="3"/>
        <v>0</v>
      </c>
      <c r="AA10" s="272">
        <f t="shared" si="3"/>
        <v>0</v>
      </c>
      <c r="AB10" s="272">
        <f t="shared" si="3"/>
        <v>0</v>
      </c>
      <c r="AC10" s="272">
        <f t="shared" si="3"/>
        <v>0</v>
      </c>
      <c r="AD10" s="118">
        <f t="shared" si="3"/>
        <v>25</v>
      </c>
      <c r="AE10" s="272">
        <f t="shared" si="3"/>
        <v>20</v>
      </c>
      <c r="AF10" s="272">
        <f t="shared" si="3"/>
        <v>20</v>
      </c>
      <c r="AG10" s="272">
        <f t="shared" si="3"/>
        <v>0</v>
      </c>
      <c r="AH10" s="118">
        <f t="shared" si="3"/>
        <v>115</v>
      </c>
      <c r="AI10" s="272">
        <f t="shared" si="3"/>
        <v>110.13000000000001</v>
      </c>
      <c r="AJ10" s="272">
        <f>SUM(AJ6:AJ9)</f>
        <v>107.13000000000001</v>
      </c>
      <c r="AK10" s="695">
        <f>SUM(AK6:AK9)</f>
        <v>0</v>
      </c>
      <c r="AL10" s="118">
        <f t="shared" si="3"/>
        <v>11</v>
      </c>
      <c r="AM10" s="272">
        <f t="shared" si="3"/>
        <v>5.5</v>
      </c>
      <c r="AN10" s="272">
        <f t="shared" si="3"/>
        <v>5.5</v>
      </c>
      <c r="AO10" s="272">
        <f t="shared" si="3"/>
        <v>0</v>
      </c>
      <c r="AP10" s="118">
        <f t="shared" si="3"/>
        <v>25</v>
      </c>
      <c r="AQ10" s="272">
        <f t="shared" si="3"/>
        <v>27.36</v>
      </c>
      <c r="AR10" s="272">
        <f t="shared" si="3"/>
        <v>27.36</v>
      </c>
      <c r="AS10" s="272">
        <f t="shared" si="3"/>
        <v>0</v>
      </c>
      <c r="AT10" s="118">
        <f t="shared" si="3"/>
        <v>20</v>
      </c>
      <c r="AU10" s="272">
        <f t="shared" si="3"/>
        <v>14</v>
      </c>
      <c r="AV10" s="272">
        <f t="shared" si="3"/>
        <v>2</v>
      </c>
      <c r="AW10" s="272">
        <f t="shared" si="3"/>
        <v>0</v>
      </c>
      <c r="AX10" s="118">
        <f t="shared" si="3"/>
        <v>0</v>
      </c>
      <c r="AY10" s="272">
        <f t="shared" si="3"/>
        <v>6.5</v>
      </c>
      <c r="AZ10" s="272">
        <f t="shared" si="3"/>
        <v>6.5</v>
      </c>
      <c r="BA10" s="272">
        <f t="shared" si="3"/>
        <v>0</v>
      </c>
      <c r="BB10" s="118">
        <f t="shared" si="3"/>
        <v>56</v>
      </c>
      <c r="BC10" s="272">
        <f t="shared" si="3"/>
        <v>53.36</v>
      </c>
      <c r="BD10" s="272">
        <f t="shared" si="3"/>
        <v>41.36</v>
      </c>
      <c r="BE10" s="272">
        <f t="shared" si="3"/>
        <v>0</v>
      </c>
      <c r="BF10" s="278">
        <f t="shared" si="3"/>
        <v>171</v>
      </c>
      <c r="BG10" s="279">
        <f t="shared" si="3"/>
        <v>163.48999999999998</v>
      </c>
      <c r="BH10" s="702">
        <f>AJ10+BD10</f>
        <v>148.49</v>
      </c>
      <c r="BI10" s="700">
        <f>AK10+BE10</f>
        <v>0</v>
      </c>
    </row>
    <row r="11" spans="3:61" s="119" customFormat="1" ht="5.25" customHeight="1">
      <c r="D11" s="120"/>
      <c r="E11" s="120"/>
      <c r="F11" s="120"/>
      <c r="H11" s="122"/>
      <c r="I11" s="122"/>
      <c r="J11" s="125"/>
      <c r="K11" s="126"/>
      <c r="L11" s="126"/>
      <c r="M11" s="126"/>
      <c r="N11" s="125"/>
      <c r="O11" s="126"/>
      <c r="P11" s="126"/>
      <c r="Q11" s="126"/>
      <c r="R11" s="125"/>
      <c r="S11" s="126"/>
      <c r="T11" s="126"/>
      <c r="U11" s="126"/>
      <c r="V11" s="125"/>
      <c r="W11" s="126"/>
      <c r="X11" s="126"/>
      <c r="Y11" s="126"/>
      <c r="Z11" s="125"/>
      <c r="AA11" s="126"/>
      <c r="AB11" s="126"/>
      <c r="AC11" s="126"/>
      <c r="AD11" s="125"/>
      <c r="AE11" s="126"/>
      <c r="AF11" s="126"/>
      <c r="AG11" s="126"/>
      <c r="AH11" s="125"/>
      <c r="AI11" s="126"/>
      <c r="AJ11" s="126"/>
      <c r="AK11" s="126"/>
      <c r="AL11" s="125"/>
      <c r="AM11" s="126"/>
      <c r="AN11" s="126"/>
      <c r="AO11" s="126"/>
      <c r="AP11" s="125"/>
      <c r="AQ11" s="126"/>
      <c r="AR11" s="126"/>
      <c r="AS11" s="126"/>
      <c r="AT11" s="125"/>
      <c r="AU11" s="126"/>
      <c r="AV11" s="126"/>
      <c r="AW11" s="126"/>
      <c r="AX11" s="125"/>
      <c r="AY11" s="126"/>
      <c r="AZ11" s="126"/>
      <c r="BA11" s="126"/>
      <c r="BB11" s="125"/>
      <c r="BC11" s="126"/>
      <c r="BD11" s="126"/>
      <c r="BE11" s="126"/>
      <c r="BF11" s="125"/>
      <c r="BG11" s="126"/>
    </row>
    <row r="12" spans="3:61" ht="19.5" thickBot="1">
      <c r="C12" s="1019"/>
      <c r="D12" s="1017"/>
      <c r="E12" s="1017"/>
      <c r="F12" s="1023"/>
      <c r="H12" s="1867" t="s">
        <v>114</v>
      </c>
      <c r="I12" s="1868"/>
      <c r="J12" s="1868"/>
      <c r="K12" s="1868"/>
      <c r="L12" s="1868"/>
      <c r="M12" s="1868"/>
      <c r="N12" s="1868"/>
      <c r="O12" s="1868"/>
      <c r="P12" s="1868"/>
      <c r="Q12" s="1868"/>
      <c r="R12" s="1868"/>
      <c r="S12" s="1868"/>
      <c r="T12" s="1868"/>
      <c r="U12" s="1868"/>
      <c r="V12" s="1868"/>
      <c r="W12" s="1868"/>
      <c r="X12" s="1868"/>
      <c r="Y12" s="1868"/>
      <c r="Z12" s="1868"/>
      <c r="AA12" s="1868"/>
      <c r="AB12" s="1868"/>
      <c r="AC12" s="1868"/>
      <c r="AD12" s="1868"/>
      <c r="AE12" s="1868"/>
      <c r="AF12" s="1868"/>
      <c r="AG12" s="1868"/>
      <c r="AH12" s="1868"/>
      <c r="AI12" s="1868"/>
      <c r="AJ12" s="1868"/>
      <c r="AK12" s="1868"/>
      <c r="AL12" s="1868"/>
      <c r="AM12" s="1868"/>
      <c r="AN12" s="1868"/>
      <c r="AO12" s="1868"/>
      <c r="AP12" s="1868"/>
      <c r="AQ12" s="1868"/>
      <c r="AR12" s="1868"/>
      <c r="AS12" s="1868"/>
      <c r="AT12" s="1868"/>
      <c r="AU12" s="1868"/>
      <c r="AV12" s="1868"/>
      <c r="AW12" s="1868"/>
      <c r="AX12" s="1868"/>
      <c r="AY12" s="1868"/>
      <c r="AZ12" s="1868"/>
      <c r="BA12" s="1868"/>
      <c r="BB12" s="1868"/>
      <c r="BC12" s="1868"/>
      <c r="BD12" s="1868"/>
      <c r="BE12" s="1868"/>
      <c r="BF12" s="1868"/>
      <c r="BG12" s="1868"/>
      <c r="BH12" s="1868"/>
      <c r="BI12" s="1868"/>
    </row>
    <row r="13" spans="3:61" ht="18.75" customHeight="1">
      <c r="C13" s="37" t="s">
        <v>44</v>
      </c>
      <c r="D13" s="1869"/>
      <c r="E13" s="1869"/>
      <c r="F13" s="1870"/>
      <c r="H13" s="1895" t="s">
        <v>117</v>
      </c>
      <c r="I13" s="1896"/>
      <c r="J13" s="1890" t="s">
        <v>43</v>
      </c>
      <c r="K13" s="1891"/>
      <c r="L13" s="1891"/>
      <c r="M13" s="1892"/>
      <c r="N13" s="1890" t="s">
        <v>42</v>
      </c>
      <c r="O13" s="1891"/>
      <c r="P13" s="1891"/>
      <c r="Q13" s="1892"/>
      <c r="R13" s="1890" t="s">
        <v>41</v>
      </c>
      <c r="S13" s="1891"/>
      <c r="T13" s="1891"/>
      <c r="U13" s="1892"/>
      <c r="V13" s="1890" t="s">
        <v>40</v>
      </c>
      <c r="W13" s="1891"/>
      <c r="X13" s="1891"/>
      <c r="Y13" s="1892"/>
      <c r="Z13" s="1890" t="s">
        <v>39</v>
      </c>
      <c r="AA13" s="1891"/>
      <c r="AB13" s="1891"/>
      <c r="AC13" s="1892"/>
      <c r="AD13" s="1890" t="s">
        <v>38</v>
      </c>
      <c r="AE13" s="1891"/>
      <c r="AF13" s="1891"/>
      <c r="AG13" s="1892"/>
      <c r="AH13" s="1882" t="s">
        <v>122</v>
      </c>
      <c r="AI13" s="1883"/>
      <c r="AJ13" s="1883"/>
      <c r="AK13" s="1884"/>
      <c r="AL13" s="1890" t="s">
        <v>37</v>
      </c>
      <c r="AM13" s="1891"/>
      <c r="AN13" s="1891"/>
      <c r="AO13" s="1892"/>
      <c r="AP13" s="1890" t="s">
        <v>36</v>
      </c>
      <c r="AQ13" s="1891"/>
      <c r="AR13" s="1891"/>
      <c r="AS13" s="1892"/>
      <c r="AT13" s="1890" t="s">
        <v>35</v>
      </c>
      <c r="AU13" s="1891"/>
      <c r="AV13" s="1891"/>
      <c r="AW13" s="1892"/>
      <c r="AX13" s="1890" t="s">
        <v>34</v>
      </c>
      <c r="AY13" s="1891"/>
      <c r="AZ13" s="1891"/>
      <c r="BA13" s="1892"/>
      <c r="BB13" s="1882" t="s">
        <v>123</v>
      </c>
      <c r="BC13" s="1883"/>
      <c r="BD13" s="1883"/>
      <c r="BE13" s="1884"/>
      <c r="BF13" s="1880" t="s">
        <v>17</v>
      </c>
      <c r="BG13" s="1881"/>
      <c r="BH13" s="1881"/>
      <c r="BI13" s="1881"/>
    </row>
    <row r="14" spans="3:61" ht="27" customHeight="1">
      <c r="C14" s="1879" t="s">
        <v>33</v>
      </c>
      <c r="D14" s="1869"/>
      <c r="E14" s="1017" t="s">
        <v>1</v>
      </c>
      <c r="F14" s="1023" t="s">
        <v>2</v>
      </c>
      <c r="H14" s="1897"/>
      <c r="I14" s="1898"/>
      <c r="J14" s="36" t="s">
        <v>1</v>
      </c>
      <c r="K14" s="271" t="s">
        <v>2</v>
      </c>
      <c r="L14" s="271" t="s">
        <v>182</v>
      </c>
      <c r="M14" s="35" t="s">
        <v>247</v>
      </c>
      <c r="N14" s="36" t="s">
        <v>1</v>
      </c>
      <c r="O14" s="271" t="s">
        <v>2</v>
      </c>
      <c r="P14" s="271" t="s">
        <v>182</v>
      </c>
      <c r="Q14" s="35" t="s">
        <v>247</v>
      </c>
      <c r="R14" s="36" t="s">
        <v>1</v>
      </c>
      <c r="S14" s="271" t="s">
        <v>2</v>
      </c>
      <c r="T14" s="271" t="s">
        <v>182</v>
      </c>
      <c r="U14" s="35" t="s">
        <v>247</v>
      </c>
      <c r="V14" s="36" t="s">
        <v>1</v>
      </c>
      <c r="W14" s="271" t="s">
        <v>2</v>
      </c>
      <c r="X14" s="271" t="s">
        <v>182</v>
      </c>
      <c r="Y14" s="35" t="s">
        <v>247</v>
      </c>
      <c r="Z14" s="36" t="s">
        <v>1</v>
      </c>
      <c r="AA14" s="271" t="s">
        <v>2</v>
      </c>
      <c r="AB14" s="271" t="s">
        <v>182</v>
      </c>
      <c r="AC14" s="35" t="s">
        <v>247</v>
      </c>
      <c r="AD14" s="36" t="s">
        <v>1</v>
      </c>
      <c r="AE14" s="271" t="s">
        <v>2</v>
      </c>
      <c r="AF14" s="271" t="s">
        <v>182</v>
      </c>
      <c r="AG14" s="35" t="s">
        <v>247</v>
      </c>
      <c r="AH14" s="36" t="s">
        <v>1</v>
      </c>
      <c r="AI14" s="271" t="s">
        <v>2</v>
      </c>
      <c r="AJ14" s="271" t="s">
        <v>182</v>
      </c>
      <c r="AK14" s="690" t="s">
        <v>196</v>
      </c>
      <c r="AL14" s="36" t="s">
        <v>1</v>
      </c>
      <c r="AM14" s="271" t="s">
        <v>2</v>
      </c>
      <c r="AN14" s="271" t="s">
        <v>182</v>
      </c>
      <c r="AO14" s="35" t="s">
        <v>247</v>
      </c>
      <c r="AP14" s="36" t="s">
        <v>1</v>
      </c>
      <c r="AQ14" s="271" t="s">
        <v>2</v>
      </c>
      <c r="AR14" s="271" t="s">
        <v>182</v>
      </c>
      <c r="AS14" s="35" t="s">
        <v>247</v>
      </c>
      <c r="AT14" s="36" t="s">
        <v>1</v>
      </c>
      <c r="AU14" s="271" t="s">
        <v>2</v>
      </c>
      <c r="AV14" s="271" t="s">
        <v>182</v>
      </c>
      <c r="AW14" s="35" t="s">
        <v>247</v>
      </c>
      <c r="AX14" s="36" t="s">
        <v>1</v>
      </c>
      <c r="AY14" s="271" t="s">
        <v>2</v>
      </c>
      <c r="AZ14" s="271" t="s">
        <v>182</v>
      </c>
      <c r="BA14" s="35" t="s">
        <v>247</v>
      </c>
      <c r="BB14" s="36" t="s">
        <v>1</v>
      </c>
      <c r="BC14" s="271" t="s">
        <v>2</v>
      </c>
      <c r="BD14" s="271" t="s">
        <v>182</v>
      </c>
      <c r="BE14" s="690" t="s">
        <v>196</v>
      </c>
      <c r="BF14" s="274" t="s">
        <v>1</v>
      </c>
      <c r="BG14" s="275" t="s">
        <v>2</v>
      </c>
      <c r="BH14" s="275" t="s">
        <v>182</v>
      </c>
      <c r="BI14" s="703" t="s">
        <v>196</v>
      </c>
    </row>
    <row r="15" spans="3:61" s="28" customFormat="1" ht="20.100000000000001" customHeight="1">
      <c r="C15" s="1879" t="s">
        <v>28</v>
      </c>
      <c r="D15" s="1017" t="s">
        <v>27</v>
      </c>
      <c r="E15" s="1021"/>
      <c r="F15" s="34"/>
      <c r="H15" s="1888" t="s">
        <v>112</v>
      </c>
      <c r="I15" s="33" t="s">
        <v>27</v>
      </c>
      <c r="J15" s="462"/>
      <c r="K15" s="463"/>
      <c r="L15" s="463"/>
      <c r="M15" s="692"/>
      <c r="N15" s="462"/>
      <c r="O15" s="463"/>
      <c r="P15" s="463"/>
      <c r="Q15" s="692"/>
      <c r="R15" s="462"/>
      <c r="S15" s="463"/>
      <c r="T15" s="463"/>
      <c r="U15" s="692"/>
      <c r="V15" s="462"/>
      <c r="W15" s="463"/>
      <c r="X15" s="463"/>
      <c r="Y15" s="692"/>
      <c r="Z15" s="462"/>
      <c r="AA15" s="463"/>
      <c r="AB15" s="463"/>
      <c r="AC15" s="692"/>
      <c r="AD15" s="462"/>
      <c r="AE15" s="463"/>
      <c r="AF15" s="463"/>
      <c r="AG15" s="692"/>
      <c r="AH15" s="128">
        <f>J15+N15+R15+V15+Z15+AD15</f>
        <v>0</v>
      </c>
      <c r="AI15" s="273">
        <f>K15+O15+S15+W15+AA15+AE15</f>
        <v>0</v>
      </c>
      <c r="AJ15" s="273">
        <f>L15+P15+T15+X15+AB15+AF15</f>
        <v>0</v>
      </c>
      <c r="AK15" s="694">
        <f>M15+Q15+U15+Y15+AC15+AG15</f>
        <v>0</v>
      </c>
      <c r="AL15" s="462"/>
      <c r="AM15" s="463"/>
      <c r="AN15" s="463"/>
      <c r="AO15" s="692"/>
      <c r="AP15" s="462"/>
      <c r="AQ15" s="463"/>
      <c r="AR15" s="463"/>
      <c r="AS15" s="692"/>
      <c r="AT15" s="462"/>
      <c r="AU15" s="463"/>
      <c r="AV15" s="463"/>
      <c r="AW15" s="692"/>
      <c r="AX15" s="462"/>
      <c r="AY15" s="463"/>
      <c r="AZ15" s="463"/>
      <c r="BA15" s="692"/>
      <c r="BB15" s="128">
        <f>AL15+AP15+AT15+AX15</f>
        <v>0</v>
      </c>
      <c r="BC15" s="273">
        <f>AM15+AQ15+AU15+AY15</f>
        <v>0</v>
      </c>
      <c r="BD15" s="273">
        <f>AN15+AR15+AV15+AZ15</f>
        <v>0</v>
      </c>
      <c r="BE15" s="273">
        <f>AO15+AS15+AW15+BA15</f>
        <v>0</v>
      </c>
      <c r="BF15" s="276">
        <f t="shared" ref="BF15:BI23" si="4">AH15+BB15</f>
        <v>0</v>
      </c>
      <c r="BG15" s="277">
        <f t="shared" si="4"/>
        <v>0</v>
      </c>
      <c r="BH15" s="277">
        <f t="shared" si="4"/>
        <v>0</v>
      </c>
      <c r="BI15" s="704">
        <f t="shared" si="4"/>
        <v>0</v>
      </c>
    </row>
    <row r="16" spans="3:61" s="28" customFormat="1" ht="20.100000000000001" customHeight="1">
      <c r="C16" s="1879"/>
      <c r="D16" s="1017" t="s">
        <v>26</v>
      </c>
      <c r="E16" s="1017"/>
      <c r="F16" s="1018"/>
      <c r="H16" s="1889"/>
      <c r="I16" s="33" t="s">
        <v>26</v>
      </c>
      <c r="J16" s="462"/>
      <c r="K16" s="463">
        <v>28.4</v>
      </c>
      <c r="L16" s="463"/>
      <c r="M16" s="692"/>
      <c r="N16" s="462"/>
      <c r="O16" s="463"/>
      <c r="P16" s="463"/>
      <c r="Q16" s="692"/>
      <c r="R16" s="462">
        <v>40</v>
      </c>
      <c r="S16" s="463"/>
      <c r="T16" s="463"/>
      <c r="U16" s="692"/>
      <c r="V16" s="462"/>
      <c r="W16" s="463"/>
      <c r="X16" s="463"/>
      <c r="Y16" s="692"/>
      <c r="Z16" s="462"/>
      <c r="AA16" s="463"/>
      <c r="AB16" s="463"/>
      <c r="AC16" s="692"/>
      <c r="AD16" s="462"/>
      <c r="AE16" s="463"/>
      <c r="AF16" s="463"/>
      <c r="AG16" s="692"/>
      <c r="AH16" s="128">
        <f t="shared" ref="AH16:AK23" si="5">J16+N16+R16+V16+Z16+AD16</f>
        <v>40</v>
      </c>
      <c r="AI16" s="273">
        <f t="shared" si="5"/>
        <v>28.4</v>
      </c>
      <c r="AJ16" s="273">
        <f t="shared" si="5"/>
        <v>0</v>
      </c>
      <c r="AK16" s="694">
        <f t="shared" si="5"/>
        <v>0</v>
      </c>
      <c r="AL16" s="462"/>
      <c r="AM16" s="463"/>
      <c r="AN16" s="463"/>
      <c r="AO16" s="692"/>
      <c r="AP16" s="462"/>
      <c r="AQ16" s="463"/>
      <c r="AR16" s="463"/>
      <c r="AS16" s="692"/>
      <c r="AT16" s="462"/>
      <c r="AU16" s="463"/>
      <c r="AV16" s="463"/>
      <c r="AW16" s="692"/>
      <c r="AX16" s="462"/>
      <c r="AY16" s="463"/>
      <c r="AZ16" s="463"/>
      <c r="BA16" s="692"/>
      <c r="BB16" s="128">
        <f t="shared" ref="BB16:BE23" si="6">AL16+AP16+AT16+AX16</f>
        <v>0</v>
      </c>
      <c r="BC16" s="273">
        <f t="shared" si="6"/>
        <v>0</v>
      </c>
      <c r="BD16" s="273">
        <f t="shared" si="6"/>
        <v>0</v>
      </c>
      <c r="BE16" s="273">
        <f t="shared" si="6"/>
        <v>0</v>
      </c>
      <c r="BF16" s="276">
        <f t="shared" si="4"/>
        <v>40</v>
      </c>
      <c r="BG16" s="277">
        <f t="shared" si="4"/>
        <v>28.4</v>
      </c>
      <c r="BH16" s="277">
        <f t="shared" si="4"/>
        <v>0</v>
      </c>
      <c r="BI16" s="704">
        <f t="shared" si="4"/>
        <v>0</v>
      </c>
    </row>
    <row r="17" spans="3:61" s="28" customFormat="1" ht="23.25" customHeight="1">
      <c r="C17" s="1879"/>
      <c r="D17" s="1017" t="s">
        <v>25</v>
      </c>
      <c r="E17" s="1017"/>
      <c r="F17" s="1018"/>
      <c r="H17" s="1889"/>
      <c r="I17" s="33" t="s">
        <v>25</v>
      </c>
      <c r="J17" s="462"/>
      <c r="K17" s="463">
        <v>38</v>
      </c>
      <c r="L17" s="463"/>
      <c r="M17" s="692"/>
      <c r="N17" s="462"/>
      <c r="O17" s="463"/>
      <c r="P17" s="463"/>
      <c r="Q17" s="692"/>
      <c r="R17" s="462"/>
      <c r="S17" s="463"/>
      <c r="T17" s="463"/>
      <c r="U17" s="692"/>
      <c r="V17" s="462"/>
      <c r="W17" s="463"/>
      <c r="X17" s="463"/>
      <c r="Y17" s="692"/>
      <c r="Z17" s="462"/>
      <c r="AA17" s="463"/>
      <c r="AB17" s="463"/>
      <c r="AC17" s="692"/>
      <c r="AD17" s="462"/>
      <c r="AE17" s="463"/>
      <c r="AF17" s="463"/>
      <c r="AG17" s="692"/>
      <c r="AH17" s="128">
        <f t="shared" si="5"/>
        <v>0</v>
      </c>
      <c r="AI17" s="273">
        <f t="shared" si="5"/>
        <v>38</v>
      </c>
      <c r="AJ17" s="273">
        <f t="shared" si="5"/>
        <v>0</v>
      </c>
      <c r="AK17" s="694">
        <f t="shared" si="5"/>
        <v>0</v>
      </c>
      <c r="AL17" s="462"/>
      <c r="AM17" s="463"/>
      <c r="AN17" s="463"/>
      <c r="AO17" s="692"/>
      <c r="AP17" s="462"/>
      <c r="AQ17" s="463"/>
      <c r="AR17" s="463"/>
      <c r="AS17" s="692"/>
      <c r="AT17" s="462"/>
      <c r="AU17" s="463"/>
      <c r="AV17" s="463"/>
      <c r="AW17" s="692"/>
      <c r="AX17" s="462"/>
      <c r="AY17" s="463"/>
      <c r="AZ17" s="463"/>
      <c r="BA17" s="692"/>
      <c r="BB17" s="128">
        <f t="shared" si="6"/>
        <v>0</v>
      </c>
      <c r="BC17" s="273">
        <f t="shared" si="6"/>
        <v>0</v>
      </c>
      <c r="BD17" s="273">
        <f t="shared" si="6"/>
        <v>0</v>
      </c>
      <c r="BE17" s="273">
        <f t="shared" si="6"/>
        <v>0</v>
      </c>
      <c r="BF17" s="276">
        <f t="shared" si="4"/>
        <v>0</v>
      </c>
      <c r="BG17" s="277">
        <f t="shared" si="4"/>
        <v>38</v>
      </c>
      <c r="BH17" s="277">
        <f t="shared" si="4"/>
        <v>0</v>
      </c>
      <c r="BI17" s="704">
        <f t="shared" si="4"/>
        <v>0</v>
      </c>
    </row>
    <row r="18" spans="3:61" s="28" customFormat="1" ht="21">
      <c r="C18" s="1879"/>
      <c r="D18" s="1017" t="s">
        <v>24</v>
      </c>
      <c r="E18" s="1017"/>
      <c r="F18" s="1018"/>
      <c r="H18" s="1889"/>
      <c r="I18" s="33" t="s">
        <v>24</v>
      </c>
      <c r="J18" s="462"/>
      <c r="K18" s="463"/>
      <c r="L18" s="463"/>
      <c r="M18" s="692"/>
      <c r="N18" s="462"/>
      <c r="O18" s="463"/>
      <c r="P18" s="463"/>
      <c r="Q18" s="692"/>
      <c r="R18" s="462"/>
      <c r="S18" s="463"/>
      <c r="T18" s="463"/>
      <c r="U18" s="692"/>
      <c r="V18" s="462"/>
      <c r="W18" s="463"/>
      <c r="X18" s="463"/>
      <c r="Y18" s="692"/>
      <c r="Z18" s="462"/>
      <c r="AA18" s="463"/>
      <c r="AB18" s="463"/>
      <c r="AC18" s="692"/>
      <c r="AD18" s="462"/>
      <c r="AE18" s="463"/>
      <c r="AF18" s="463"/>
      <c r="AG18" s="692"/>
      <c r="AH18" s="128">
        <f t="shared" si="5"/>
        <v>0</v>
      </c>
      <c r="AI18" s="273">
        <f t="shared" si="5"/>
        <v>0</v>
      </c>
      <c r="AJ18" s="273">
        <f t="shared" si="5"/>
        <v>0</v>
      </c>
      <c r="AK18" s="694">
        <f t="shared" si="5"/>
        <v>0</v>
      </c>
      <c r="AL18" s="462"/>
      <c r="AM18" s="463"/>
      <c r="AN18" s="463"/>
      <c r="AO18" s="692"/>
      <c r="AP18" s="462"/>
      <c r="AQ18" s="463"/>
      <c r="AR18" s="463"/>
      <c r="AS18" s="692"/>
      <c r="AT18" s="462"/>
      <c r="AU18" s="463"/>
      <c r="AV18" s="463"/>
      <c r="AW18" s="692"/>
      <c r="AX18" s="462"/>
      <c r="AY18" s="463"/>
      <c r="AZ18" s="463"/>
      <c r="BA18" s="692"/>
      <c r="BB18" s="128">
        <f t="shared" si="6"/>
        <v>0</v>
      </c>
      <c r="BC18" s="273">
        <f t="shared" si="6"/>
        <v>0</v>
      </c>
      <c r="BD18" s="273">
        <f t="shared" si="6"/>
        <v>0</v>
      </c>
      <c r="BE18" s="273">
        <f t="shared" si="6"/>
        <v>0</v>
      </c>
      <c r="BF18" s="276">
        <f t="shared" si="4"/>
        <v>0</v>
      </c>
      <c r="BG18" s="277">
        <f t="shared" si="4"/>
        <v>0</v>
      </c>
      <c r="BH18" s="277">
        <f t="shared" si="4"/>
        <v>0</v>
      </c>
      <c r="BI18" s="704">
        <f t="shared" si="4"/>
        <v>0</v>
      </c>
    </row>
    <row r="19" spans="3:61" s="28" customFormat="1" ht="20.100000000000001" customHeight="1">
      <c r="C19" s="1879"/>
      <c r="D19" s="1017" t="s">
        <v>23</v>
      </c>
      <c r="E19" s="1017"/>
      <c r="F19" s="1018"/>
      <c r="H19" s="1889"/>
      <c r="I19" s="33" t="s">
        <v>23</v>
      </c>
      <c r="J19" s="462"/>
      <c r="K19" s="463"/>
      <c r="L19" s="463"/>
      <c r="M19" s="692"/>
      <c r="N19" s="462">
        <v>20</v>
      </c>
      <c r="O19" s="463"/>
      <c r="P19" s="463"/>
      <c r="Q19" s="692"/>
      <c r="R19" s="462"/>
      <c r="S19" s="463"/>
      <c r="T19" s="463"/>
      <c r="U19" s="692"/>
      <c r="V19" s="462"/>
      <c r="W19" s="463"/>
      <c r="X19" s="463"/>
      <c r="Y19" s="692"/>
      <c r="Z19" s="462"/>
      <c r="AA19" s="463"/>
      <c r="AB19" s="463"/>
      <c r="AC19" s="692"/>
      <c r="AD19" s="462"/>
      <c r="AE19" s="463"/>
      <c r="AF19" s="463"/>
      <c r="AG19" s="692"/>
      <c r="AH19" s="128">
        <f t="shared" si="5"/>
        <v>20</v>
      </c>
      <c r="AI19" s="273">
        <f t="shared" si="5"/>
        <v>0</v>
      </c>
      <c r="AJ19" s="273">
        <f t="shared" si="5"/>
        <v>0</v>
      </c>
      <c r="AK19" s="694">
        <f t="shared" si="5"/>
        <v>0</v>
      </c>
      <c r="AL19" s="1012"/>
      <c r="AM19" s="463"/>
      <c r="AN19" s="463"/>
      <c r="AO19" s="692"/>
      <c r="AP19" s="462"/>
      <c r="AQ19" s="463"/>
      <c r="AR19" s="463"/>
      <c r="AS19" s="692"/>
      <c r="AT19" s="462"/>
      <c r="AU19" s="463"/>
      <c r="AV19" s="463"/>
      <c r="AW19" s="692"/>
      <c r="AX19" s="462"/>
      <c r="AY19" s="463"/>
      <c r="AZ19" s="463"/>
      <c r="BA19" s="692"/>
      <c r="BB19" s="128">
        <f t="shared" si="6"/>
        <v>0</v>
      </c>
      <c r="BC19" s="273">
        <f t="shared" si="6"/>
        <v>0</v>
      </c>
      <c r="BD19" s="273">
        <f t="shared" si="6"/>
        <v>0</v>
      </c>
      <c r="BE19" s="273">
        <f t="shared" si="6"/>
        <v>0</v>
      </c>
      <c r="BF19" s="276">
        <f t="shared" si="4"/>
        <v>20</v>
      </c>
      <c r="BG19" s="277">
        <f t="shared" si="4"/>
        <v>0</v>
      </c>
      <c r="BH19" s="277">
        <f t="shared" si="4"/>
        <v>0</v>
      </c>
      <c r="BI19" s="704">
        <f t="shared" si="4"/>
        <v>0</v>
      </c>
    </row>
    <row r="20" spans="3:61" s="28" customFormat="1" ht="20.100000000000001" customHeight="1">
      <c r="C20" s="1879"/>
      <c r="D20" s="1017" t="s">
        <v>22</v>
      </c>
      <c r="E20" s="1017"/>
      <c r="F20" s="1018"/>
      <c r="H20" s="1889"/>
      <c r="I20" s="33" t="s">
        <v>22</v>
      </c>
      <c r="J20" s="462"/>
      <c r="K20" s="463"/>
      <c r="L20" s="463"/>
      <c r="M20" s="692"/>
      <c r="N20" s="462"/>
      <c r="O20" s="463"/>
      <c r="P20" s="463"/>
      <c r="Q20" s="692"/>
      <c r="R20" s="462"/>
      <c r="S20" s="463"/>
      <c r="T20" s="463"/>
      <c r="U20" s="692"/>
      <c r="V20" s="462"/>
      <c r="W20" s="463"/>
      <c r="X20" s="463"/>
      <c r="Y20" s="692"/>
      <c r="Z20" s="462"/>
      <c r="AA20" s="463"/>
      <c r="AB20" s="463"/>
      <c r="AC20" s="692"/>
      <c r="AD20" s="462"/>
      <c r="AE20" s="463"/>
      <c r="AF20" s="463"/>
      <c r="AG20" s="692"/>
      <c r="AH20" s="128">
        <f t="shared" si="5"/>
        <v>0</v>
      </c>
      <c r="AI20" s="273">
        <f t="shared" si="5"/>
        <v>0</v>
      </c>
      <c r="AJ20" s="273">
        <f t="shared" si="5"/>
        <v>0</v>
      </c>
      <c r="AK20" s="694">
        <f t="shared" si="5"/>
        <v>0</v>
      </c>
      <c r="AL20" s="462">
        <v>22</v>
      </c>
      <c r="AM20" s="463">
        <v>22</v>
      </c>
      <c r="AN20" s="463">
        <v>22</v>
      </c>
      <c r="AO20" s="692"/>
      <c r="AP20" s="462"/>
      <c r="AQ20" s="463"/>
      <c r="AR20" s="463"/>
      <c r="AS20" s="692"/>
      <c r="AT20" s="462"/>
      <c r="AU20" s="463"/>
      <c r="AV20" s="463"/>
      <c r="AW20" s="692">
        <v>12</v>
      </c>
      <c r="AX20" s="462"/>
      <c r="AY20" s="463"/>
      <c r="AZ20" s="463"/>
      <c r="BA20" s="692"/>
      <c r="BB20" s="128">
        <f t="shared" si="6"/>
        <v>22</v>
      </c>
      <c r="BC20" s="273">
        <f t="shared" si="6"/>
        <v>22</v>
      </c>
      <c r="BD20" s="273">
        <f t="shared" si="6"/>
        <v>22</v>
      </c>
      <c r="BE20" s="273">
        <f t="shared" si="6"/>
        <v>12</v>
      </c>
      <c r="BF20" s="276">
        <f t="shared" si="4"/>
        <v>22</v>
      </c>
      <c r="BG20" s="277">
        <f t="shared" si="4"/>
        <v>22</v>
      </c>
      <c r="BH20" s="277">
        <f t="shared" si="4"/>
        <v>22</v>
      </c>
      <c r="BI20" s="704">
        <f t="shared" si="4"/>
        <v>12</v>
      </c>
    </row>
    <row r="21" spans="3:61" s="28" customFormat="1" ht="20.100000000000001" customHeight="1">
      <c r="C21" s="1885"/>
      <c r="D21" s="1017"/>
      <c r="E21" s="1017"/>
      <c r="F21" s="1018"/>
      <c r="H21" s="1889"/>
      <c r="I21" s="33" t="s">
        <v>21</v>
      </c>
      <c r="J21" s="462"/>
      <c r="K21" s="463"/>
      <c r="L21" s="463"/>
      <c r="M21" s="692"/>
      <c r="N21" s="462"/>
      <c r="O21" s="463"/>
      <c r="P21" s="463"/>
      <c r="Q21" s="692"/>
      <c r="R21" s="462"/>
      <c r="S21" s="463"/>
      <c r="T21" s="463"/>
      <c r="U21" s="692"/>
      <c r="V21" s="462"/>
      <c r="W21" s="463"/>
      <c r="X21" s="463"/>
      <c r="Y21" s="692"/>
      <c r="Z21" s="462"/>
      <c r="AA21" s="463"/>
      <c r="AB21" s="463"/>
      <c r="AC21" s="692"/>
      <c r="AD21" s="462"/>
      <c r="AE21" s="463"/>
      <c r="AF21" s="463"/>
      <c r="AG21" s="692"/>
      <c r="AH21" s="128">
        <f t="shared" si="5"/>
        <v>0</v>
      </c>
      <c r="AI21" s="273">
        <f t="shared" si="5"/>
        <v>0</v>
      </c>
      <c r="AJ21" s="273">
        <f t="shared" si="5"/>
        <v>0</v>
      </c>
      <c r="AK21" s="694">
        <f t="shared" si="5"/>
        <v>0</v>
      </c>
      <c r="AL21" s="462"/>
      <c r="AM21" s="463"/>
      <c r="AN21" s="463"/>
      <c r="AO21" s="692"/>
      <c r="AP21" s="462"/>
      <c r="AQ21" s="463"/>
      <c r="AR21" s="463"/>
      <c r="AS21" s="692"/>
      <c r="AT21" s="462"/>
      <c r="AU21" s="463"/>
      <c r="AV21" s="463"/>
      <c r="AW21" s="692"/>
      <c r="AX21" s="462"/>
      <c r="AY21" s="463"/>
      <c r="AZ21" s="463"/>
      <c r="BA21" s="692"/>
      <c r="BB21" s="128">
        <f t="shared" si="6"/>
        <v>0</v>
      </c>
      <c r="BC21" s="273">
        <f t="shared" si="6"/>
        <v>0</v>
      </c>
      <c r="BD21" s="273">
        <f t="shared" si="6"/>
        <v>0</v>
      </c>
      <c r="BE21" s="273">
        <f t="shared" si="6"/>
        <v>0</v>
      </c>
      <c r="BF21" s="276">
        <f t="shared" si="4"/>
        <v>0</v>
      </c>
      <c r="BG21" s="277">
        <f t="shared" si="4"/>
        <v>0</v>
      </c>
      <c r="BH21" s="277">
        <f t="shared" si="4"/>
        <v>0</v>
      </c>
      <c r="BI21" s="704">
        <f t="shared" si="4"/>
        <v>0</v>
      </c>
    </row>
    <row r="22" spans="3:61" s="28" customFormat="1" ht="20.100000000000001" customHeight="1">
      <c r="C22" s="1885"/>
      <c r="D22" s="1017"/>
      <c r="E22" s="1017"/>
      <c r="F22" s="1018"/>
      <c r="H22" s="1889"/>
      <c r="I22" s="33" t="s">
        <v>20</v>
      </c>
      <c r="J22" s="462"/>
      <c r="K22" s="463"/>
      <c r="L22" s="463"/>
      <c r="M22" s="692"/>
      <c r="N22" s="462"/>
      <c r="O22" s="463"/>
      <c r="P22" s="463"/>
      <c r="Q22" s="692"/>
      <c r="R22" s="462"/>
      <c r="S22" s="463"/>
      <c r="T22" s="463"/>
      <c r="U22" s="692"/>
      <c r="V22" s="462"/>
      <c r="W22" s="463"/>
      <c r="X22" s="463"/>
      <c r="Y22" s="692"/>
      <c r="Z22" s="462"/>
      <c r="AA22" s="463"/>
      <c r="AB22" s="463"/>
      <c r="AC22" s="692"/>
      <c r="AD22" s="462"/>
      <c r="AE22" s="463"/>
      <c r="AF22" s="463"/>
      <c r="AG22" s="692"/>
      <c r="AH22" s="128">
        <f t="shared" si="5"/>
        <v>0</v>
      </c>
      <c r="AI22" s="273">
        <f t="shared" si="5"/>
        <v>0</v>
      </c>
      <c r="AJ22" s="273">
        <f t="shared" si="5"/>
        <v>0</v>
      </c>
      <c r="AK22" s="694">
        <f t="shared" si="5"/>
        <v>0</v>
      </c>
      <c r="AL22" s="462"/>
      <c r="AM22" s="463"/>
      <c r="AN22" s="463"/>
      <c r="AO22" s="692"/>
      <c r="AP22" s="462"/>
      <c r="AQ22" s="463"/>
      <c r="AR22" s="463"/>
      <c r="AS22" s="692"/>
      <c r="AT22" s="462"/>
      <c r="AU22" s="463"/>
      <c r="AV22" s="463"/>
      <c r="AW22" s="692"/>
      <c r="AX22" s="462"/>
      <c r="AY22" s="463"/>
      <c r="AZ22" s="463"/>
      <c r="BA22" s="692"/>
      <c r="BB22" s="128">
        <f t="shared" si="6"/>
        <v>0</v>
      </c>
      <c r="BC22" s="273">
        <f t="shared" si="6"/>
        <v>0</v>
      </c>
      <c r="BD22" s="273">
        <f t="shared" si="6"/>
        <v>0</v>
      </c>
      <c r="BE22" s="273">
        <f t="shared" si="6"/>
        <v>0</v>
      </c>
      <c r="BF22" s="276">
        <f t="shared" si="4"/>
        <v>0</v>
      </c>
      <c r="BG22" s="277">
        <f t="shared" si="4"/>
        <v>0</v>
      </c>
      <c r="BH22" s="277">
        <f t="shared" si="4"/>
        <v>0</v>
      </c>
      <c r="BI22" s="704">
        <f t="shared" si="4"/>
        <v>0</v>
      </c>
    </row>
    <row r="23" spans="3:61" s="28" customFormat="1" ht="20.100000000000001" customHeight="1">
      <c r="C23" s="1885"/>
      <c r="D23" s="1017"/>
      <c r="E23" s="1017"/>
      <c r="F23" s="1018"/>
      <c r="H23" s="1889"/>
      <c r="I23" s="33" t="s">
        <v>19</v>
      </c>
      <c r="J23" s="462"/>
      <c r="K23" s="463"/>
      <c r="L23" s="463"/>
      <c r="M23" s="692"/>
      <c r="N23" s="462"/>
      <c r="O23" s="463"/>
      <c r="P23" s="463"/>
      <c r="Q23" s="692"/>
      <c r="R23" s="462"/>
      <c r="S23" s="463"/>
      <c r="T23" s="463"/>
      <c r="U23" s="692"/>
      <c r="V23" s="462"/>
      <c r="W23" s="463"/>
      <c r="X23" s="463"/>
      <c r="Y23" s="692"/>
      <c r="Z23" s="462"/>
      <c r="AA23" s="463"/>
      <c r="AB23" s="463"/>
      <c r="AC23" s="692"/>
      <c r="AD23" s="462"/>
      <c r="AE23" s="463"/>
      <c r="AF23" s="463"/>
      <c r="AG23" s="692"/>
      <c r="AH23" s="128">
        <f t="shared" si="5"/>
        <v>0</v>
      </c>
      <c r="AI23" s="273">
        <f t="shared" si="5"/>
        <v>0</v>
      </c>
      <c r="AJ23" s="273">
        <f t="shared" si="5"/>
        <v>0</v>
      </c>
      <c r="AK23" s="694">
        <f t="shared" si="5"/>
        <v>0</v>
      </c>
      <c r="AL23" s="462"/>
      <c r="AM23" s="463"/>
      <c r="AN23" s="463"/>
      <c r="AO23" s="692"/>
      <c r="AP23" s="462"/>
      <c r="AQ23" s="463"/>
      <c r="AR23" s="463"/>
      <c r="AS23" s="692"/>
      <c r="AT23" s="462"/>
      <c r="AU23" s="463"/>
      <c r="AV23" s="463"/>
      <c r="AW23" s="692"/>
      <c r="AX23" s="462">
        <v>13</v>
      </c>
      <c r="AY23" s="463"/>
      <c r="AZ23" s="463"/>
      <c r="BA23" s="692"/>
      <c r="BB23" s="128">
        <f t="shared" si="6"/>
        <v>13</v>
      </c>
      <c r="BC23" s="273">
        <f t="shared" si="6"/>
        <v>0</v>
      </c>
      <c r="BD23" s="273">
        <f t="shared" si="6"/>
        <v>0</v>
      </c>
      <c r="BE23" s="273">
        <f t="shared" si="6"/>
        <v>0</v>
      </c>
      <c r="BF23" s="276">
        <f t="shared" si="4"/>
        <v>13</v>
      </c>
      <c r="BG23" s="277">
        <f t="shared" si="4"/>
        <v>0</v>
      </c>
      <c r="BH23" s="277">
        <f t="shared" si="4"/>
        <v>0</v>
      </c>
      <c r="BI23" s="704">
        <f t="shared" si="4"/>
        <v>0</v>
      </c>
    </row>
    <row r="24" spans="3:61" s="28" customFormat="1" ht="20.100000000000001" customHeight="1" thickBot="1">
      <c r="C24" s="1885"/>
      <c r="D24" s="1017"/>
      <c r="E24" s="1017"/>
      <c r="F24" s="1018"/>
      <c r="H24" s="1865" t="s">
        <v>116</v>
      </c>
      <c r="I24" s="1866"/>
      <c r="J24" s="118">
        <f t="shared" ref="J24:BI24" si="7">SUM(J15:J23)</f>
        <v>0</v>
      </c>
      <c r="K24" s="272">
        <f t="shared" si="7"/>
        <v>66.400000000000006</v>
      </c>
      <c r="L24" s="272">
        <f>SUM(L15:L23)</f>
        <v>0</v>
      </c>
      <c r="M24" s="272">
        <f>SUM(M15:M23)</f>
        <v>0</v>
      </c>
      <c r="N24" s="118">
        <f t="shared" ref="N24:AI24" si="8">SUM(N15:N23)</f>
        <v>20</v>
      </c>
      <c r="O24" s="272">
        <f t="shared" si="8"/>
        <v>0</v>
      </c>
      <c r="P24" s="272">
        <f t="shared" si="8"/>
        <v>0</v>
      </c>
      <c r="Q24" s="272">
        <f t="shared" si="8"/>
        <v>0</v>
      </c>
      <c r="R24" s="118">
        <f t="shared" si="8"/>
        <v>40</v>
      </c>
      <c r="S24" s="272">
        <f t="shared" si="8"/>
        <v>0</v>
      </c>
      <c r="T24" s="272">
        <f t="shared" si="8"/>
        <v>0</v>
      </c>
      <c r="U24" s="272">
        <f t="shared" si="8"/>
        <v>0</v>
      </c>
      <c r="V24" s="118">
        <f t="shared" si="8"/>
        <v>0</v>
      </c>
      <c r="W24" s="272">
        <f t="shared" si="8"/>
        <v>0</v>
      </c>
      <c r="X24" s="272">
        <f t="shared" si="8"/>
        <v>0</v>
      </c>
      <c r="Y24" s="272">
        <f t="shared" si="8"/>
        <v>0</v>
      </c>
      <c r="Z24" s="118">
        <f t="shared" si="8"/>
        <v>0</v>
      </c>
      <c r="AA24" s="272">
        <f t="shared" si="8"/>
        <v>0</v>
      </c>
      <c r="AB24" s="272">
        <f t="shared" si="8"/>
        <v>0</v>
      </c>
      <c r="AC24" s="272">
        <f t="shared" si="8"/>
        <v>0</v>
      </c>
      <c r="AD24" s="118">
        <f t="shared" si="8"/>
        <v>0</v>
      </c>
      <c r="AE24" s="272">
        <f t="shared" si="8"/>
        <v>0</v>
      </c>
      <c r="AF24" s="272">
        <f t="shared" si="8"/>
        <v>0</v>
      </c>
      <c r="AG24" s="272">
        <f t="shared" si="8"/>
        <v>0</v>
      </c>
      <c r="AH24" s="118">
        <f t="shared" si="8"/>
        <v>60</v>
      </c>
      <c r="AI24" s="272">
        <f t="shared" si="8"/>
        <v>66.400000000000006</v>
      </c>
      <c r="AJ24" s="272">
        <f>SUM(AJ15:AJ23)</f>
        <v>0</v>
      </c>
      <c r="AK24" s="695">
        <f>SUM(AK15:AK23)</f>
        <v>0</v>
      </c>
      <c r="AL24" s="118">
        <f t="shared" ref="AL24:BC24" si="9">SUM(AL15:AL23)</f>
        <v>22</v>
      </c>
      <c r="AM24" s="272">
        <f t="shared" si="9"/>
        <v>22</v>
      </c>
      <c r="AN24" s="272">
        <f t="shared" si="9"/>
        <v>22</v>
      </c>
      <c r="AO24" s="272">
        <f t="shared" si="9"/>
        <v>0</v>
      </c>
      <c r="AP24" s="118">
        <f t="shared" si="9"/>
        <v>0</v>
      </c>
      <c r="AQ24" s="272">
        <f t="shared" si="9"/>
        <v>0</v>
      </c>
      <c r="AR24" s="272">
        <f t="shared" si="9"/>
        <v>0</v>
      </c>
      <c r="AS24" s="272">
        <f t="shared" si="9"/>
        <v>0</v>
      </c>
      <c r="AT24" s="118">
        <f t="shared" si="9"/>
        <v>0</v>
      </c>
      <c r="AU24" s="272">
        <f t="shared" si="9"/>
        <v>0</v>
      </c>
      <c r="AV24" s="272">
        <f t="shared" si="9"/>
        <v>0</v>
      </c>
      <c r="AW24" s="272">
        <f t="shared" si="9"/>
        <v>12</v>
      </c>
      <c r="AX24" s="118">
        <f t="shared" si="9"/>
        <v>13</v>
      </c>
      <c r="AY24" s="272">
        <f t="shared" si="9"/>
        <v>0</v>
      </c>
      <c r="AZ24" s="272">
        <f t="shared" si="9"/>
        <v>0</v>
      </c>
      <c r="BA24" s="272">
        <f t="shared" si="9"/>
        <v>0</v>
      </c>
      <c r="BB24" s="118">
        <f t="shared" si="9"/>
        <v>35</v>
      </c>
      <c r="BC24" s="272">
        <f t="shared" si="9"/>
        <v>22</v>
      </c>
      <c r="BD24" s="272">
        <f>SUM(BD15:BD23)</f>
        <v>22</v>
      </c>
      <c r="BE24" s="272">
        <f>SUM(BE15:BE23)</f>
        <v>12</v>
      </c>
      <c r="BF24" s="278">
        <f t="shared" si="7"/>
        <v>95</v>
      </c>
      <c r="BG24" s="279">
        <f t="shared" si="7"/>
        <v>88.4</v>
      </c>
      <c r="BH24" s="279">
        <f t="shared" si="7"/>
        <v>22</v>
      </c>
      <c r="BI24" s="705">
        <f t="shared" si="7"/>
        <v>12</v>
      </c>
    </row>
    <row r="25" spans="3:61" s="119" customFormat="1" ht="9" customHeight="1" thickBot="1">
      <c r="C25" s="121"/>
      <c r="D25" s="121"/>
      <c r="E25" s="121"/>
      <c r="F25" s="121"/>
      <c r="H25" s="122"/>
      <c r="I25" s="122"/>
      <c r="J25" s="125"/>
      <c r="K25" s="126"/>
      <c r="L25" s="126"/>
      <c r="M25" s="126"/>
      <c r="N25" s="125"/>
      <c r="O25" s="126"/>
      <c r="P25" s="126"/>
      <c r="Q25" s="126"/>
      <c r="R25" s="125"/>
      <c r="S25" s="126"/>
      <c r="T25" s="126"/>
      <c r="U25" s="126"/>
      <c r="V25" s="125"/>
      <c r="W25" s="126"/>
      <c r="X25" s="126"/>
      <c r="Y25" s="126"/>
      <c r="Z25" s="125"/>
      <c r="AA25" s="126"/>
      <c r="AB25" s="126"/>
      <c r="AC25" s="126"/>
      <c r="AD25" s="125"/>
      <c r="AE25" s="126"/>
      <c r="AF25" s="126"/>
      <c r="AG25" s="126"/>
      <c r="AH25" s="125"/>
      <c r="AI25" s="126"/>
      <c r="AJ25" s="126"/>
      <c r="AK25" s="126"/>
      <c r="AL25" s="125"/>
      <c r="AM25" s="126"/>
      <c r="AN25" s="126"/>
      <c r="AO25" s="126"/>
      <c r="AP25" s="125"/>
      <c r="AQ25" s="126"/>
      <c r="AR25" s="126"/>
      <c r="AS25" s="126"/>
      <c r="AT25" s="125"/>
      <c r="AU25" s="126"/>
      <c r="AV25" s="126"/>
      <c r="AW25" s="126"/>
      <c r="AX25" s="125"/>
      <c r="AY25" s="126"/>
      <c r="AZ25" s="126"/>
      <c r="BA25" s="126"/>
      <c r="BB25" s="125"/>
      <c r="BC25" s="126"/>
      <c r="BD25" s="126"/>
      <c r="BE25" s="126"/>
      <c r="BF25" s="125"/>
      <c r="BG25" s="126"/>
    </row>
    <row r="26" spans="3:61" s="28" customFormat="1" ht="26.25" customHeight="1" thickBot="1">
      <c r="D26" s="29"/>
      <c r="E26" s="29"/>
      <c r="F26" s="29"/>
      <c r="H26" s="1893" t="s">
        <v>49</v>
      </c>
      <c r="I26" s="1894"/>
      <c r="J26" s="123">
        <f t="shared" ref="J26:BI26" si="10">J10+J24</f>
        <v>50</v>
      </c>
      <c r="K26" s="280">
        <f t="shared" si="10"/>
        <v>81.88000000000001</v>
      </c>
      <c r="L26" s="280">
        <f>L10+L24</f>
        <v>15.48</v>
      </c>
      <c r="M26" s="280">
        <f>M10+M24</f>
        <v>0</v>
      </c>
      <c r="N26" s="123">
        <f t="shared" ref="N26:O26" si="11">N10+N24</f>
        <v>32</v>
      </c>
      <c r="O26" s="280">
        <f t="shared" si="11"/>
        <v>6.15</v>
      </c>
      <c r="P26" s="280">
        <f>P10+P24</f>
        <v>3.15</v>
      </c>
      <c r="Q26" s="280">
        <f>Q10+Q24</f>
        <v>0</v>
      </c>
      <c r="R26" s="123">
        <f t="shared" ref="R26:S26" si="12">R10+R24</f>
        <v>40</v>
      </c>
      <c r="S26" s="280">
        <f t="shared" si="12"/>
        <v>40</v>
      </c>
      <c r="T26" s="280">
        <f>T10+T24</f>
        <v>40</v>
      </c>
      <c r="U26" s="280">
        <f>U10+U24</f>
        <v>0</v>
      </c>
      <c r="V26" s="123">
        <f t="shared" ref="V26:W26" si="13">V10+V24</f>
        <v>28</v>
      </c>
      <c r="W26" s="280">
        <f t="shared" si="13"/>
        <v>28.5</v>
      </c>
      <c r="X26" s="280">
        <f>X10+X24</f>
        <v>28.5</v>
      </c>
      <c r="Y26" s="280">
        <f>Y10+Y24</f>
        <v>0</v>
      </c>
      <c r="Z26" s="123">
        <f t="shared" ref="Z26:AA26" si="14">Z10+Z24</f>
        <v>0</v>
      </c>
      <c r="AA26" s="280">
        <f t="shared" si="14"/>
        <v>0</v>
      </c>
      <c r="AB26" s="280">
        <f>AB10+AB24</f>
        <v>0</v>
      </c>
      <c r="AC26" s="280">
        <f>AC10+AC24</f>
        <v>0</v>
      </c>
      <c r="AD26" s="123">
        <f t="shared" ref="AD26:AE26" si="15">AD10+AD24</f>
        <v>25</v>
      </c>
      <c r="AE26" s="280">
        <f t="shared" si="15"/>
        <v>20</v>
      </c>
      <c r="AF26" s="280">
        <f>AF10+AF24</f>
        <v>20</v>
      </c>
      <c r="AG26" s="280">
        <f>AG10+AG24</f>
        <v>0</v>
      </c>
      <c r="AH26" s="127">
        <f t="shared" ref="AH26:AI26" si="16">AH10+AH24</f>
        <v>175</v>
      </c>
      <c r="AI26" s="280">
        <f t="shared" si="16"/>
        <v>176.53000000000003</v>
      </c>
      <c r="AJ26" s="697">
        <f>AJ10+AJ24</f>
        <v>107.13000000000001</v>
      </c>
      <c r="AK26" s="696">
        <f>AK10+AK24</f>
        <v>0</v>
      </c>
      <c r="AL26" s="123">
        <f t="shared" ref="AL26:AM26" si="17">AL10+AL24</f>
        <v>33</v>
      </c>
      <c r="AM26" s="280">
        <f t="shared" si="17"/>
        <v>27.5</v>
      </c>
      <c r="AN26" s="280">
        <f>AN10+AN24</f>
        <v>27.5</v>
      </c>
      <c r="AO26" s="280">
        <f>AO10+AO24</f>
        <v>0</v>
      </c>
      <c r="AP26" s="123">
        <f t="shared" ref="AP26:AQ26" si="18">AP10+AP24</f>
        <v>25</v>
      </c>
      <c r="AQ26" s="280">
        <f t="shared" si="18"/>
        <v>27.36</v>
      </c>
      <c r="AR26" s="280">
        <f>AR10+AR24</f>
        <v>27.36</v>
      </c>
      <c r="AS26" s="280">
        <f>AS10+AS24</f>
        <v>0</v>
      </c>
      <c r="AT26" s="123">
        <f t="shared" ref="AT26:AU26" si="19">AT10+AT24</f>
        <v>20</v>
      </c>
      <c r="AU26" s="280">
        <f t="shared" si="19"/>
        <v>14</v>
      </c>
      <c r="AV26" s="280">
        <f>AV10+AV24</f>
        <v>2</v>
      </c>
      <c r="AW26" s="280">
        <f>AW10+AW24</f>
        <v>12</v>
      </c>
      <c r="AX26" s="123">
        <f t="shared" ref="AX26:AY26" si="20">AX10+AX24</f>
        <v>13</v>
      </c>
      <c r="AY26" s="280">
        <f t="shared" si="20"/>
        <v>6.5</v>
      </c>
      <c r="AZ26" s="280">
        <f>AZ10+AZ24</f>
        <v>6.5</v>
      </c>
      <c r="BA26" s="280">
        <f>BA10+BA24</f>
        <v>0</v>
      </c>
      <c r="BB26" s="127">
        <f t="shared" ref="BB26:BC26" si="21">BB10+BB24</f>
        <v>91</v>
      </c>
      <c r="BC26" s="280">
        <f t="shared" si="21"/>
        <v>75.36</v>
      </c>
      <c r="BD26" s="697">
        <f>BD10+BD24</f>
        <v>63.36</v>
      </c>
      <c r="BE26" s="697">
        <f>BE10+BE24</f>
        <v>12</v>
      </c>
      <c r="BF26" s="124">
        <f>BF10+BF24</f>
        <v>266</v>
      </c>
      <c r="BG26" s="707">
        <f t="shared" si="10"/>
        <v>251.89</v>
      </c>
      <c r="BH26" s="706">
        <f t="shared" si="10"/>
        <v>170.49</v>
      </c>
      <c r="BI26" s="284">
        <f t="shared" si="10"/>
        <v>12</v>
      </c>
    </row>
    <row r="27" spans="3:61" ht="21" customHeight="1">
      <c r="H27" s="320"/>
      <c r="I27" s="320"/>
      <c r="J27" s="321"/>
      <c r="K27" s="321"/>
      <c r="L27" s="321"/>
      <c r="M27" s="321"/>
      <c r="N27" s="321"/>
      <c r="O27" s="321"/>
      <c r="P27" s="321"/>
      <c r="Q27" s="321"/>
      <c r="R27" s="321"/>
      <c r="S27" s="321"/>
      <c r="T27" s="321"/>
      <c r="U27" s="321"/>
      <c r="V27" s="321"/>
      <c r="W27" s="321"/>
      <c r="X27" s="323"/>
      <c r="Y27" s="323"/>
      <c r="Z27" s="321"/>
      <c r="AA27" s="321"/>
      <c r="AB27" s="323"/>
      <c r="AC27" s="323"/>
      <c r="AD27" s="321"/>
      <c r="AE27" s="321"/>
      <c r="AF27" s="321"/>
      <c r="AG27" s="321"/>
      <c r="AH27" s="321"/>
      <c r="AI27" s="321"/>
      <c r="AJ27" s="321"/>
      <c r="AK27" s="321"/>
      <c r="AL27" s="321"/>
      <c r="AM27" s="321"/>
      <c r="AN27" s="321"/>
      <c r="AO27" s="321"/>
      <c r="AP27" s="321"/>
      <c r="AQ27" s="321"/>
      <c r="AR27" s="321"/>
      <c r="AS27" s="321"/>
      <c r="AT27" s="321"/>
      <c r="AU27" s="321"/>
      <c r="AV27" s="321">
        <v>12</v>
      </c>
      <c r="AW27" s="321" t="s">
        <v>22</v>
      </c>
      <c r="AX27" s="321"/>
      <c r="AY27" s="321"/>
      <c r="AZ27" s="321"/>
      <c r="BA27" s="321"/>
      <c r="BB27" s="335"/>
      <c r="BC27" s="1918">
        <f>SUM(I27:AZ29)</f>
        <v>12</v>
      </c>
      <c r="BD27" s="335"/>
      <c r="BE27" s="335"/>
      <c r="BF27" s="335"/>
      <c r="BG27" s="335"/>
      <c r="BH27" s="1917">
        <f>BH26+BI26</f>
        <v>182.49</v>
      </c>
      <c r="BI27" s="1917"/>
    </row>
    <row r="28" spans="3:61" ht="21" customHeight="1">
      <c r="H28" s="320"/>
      <c r="I28" s="320"/>
      <c r="J28" s="322"/>
      <c r="K28" s="323"/>
      <c r="L28" s="323"/>
      <c r="M28" s="323"/>
      <c r="N28" s="322"/>
      <c r="O28" s="323"/>
      <c r="P28" s="323"/>
      <c r="Q28" s="323"/>
      <c r="R28" s="322"/>
      <c r="S28" s="323"/>
      <c r="T28" s="323"/>
      <c r="U28" s="323"/>
      <c r="V28" s="321"/>
      <c r="W28" s="323"/>
      <c r="X28" s="323"/>
      <c r="Y28" s="323"/>
      <c r="Z28" s="322"/>
      <c r="AA28" s="323"/>
      <c r="AB28" s="323"/>
      <c r="AC28" s="323"/>
      <c r="AD28" s="322"/>
      <c r="AE28" s="323"/>
      <c r="AF28" s="323"/>
      <c r="AG28" s="322"/>
      <c r="AH28" s="322"/>
      <c r="AI28" s="323"/>
      <c r="AJ28" s="323"/>
      <c r="AK28" s="323"/>
      <c r="AL28" s="321"/>
      <c r="AM28" s="323"/>
      <c r="AN28" s="622"/>
      <c r="AO28" s="622"/>
      <c r="AP28" s="321"/>
      <c r="AQ28" s="323"/>
      <c r="AR28" s="323"/>
      <c r="AS28" s="323"/>
      <c r="AT28" s="322"/>
      <c r="AU28" s="323"/>
      <c r="AV28" s="323"/>
      <c r="AW28" s="323"/>
      <c r="AX28" s="322"/>
      <c r="AY28" s="468"/>
      <c r="AZ28" s="468"/>
      <c r="BA28" s="468"/>
      <c r="BB28" s="392"/>
      <c r="BC28" s="1919"/>
      <c r="BD28" s="434"/>
      <c r="BE28" s="434"/>
      <c r="BF28" s="435"/>
      <c r="BG28" s="434"/>
      <c r="BH28" s="726"/>
      <c r="BI28" s="434"/>
    </row>
    <row r="29" spans="3:61" ht="23.25">
      <c r="H29" s="320"/>
      <c r="I29" s="320"/>
      <c r="J29" s="322"/>
      <c r="K29" s="323"/>
      <c r="L29" s="323"/>
      <c r="M29" s="323"/>
      <c r="N29" s="322"/>
      <c r="O29" s="323"/>
      <c r="P29" s="323"/>
      <c r="Q29" s="323"/>
      <c r="R29" s="322"/>
      <c r="S29" s="323"/>
      <c r="T29" s="323"/>
      <c r="U29" s="323"/>
      <c r="V29" s="322"/>
      <c r="W29" s="323"/>
      <c r="X29" s="323"/>
      <c r="Y29" s="323"/>
      <c r="Z29" s="322"/>
      <c r="AA29" s="323"/>
      <c r="AB29" s="323"/>
      <c r="AC29" s="323"/>
      <c r="AD29" s="322"/>
      <c r="AE29" s="323"/>
      <c r="AF29" s="688"/>
      <c r="AG29" s="688"/>
      <c r="AH29" s="322"/>
      <c r="AI29" s="322"/>
      <c r="AJ29" s="323"/>
      <c r="AK29" s="323"/>
      <c r="AL29" s="321"/>
      <c r="AM29" s="323"/>
      <c r="AN29" s="321"/>
      <c r="AO29" s="321"/>
      <c r="AP29" s="322"/>
      <c r="AQ29" s="323"/>
      <c r="AR29" s="323"/>
      <c r="AS29" s="323"/>
      <c r="AT29" s="322"/>
      <c r="AU29" s="323"/>
      <c r="AV29" s="323"/>
      <c r="AW29" s="323"/>
      <c r="AX29" s="322"/>
      <c r="AY29" s="468"/>
      <c r="AZ29" s="468"/>
      <c r="BA29" s="468"/>
      <c r="BB29" s="392"/>
      <c r="BC29" s="434"/>
      <c r="BD29" s="434"/>
      <c r="BE29" s="434"/>
      <c r="BF29" s="435"/>
      <c r="BG29" s="434"/>
      <c r="BH29" s="682"/>
      <c r="BI29" s="434"/>
    </row>
    <row r="30" spans="3:61" s="464" customFormat="1" ht="21.75" thickBot="1">
      <c r="D30" s="576"/>
      <c r="E30" s="576"/>
      <c r="F30" s="576"/>
      <c r="I30" s="577"/>
      <c r="J30" s="578"/>
      <c r="K30" s="579"/>
      <c r="L30" s="579"/>
      <c r="M30" s="579"/>
      <c r="N30" s="578"/>
      <c r="O30" s="579"/>
      <c r="P30" s="579"/>
      <c r="Q30" s="579"/>
      <c r="R30" s="578"/>
      <c r="S30" s="579"/>
      <c r="T30" s="579"/>
      <c r="U30" s="579"/>
      <c r="V30" s="578"/>
      <c r="W30" s="578"/>
      <c r="X30" s="579"/>
      <c r="Y30" s="579"/>
      <c r="Z30" s="579"/>
      <c r="AA30" s="578"/>
      <c r="AB30" s="579"/>
      <c r="AC30" s="579"/>
      <c r="AD30" s="579"/>
      <c r="AE30" s="578"/>
      <c r="AF30" s="579"/>
      <c r="AG30" s="579"/>
      <c r="AH30" s="621"/>
      <c r="AI30" s="578"/>
      <c r="AJ30" s="579"/>
      <c r="AK30" s="579"/>
      <c r="AM30" s="580"/>
      <c r="AN30" s="579"/>
      <c r="AO30" s="579"/>
      <c r="AP30" s="579"/>
      <c r="AQ30" s="578"/>
      <c r="AR30" s="579"/>
      <c r="AS30" s="579"/>
      <c r="AT30" s="579"/>
      <c r="AU30" s="578"/>
      <c r="AV30" s="579"/>
      <c r="AW30" s="579"/>
      <c r="AZ30" s="581"/>
      <c r="BA30" s="581"/>
      <c r="BB30" s="581"/>
      <c r="BC30" s="582"/>
      <c r="BD30" s="583"/>
      <c r="BE30" s="583"/>
      <c r="BF30" s="583"/>
      <c r="BG30" s="584"/>
      <c r="BH30" s="583"/>
      <c r="BI30" s="585"/>
    </row>
    <row r="31" spans="3:61" ht="35.25" customHeight="1" thickBot="1">
      <c r="L31" s="1951" t="s">
        <v>391</v>
      </c>
      <c r="M31" s="1952"/>
      <c r="N31" s="1952"/>
      <c r="O31" s="1952"/>
      <c r="P31" s="1952"/>
      <c r="Q31" s="1952"/>
      <c r="R31" s="1952"/>
      <c r="S31" s="1953"/>
      <c r="T31" s="579"/>
      <c r="U31" s="579"/>
      <c r="V31" s="1929" t="s">
        <v>204</v>
      </c>
      <c r="W31" s="1930"/>
      <c r="X31" s="1930"/>
      <c r="Y31" s="1930"/>
      <c r="Z31" s="1930"/>
      <c r="AA31" s="1930"/>
      <c r="AB31" s="1930"/>
      <c r="AC31" s="1935"/>
      <c r="AD31" s="1936"/>
      <c r="AE31" s="579"/>
      <c r="AF31" s="579"/>
      <c r="AG31" s="26"/>
      <c r="AH31" s="24"/>
      <c r="AJ31" s="685"/>
      <c r="AL31" s="24"/>
      <c r="AM31" s="599"/>
      <c r="AN31" s="1014"/>
      <c r="AP31" s="24"/>
      <c r="AS31" s="26"/>
      <c r="AT31" s="24"/>
      <c r="AX31" s="24"/>
      <c r="AY31" s="25"/>
      <c r="AZ31" s="25"/>
      <c r="BA31" s="24"/>
      <c r="BB31" s="24"/>
      <c r="BE31" s="23"/>
      <c r="BF31" s="23"/>
      <c r="BG31" s="23"/>
    </row>
    <row r="32" spans="3:61" s="24" customFormat="1" ht="28.5" customHeight="1" thickBot="1">
      <c r="C32" s="23"/>
      <c r="D32" s="27"/>
      <c r="E32" s="27"/>
      <c r="F32" s="27"/>
      <c r="G32" s="23"/>
      <c r="H32" s="23"/>
      <c r="I32" s="27"/>
      <c r="L32" s="450" t="s">
        <v>0</v>
      </c>
      <c r="M32" s="439" t="s">
        <v>200</v>
      </c>
      <c r="N32" s="454" t="s">
        <v>205</v>
      </c>
      <c r="O32" s="439" t="s">
        <v>31</v>
      </c>
      <c r="P32" s="448" t="s">
        <v>201</v>
      </c>
      <c r="Q32" s="455" t="s">
        <v>206</v>
      </c>
      <c r="R32" s="436" t="s">
        <v>22</v>
      </c>
      <c r="S32" s="438" t="s">
        <v>191</v>
      </c>
      <c r="T32" s="579"/>
      <c r="U32" s="579"/>
      <c r="V32" s="571" t="s">
        <v>0</v>
      </c>
      <c r="W32" s="572" t="s">
        <v>200</v>
      </c>
      <c r="X32" s="623" t="s">
        <v>205</v>
      </c>
      <c r="Y32" s="572" t="s">
        <v>31</v>
      </c>
      <c r="Z32" s="573" t="s">
        <v>201</v>
      </c>
      <c r="AA32" s="574" t="s">
        <v>206</v>
      </c>
      <c r="AB32" s="717" t="s">
        <v>22</v>
      </c>
      <c r="AC32" s="721" t="s">
        <v>191</v>
      </c>
      <c r="AD32" s="722" t="s">
        <v>226</v>
      </c>
      <c r="AE32" s="579"/>
      <c r="AF32" s="579"/>
      <c r="AG32" s="599"/>
      <c r="AH32" s="599"/>
      <c r="AI32" s="599"/>
      <c r="AN32" s="26"/>
      <c r="AT32" s="25"/>
      <c r="AU32" s="25"/>
      <c r="AW32" s="23"/>
      <c r="AX32" s="23"/>
    </row>
    <row r="33" spans="1:59" ht="23.25">
      <c r="L33" s="441" t="s">
        <v>189</v>
      </c>
      <c r="M33" s="470">
        <f>$J$6</f>
        <v>30</v>
      </c>
      <c r="N33" s="430">
        <f>$J9</f>
        <v>20</v>
      </c>
      <c r="O33" s="430">
        <f>$J7</f>
        <v>0</v>
      </c>
      <c r="P33" s="430">
        <f>$J8</f>
        <v>0</v>
      </c>
      <c r="Q33" s="430">
        <f>J15+J16+J17+J18+J19+J21+J22+J23</f>
        <v>0</v>
      </c>
      <c r="R33" s="430">
        <f>$J20</f>
        <v>0</v>
      </c>
      <c r="S33" s="446">
        <f t="shared" ref="S33:S42" si="22">SUM(M33:R33)</f>
        <v>50</v>
      </c>
      <c r="T33" s="579"/>
      <c r="U33" s="579"/>
      <c r="V33" s="447" t="s">
        <v>189</v>
      </c>
      <c r="W33" s="569">
        <f>L$6</f>
        <v>9</v>
      </c>
      <c r="X33" s="570">
        <f>$L9</f>
        <v>1</v>
      </c>
      <c r="Y33" s="570">
        <f>$L7</f>
        <v>0</v>
      </c>
      <c r="Z33" s="570">
        <f>$L8</f>
        <v>5.48</v>
      </c>
      <c r="AA33" s="570">
        <f>L$15+L$16+L$17+L$18+L$19+L$21+L$22+L$23</f>
        <v>0</v>
      </c>
      <c r="AB33" s="718">
        <f>$L20</f>
        <v>0</v>
      </c>
      <c r="AC33" s="723">
        <f t="shared" ref="AC33:AC42" si="23">SUM(W33:AB33)</f>
        <v>15.48</v>
      </c>
      <c r="AD33" s="587">
        <f>M6+M7+M8++M9+M15+M16+M17+M18+M19+M21+M20+M22+M23</f>
        <v>0</v>
      </c>
      <c r="AE33" s="579">
        <f>AC33+AD33</f>
        <v>15.48</v>
      </c>
      <c r="AF33" s="579"/>
      <c r="AG33" s="599"/>
      <c r="AH33" s="599"/>
      <c r="AI33" s="599"/>
      <c r="AL33" s="24"/>
      <c r="AN33" s="26"/>
      <c r="AP33" s="24"/>
      <c r="AT33" s="25"/>
      <c r="AU33" s="25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</row>
    <row r="34" spans="1:59" s="24" customFormat="1" ht="23.25">
      <c r="A34" s="23"/>
      <c r="B34" s="23"/>
      <c r="C34" s="23"/>
      <c r="D34" s="27"/>
      <c r="E34" s="27"/>
      <c r="F34" s="27"/>
      <c r="G34" s="23"/>
      <c r="H34" s="23"/>
      <c r="I34" s="27"/>
      <c r="L34" s="441" t="s">
        <v>183</v>
      </c>
      <c r="M34" s="470">
        <f>$N$6</f>
        <v>12</v>
      </c>
      <c r="N34" s="430">
        <f>$N9</f>
        <v>0</v>
      </c>
      <c r="O34" s="430">
        <f>$N7</f>
        <v>0</v>
      </c>
      <c r="P34" s="430">
        <f>$N8</f>
        <v>0</v>
      </c>
      <c r="Q34" s="430">
        <f>N15+N16+N17+N18+N19+N21+N22+N23</f>
        <v>20</v>
      </c>
      <c r="R34" s="430">
        <f>$N20</f>
        <v>0</v>
      </c>
      <c r="S34" s="446">
        <f t="shared" si="22"/>
        <v>32</v>
      </c>
      <c r="T34" s="686"/>
      <c r="U34" s="26"/>
      <c r="V34" s="441" t="s">
        <v>183</v>
      </c>
      <c r="W34" s="440">
        <f>P$6</f>
        <v>3.15</v>
      </c>
      <c r="X34" s="430">
        <f>$P9</f>
        <v>0</v>
      </c>
      <c r="Y34" s="430">
        <f>$P7</f>
        <v>0</v>
      </c>
      <c r="Z34" s="430">
        <f>$P8</f>
        <v>0</v>
      </c>
      <c r="AA34" s="430">
        <f>P$15+P$16+P$17+P$18+P$19+P$21+P$22+P$23</f>
        <v>0</v>
      </c>
      <c r="AB34" s="719">
        <f>$P20</f>
        <v>0</v>
      </c>
      <c r="AC34" s="723">
        <f t="shared" si="23"/>
        <v>3.15</v>
      </c>
      <c r="AD34" s="587">
        <f>Q6+Q7+Q8+Q9+Q15+Q16+Q17+Q18+Q19+Q20+Q21+Q22+Q23</f>
        <v>0</v>
      </c>
      <c r="AE34" s="579">
        <f t="shared" ref="AE34:AE43" si="24">AC34+AD34</f>
        <v>3.15</v>
      </c>
      <c r="AG34" s="599"/>
      <c r="AH34" s="599"/>
      <c r="AI34" s="599"/>
      <c r="AN34" s="26"/>
      <c r="AT34" s="25"/>
      <c r="AU34" s="25"/>
    </row>
    <row r="35" spans="1:59" ht="23.25">
      <c r="L35" s="441" t="s">
        <v>184</v>
      </c>
      <c r="M35" s="470">
        <f>$R$6</f>
        <v>0</v>
      </c>
      <c r="N35" s="430">
        <f>$R9</f>
        <v>0</v>
      </c>
      <c r="O35" s="430">
        <f>$R7</f>
        <v>0</v>
      </c>
      <c r="P35" s="430">
        <f>$R8</f>
        <v>0</v>
      </c>
      <c r="Q35" s="430">
        <f>R15+R16+R17+R18+R19+R21+R22+R23</f>
        <v>40</v>
      </c>
      <c r="R35" s="430">
        <f>$R20</f>
        <v>0</v>
      </c>
      <c r="S35" s="446">
        <f t="shared" si="22"/>
        <v>40</v>
      </c>
      <c r="T35" s="686"/>
      <c r="U35" s="26"/>
      <c r="V35" s="441" t="s">
        <v>184</v>
      </c>
      <c r="W35" s="440">
        <f>T$6</f>
        <v>40</v>
      </c>
      <c r="X35" s="430">
        <f>$T9</f>
        <v>0</v>
      </c>
      <c r="Y35" s="430">
        <f>$T7</f>
        <v>0</v>
      </c>
      <c r="Z35" s="430">
        <f>$T8</f>
        <v>0</v>
      </c>
      <c r="AA35" s="430">
        <f>T$15+T$16+T$17+T$18+T$19+T$21+T$22+T$23</f>
        <v>0</v>
      </c>
      <c r="AB35" s="719">
        <f>$T20</f>
        <v>0</v>
      </c>
      <c r="AC35" s="723">
        <f t="shared" si="23"/>
        <v>40</v>
      </c>
      <c r="AD35" s="587">
        <f>U6+U7+U8+U9+U15+U16+U17+U18+U19+U20+U21+U22+U23</f>
        <v>0</v>
      </c>
      <c r="AE35" s="579">
        <f t="shared" si="24"/>
        <v>40</v>
      </c>
      <c r="AF35" s="26"/>
      <c r="AG35" s="599"/>
      <c r="AH35" s="599"/>
      <c r="AI35" s="599"/>
      <c r="AL35" s="24"/>
      <c r="AN35" s="26"/>
      <c r="AP35" s="24"/>
      <c r="AT35" s="25"/>
      <c r="AU35" s="25"/>
      <c r="AX35" s="23"/>
      <c r="AY35" s="23"/>
      <c r="AZ35" s="23"/>
      <c r="BA35" s="23"/>
      <c r="BB35" s="23"/>
      <c r="BC35" s="23"/>
      <c r="BD35" s="23"/>
      <c r="BE35" s="23"/>
      <c r="BF35" s="23"/>
      <c r="BG35" s="23"/>
    </row>
    <row r="36" spans="1:59" ht="23.25">
      <c r="L36" s="441" t="s">
        <v>192</v>
      </c>
      <c r="M36" s="470">
        <f>$V$6</f>
        <v>28</v>
      </c>
      <c r="N36" s="430">
        <f>$V9</f>
        <v>0</v>
      </c>
      <c r="O36" s="430">
        <f>$V7</f>
        <v>0</v>
      </c>
      <c r="P36" s="430">
        <f>$V8</f>
        <v>0</v>
      </c>
      <c r="Q36" s="430">
        <f>V15+V16+V17+V18+V19+V21++V22+V23</f>
        <v>0</v>
      </c>
      <c r="R36" s="430">
        <f>$V20</f>
        <v>0</v>
      </c>
      <c r="S36" s="446">
        <f t="shared" si="22"/>
        <v>28</v>
      </c>
      <c r="T36" s="686"/>
      <c r="U36" s="26"/>
      <c r="V36" s="441" t="s">
        <v>192</v>
      </c>
      <c r="W36" s="440">
        <f>X$6</f>
        <v>28.5</v>
      </c>
      <c r="X36" s="430">
        <f>$X9</f>
        <v>0</v>
      </c>
      <c r="Y36" s="430">
        <f>$X7</f>
        <v>0</v>
      </c>
      <c r="Z36" s="430">
        <f>$X8</f>
        <v>0</v>
      </c>
      <c r="AA36" s="430">
        <f>X$15+X$16+X$17+X$18+X$19+X$21+X$22+X$23</f>
        <v>0</v>
      </c>
      <c r="AB36" s="719">
        <f>$X20</f>
        <v>0</v>
      </c>
      <c r="AC36" s="723">
        <f t="shared" si="23"/>
        <v>28.5</v>
      </c>
      <c r="AD36" s="587">
        <f>Y6+Y7+Y8+Y9+Y15+Y16+Y17+Y18+Y19+Y20+Y21+Y22+Y23</f>
        <v>0</v>
      </c>
      <c r="AE36" s="579">
        <f t="shared" si="24"/>
        <v>28.5</v>
      </c>
      <c r="AF36" s="26"/>
      <c r="AG36" s="599"/>
      <c r="AH36" s="599"/>
      <c r="AI36" s="599"/>
      <c r="AL36" s="24"/>
      <c r="AN36" s="26"/>
      <c r="AP36" s="24"/>
      <c r="AT36" s="25"/>
      <c r="AU36" s="25"/>
      <c r="AX36" s="23"/>
      <c r="AY36" s="23"/>
      <c r="AZ36" s="23"/>
      <c r="BA36" s="23"/>
      <c r="BB36" s="23"/>
      <c r="BC36" s="23"/>
      <c r="BD36" s="23"/>
      <c r="BE36" s="23"/>
      <c r="BF36" s="23"/>
      <c r="BG36" s="23"/>
    </row>
    <row r="37" spans="1:59" ht="23.25">
      <c r="L37" s="441" t="s">
        <v>171</v>
      </c>
      <c r="M37" s="470">
        <f>$Z$6</f>
        <v>0</v>
      </c>
      <c r="N37" s="430">
        <f>$Z9</f>
        <v>0</v>
      </c>
      <c r="O37" s="430">
        <f>$Z7</f>
        <v>0</v>
      </c>
      <c r="P37" s="430">
        <f>$Z8</f>
        <v>0</v>
      </c>
      <c r="Q37" s="430">
        <f>Z15+Z16+Z17+Z18+Z19+Z21+Z22+Z23</f>
        <v>0</v>
      </c>
      <c r="R37" s="430">
        <f>$Z20</f>
        <v>0</v>
      </c>
      <c r="S37" s="446">
        <f t="shared" si="22"/>
        <v>0</v>
      </c>
      <c r="T37" s="686"/>
      <c r="U37" s="26"/>
      <c r="V37" s="441" t="s">
        <v>171</v>
      </c>
      <c r="W37" s="440">
        <f>AB$6</f>
        <v>0</v>
      </c>
      <c r="X37" s="430">
        <f>$AB9</f>
        <v>0</v>
      </c>
      <c r="Y37" s="430">
        <f>$AB7</f>
        <v>0</v>
      </c>
      <c r="Z37" s="430">
        <f>$AB8</f>
        <v>0</v>
      </c>
      <c r="AA37" s="430">
        <f>AB$15+AB$16+AB$17+AB$18+AB$19+AB$21+AB$22+AB$23</f>
        <v>0</v>
      </c>
      <c r="AB37" s="719">
        <f>$AB20</f>
        <v>0</v>
      </c>
      <c r="AC37" s="723">
        <f t="shared" si="23"/>
        <v>0</v>
      </c>
      <c r="AD37" s="587">
        <f>AC6+AC7+AC8+AC9+AC15+AC17+AC16+AC18+AC19+AC20+AC21+AC22+AC23</f>
        <v>0</v>
      </c>
      <c r="AE37" s="579">
        <f t="shared" si="24"/>
        <v>0</v>
      </c>
      <c r="AF37" s="26"/>
      <c r="AG37" s="26"/>
      <c r="AI37" s="26"/>
      <c r="AJ37" s="26"/>
      <c r="AK37" s="26"/>
      <c r="AL37" s="24"/>
      <c r="AN37" s="26"/>
      <c r="AP37" s="24"/>
      <c r="AT37" s="24"/>
      <c r="AX37" s="23"/>
      <c r="AY37" s="23"/>
      <c r="AZ37" s="23"/>
      <c r="BA37" s="23"/>
      <c r="BB37" s="23"/>
      <c r="BC37" s="23"/>
      <c r="BD37" s="23"/>
      <c r="BE37" s="23"/>
      <c r="BF37" s="23"/>
      <c r="BG37" s="23"/>
    </row>
    <row r="38" spans="1:59" ht="23.25">
      <c r="L38" s="441" t="s">
        <v>190</v>
      </c>
      <c r="M38" s="492">
        <f>$AD$6</f>
        <v>25</v>
      </c>
      <c r="N38" s="471">
        <f>$AD9</f>
        <v>0</v>
      </c>
      <c r="O38" s="471">
        <f>$AD7</f>
        <v>0</v>
      </c>
      <c r="P38" s="471">
        <f>$AD8</f>
        <v>0</v>
      </c>
      <c r="Q38" s="430">
        <f>AD15+AD16+AD17+AD18+AD19+AD21+AD22+AD23</f>
        <v>0</v>
      </c>
      <c r="R38" s="471">
        <f>$AD20</f>
        <v>0</v>
      </c>
      <c r="S38" s="446">
        <f t="shared" si="22"/>
        <v>25</v>
      </c>
      <c r="T38" s="686"/>
      <c r="U38" s="26"/>
      <c r="V38" s="441" t="s">
        <v>190</v>
      </c>
      <c r="W38" s="440">
        <f>AF$6</f>
        <v>20</v>
      </c>
      <c r="X38" s="430">
        <f>$AF9</f>
        <v>0</v>
      </c>
      <c r="Y38" s="430">
        <f>$AF7</f>
        <v>0</v>
      </c>
      <c r="Z38" s="430">
        <f>$AF8</f>
        <v>0</v>
      </c>
      <c r="AA38" s="430">
        <f>AF$15+AF$16+AF$17+AF$18+AF$19+AF$21+AF$22+AF$23</f>
        <v>0</v>
      </c>
      <c r="AB38" s="719">
        <f>$AF20</f>
        <v>0</v>
      </c>
      <c r="AC38" s="723">
        <f t="shared" si="23"/>
        <v>20</v>
      </c>
      <c r="AD38" s="587">
        <f>AG6+AG7+AG8+AG9+AG15+AG16+AG17+AG18+AG19+AG20+AG21+AG22+AG23</f>
        <v>0</v>
      </c>
      <c r="AE38" s="579">
        <f t="shared" si="24"/>
        <v>20</v>
      </c>
      <c r="AF38" s="26"/>
      <c r="AG38" s="26"/>
      <c r="AI38" s="26"/>
      <c r="AJ38" s="26"/>
      <c r="AK38" s="26"/>
      <c r="AL38" s="24"/>
      <c r="AN38" s="26"/>
      <c r="AP38" s="24"/>
      <c r="AT38" s="24"/>
      <c r="AX38" s="23"/>
      <c r="AY38" s="23"/>
      <c r="AZ38" s="23"/>
      <c r="BA38" s="23"/>
      <c r="BB38" s="23"/>
      <c r="BC38" s="23"/>
      <c r="BD38" s="23"/>
      <c r="BE38" s="23"/>
      <c r="BF38" s="23"/>
      <c r="BG38" s="23"/>
    </row>
    <row r="39" spans="1:59" ht="23.25">
      <c r="L39" s="441" t="s">
        <v>185</v>
      </c>
      <c r="M39" s="470">
        <f>$AL$6</f>
        <v>11</v>
      </c>
      <c r="N39" s="430">
        <f>$AL9</f>
        <v>0</v>
      </c>
      <c r="O39" s="430">
        <f>$AL7</f>
        <v>0</v>
      </c>
      <c r="P39" s="430">
        <f>$AL8</f>
        <v>0</v>
      </c>
      <c r="Q39" s="430">
        <f>AL15+AL16+AL17+AL18+AL19+AL21+AL22+AL23</f>
        <v>0</v>
      </c>
      <c r="R39" s="430">
        <f>$AL20</f>
        <v>22</v>
      </c>
      <c r="S39" s="446">
        <f t="shared" si="22"/>
        <v>33</v>
      </c>
      <c r="T39" s="686"/>
      <c r="U39" s="26"/>
      <c r="V39" s="441" t="s">
        <v>185</v>
      </c>
      <c r="W39" s="469">
        <f>AN$6</f>
        <v>5.5</v>
      </c>
      <c r="X39" s="430">
        <f>$AN9</f>
        <v>0</v>
      </c>
      <c r="Y39" s="430">
        <f>$AN7</f>
        <v>0</v>
      </c>
      <c r="Z39" s="430">
        <f>$AN8</f>
        <v>0</v>
      </c>
      <c r="AA39" s="430">
        <f>AN$15+AN$16+AN$17+AN$18+AN$19+AN$21+AN$22+AN$23</f>
        <v>0</v>
      </c>
      <c r="AB39" s="719">
        <f>$AN20</f>
        <v>22</v>
      </c>
      <c r="AC39" s="723">
        <f t="shared" si="23"/>
        <v>27.5</v>
      </c>
      <c r="AD39" s="587">
        <f>AO6+AO7+AO8+AO9+AO15+AO16+AO17+AO18+AO19+AO20+AO21+AO22+AO23</f>
        <v>0</v>
      </c>
      <c r="AE39" s="579">
        <f t="shared" si="24"/>
        <v>27.5</v>
      </c>
      <c r="AF39" s="23"/>
      <c r="AG39" s="26"/>
      <c r="AI39" s="26"/>
      <c r="AJ39" s="26"/>
      <c r="AK39" s="26"/>
      <c r="AL39" s="24"/>
      <c r="AN39" s="26"/>
      <c r="AP39" s="24"/>
      <c r="AT39" s="24"/>
      <c r="AX39" s="23"/>
      <c r="AY39" s="23"/>
      <c r="AZ39" s="23"/>
      <c r="BA39" s="23"/>
      <c r="BB39" s="23"/>
      <c r="BC39" s="23"/>
      <c r="BD39" s="23"/>
      <c r="BE39" s="23"/>
      <c r="BF39" s="23"/>
      <c r="BG39" s="23"/>
    </row>
    <row r="40" spans="1:59" ht="23.25">
      <c r="L40" s="441" t="s">
        <v>202</v>
      </c>
      <c r="M40" s="470">
        <f>$AP$6</f>
        <v>25</v>
      </c>
      <c r="N40" s="430">
        <f>$AP9</f>
        <v>0</v>
      </c>
      <c r="O40" s="430">
        <f>$AP7</f>
        <v>0</v>
      </c>
      <c r="P40" s="430">
        <f>$AP8</f>
        <v>0</v>
      </c>
      <c r="Q40" s="430">
        <f>AP15+AP16+AP17+AP18+AP19+AP21+AP22+AP23</f>
        <v>0</v>
      </c>
      <c r="R40" s="430">
        <f>$AP20</f>
        <v>0</v>
      </c>
      <c r="S40" s="446">
        <f t="shared" si="22"/>
        <v>25</v>
      </c>
      <c r="T40" s="686"/>
      <c r="U40" s="26"/>
      <c r="V40" s="441" t="s">
        <v>202</v>
      </c>
      <c r="W40" s="440">
        <f>AR$6</f>
        <v>27.36</v>
      </c>
      <c r="X40" s="430">
        <f>$AR9</f>
        <v>0</v>
      </c>
      <c r="Y40" s="430">
        <f>$AR7</f>
        <v>0</v>
      </c>
      <c r="Z40" s="430">
        <f>$AR8</f>
        <v>0</v>
      </c>
      <c r="AA40" s="430">
        <f>AR$15+AR$16+AR$17+AR$18+AR$19+AR$21+AR$22+AR$23</f>
        <v>0</v>
      </c>
      <c r="AB40" s="719">
        <f>$AR20</f>
        <v>0</v>
      </c>
      <c r="AC40" s="723">
        <f t="shared" si="23"/>
        <v>27.36</v>
      </c>
      <c r="AD40" s="587">
        <f>AS6+AS7+AS8+AS9+AS15+AS16+AS17+AS18+AS19+AS20+AS21+AS22+AS23</f>
        <v>0</v>
      </c>
      <c r="AE40" s="579">
        <f t="shared" si="24"/>
        <v>27.36</v>
      </c>
      <c r="AF40" s="28"/>
      <c r="AG40" s="26"/>
      <c r="AI40" s="26"/>
      <c r="AJ40" s="26"/>
      <c r="AK40" s="26"/>
      <c r="AL40" s="24"/>
      <c r="AN40" s="26"/>
      <c r="AP40" s="24"/>
      <c r="AS40" s="23"/>
      <c r="AT40" s="24"/>
      <c r="AX40" s="23"/>
      <c r="AY40" s="23"/>
      <c r="AZ40" s="23"/>
      <c r="BA40" s="23"/>
      <c r="BB40" s="23"/>
      <c r="BC40" s="23"/>
      <c r="BD40" s="23"/>
      <c r="BE40" s="23"/>
      <c r="BF40" s="23"/>
      <c r="BG40" s="23"/>
    </row>
    <row r="41" spans="1:59" ht="23.25">
      <c r="L41" s="441" t="s">
        <v>186</v>
      </c>
      <c r="M41" s="470">
        <f>$AT$6</f>
        <v>15</v>
      </c>
      <c r="N41" s="430">
        <f>$AT9</f>
        <v>0</v>
      </c>
      <c r="O41" s="430">
        <f>$AT7</f>
        <v>0</v>
      </c>
      <c r="P41" s="430">
        <f>$AT8</f>
        <v>5</v>
      </c>
      <c r="Q41" s="430">
        <f>AT15+AT16+AT17+AT18+AT19+AT21+AT22+AT23</f>
        <v>0</v>
      </c>
      <c r="R41" s="430">
        <f>$AT20</f>
        <v>0</v>
      </c>
      <c r="S41" s="446">
        <f t="shared" si="22"/>
        <v>20</v>
      </c>
      <c r="T41" s="686"/>
      <c r="U41" s="26"/>
      <c r="V41" s="441" t="s">
        <v>186</v>
      </c>
      <c r="W41" s="440">
        <f>AV$6</f>
        <v>2</v>
      </c>
      <c r="X41" s="430">
        <f>$AV9</f>
        <v>0</v>
      </c>
      <c r="Y41" s="430">
        <f>$AV7</f>
        <v>0</v>
      </c>
      <c r="Z41" s="430">
        <f>$AV8</f>
        <v>0</v>
      </c>
      <c r="AA41" s="430">
        <f>AV$15+AV$16+AV$17+AV$18+AV$19+AV$21+AV$22+AV$23</f>
        <v>0</v>
      </c>
      <c r="AB41" s="719">
        <f>$AV20</f>
        <v>0</v>
      </c>
      <c r="AC41" s="723">
        <f t="shared" si="23"/>
        <v>2</v>
      </c>
      <c r="AD41" s="587">
        <f>AW6+AW7+AW8+AW9+AW15+AW16+AW17+AW18+AW20+AW19+AW21+AW22+AW23</f>
        <v>12</v>
      </c>
      <c r="AE41" s="579">
        <f t="shared" si="24"/>
        <v>14</v>
      </c>
      <c r="AH41" s="24"/>
      <c r="AJ41" s="25"/>
      <c r="AL41" s="24"/>
      <c r="AN41" s="25"/>
      <c r="AP41" s="24"/>
      <c r="AR41" s="25"/>
      <c r="AT41" s="24"/>
      <c r="AX41" s="23"/>
      <c r="AY41" s="23"/>
      <c r="AZ41" s="23"/>
      <c r="BA41" s="23"/>
      <c r="BB41" s="23"/>
      <c r="BC41" s="23"/>
      <c r="BD41" s="23"/>
      <c r="BE41" s="23"/>
      <c r="BF41" s="23"/>
      <c r="BG41" s="23"/>
    </row>
    <row r="42" spans="1:59" ht="23.25">
      <c r="L42" s="441" t="s">
        <v>203</v>
      </c>
      <c r="M42" s="470">
        <f>$AX$6</f>
        <v>0</v>
      </c>
      <c r="N42" s="430">
        <f>$AX9</f>
        <v>0</v>
      </c>
      <c r="O42" s="430">
        <f>$AX7</f>
        <v>0</v>
      </c>
      <c r="P42" s="430">
        <f>$AX8</f>
        <v>0</v>
      </c>
      <c r="Q42" s="430">
        <f>AX15+AX16+AX17+AX18+AX19+AX21+AX22+AX23</f>
        <v>13</v>
      </c>
      <c r="R42" s="430">
        <f>$AX20</f>
        <v>0</v>
      </c>
      <c r="S42" s="446">
        <f t="shared" si="22"/>
        <v>13</v>
      </c>
      <c r="T42" s="686"/>
      <c r="U42" s="26"/>
      <c r="V42" s="441" t="s">
        <v>203</v>
      </c>
      <c r="W42" s="440">
        <f>AZ$6</f>
        <v>0</v>
      </c>
      <c r="X42" s="430">
        <f>$AZ9</f>
        <v>0.5</v>
      </c>
      <c r="Y42" s="430">
        <f>$AZ7</f>
        <v>6</v>
      </c>
      <c r="Z42" s="430">
        <f>$AZ8</f>
        <v>0</v>
      </c>
      <c r="AA42" s="430">
        <f>AZ$15+AZ$16+AZ$17+AZ$18+AZ$19+AZ$21+AZ$22+AZ$23</f>
        <v>0</v>
      </c>
      <c r="AB42" s="719">
        <f>$AZ20</f>
        <v>0</v>
      </c>
      <c r="AC42" s="723">
        <f t="shared" si="23"/>
        <v>6.5</v>
      </c>
      <c r="AD42" s="587">
        <f>BA6+BA7+BA8+BA9+BA15+BA16+BA17+BA18+BA19+BA20+BA21+BA22+BA23</f>
        <v>0</v>
      </c>
      <c r="AE42" s="579">
        <f t="shared" si="24"/>
        <v>6.5</v>
      </c>
      <c r="AH42" s="24"/>
      <c r="AJ42" s="25"/>
      <c r="AL42" s="24"/>
      <c r="AN42" s="25"/>
      <c r="AP42" s="24"/>
      <c r="AR42" s="25"/>
      <c r="AT42" s="24"/>
      <c r="AV42" s="25"/>
      <c r="AX42" s="23"/>
      <c r="AY42" s="23"/>
      <c r="AZ42" s="23"/>
      <c r="BA42" s="23"/>
      <c r="BB42" s="23"/>
      <c r="BC42" s="23"/>
      <c r="BD42" s="23"/>
      <c r="BE42" s="23"/>
      <c r="BF42" s="23"/>
      <c r="BG42" s="23"/>
    </row>
    <row r="43" spans="1:59" ht="24" thickBot="1">
      <c r="L43" s="442" t="s">
        <v>191</v>
      </c>
      <c r="M43" s="443">
        <f t="shared" ref="M43" si="25">SUM(M33:M42)</f>
        <v>146</v>
      </c>
      <c r="N43" s="444">
        <f>SUM(N33:N42)</f>
        <v>20</v>
      </c>
      <c r="O43" s="443">
        <f t="shared" ref="O43" si="26">SUM(O33:O42)</f>
        <v>0</v>
      </c>
      <c r="P43" s="444">
        <f>SUM(P33:P42)</f>
        <v>5</v>
      </c>
      <c r="Q43" s="444">
        <f>SUM(Q33:Q42)</f>
        <v>73</v>
      </c>
      <c r="R43" s="445">
        <f>SUM(R33:R42)</f>
        <v>22</v>
      </c>
      <c r="S43" s="451">
        <f>SUM(S33:S42)</f>
        <v>266</v>
      </c>
      <c r="T43" s="687"/>
      <c r="U43" s="26"/>
      <c r="V43" s="442" t="s">
        <v>191</v>
      </c>
      <c r="W43" s="443">
        <f t="shared" ref="W43:Y43" si="27">SUM(W33:W42)</f>
        <v>135.51</v>
      </c>
      <c r="X43" s="444">
        <f>SUM(X33:X42)</f>
        <v>1.5</v>
      </c>
      <c r="Y43" s="443">
        <f t="shared" si="27"/>
        <v>6</v>
      </c>
      <c r="Z43" s="444">
        <f>SUM(Z33:Z42)</f>
        <v>5.48</v>
      </c>
      <c r="AA43" s="444">
        <f>SUM(AA33:AA42)</f>
        <v>0</v>
      </c>
      <c r="AB43" s="720">
        <f>SUM(AB33:AB42)</f>
        <v>22</v>
      </c>
      <c r="AC43" s="724">
        <f>SUM(AC33:AC42)</f>
        <v>170.49</v>
      </c>
      <c r="AD43" s="725">
        <f>SUM(AD33:AD42)</f>
        <v>12</v>
      </c>
      <c r="AE43" s="579">
        <f t="shared" si="24"/>
        <v>182.49</v>
      </c>
      <c r="AH43" s="24"/>
      <c r="AJ43" s="25"/>
      <c r="AL43" s="24"/>
      <c r="AN43" s="25"/>
      <c r="AP43" s="24"/>
      <c r="AR43" s="25"/>
      <c r="AT43" s="24"/>
      <c r="AV43" s="25"/>
      <c r="AX43" s="23"/>
      <c r="AY43" s="23"/>
      <c r="AZ43" s="23"/>
      <c r="BA43" s="23"/>
      <c r="BB43" s="23"/>
      <c r="BC43" s="23"/>
      <c r="BD43" s="23"/>
      <c r="BE43" s="23"/>
      <c r="BF43" s="23"/>
      <c r="BG43" s="23"/>
    </row>
    <row r="44" spans="1:59" ht="15" customHeight="1" thickBot="1">
      <c r="L44" s="26"/>
      <c r="M44" s="26"/>
      <c r="N44" s="24"/>
      <c r="P44" s="26"/>
      <c r="Q44" s="26"/>
      <c r="R44" s="24"/>
      <c r="T44" s="26"/>
      <c r="U44" s="26"/>
      <c r="V44" s="24"/>
      <c r="Z44" s="24"/>
      <c r="AD44" s="24"/>
      <c r="AE44" s="26"/>
      <c r="AF44" s="466"/>
      <c r="AG44" s="466"/>
      <c r="AH44" s="466"/>
      <c r="AI44" s="467"/>
      <c r="AL44" s="24"/>
      <c r="AM44" s="25"/>
      <c r="AP44" s="24"/>
      <c r="AQ44" s="25"/>
      <c r="AT44" s="24"/>
      <c r="AU44" s="25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</row>
    <row r="45" spans="1:59" ht="23.25" customHeight="1" thickBot="1">
      <c r="L45" s="1929" t="str">
        <f>L31</f>
        <v>Mode wise Collection Plan-13-01-2022</v>
      </c>
      <c r="M45" s="1930"/>
      <c r="N45" s="1930"/>
      <c r="O45" s="1930"/>
      <c r="P45" s="1930"/>
      <c r="Q45" s="1930"/>
      <c r="R45" s="1930"/>
      <c r="S45" s="1930"/>
      <c r="T45" s="1931"/>
      <c r="U45" s="26"/>
      <c r="V45" s="1923" t="s">
        <v>272</v>
      </c>
      <c r="W45" s="1937"/>
      <c r="X45" s="1937"/>
      <c r="Y45" s="1937"/>
      <c r="Z45" s="1937"/>
      <c r="AA45" s="1937"/>
      <c r="AB45" s="1937"/>
      <c r="AC45" s="1937"/>
      <c r="AD45" s="1937"/>
      <c r="AE45" s="1938"/>
      <c r="AF45" s="466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</row>
    <row r="46" spans="1:59" s="28" customFormat="1" ht="31.5">
      <c r="D46" s="29"/>
      <c r="E46" s="29"/>
      <c r="F46" s="29"/>
      <c r="I46" s="29"/>
      <c r="J46" s="1011" t="s">
        <v>270</v>
      </c>
      <c r="K46" s="1011" t="s">
        <v>196</v>
      </c>
      <c r="L46" s="450" t="s">
        <v>0</v>
      </c>
      <c r="M46" s="439" t="s">
        <v>200</v>
      </c>
      <c r="N46" s="454" t="s">
        <v>205</v>
      </c>
      <c r="O46" s="439" t="s">
        <v>31</v>
      </c>
      <c r="P46" s="448" t="s">
        <v>201</v>
      </c>
      <c r="Q46" s="455" t="s">
        <v>206</v>
      </c>
      <c r="R46" s="436" t="s">
        <v>22</v>
      </c>
      <c r="S46" s="438" t="s">
        <v>191</v>
      </c>
      <c r="T46" s="438" t="s">
        <v>244</v>
      </c>
      <c r="U46" s="26"/>
      <c r="V46" s="596" t="s">
        <v>0</v>
      </c>
      <c r="W46" s="436" t="s">
        <v>200</v>
      </c>
      <c r="X46" s="454" t="s">
        <v>205</v>
      </c>
      <c r="Y46" s="436" t="s">
        <v>31</v>
      </c>
      <c r="Z46" s="448" t="s">
        <v>201</v>
      </c>
      <c r="AA46" s="453" t="s">
        <v>206</v>
      </c>
      <c r="AB46" s="453" t="s">
        <v>210</v>
      </c>
      <c r="AC46" s="436" t="s">
        <v>22</v>
      </c>
      <c r="AD46" s="437" t="s">
        <v>191</v>
      </c>
      <c r="AE46" s="438" t="s">
        <v>244</v>
      </c>
      <c r="AF46" s="952" t="s">
        <v>32</v>
      </c>
      <c r="AG46" s="1022" t="s">
        <v>25</v>
      </c>
      <c r="AH46" s="1022" t="s">
        <v>23</v>
      </c>
      <c r="AI46" s="1022" t="s">
        <v>271</v>
      </c>
      <c r="AJ46" s="23"/>
      <c r="AK46" s="23"/>
      <c r="AL46" s="23"/>
      <c r="AM46" s="23"/>
      <c r="AN46" s="23"/>
      <c r="AO46" s="23"/>
      <c r="AP46" s="23"/>
      <c r="AQ46" s="23"/>
      <c r="AR46" s="23"/>
    </row>
    <row r="47" spans="1:59" ht="23.25">
      <c r="J47" s="441"/>
      <c r="K47" s="441"/>
      <c r="L47" s="441" t="s">
        <v>189</v>
      </c>
      <c r="M47" s="470">
        <v>30</v>
      </c>
      <c r="N47" s="430">
        <v>20</v>
      </c>
      <c r="O47" s="430">
        <v>0</v>
      </c>
      <c r="P47" s="430">
        <v>0</v>
      </c>
      <c r="Q47" s="430">
        <v>0</v>
      </c>
      <c r="R47" s="430">
        <v>0</v>
      </c>
      <c r="S47" s="446">
        <f t="shared" ref="S47:S56" si="28">SUM(M47:R47)</f>
        <v>50</v>
      </c>
      <c r="T47" s="446">
        <v>48</v>
      </c>
      <c r="U47" s="26"/>
      <c r="V47" s="586" t="s">
        <v>189</v>
      </c>
      <c r="W47" s="430">
        <v>3</v>
      </c>
      <c r="X47" s="430">
        <v>0</v>
      </c>
      <c r="Y47" s="430">
        <v>0</v>
      </c>
      <c r="Z47" s="430">
        <v>0</v>
      </c>
      <c r="AA47" s="430">
        <v>0</v>
      </c>
      <c r="AB47" s="655">
        <v>0</v>
      </c>
      <c r="AC47" s="430"/>
      <c r="AD47" s="568">
        <f t="shared" ref="AD47:AD56" si="29">SUM(W47:AC47)</f>
        <v>3</v>
      </c>
      <c r="AE47" s="587">
        <f>L27+L28+L29</f>
        <v>0</v>
      </c>
      <c r="AF47" s="953"/>
      <c r="AG47" s="1017"/>
      <c r="AH47" s="1017"/>
      <c r="AI47" s="1017"/>
      <c r="AJ47" s="28"/>
      <c r="AK47" s="28"/>
      <c r="AL47" s="28"/>
      <c r="AM47" s="28"/>
      <c r="AN47" s="28"/>
      <c r="AO47" s="28"/>
      <c r="AP47" s="28"/>
      <c r="AQ47" s="28"/>
      <c r="AR47" s="28"/>
      <c r="AT47" s="24"/>
      <c r="AU47" s="25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</row>
    <row r="48" spans="1:59" ht="23.25">
      <c r="J48" s="441">
        <v>4</v>
      </c>
      <c r="K48" s="441"/>
      <c r="L48" s="441" t="s">
        <v>183</v>
      </c>
      <c r="M48" s="470">
        <v>12</v>
      </c>
      <c r="N48" s="430">
        <v>0</v>
      </c>
      <c r="O48" s="430">
        <v>0</v>
      </c>
      <c r="P48" s="430">
        <v>0</v>
      </c>
      <c r="Q48" s="430">
        <v>20</v>
      </c>
      <c r="R48" s="430">
        <v>0</v>
      </c>
      <c r="S48" s="446">
        <f t="shared" si="28"/>
        <v>32</v>
      </c>
      <c r="T48" s="446"/>
      <c r="U48" s="466"/>
      <c r="V48" s="586" t="s">
        <v>183</v>
      </c>
      <c r="W48" s="430">
        <v>17.5</v>
      </c>
      <c r="X48" s="430">
        <v>2</v>
      </c>
      <c r="Y48" s="430">
        <v>0</v>
      </c>
      <c r="Z48" s="430">
        <v>0</v>
      </c>
      <c r="AA48" s="430">
        <v>0</v>
      </c>
      <c r="AB48" s="655">
        <v>0</v>
      </c>
      <c r="AC48" s="430"/>
      <c r="AD48" s="568">
        <f t="shared" si="29"/>
        <v>19.5</v>
      </c>
      <c r="AE48" s="587">
        <f>P27+P28+P29</f>
        <v>0</v>
      </c>
      <c r="AF48" s="953"/>
      <c r="AG48" s="951"/>
      <c r="AH48" s="951"/>
      <c r="AI48" s="655"/>
      <c r="AL48" s="24"/>
      <c r="AM48" s="25"/>
      <c r="AP48" s="24"/>
      <c r="AQ48" s="25"/>
      <c r="AT48" s="24"/>
      <c r="AU48" s="25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</row>
    <row r="49" spans="4:59" ht="23.25">
      <c r="J49" s="441"/>
      <c r="K49" s="441"/>
      <c r="L49" s="441" t="s">
        <v>184</v>
      </c>
      <c r="M49" s="470">
        <v>0</v>
      </c>
      <c r="N49" s="430">
        <v>0</v>
      </c>
      <c r="O49" s="430">
        <v>0</v>
      </c>
      <c r="P49" s="430">
        <v>0</v>
      </c>
      <c r="Q49" s="430">
        <v>40</v>
      </c>
      <c r="R49" s="430">
        <v>0</v>
      </c>
      <c r="S49" s="446">
        <f t="shared" si="28"/>
        <v>40</v>
      </c>
      <c r="T49" s="446"/>
      <c r="U49" s="466"/>
      <c r="V49" s="586" t="s">
        <v>184</v>
      </c>
      <c r="W49" s="430">
        <v>0</v>
      </c>
      <c r="X49" s="430">
        <v>0</v>
      </c>
      <c r="Y49" s="430">
        <v>0</v>
      </c>
      <c r="Z49" s="430">
        <v>0</v>
      </c>
      <c r="AA49" s="430">
        <v>0</v>
      </c>
      <c r="AB49" s="655">
        <v>0</v>
      </c>
      <c r="AC49" s="430"/>
      <c r="AD49" s="568">
        <f t="shared" si="29"/>
        <v>0</v>
      </c>
      <c r="AE49" s="587">
        <f>T27+T28+T29</f>
        <v>0</v>
      </c>
      <c r="AF49" s="953"/>
      <c r="AG49" s="951"/>
      <c r="AH49" s="951"/>
      <c r="AI49" s="655"/>
      <c r="AL49" s="24"/>
      <c r="AM49" s="25"/>
      <c r="AP49" s="24"/>
      <c r="AQ49" s="25"/>
      <c r="AT49" s="24"/>
      <c r="AU49" s="25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</row>
    <row r="50" spans="4:59" ht="23.25">
      <c r="J50" s="441"/>
      <c r="K50" s="441"/>
      <c r="L50" s="441" t="s">
        <v>192</v>
      </c>
      <c r="M50" s="470">
        <v>28</v>
      </c>
      <c r="N50" s="430">
        <v>0</v>
      </c>
      <c r="O50" s="430">
        <v>0</v>
      </c>
      <c r="P50" s="430">
        <v>0</v>
      </c>
      <c r="Q50" s="430">
        <v>0</v>
      </c>
      <c r="R50" s="430">
        <v>0</v>
      </c>
      <c r="S50" s="446">
        <f t="shared" si="28"/>
        <v>28</v>
      </c>
      <c r="T50" s="446"/>
      <c r="U50" s="466"/>
      <c r="V50" s="586" t="s">
        <v>192</v>
      </c>
      <c r="W50" s="430">
        <v>0</v>
      </c>
      <c r="X50" s="430">
        <v>0</v>
      </c>
      <c r="Y50" s="430">
        <v>0</v>
      </c>
      <c r="Z50" s="430">
        <v>0</v>
      </c>
      <c r="AA50" s="430">
        <v>0</v>
      </c>
      <c r="AB50" s="655">
        <v>0</v>
      </c>
      <c r="AC50" s="430"/>
      <c r="AD50" s="568">
        <f t="shared" si="29"/>
        <v>0</v>
      </c>
      <c r="AE50" s="587">
        <f>X27+X28+X29</f>
        <v>0</v>
      </c>
      <c r="AF50" s="953"/>
      <c r="AG50" s="951"/>
      <c r="AH50" s="951"/>
      <c r="AI50" s="655"/>
      <c r="AL50" s="24"/>
      <c r="AM50" s="25"/>
      <c r="AP50" s="24"/>
      <c r="AQ50" s="25"/>
      <c r="AT50" s="24"/>
      <c r="AU50" s="25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</row>
    <row r="51" spans="4:59" ht="23.25">
      <c r="J51" s="441"/>
      <c r="K51" s="441"/>
      <c r="L51" s="441" t="s">
        <v>171</v>
      </c>
      <c r="M51" s="470">
        <v>0</v>
      </c>
      <c r="N51" s="430">
        <v>0</v>
      </c>
      <c r="O51" s="430">
        <v>0</v>
      </c>
      <c r="P51" s="430">
        <v>0</v>
      </c>
      <c r="Q51" s="430">
        <v>0</v>
      </c>
      <c r="R51" s="430">
        <v>0</v>
      </c>
      <c r="S51" s="446">
        <f t="shared" si="28"/>
        <v>0</v>
      </c>
      <c r="T51" s="446"/>
      <c r="U51" s="466"/>
      <c r="V51" s="586" t="s">
        <v>171</v>
      </c>
      <c r="W51" s="430">
        <v>0</v>
      </c>
      <c r="X51" s="430">
        <v>0.5</v>
      </c>
      <c r="Y51" s="430">
        <v>0</v>
      </c>
      <c r="Z51" s="430">
        <v>0</v>
      </c>
      <c r="AA51" s="430">
        <v>0</v>
      </c>
      <c r="AB51" s="655">
        <v>0</v>
      </c>
      <c r="AC51" s="430"/>
      <c r="AD51" s="568">
        <f t="shared" si="29"/>
        <v>0.5</v>
      </c>
      <c r="AE51" s="587">
        <f>AB27+AB28+AB29</f>
        <v>0</v>
      </c>
      <c r="AF51" s="953"/>
      <c r="AG51" s="951"/>
      <c r="AH51" s="951"/>
      <c r="AI51" s="655"/>
      <c r="AL51" s="24"/>
      <c r="AM51" s="25"/>
      <c r="AP51" s="24"/>
      <c r="AQ51" s="25"/>
      <c r="AT51" s="24"/>
      <c r="AU51" s="25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</row>
    <row r="52" spans="4:59" ht="23.25">
      <c r="J52" s="441">
        <f>14+20+12.96</f>
        <v>46.96</v>
      </c>
      <c r="K52" s="441">
        <f>25+18</f>
        <v>43</v>
      </c>
      <c r="L52" s="441" t="s">
        <v>190</v>
      </c>
      <c r="M52" s="492">
        <v>25</v>
      </c>
      <c r="N52" s="471">
        <v>0</v>
      </c>
      <c r="O52" s="471">
        <v>0</v>
      </c>
      <c r="P52" s="471">
        <v>0</v>
      </c>
      <c r="Q52" s="430">
        <v>0</v>
      </c>
      <c r="R52" s="471">
        <v>0</v>
      </c>
      <c r="S52" s="446">
        <f t="shared" si="28"/>
        <v>25</v>
      </c>
      <c r="T52" s="446"/>
      <c r="U52" s="466"/>
      <c r="V52" s="586" t="s">
        <v>190</v>
      </c>
      <c r="W52" s="430">
        <v>0</v>
      </c>
      <c r="X52" s="430">
        <v>0</v>
      </c>
      <c r="Y52" s="430">
        <v>0</v>
      </c>
      <c r="Z52" s="430">
        <v>24.84</v>
      </c>
      <c r="AA52" s="430">
        <v>0</v>
      </c>
      <c r="AB52" s="655">
        <v>0</v>
      </c>
      <c r="AC52" s="430"/>
      <c r="AD52" s="568">
        <f t="shared" si="29"/>
        <v>24.84</v>
      </c>
      <c r="AE52" s="587">
        <f>AF27+AF28+AF29</f>
        <v>0</v>
      </c>
      <c r="AF52" s="954"/>
      <c r="AG52" s="951"/>
      <c r="AH52" s="951"/>
      <c r="AI52" s="655"/>
      <c r="AL52" s="24"/>
      <c r="AM52" s="25"/>
      <c r="AP52" s="24"/>
      <c r="AQ52" s="25"/>
      <c r="AT52" s="24"/>
      <c r="AU52" s="25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</row>
    <row r="53" spans="4:59" ht="23.25">
      <c r="J53" s="441">
        <f>19.3+19</f>
        <v>38.299999999999997</v>
      </c>
      <c r="K53" s="441">
        <f>14.87+19</f>
        <v>33.869999999999997</v>
      </c>
      <c r="L53" s="441" t="s">
        <v>185</v>
      </c>
      <c r="M53" s="470">
        <v>11</v>
      </c>
      <c r="N53" s="430">
        <v>0</v>
      </c>
      <c r="O53" s="430">
        <v>0</v>
      </c>
      <c r="P53" s="430">
        <v>0</v>
      </c>
      <c r="Q53" s="430">
        <v>0</v>
      </c>
      <c r="R53" s="430">
        <v>22</v>
      </c>
      <c r="S53" s="446">
        <f t="shared" si="28"/>
        <v>33</v>
      </c>
      <c r="T53" s="446">
        <v>28</v>
      </c>
      <c r="U53" s="466"/>
      <c r="V53" s="586" t="s">
        <v>185</v>
      </c>
      <c r="W53" s="430">
        <v>0</v>
      </c>
      <c r="X53" s="430">
        <v>0</v>
      </c>
      <c r="Y53" s="430">
        <v>0</v>
      </c>
      <c r="Z53" s="430">
        <v>0</v>
      </c>
      <c r="AA53" s="430">
        <v>0</v>
      </c>
      <c r="AB53" s="655">
        <v>0</v>
      </c>
      <c r="AC53" s="430"/>
      <c r="AD53" s="568">
        <f t="shared" si="29"/>
        <v>0</v>
      </c>
      <c r="AE53" s="587">
        <f>AN27+AN28+AN29</f>
        <v>0</v>
      </c>
      <c r="AF53" s="954"/>
      <c r="AG53" s="951"/>
      <c r="AH53" s="951"/>
      <c r="AI53" s="655"/>
      <c r="AL53" s="24"/>
      <c r="AM53" s="25"/>
      <c r="AP53" s="24"/>
      <c r="AQ53" s="25"/>
      <c r="AT53" s="24"/>
      <c r="AU53" s="25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</row>
    <row r="54" spans="4:59" ht="23.25">
      <c r="J54" s="441"/>
      <c r="K54" s="441"/>
      <c r="L54" s="441" t="s">
        <v>202</v>
      </c>
      <c r="M54" s="470">
        <v>25</v>
      </c>
      <c r="N54" s="430">
        <v>0</v>
      </c>
      <c r="O54" s="430">
        <v>0</v>
      </c>
      <c r="P54" s="430">
        <v>0</v>
      </c>
      <c r="Q54" s="430">
        <v>0</v>
      </c>
      <c r="R54" s="430">
        <v>0</v>
      </c>
      <c r="S54" s="446">
        <f t="shared" si="28"/>
        <v>25</v>
      </c>
      <c r="T54" s="446"/>
      <c r="U54" s="466"/>
      <c r="V54" s="586" t="s">
        <v>202</v>
      </c>
      <c r="W54" s="430">
        <v>0</v>
      </c>
      <c r="X54" s="430">
        <v>0</v>
      </c>
      <c r="Y54" s="430">
        <v>0</v>
      </c>
      <c r="Z54" s="430">
        <v>0</v>
      </c>
      <c r="AA54" s="430">
        <v>0</v>
      </c>
      <c r="AB54" s="655">
        <v>0</v>
      </c>
      <c r="AC54" s="430"/>
      <c r="AD54" s="568">
        <f t="shared" si="29"/>
        <v>0</v>
      </c>
      <c r="AE54" s="587">
        <f>AR27+AR28+AR29</f>
        <v>0</v>
      </c>
      <c r="AF54" s="952"/>
      <c r="AG54" s="951"/>
      <c r="AH54" s="951"/>
      <c r="AI54" s="655"/>
      <c r="AL54" s="24"/>
      <c r="AM54" s="25"/>
      <c r="AP54" s="24"/>
      <c r="AQ54" s="25"/>
      <c r="AT54" s="24"/>
      <c r="AU54" s="25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</row>
    <row r="55" spans="4:59" ht="23.25">
      <c r="J55" s="441">
        <f>35.05+34.03</f>
        <v>69.08</v>
      </c>
      <c r="K55" s="441"/>
      <c r="L55" s="441" t="s">
        <v>186</v>
      </c>
      <c r="M55" s="470">
        <v>15</v>
      </c>
      <c r="N55" s="430">
        <v>0</v>
      </c>
      <c r="O55" s="430">
        <v>0</v>
      </c>
      <c r="P55" s="430">
        <v>5</v>
      </c>
      <c r="Q55" s="430">
        <v>0</v>
      </c>
      <c r="R55" s="430">
        <v>0</v>
      </c>
      <c r="S55" s="446">
        <f t="shared" si="28"/>
        <v>20</v>
      </c>
      <c r="T55" s="446"/>
      <c r="U55" s="466"/>
      <c r="V55" s="586" t="s">
        <v>186</v>
      </c>
      <c r="W55" s="430">
        <v>0</v>
      </c>
      <c r="X55" s="430">
        <v>0</v>
      </c>
      <c r="Y55" s="430">
        <v>0</v>
      </c>
      <c r="Z55" s="430">
        <v>2.5</v>
      </c>
      <c r="AA55" s="430">
        <v>0</v>
      </c>
      <c r="AB55" s="655">
        <v>0</v>
      </c>
      <c r="AC55" s="430"/>
      <c r="AD55" s="568">
        <f t="shared" si="29"/>
        <v>2.5</v>
      </c>
      <c r="AE55" s="587">
        <f>AV27+AV28+AV29</f>
        <v>12</v>
      </c>
      <c r="AF55" s="952"/>
      <c r="AG55" s="951"/>
      <c r="AH55" s="951"/>
      <c r="AI55" s="655"/>
      <c r="AL55" s="24"/>
      <c r="AM55" s="25"/>
      <c r="AP55" s="24"/>
      <c r="AQ55" s="25"/>
      <c r="AT55" s="24"/>
      <c r="AU55" s="25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</row>
    <row r="56" spans="4:59" ht="23.25">
      <c r="J56" s="441"/>
      <c r="K56" s="441"/>
      <c r="L56" s="441" t="s">
        <v>203</v>
      </c>
      <c r="M56" s="470">
        <v>0</v>
      </c>
      <c r="N56" s="430">
        <v>0</v>
      </c>
      <c r="O56" s="430">
        <v>0</v>
      </c>
      <c r="P56" s="430">
        <v>0</v>
      </c>
      <c r="Q56" s="430">
        <v>13</v>
      </c>
      <c r="R56" s="430">
        <v>0</v>
      </c>
      <c r="S56" s="446">
        <f t="shared" si="28"/>
        <v>13</v>
      </c>
      <c r="T56" s="446">
        <v>8</v>
      </c>
      <c r="U56" s="466"/>
      <c r="V56" s="586" t="s">
        <v>203</v>
      </c>
      <c r="W56" s="430">
        <v>0</v>
      </c>
      <c r="X56" s="430">
        <v>0</v>
      </c>
      <c r="Y56" s="430">
        <v>0</v>
      </c>
      <c r="Z56" s="430">
        <v>0</v>
      </c>
      <c r="AA56" s="430">
        <v>0</v>
      </c>
      <c r="AB56" s="655">
        <v>0</v>
      </c>
      <c r="AC56" s="430"/>
      <c r="AD56" s="568">
        <f t="shared" si="29"/>
        <v>0</v>
      </c>
      <c r="AE56" s="587">
        <f>AZ27+AZ28+AZ29</f>
        <v>0</v>
      </c>
      <c r="AF56" s="952"/>
      <c r="AG56" s="951"/>
      <c r="AH56" s="951"/>
      <c r="AI56" s="655"/>
      <c r="AL56" s="24"/>
      <c r="AM56" s="25"/>
      <c r="AP56" s="24"/>
      <c r="AQ56" s="25"/>
      <c r="AT56" s="24"/>
      <c r="AU56" s="25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</row>
    <row r="57" spans="4:59" ht="24" thickBot="1">
      <c r="J57" s="442">
        <f t="shared" ref="J57:K57" si="30">SUM(J47:J56)</f>
        <v>158.33999999999997</v>
      </c>
      <c r="K57" s="442">
        <f t="shared" si="30"/>
        <v>76.87</v>
      </c>
      <c r="L57" s="442" t="s">
        <v>191</v>
      </c>
      <c r="M57" s="443">
        <f t="shared" ref="M57" si="31">SUM(M47:M56)</f>
        <v>146</v>
      </c>
      <c r="N57" s="444">
        <f>SUM(N47:N56)</f>
        <v>20</v>
      </c>
      <c r="O57" s="443">
        <f t="shared" ref="O57" si="32">SUM(O47:O56)</f>
        <v>0</v>
      </c>
      <c r="P57" s="444">
        <f>SUM(P47:P56)</f>
        <v>5</v>
      </c>
      <c r="Q57" s="444">
        <f>SUM(Q47:Q56)</f>
        <v>73</v>
      </c>
      <c r="R57" s="445">
        <f>SUM(R47:R56)</f>
        <v>22</v>
      </c>
      <c r="S57" s="451">
        <f>SUM(S47:S56)</f>
        <v>266</v>
      </c>
      <c r="T57" s="451">
        <f>SUM(T47:T56)</f>
        <v>84</v>
      </c>
      <c r="U57" s="466"/>
      <c r="V57" s="588" t="s">
        <v>191</v>
      </c>
      <c r="W57" s="589">
        <f t="shared" ref="W57" si="33">SUM(W47:W56)</f>
        <v>20.5</v>
      </c>
      <c r="X57" s="444">
        <f>SUM(X47:X56)</f>
        <v>2.5</v>
      </c>
      <c r="Y57" s="444">
        <f t="shared" ref="Y57" si="34">SUM(Y47:Y56)</f>
        <v>0</v>
      </c>
      <c r="Z57" s="444">
        <f>SUM(Z47:Z56)</f>
        <v>27.34</v>
      </c>
      <c r="AA57" s="444">
        <f>SUM(AA47:AA56)</f>
        <v>0</v>
      </c>
      <c r="AB57" s="444"/>
      <c r="AC57" s="444">
        <f t="shared" ref="AC57" si="35">SUM(AC47:AC56)</f>
        <v>0</v>
      </c>
      <c r="AD57" s="630">
        <f>SUM(AD47:AD56)</f>
        <v>50.34</v>
      </c>
      <c r="AE57" s="631">
        <f>SUM(AE47:AE56)</f>
        <v>12</v>
      </c>
      <c r="AF57" s="1016">
        <f t="shared" ref="AF57:AI57" si="36">SUM(AF47:AF56)</f>
        <v>0</v>
      </c>
      <c r="AG57" s="1015">
        <f t="shared" si="36"/>
        <v>0</v>
      </c>
      <c r="AH57" s="1015">
        <f t="shared" si="36"/>
        <v>0</v>
      </c>
      <c r="AI57" s="1015">
        <f t="shared" si="36"/>
        <v>0</v>
      </c>
      <c r="AL57" s="24"/>
      <c r="AM57" s="25"/>
      <c r="AP57" s="24"/>
      <c r="AQ57" s="25"/>
      <c r="AT57" s="24"/>
      <c r="AU57" s="25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</row>
    <row r="58" spans="4:59" ht="27" thickBot="1">
      <c r="N58" s="24"/>
      <c r="O58" s="1924" t="s">
        <v>254</v>
      </c>
      <c r="P58" s="1925"/>
      <c r="Q58" s="1925"/>
      <c r="R58" s="1926"/>
      <c r="S58" s="1927">
        <f>S57+T57</f>
        <v>350</v>
      </c>
      <c r="T58" s="1928"/>
      <c r="U58" s="466"/>
      <c r="V58" s="1932" t="s">
        <v>221</v>
      </c>
      <c r="W58" s="1932"/>
      <c r="X58" s="1932"/>
      <c r="Y58" s="1932"/>
      <c r="Z58" s="1932"/>
      <c r="AA58" s="1932"/>
      <c r="AB58" s="1932"/>
      <c r="AC58" s="1932"/>
      <c r="AD58" s="1933">
        <f>AD57+AE57</f>
        <v>62.34</v>
      </c>
      <c r="AE58" s="1934"/>
      <c r="AF58" s="466"/>
      <c r="AH58" s="24"/>
      <c r="AI58" s="25"/>
      <c r="AL58" s="24"/>
      <c r="AM58" s="25"/>
      <c r="AP58" s="24"/>
      <c r="AQ58" s="25"/>
      <c r="AT58" s="24"/>
      <c r="AU58" s="25"/>
      <c r="AX58" s="24"/>
      <c r="AY58" s="24"/>
      <c r="AZ58" s="25"/>
      <c r="BA58" s="24"/>
      <c r="BB58" s="24"/>
      <c r="BC58" s="23"/>
      <c r="BD58" s="23"/>
      <c r="BE58" s="23"/>
      <c r="BF58" s="23"/>
      <c r="BG58" s="23"/>
    </row>
    <row r="59" spans="4:59" ht="27" thickBot="1">
      <c r="J59" s="24"/>
      <c r="N59" s="24"/>
      <c r="R59" s="24"/>
      <c r="T59" s="26"/>
      <c r="U59" s="26"/>
      <c r="V59" s="966"/>
      <c r="W59" s="966"/>
      <c r="X59" s="966"/>
      <c r="Y59" s="1922" t="s">
        <v>235</v>
      </c>
      <c r="Z59" s="1922"/>
      <c r="AA59" s="1922"/>
      <c r="AB59" s="1922"/>
      <c r="AC59" s="1922"/>
      <c r="AD59" s="1920">
        <f>BH6+BI6+BD20+BE20</f>
        <v>169.51</v>
      </c>
      <c r="AE59" s="1921"/>
      <c r="AF59" s="466"/>
      <c r="AH59" s="24"/>
      <c r="AI59" s="25"/>
      <c r="AL59" s="24"/>
      <c r="AP59" s="25"/>
      <c r="AT59" s="25"/>
      <c r="AX59" s="25"/>
      <c r="AY59" s="24"/>
      <c r="AZ59" s="24"/>
      <c r="BA59" s="24"/>
      <c r="BB59" s="25"/>
      <c r="BE59" s="23"/>
      <c r="BF59" s="23"/>
      <c r="BG59" s="23"/>
    </row>
    <row r="60" spans="4:59" s="28" customFormat="1" ht="43.5" customHeight="1" thickBot="1">
      <c r="D60" s="29"/>
      <c r="E60" s="29"/>
      <c r="F60" s="29"/>
      <c r="I60" s="29"/>
      <c r="J60" s="24"/>
      <c r="K60" s="24"/>
      <c r="L60" s="1923" t="s">
        <v>390</v>
      </c>
      <c r="M60" s="1937"/>
      <c r="N60" s="1937"/>
      <c r="O60" s="1937"/>
      <c r="P60" s="1937"/>
      <c r="Q60" s="1937"/>
      <c r="R60" s="1937"/>
      <c r="S60" s="1937"/>
      <c r="T60" s="1937"/>
      <c r="U60" s="1938"/>
      <c r="V60" s="966"/>
      <c r="W60" s="966"/>
      <c r="X60" s="966"/>
      <c r="Y60" s="1013"/>
      <c r="Z60" s="966"/>
      <c r="AA60" s="966"/>
      <c r="AB60" s="966"/>
      <c r="AC60" s="1013"/>
      <c r="AD60" s="966"/>
      <c r="AE60" s="964"/>
      <c r="AF60" s="966"/>
      <c r="AG60" s="964"/>
      <c r="AH60" s="964"/>
      <c r="AI60" s="967"/>
      <c r="AJ60" s="964"/>
      <c r="AK60" s="964"/>
      <c r="AL60" s="964"/>
      <c r="AM60" s="964"/>
      <c r="AN60" s="964"/>
      <c r="AO60" s="964"/>
      <c r="AP60" s="967"/>
      <c r="AQ60" s="964"/>
      <c r="AR60" s="964"/>
      <c r="AS60" s="964"/>
      <c r="AT60" s="967"/>
      <c r="AU60" s="964"/>
      <c r="AV60" s="964"/>
      <c r="AW60" s="964"/>
      <c r="AX60" s="967"/>
      <c r="AY60" s="965"/>
      <c r="AZ60" s="965"/>
      <c r="BA60" s="964"/>
      <c r="BB60" s="964"/>
      <c r="BC60" s="967"/>
      <c r="BD60" s="967"/>
      <c r="BE60" s="964"/>
    </row>
    <row r="61" spans="4:59" ht="30" customHeight="1">
      <c r="J61" s="24"/>
      <c r="L61" s="596" t="s">
        <v>0</v>
      </c>
      <c r="M61" s="436" t="s">
        <v>200</v>
      </c>
      <c r="N61" s="454" t="s">
        <v>205</v>
      </c>
      <c r="O61" s="436" t="s">
        <v>31</v>
      </c>
      <c r="P61" s="448" t="s">
        <v>201</v>
      </c>
      <c r="Q61" s="453" t="s">
        <v>206</v>
      </c>
      <c r="R61" s="453" t="s">
        <v>210</v>
      </c>
      <c r="S61" s="436" t="s">
        <v>22</v>
      </c>
      <c r="T61" s="437" t="s">
        <v>191</v>
      </c>
      <c r="U61" s="438" t="s">
        <v>244</v>
      </c>
      <c r="V61" s="466"/>
      <c r="W61" s="466"/>
      <c r="X61" s="466"/>
      <c r="Y61" s="465"/>
      <c r="Z61" s="466"/>
      <c r="AA61" s="466"/>
      <c r="AB61" s="466"/>
      <c r="AC61" s="465"/>
      <c r="AD61" s="466"/>
      <c r="AF61" s="466"/>
      <c r="AH61" s="24"/>
      <c r="AI61" s="25"/>
      <c r="AL61" s="24"/>
      <c r="AM61" s="26"/>
      <c r="AN61" s="26"/>
      <c r="AP61" s="24"/>
      <c r="AQ61" s="26"/>
      <c r="AR61" s="26"/>
      <c r="AT61" s="24"/>
      <c r="AU61" s="26"/>
      <c r="AV61" s="26"/>
      <c r="AX61" s="24"/>
      <c r="AY61" s="26"/>
      <c r="AZ61" s="26"/>
      <c r="BA61" s="24"/>
      <c r="BB61" s="24"/>
      <c r="BC61" s="25"/>
      <c r="BD61" s="25"/>
      <c r="BF61" s="23"/>
      <c r="BG61" s="23"/>
    </row>
    <row r="62" spans="4:59" ht="21.75" customHeight="1">
      <c r="J62" s="24"/>
      <c r="L62" s="586" t="s">
        <v>189</v>
      </c>
      <c r="M62" s="430">
        <v>9</v>
      </c>
      <c r="N62" s="430">
        <v>1</v>
      </c>
      <c r="O62" s="430">
        <v>0</v>
      </c>
      <c r="P62" s="430">
        <v>5.48</v>
      </c>
      <c r="Q62" s="430">
        <v>0</v>
      </c>
      <c r="R62" s="655">
        <v>0</v>
      </c>
      <c r="S62" s="430"/>
      <c r="T62" s="568">
        <f t="shared" ref="T62:T71" si="37">SUM(M62:S62)</f>
        <v>15.48</v>
      </c>
      <c r="U62" s="587"/>
      <c r="V62" s="466"/>
      <c r="W62" s="466"/>
      <c r="X62" s="466"/>
      <c r="Y62" s="465"/>
      <c r="Z62" s="466"/>
      <c r="AA62" s="466"/>
      <c r="AB62" s="466"/>
      <c r="AC62" s="465"/>
      <c r="AD62" s="466"/>
      <c r="AF62" s="466"/>
      <c r="AH62" s="24"/>
      <c r="AI62" s="25"/>
      <c r="AL62" s="24"/>
      <c r="AM62" s="26"/>
      <c r="AN62" s="26"/>
      <c r="AP62" s="24"/>
      <c r="AQ62" s="26"/>
      <c r="AR62" s="26"/>
      <c r="AT62" s="24"/>
      <c r="AU62" s="26"/>
      <c r="AV62" s="26"/>
      <c r="AX62" s="24"/>
      <c r="AY62" s="26"/>
      <c r="AZ62" s="26"/>
      <c r="BA62" s="24"/>
      <c r="BB62" s="24"/>
      <c r="BC62" s="25"/>
      <c r="BD62" s="25"/>
      <c r="BF62" s="23"/>
      <c r="BG62" s="23"/>
    </row>
    <row r="63" spans="4:59" ht="23.25">
      <c r="J63" s="24"/>
      <c r="L63" s="586" t="s">
        <v>183</v>
      </c>
      <c r="M63" s="430">
        <v>3.15</v>
      </c>
      <c r="N63" s="430">
        <v>0</v>
      </c>
      <c r="O63" s="430">
        <v>0</v>
      </c>
      <c r="P63" s="430">
        <v>0</v>
      </c>
      <c r="Q63" s="430">
        <v>0</v>
      </c>
      <c r="R63" s="655">
        <v>0</v>
      </c>
      <c r="S63" s="430"/>
      <c r="T63" s="568">
        <f t="shared" si="37"/>
        <v>3.15</v>
      </c>
      <c r="U63" s="587"/>
      <c r="V63" s="466"/>
      <c r="W63" s="466"/>
      <c r="X63" s="466"/>
      <c r="Y63" s="465"/>
      <c r="Z63" s="466"/>
      <c r="AA63" s="466"/>
      <c r="AB63" s="466"/>
      <c r="AC63" s="465"/>
      <c r="AD63" s="466"/>
      <c r="AG63" s="26"/>
      <c r="AH63" s="24"/>
      <c r="AK63" s="49"/>
      <c r="AL63" s="24"/>
      <c r="AM63" s="26"/>
      <c r="AN63" s="26"/>
      <c r="AP63" s="24"/>
      <c r="AQ63" s="26"/>
      <c r="AR63" s="26"/>
      <c r="AT63" s="24"/>
      <c r="AU63" s="26"/>
      <c r="AV63" s="26"/>
      <c r="AX63" s="24"/>
      <c r="AY63" s="26"/>
      <c r="AZ63" s="26"/>
      <c r="BA63" s="24"/>
      <c r="BB63" s="24"/>
      <c r="BC63" s="25"/>
      <c r="BD63" s="25"/>
      <c r="BF63" s="23"/>
      <c r="BG63" s="23"/>
    </row>
    <row r="64" spans="4:59" ht="23.25">
      <c r="J64" s="24"/>
      <c r="L64" s="586" t="s">
        <v>184</v>
      </c>
      <c r="M64" s="430">
        <v>40</v>
      </c>
      <c r="N64" s="430">
        <v>0</v>
      </c>
      <c r="O64" s="430">
        <v>0</v>
      </c>
      <c r="P64" s="430">
        <v>0</v>
      </c>
      <c r="Q64" s="430">
        <v>0</v>
      </c>
      <c r="R64" s="655">
        <v>0</v>
      </c>
      <c r="S64" s="430"/>
      <c r="T64" s="568">
        <f t="shared" si="37"/>
        <v>40</v>
      </c>
      <c r="U64" s="587"/>
      <c r="V64" s="466"/>
      <c r="W64" s="466"/>
      <c r="X64" s="466"/>
      <c r="Y64" s="465"/>
      <c r="Z64" s="466"/>
      <c r="AA64" s="466"/>
      <c r="AB64" s="466"/>
      <c r="AC64" s="465"/>
      <c r="AD64" s="466"/>
      <c r="AG64" s="26"/>
      <c r="AH64" s="24"/>
      <c r="AK64" s="49"/>
      <c r="AL64" s="24"/>
      <c r="AO64" s="26"/>
      <c r="AP64" s="24"/>
      <c r="AQ64" s="26"/>
      <c r="AR64" s="26"/>
      <c r="AT64" s="24"/>
      <c r="AU64" s="26"/>
      <c r="AV64" s="26"/>
      <c r="AX64" s="24"/>
      <c r="AY64" s="26"/>
      <c r="AZ64" s="26"/>
      <c r="BA64" s="24"/>
      <c r="BB64" s="24"/>
      <c r="BE64" s="25"/>
      <c r="BF64" s="24"/>
      <c r="BG64" s="23"/>
    </row>
    <row r="65" spans="10:59" ht="23.25">
      <c r="J65" s="24"/>
      <c r="L65" s="586" t="s">
        <v>192</v>
      </c>
      <c r="M65" s="430">
        <v>28.5</v>
      </c>
      <c r="N65" s="430">
        <v>0</v>
      </c>
      <c r="O65" s="430">
        <v>0</v>
      </c>
      <c r="P65" s="430">
        <v>0</v>
      </c>
      <c r="Q65" s="430">
        <v>0</v>
      </c>
      <c r="R65" s="655">
        <v>0</v>
      </c>
      <c r="S65" s="430"/>
      <c r="T65" s="568">
        <f t="shared" si="37"/>
        <v>28.5</v>
      </c>
      <c r="U65" s="587"/>
      <c r="V65" s="466"/>
      <c r="W65" s="466"/>
      <c r="X65" s="466"/>
      <c r="Y65" s="465"/>
      <c r="Z65" s="466"/>
      <c r="AA65" s="466"/>
      <c r="AB65" s="466"/>
      <c r="AC65" s="465"/>
      <c r="AD65" s="466"/>
      <c r="AG65" s="26"/>
      <c r="AH65" s="24"/>
      <c r="AK65" s="49"/>
      <c r="AL65" s="24"/>
      <c r="AO65" s="26"/>
      <c r="AP65" s="24"/>
      <c r="AQ65" s="26"/>
      <c r="AR65" s="26"/>
      <c r="AT65" s="24"/>
      <c r="AU65" s="26"/>
      <c r="AV65" s="26"/>
      <c r="AX65" s="24"/>
      <c r="AY65" s="26"/>
      <c r="AZ65" s="26"/>
      <c r="BA65" s="24"/>
      <c r="BB65" s="24"/>
      <c r="BE65" s="25"/>
      <c r="BF65" s="24"/>
      <c r="BG65" s="23"/>
    </row>
    <row r="66" spans="10:59" ht="23.25">
      <c r="J66" s="24"/>
      <c r="L66" s="586" t="s">
        <v>171</v>
      </c>
      <c r="M66" s="430">
        <v>0</v>
      </c>
      <c r="N66" s="430">
        <v>0</v>
      </c>
      <c r="O66" s="430">
        <v>0</v>
      </c>
      <c r="P66" s="430">
        <v>0</v>
      </c>
      <c r="Q66" s="430">
        <v>0</v>
      </c>
      <c r="R66" s="655">
        <v>0</v>
      </c>
      <c r="S66" s="430"/>
      <c r="T66" s="568">
        <f t="shared" si="37"/>
        <v>0</v>
      </c>
      <c r="U66" s="587"/>
      <c r="V66" s="466"/>
      <c r="W66" s="466"/>
      <c r="X66" s="466"/>
      <c r="Y66" s="465"/>
      <c r="Z66" s="466"/>
      <c r="AA66" s="466"/>
      <c r="AB66" s="466"/>
      <c r="AC66" s="465"/>
      <c r="AD66" s="466"/>
      <c r="AG66" s="26"/>
      <c r="AH66" s="24"/>
      <c r="AK66" s="49"/>
      <c r="AL66" s="24"/>
      <c r="AO66" s="26"/>
      <c r="AP66" s="24"/>
      <c r="AQ66" s="26"/>
      <c r="AR66" s="26"/>
      <c r="AT66" s="24"/>
      <c r="AU66" s="26"/>
      <c r="AV66" s="26"/>
      <c r="AX66" s="24"/>
      <c r="AY66" s="26"/>
      <c r="AZ66" s="26"/>
      <c r="BA66" s="24"/>
      <c r="BB66" s="24"/>
      <c r="BE66" s="25"/>
      <c r="BF66" s="24"/>
      <c r="BG66" s="23"/>
    </row>
    <row r="67" spans="10:59" ht="23.25">
      <c r="J67" s="24"/>
      <c r="L67" s="586" t="s">
        <v>190</v>
      </c>
      <c r="M67" s="430">
        <v>20</v>
      </c>
      <c r="N67" s="430">
        <v>0</v>
      </c>
      <c r="O67" s="430">
        <v>0</v>
      </c>
      <c r="P67" s="430">
        <v>0</v>
      </c>
      <c r="Q67" s="430">
        <v>0</v>
      </c>
      <c r="R67" s="655">
        <v>0</v>
      </c>
      <c r="S67" s="430"/>
      <c r="T67" s="568">
        <f t="shared" si="37"/>
        <v>20</v>
      </c>
      <c r="U67" s="587"/>
      <c r="V67" s="466"/>
      <c r="W67" s="466"/>
      <c r="X67" s="466"/>
      <c r="Y67" s="465"/>
      <c r="Z67" s="466"/>
      <c r="AA67" s="466"/>
      <c r="AB67" s="466"/>
      <c r="AC67" s="465"/>
      <c r="AD67" s="466"/>
      <c r="AG67" s="26"/>
      <c r="AH67" s="24"/>
      <c r="AK67" s="49"/>
      <c r="AL67" s="24"/>
      <c r="AO67" s="26"/>
      <c r="AP67" s="24"/>
      <c r="AQ67" s="26"/>
      <c r="AR67" s="26"/>
      <c r="AT67" s="24"/>
      <c r="AU67" s="26"/>
      <c r="AV67" s="26"/>
      <c r="AX67" s="24"/>
      <c r="AY67" s="26"/>
      <c r="AZ67" s="26"/>
      <c r="BA67" s="24"/>
      <c r="BB67" s="24"/>
      <c r="BE67" s="25"/>
      <c r="BF67" s="24"/>
      <c r="BG67" s="23"/>
    </row>
    <row r="68" spans="10:59" ht="23.25">
      <c r="J68" s="24"/>
      <c r="L68" s="586" t="s">
        <v>185</v>
      </c>
      <c r="M68" s="430">
        <v>5.5</v>
      </c>
      <c r="N68" s="430">
        <v>0</v>
      </c>
      <c r="O68" s="430">
        <v>0</v>
      </c>
      <c r="P68" s="430">
        <v>0</v>
      </c>
      <c r="Q68" s="430">
        <v>0</v>
      </c>
      <c r="R68" s="655"/>
      <c r="S68" s="430">
        <v>22</v>
      </c>
      <c r="T68" s="568">
        <f t="shared" si="37"/>
        <v>27.5</v>
      </c>
      <c r="U68" s="587"/>
      <c r="V68" s="466"/>
      <c r="W68" s="466"/>
      <c r="X68" s="466"/>
      <c r="Y68" s="465"/>
      <c r="Z68" s="466"/>
      <c r="AA68" s="466"/>
      <c r="AB68" s="466"/>
      <c r="AC68" s="465"/>
      <c r="AD68" s="466"/>
      <c r="AG68" s="26"/>
      <c r="AH68" s="24"/>
      <c r="AK68" s="49"/>
      <c r="AL68" s="24"/>
      <c r="AO68" s="26"/>
      <c r="AP68" s="24"/>
      <c r="AQ68" s="26"/>
      <c r="AR68" s="26"/>
      <c r="AT68" s="24"/>
      <c r="AU68" s="26"/>
      <c r="AV68" s="26"/>
      <c r="AX68" s="24"/>
      <c r="AY68" s="26"/>
      <c r="AZ68" s="26"/>
      <c r="BA68" s="24"/>
      <c r="BB68" s="24"/>
      <c r="BE68" s="25"/>
      <c r="BF68" s="24"/>
      <c r="BG68" s="23"/>
    </row>
    <row r="69" spans="10:59" ht="23.25">
      <c r="L69" s="586" t="s">
        <v>202</v>
      </c>
      <c r="M69" s="430">
        <v>27.36</v>
      </c>
      <c r="N69" s="430">
        <v>0</v>
      </c>
      <c r="O69" s="430">
        <v>0</v>
      </c>
      <c r="P69" s="430">
        <v>0</v>
      </c>
      <c r="Q69" s="430">
        <v>0</v>
      </c>
      <c r="R69" s="655">
        <v>0</v>
      </c>
      <c r="S69" s="430"/>
      <c r="T69" s="568">
        <f t="shared" si="37"/>
        <v>27.36</v>
      </c>
      <c r="U69" s="587"/>
      <c r="V69" s="466"/>
      <c r="W69" s="466"/>
      <c r="X69" s="466"/>
      <c r="Y69" s="465"/>
      <c r="Z69" s="466"/>
      <c r="AA69" s="466"/>
      <c r="AB69" s="466"/>
      <c r="AC69" s="465"/>
      <c r="AD69" s="466"/>
      <c r="AG69" s="26"/>
      <c r="AH69" s="24"/>
      <c r="AK69" s="49"/>
      <c r="AL69" s="24"/>
      <c r="AO69" s="26"/>
      <c r="AP69" s="24"/>
      <c r="AQ69" s="26"/>
      <c r="AR69" s="26"/>
      <c r="AT69" s="24"/>
      <c r="AU69" s="26"/>
      <c r="AV69" s="26"/>
      <c r="AX69" s="24"/>
      <c r="AY69" s="26"/>
      <c r="AZ69" s="26"/>
      <c r="BA69" s="24"/>
      <c r="BB69" s="24"/>
      <c r="BE69" s="25"/>
      <c r="BF69" s="24"/>
      <c r="BG69" s="23"/>
    </row>
    <row r="70" spans="10:59" ht="23.25">
      <c r="L70" s="586" t="s">
        <v>186</v>
      </c>
      <c r="M70" s="430">
        <v>2</v>
      </c>
      <c r="N70" s="430">
        <v>0</v>
      </c>
      <c r="O70" s="430">
        <v>0</v>
      </c>
      <c r="P70" s="430">
        <v>0</v>
      </c>
      <c r="Q70" s="430">
        <v>0</v>
      </c>
      <c r="R70" s="655">
        <v>0</v>
      </c>
      <c r="S70" s="430"/>
      <c r="T70" s="568">
        <f t="shared" si="37"/>
        <v>2</v>
      </c>
      <c r="U70" s="587"/>
      <c r="V70" s="466"/>
      <c r="W70" s="466"/>
      <c r="X70" s="466"/>
      <c r="Y70" s="465"/>
      <c r="Z70" s="466"/>
      <c r="AA70" s="466"/>
      <c r="AB70" s="466"/>
      <c r="AC70" s="465"/>
      <c r="AD70" s="466"/>
      <c r="AG70" s="26"/>
      <c r="AH70" s="24"/>
      <c r="AK70" s="49"/>
      <c r="AL70" s="24"/>
      <c r="AM70" s="26"/>
      <c r="AN70" s="26"/>
      <c r="AY70" s="24"/>
      <c r="AZ70" s="24"/>
      <c r="BA70" s="24"/>
      <c r="BB70" s="24"/>
      <c r="BC70" s="25"/>
      <c r="BD70" s="25"/>
      <c r="BF70" s="23"/>
      <c r="BG70" s="23"/>
    </row>
    <row r="71" spans="10:59" ht="23.25">
      <c r="L71" s="586" t="s">
        <v>203</v>
      </c>
      <c r="M71" s="430">
        <v>0</v>
      </c>
      <c r="N71" s="430">
        <v>0.5</v>
      </c>
      <c r="O71" s="430">
        <v>6</v>
      </c>
      <c r="P71" s="430">
        <v>0</v>
      </c>
      <c r="Q71" s="430">
        <v>0</v>
      </c>
      <c r="R71" s="655">
        <v>0</v>
      </c>
      <c r="S71" s="430"/>
      <c r="T71" s="568">
        <f t="shared" si="37"/>
        <v>6.5</v>
      </c>
      <c r="U71" s="587"/>
      <c r="V71" s="466"/>
      <c r="W71" s="466"/>
      <c r="X71" s="466"/>
      <c r="Y71" s="465"/>
      <c r="Z71" s="466"/>
      <c r="AA71" s="466"/>
      <c r="AB71" s="466"/>
      <c r="AC71" s="465"/>
      <c r="AD71" s="466"/>
      <c r="AG71" s="26"/>
      <c r="AH71" s="24"/>
      <c r="AK71" s="49"/>
      <c r="AL71" s="24"/>
      <c r="AM71" s="26"/>
      <c r="AN71" s="26"/>
      <c r="AY71" s="24"/>
      <c r="AZ71" s="24"/>
      <c r="BA71" s="24"/>
      <c r="BB71" s="24"/>
      <c r="BC71" s="25"/>
      <c r="BD71" s="25"/>
      <c r="BF71" s="23"/>
      <c r="BG71" s="23"/>
    </row>
    <row r="72" spans="10:59" ht="24" thickBot="1">
      <c r="L72" s="588" t="s">
        <v>191</v>
      </c>
      <c r="M72" s="589">
        <f t="shared" ref="M72" si="38">SUM(M62:M71)</f>
        <v>135.51</v>
      </c>
      <c r="N72" s="444">
        <f>SUM(N62:N71)</f>
        <v>1.5</v>
      </c>
      <c r="O72" s="444">
        <f t="shared" ref="O72" si="39">SUM(O62:O71)</f>
        <v>6</v>
      </c>
      <c r="P72" s="444">
        <f>SUM(P62:P71)</f>
        <v>5.48</v>
      </c>
      <c r="Q72" s="444">
        <f>SUM(Q62:Q71)</f>
        <v>0</v>
      </c>
      <c r="R72" s="444">
        <v>0</v>
      </c>
      <c r="S72" s="444">
        <f t="shared" ref="S72" si="40">SUM(S62:S71)</f>
        <v>22</v>
      </c>
      <c r="T72" s="630">
        <f>SUM(T62:T71)</f>
        <v>170.49</v>
      </c>
      <c r="U72" s="631">
        <f>SUM(U62:U71)</f>
        <v>0</v>
      </c>
      <c r="V72" s="466"/>
      <c r="W72" s="466"/>
      <c r="X72" s="466"/>
      <c r="Y72" s="465"/>
      <c r="Z72" s="466"/>
      <c r="AA72" s="466"/>
      <c r="AB72" s="466"/>
      <c r="AC72" s="465"/>
      <c r="AD72" s="466"/>
      <c r="AG72" s="26"/>
      <c r="AH72" s="24"/>
      <c r="AK72" s="49"/>
      <c r="AL72" s="24"/>
      <c r="AM72" s="26"/>
      <c r="AN72" s="26"/>
      <c r="AY72" s="24"/>
      <c r="AZ72" s="24"/>
      <c r="BA72" s="24"/>
      <c r="BB72" s="24"/>
      <c r="BC72" s="25"/>
      <c r="BD72" s="25"/>
      <c r="BF72" s="23"/>
      <c r="BG72" s="23"/>
    </row>
    <row r="73" spans="10:59" ht="27" thickBot="1">
      <c r="L73" s="1932" t="s">
        <v>221</v>
      </c>
      <c r="M73" s="1932"/>
      <c r="N73" s="1932"/>
      <c r="O73" s="1932"/>
      <c r="P73" s="1932"/>
      <c r="Q73" s="1932"/>
      <c r="R73" s="1932"/>
      <c r="S73" s="1932"/>
      <c r="T73" s="1933">
        <f>T72+U72</f>
        <v>170.49</v>
      </c>
      <c r="U73" s="1934"/>
      <c r="V73" s="466"/>
      <c r="W73" s="466"/>
      <c r="X73" s="466"/>
      <c r="Y73" s="465"/>
      <c r="Z73" s="466"/>
      <c r="AA73" s="466"/>
      <c r="AB73" s="466"/>
      <c r="AC73" s="465"/>
      <c r="AD73" s="466"/>
      <c r="AG73" s="26"/>
      <c r="AH73" s="24"/>
      <c r="AK73" s="49"/>
      <c r="AL73" s="24"/>
      <c r="AM73" s="26"/>
      <c r="AN73" s="26"/>
      <c r="AY73" s="24"/>
      <c r="AZ73" s="24"/>
      <c r="BA73" s="24"/>
      <c r="BB73" s="24"/>
      <c r="BC73" s="25"/>
      <c r="BD73" s="25"/>
      <c r="BF73" s="23"/>
      <c r="BG73" s="23"/>
    </row>
    <row r="74" spans="10:59" ht="31.5" customHeight="1">
      <c r="L74" s="966"/>
      <c r="M74" s="966"/>
      <c r="N74" s="966"/>
      <c r="O74" s="1922" t="s">
        <v>235</v>
      </c>
      <c r="P74" s="1922"/>
      <c r="Q74" s="1922"/>
      <c r="R74" s="1922"/>
      <c r="S74" s="1922"/>
      <c r="T74" s="1920">
        <f>M72+U72</f>
        <v>135.51</v>
      </c>
      <c r="U74" s="1921"/>
      <c r="V74" s="466"/>
      <c r="W74" s="466"/>
      <c r="X74" s="466"/>
      <c r="Y74" s="465"/>
      <c r="Z74" s="466"/>
      <c r="AA74" s="466"/>
      <c r="AB74" s="466"/>
      <c r="AC74" s="465"/>
      <c r="AD74" s="466"/>
      <c r="AG74" s="26"/>
      <c r="AH74" s="24"/>
      <c r="AK74" s="49"/>
      <c r="AL74" s="24"/>
      <c r="AM74" s="26"/>
      <c r="AN74" s="26"/>
      <c r="AP74" s="24"/>
      <c r="AQ74" s="26"/>
      <c r="AR74" s="26"/>
      <c r="AT74" s="24"/>
      <c r="AU74" s="26"/>
      <c r="AV74" s="26"/>
      <c r="AW74" s="50"/>
      <c r="AX74" s="50"/>
      <c r="AY74" s="26"/>
      <c r="AZ74" s="26"/>
      <c r="BA74" s="24"/>
      <c r="BB74" s="24"/>
      <c r="BC74" s="25"/>
      <c r="BD74" s="25"/>
      <c r="BF74" s="23"/>
      <c r="BG74" s="23"/>
    </row>
    <row r="75" spans="10:59" ht="27" customHeight="1">
      <c r="L75" s="26"/>
      <c r="M75" s="26"/>
      <c r="N75" s="24"/>
      <c r="P75" s="26"/>
      <c r="Q75" s="26"/>
      <c r="R75" s="24"/>
      <c r="T75" s="26"/>
      <c r="U75" s="26"/>
      <c r="V75" s="24"/>
      <c r="W75" s="466"/>
      <c r="X75" s="466"/>
      <c r="Y75" s="466"/>
      <c r="Z75" s="465"/>
      <c r="AA75" s="466"/>
      <c r="AB75" s="466"/>
      <c r="AC75" s="466"/>
      <c r="AD75" s="465"/>
      <c r="AE75" s="466"/>
      <c r="AN75" s="26"/>
      <c r="AO75" s="26"/>
      <c r="AP75" s="24"/>
      <c r="AR75" s="26"/>
      <c r="AS75" s="26"/>
      <c r="AT75" s="24"/>
      <c r="AV75" s="26"/>
      <c r="AW75" s="26"/>
      <c r="AX75" s="50"/>
      <c r="AZ75" s="26"/>
      <c r="BA75" s="26"/>
      <c r="BB75" s="24"/>
      <c r="BD75" s="25"/>
      <c r="BE75" s="25"/>
      <c r="BF75" s="24"/>
      <c r="BG75" s="23"/>
    </row>
    <row r="76" spans="10:59">
      <c r="L76" s="26"/>
      <c r="M76" s="26"/>
      <c r="N76" s="24"/>
      <c r="P76" s="26"/>
      <c r="Q76" s="26"/>
      <c r="R76" s="24"/>
      <c r="T76" s="26"/>
      <c r="U76" s="26"/>
      <c r="V76" s="24"/>
      <c r="W76" s="466"/>
      <c r="X76" s="466"/>
      <c r="Y76" s="466"/>
      <c r="Z76" s="465"/>
      <c r="AA76" s="466"/>
      <c r="AB76" s="466"/>
      <c r="AC76" s="466"/>
      <c r="AD76" s="465"/>
      <c r="AE76" s="466"/>
      <c r="AN76" s="26"/>
      <c r="AO76" s="26"/>
      <c r="AP76" s="24"/>
      <c r="AR76" s="26"/>
      <c r="AS76" s="26"/>
      <c r="AT76" s="24"/>
      <c r="AV76" s="26"/>
      <c r="AW76" s="26"/>
      <c r="AX76" s="50"/>
      <c r="AZ76" s="26"/>
      <c r="BA76" s="26"/>
      <c r="BB76" s="24"/>
      <c r="BD76" s="25"/>
      <c r="BE76" s="25"/>
      <c r="BF76" s="24"/>
      <c r="BG76" s="23"/>
    </row>
    <row r="77" spans="10:59">
      <c r="L77" s="26"/>
      <c r="M77" s="26"/>
      <c r="N77" s="24"/>
      <c r="P77" s="26"/>
      <c r="Q77" s="26"/>
      <c r="R77" s="24"/>
      <c r="T77" s="26"/>
      <c r="U77" s="26"/>
      <c r="V77" s="24"/>
      <c r="W77" s="466"/>
      <c r="X77" s="466"/>
      <c r="Y77" s="466"/>
      <c r="Z77" s="465"/>
      <c r="AA77" s="466"/>
      <c r="AB77" s="466"/>
      <c r="AC77" s="466"/>
      <c r="AD77" s="465"/>
      <c r="AE77" s="466"/>
      <c r="AN77" s="26"/>
      <c r="AO77" s="26"/>
      <c r="AP77" s="24"/>
      <c r="AR77" s="26"/>
      <c r="AS77" s="26"/>
      <c r="AT77" s="24"/>
      <c r="AV77" s="26"/>
      <c r="AW77" s="26"/>
      <c r="AX77" s="50"/>
      <c r="AZ77" s="26"/>
      <c r="BA77" s="26"/>
      <c r="BB77" s="24"/>
      <c r="BD77" s="25"/>
      <c r="BE77" s="25"/>
      <c r="BF77" s="24"/>
      <c r="BG77" s="23"/>
    </row>
    <row r="78" spans="10:59">
      <c r="L78" s="26"/>
      <c r="M78" s="26"/>
      <c r="N78" s="24"/>
      <c r="P78" s="26"/>
      <c r="Q78" s="26"/>
      <c r="R78" s="24"/>
      <c r="T78" s="26"/>
      <c r="U78" s="26"/>
      <c r="V78" s="24"/>
      <c r="W78" s="466"/>
      <c r="X78" s="466"/>
      <c r="Y78" s="466"/>
      <c r="Z78" s="465"/>
      <c r="AA78" s="466"/>
      <c r="AB78" s="466"/>
      <c r="AC78" s="466"/>
      <c r="AD78" s="465"/>
      <c r="AE78" s="466"/>
      <c r="AN78" s="26"/>
      <c r="AO78" s="26"/>
      <c r="AP78" s="24"/>
      <c r="AR78" s="26"/>
      <c r="AS78" s="26"/>
      <c r="AT78" s="24"/>
      <c r="AV78" s="26"/>
      <c r="AW78" s="26"/>
      <c r="AX78" s="50"/>
      <c r="AZ78" s="26"/>
      <c r="BA78" s="26"/>
      <c r="BB78" s="24"/>
      <c r="BD78" s="25"/>
      <c r="BE78" s="25"/>
      <c r="BF78" s="24"/>
      <c r="BG78" s="23"/>
    </row>
    <row r="79" spans="10:59">
      <c r="L79" s="26"/>
      <c r="M79" s="26"/>
      <c r="N79" s="24"/>
      <c r="P79" s="26"/>
      <c r="Q79" s="26"/>
      <c r="R79" s="24"/>
      <c r="T79" s="26"/>
      <c r="U79" s="26"/>
      <c r="V79" s="24"/>
      <c r="X79" s="26"/>
      <c r="Y79" s="26"/>
      <c r="Z79" s="24"/>
      <c r="AB79" s="26"/>
      <c r="AC79" s="26"/>
      <c r="AD79" s="24"/>
      <c r="AF79" s="26"/>
      <c r="AG79" s="26"/>
      <c r="AH79" s="24"/>
      <c r="AJ79" s="49"/>
      <c r="AK79" s="49"/>
      <c r="AL79" s="24"/>
      <c r="AN79" s="26"/>
      <c r="AO79" s="26"/>
      <c r="AP79" s="24"/>
      <c r="AR79" s="26"/>
      <c r="AS79" s="26"/>
      <c r="AT79" s="24"/>
      <c r="AV79" s="26"/>
      <c r="AW79" s="26"/>
      <c r="AX79" s="50"/>
      <c r="AZ79" s="26"/>
      <c r="BA79" s="26"/>
      <c r="BB79" s="24"/>
      <c r="BD79" s="25"/>
      <c r="BE79" s="25"/>
      <c r="BF79" s="24"/>
      <c r="BG79" s="23"/>
    </row>
    <row r="80" spans="10:59">
      <c r="L80" s="26"/>
      <c r="M80" s="26"/>
      <c r="N80" s="24"/>
      <c r="P80" s="26"/>
      <c r="Q80" s="26"/>
      <c r="R80" s="24"/>
      <c r="T80" s="26"/>
      <c r="U80" s="26"/>
      <c r="V80" s="24"/>
      <c r="X80" s="26"/>
      <c r="Y80" s="26"/>
      <c r="Z80" s="24"/>
      <c r="AB80" s="26"/>
      <c r="AC80" s="26"/>
      <c r="AD80" s="24"/>
      <c r="AF80" s="26"/>
      <c r="AG80" s="26"/>
      <c r="AH80" s="24"/>
      <c r="AJ80" s="49"/>
      <c r="AK80" s="49"/>
      <c r="AL80" s="24"/>
      <c r="AN80" s="26"/>
      <c r="AO80" s="26"/>
      <c r="AP80" s="24"/>
      <c r="AR80" s="26"/>
      <c r="AS80" s="26"/>
      <c r="AT80" s="24"/>
      <c r="AV80" s="26"/>
      <c r="AW80" s="26"/>
      <c r="AX80" s="50"/>
      <c r="AZ80" s="26"/>
      <c r="BA80" s="26"/>
      <c r="BB80" s="24"/>
      <c r="BD80" s="25"/>
      <c r="BE80" s="25"/>
      <c r="BF80" s="24"/>
      <c r="BG80" s="23"/>
    </row>
  </sheetData>
  <mergeCells count="62">
    <mergeCell ref="H26:I26"/>
    <mergeCell ref="H10:I10"/>
    <mergeCell ref="H24:I24"/>
    <mergeCell ref="N13:Q13"/>
    <mergeCell ref="C2:F2"/>
    <mergeCell ref="H2:K2"/>
    <mergeCell ref="C5:D5"/>
    <mergeCell ref="D4:F4"/>
    <mergeCell ref="H4:I5"/>
    <mergeCell ref="C6:C9"/>
    <mergeCell ref="H6:H9"/>
    <mergeCell ref="C15:C24"/>
    <mergeCell ref="H15:H23"/>
    <mergeCell ref="D13:F13"/>
    <mergeCell ref="H13:I14"/>
    <mergeCell ref="C14:D14"/>
    <mergeCell ref="H12:BI12"/>
    <mergeCell ref="J13:M13"/>
    <mergeCell ref="R13:U13"/>
    <mergeCell ref="V13:Y13"/>
    <mergeCell ref="Z13:AC13"/>
    <mergeCell ref="AD13:AG13"/>
    <mergeCell ref="BB13:BE13"/>
    <mergeCell ref="BF13:BI13"/>
    <mergeCell ref="BB2:BI2"/>
    <mergeCell ref="H3:BI3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N2:AZ2"/>
    <mergeCell ref="BC27:BC28"/>
    <mergeCell ref="BH27:BI27"/>
    <mergeCell ref="AD59:AE59"/>
    <mergeCell ref="AL13:AO13"/>
    <mergeCell ref="AP13:AS13"/>
    <mergeCell ref="AT13:AW13"/>
    <mergeCell ref="V31:AD31"/>
    <mergeCell ref="AH13:AK13"/>
    <mergeCell ref="V45:AE45"/>
    <mergeCell ref="V58:AC58"/>
    <mergeCell ref="O58:R58"/>
    <mergeCell ref="S58:T58"/>
    <mergeCell ref="AD58:AE58"/>
    <mergeCell ref="Y59:AC59"/>
    <mergeCell ref="AX13:BA13"/>
    <mergeCell ref="L45:T45"/>
    <mergeCell ref="L31:S31"/>
    <mergeCell ref="L60:U60"/>
    <mergeCell ref="L73:S73"/>
    <mergeCell ref="T73:U73"/>
    <mergeCell ref="O74:S74"/>
    <mergeCell ref="T74:U74"/>
  </mergeCells>
  <conditionalFormatting sqref="M47:R56">
    <cfRule type="cellIs" dxfId="44" priority="2" operator="equal">
      <formula>0</formula>
    </cfRule>
  </conditionalFormatting>
  <conditionalFormatting sqref="M62:R71">
    <cfRule type="cellIs" dxfId="43" priority="1" operator="equal">
      <formula>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81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36">
    <pageSetUpPr fitToPage="1"/>
  </sheetPr>
  <dimension ref="A1:BI80"/>
  <sheetViews>
    <sheetView showGridLines="0" topLeftCell="I1" zoomScale="55" zoomScaleNormal="55" workbookViewId="0">
      <pane xSplit="1" topLeftCell="J1" activePane="topRight" state="frozen"/>
      <selection activeCell="I1" sqref="I1"/>
      <selection pane="topRight" activeCell="BG32" sqref="BG32"/>
    </sheetView>
  </sheetViews>
  <sheetFormatPr defaultColWidth="9.140625" defaultRowHeight="15"/>
  <cols>
    <col min="1" max="2" width="9.140625" style="23" hidden="1" customWidth="1"/>
    <col min="3" max="3" width="14.5703125" style="23" hidden="1" customWidth="1"/>
    <col min="4" max="4" width="11.42578125" style="27" hidden="1" customWidth="1"/>
    <col min="5" max="5" width="6.85546875" style="27" hidden="1" customWidth="1"/>
    <col min="6" max="6" width="9.140625" style="27" hidden="1" customWidth="1"/>
    <col min="7" max="7" width="3.42578125" style="23" hidden="1" customWidth="1"/>
    <col min="8" max="8" width="6.140625" style="23" customWidth="1"/>
    <col min="9" max="9" width="18.140625" style="27" customWidth="1"/>
    <col min="10" max="10" width="11.5703125" style="26" customWidth="1"/>
    <col min="11" max="11" width="9.140625" style="24" customWidth="1"/>
    <col min="12" max="12" width="14.42578125" style="24" customWidth="1"/>
    <col min="13" max="13" width="12.85546875" style="24" customWidth="1"/>
    <col min="14" max="14" width="10.5703125" style="26" customWidth="1"/>
    <col min="15" max="15" width="10.28515625" style="24" customWidth="1"/>
    <col min="16" max="16" width="10.5703125" style="24" customWidth="1"/>
    <col min="17" max="17" width="12.85546875" style="24" customWidth="1"/>
    <col min="18" max="18" width="8.5703125" style="26" customWidth="1"/>
    <col min="19" max="19" width="11.5703125" style="24" customWidth="1"/>
    <col min="20" max="20" width="15" style="24" bestFit="1" customWidth="1"/>
    <col min="21" max="21" width="10.5703125" style="24" customWidth="1"/>
    <col min="22" max="22" width="13.85546875" style="26" customWidth="1"/>
    <col min="23" max="23" width="11" style="24" bestFit="1" customWidth="1"/>
    <col min="24" max="25" width="9.7109375" style="24" customWidth="1"/>
    <col min="26" max="26" width="11" style="26" customWidth="1"/>
    <col min="27" max="27" width="12.42578125" style="24" customWidth="1"/>
    <col min="28" max="29" width="11.85546875" style="24" customWidth="1"/>
    <col min="30" max="30" width="9.28515625" style="26" customWidth="1"/>
    <col min="31" max="31" width="11.7109375" style="24" bestFit="1" customWidth="1"/>
    <col min="32" max="32" width="10.5703125" style="24" bestFit="1" customWidth="1"/>
    <col min="33" max="33" width="10.5703125" style="24" customWidth="1"/>
    <col min="34" max="34" width="9.140625" style="26" bestFit="1" customWidth="1"/>
    <col min="35" max="35" width="13.5703125" style="24" customWidth="1"/>
    <col min="36" max="37" width="11.5703125" style="24" customWidth="1"/>
    <col min="38" max="38" width="10.5703125" style="49" customWidth="1"/>
    <col min="39" max="39" width="9" style="24" customWidth="1"/>
    <col min="40" max="40" width="12" style="24" bestFit="1" customWidth="1"/>
    <col min="41" max="41" width="12" style="24" customWidth="1"/>
    <col min="42" max="42" width="8.42578125" style="26" customWidth="1"/>
    <col min="43" max="43" width="11.5703125" style="24" customWidth="1"/>
    <col min="44" max="44" width="13.85546875" style="24" bestFit="1" customWidth="1"/>
    <col min="45" max="45" width="13.85546875" style="24" customWidth="1"/>
    <col min="46" max="46" width="11.7109375" style="26" customWidth="1"/>
    <col min="47" max="47" width="11.7109375" style="24" customWidth="1"/>
    <col min="48" max="48" width="10.5703125" style="24" bestFit="1" customWidth="1"/>
    <col min="49" max="49" width="10.5703125" style="24" customWidth="1"/>
    <col min="50" max="50" width="9.140625" style="26" bestFit="1" customWidth="1"/>
    <col min="51" max="51" width="9.140625" style="50" bestFit="1" customWidth="1"/>
    <col min="52" max="52" width="10.5703125" style="50" bestFit="1" customWidth="1"/>
    <col min="53" max="53" width="10.5703125" style="50" customWidth="1"/>
    <col min="54" max="54" width="10.7109375" style="26" bestFit="1" customWidth="1"/>
    <col min="55" max="55" width="12.85546875" style="24" bestFit="1" customWidth="1"/>
    <col min="56" max="56" width="10.5703125" style="24" bestFit="1" customWidth="1"/>
    <col min="57" max="57" width="10.5703125" style="24" customWidth="1"/>
    <col min="58" max="58" width="16" style="25" bestFit="1" customWidth="1"/>
    <col min="59" max="59" width="10.7109375" style="24" bestFit="1" customWidth="1"/>
    <col min="60" max="60" width="13" style="23" bestFit="1" customWidth="1"/>
    <col min="61" max="16384" width="9.140625" style="23"/>
  </cols>
  <sheetData>
    <row r="1" spans="3:61" ht="15" customHeight="1" thickBot="1"/>
    <row r="2" spans="3:61" ht="21.75" thickBot="1">
      <c r="C2" s="1899" t="s">
        <v>45</v>
      </c>
      <c r="D2" s="1900"/>
      <c r="E2" s="1900"/>
      <c r="F2" s="1901"/>
      <c r="H2" s="1915"/>
      <c r="I2" s="1567"/>
      <c r="J2" s="1567"/>
      <c r="K2" s="1567"/>
      <c r="L2" s="947"/>
      <c r="M2" s="947"/>
      <c r="N2" s="1916" t="s">
        <v>249</v>
      </c>
      <c r="O2" s="1916"/>
      <c r="P2" s="1916"/>
      <c r="Q2" s="1916"/>
      <c r="R2" s="1916"/>
      <c r="S2" s="1916"/>
      <c r="T2" s="1916"/>
      <c r="U2" s="1916"/>
      <c r="V2" s="1916"/>
      <c r="W2" s="1916"/>
      <c r="X2" s="1916"/>
      <c r="Y2" s="1916"/>
      <c r="Z2" s="1916"/>
      <c r="AA2" s="1916"/>
      <c r="AB2" s="1916"/>
      <c r="AC2" s="1916"/>
      <c r="AD2" s="1916"/>
      <c r="AE2" s="1916"/>
      <c r="AF2" s="1916"/>
      <c r="AG2" s="1916"/>
      <c r="AH2" s="1916"/>
      <c r="AI2" s="1916"/>
      <c r="AJ2" s="1916"/>
      <c r="AK2" s="1916"/>
      <c r="AL2" s="1916"/>
      <c r="AM2" s="1916"/>
      <c r="AN2" s="1916"/>
      <c r="AO2" s="1916"/>
      <c r="AP2" s="1916"/>
      <c r="AQ2" s="1916"/>
      <c r="AR2" s="1916"/>
      <c r="AS2" s="1916"/>
      <c r="AT2" s="1916"/>
      <c r="AU2" s="1916"/>
      <c r="AV2" s="1916"/>
      <c r="AW2" s="1916"/>
      <c r="AX2" s="1916"/>
      <c r="AY2" s="1916"/>
      <c r="AZ2" s="1916"/>
      <c r="BA2" s="947"/>
      <c r="BB2" s="1902" t="s">
        <v>118</v>
      </c>
      <c r="BC2" s="1903"/>
      <c r="BD2" s="1903"/>
      <c r="BE2" s="1903"/>
      <c r="BF2" s="1903"/>
      <c r="BG2" s="1903"/>
      <c r="BH2" s="1903"/>
      <c r="BI2" s="1904"/>
    </row>
    <row r="3" spans="3:61" ht="19.5" thickBot="1">
      <c r="C3" s="946"/>
      <c r="D3" s="944"/>
      <c r="E3" s="944"/>
      <c r="F3" s="948"/>
      <c r="H3" s="1905" t="s">
        <v>115</v>
      </c>
      <c r="I3" s="1906"/>
      <c r="J3" s="1906"/>
      <c r="K3" s="1906"/>
      <c r="L3" s="1906"/>
      <c r="M3" s="1906"/>
      <c r="N3" s="1906"/>
      <c r="O3" s="1906"/>
      <c r="P3" s="1906"/>
      <c r="Q3" s="1906"/>
      <c r="R3" s="1906"/>
      <c r="S3" s="1906"/>
      <c r="T3" s="1906"/>
      <c r="U3" s="1906"/>
      <c r="V3" s="1906"/>
      <c r="W3" s="1906"/>
      <c r="X3" s="1906"/>
      <c r="Y3" s="1906"/>
      <c r="Z3" s="1906"/>
      <c r="AA3" s="1906"/>
      <c r="AB3" s="1906"/>
      <c r="AC3" s="1906"/>
      <c r="AD3" s="1906"/>
      <c r="AE3" s="1906"/>
      <c r="AF3" s="1906"/>
      <c r="AG3" s="1906"/>
      <c r="AH3" s="1906"/>
      <c r="AI3" s="1906"/>
      <c r="AJ3" s="1906"/>
      <c r="AK3" s="1906"/>
      <c r="AL3" s="1906"/>
      <c r="AM3" s="1906"/>
      <c r="AN3" s="1906"/>
      <c r="AO3" s="1906"/>
      <c r="AP3" s="1906"/>
      <c r="AQ3" s="1906"/>
      <c r="AR3" s="1906"/>
      <c r="AS3" s="1906"/>
      <c r="AT3" s="1906"/>
      <c r="AU3" s="1906"/>
      <c r="AV3" s="1906"/>
      <c r="AW3" s="1906"/>
      <c r="AX3" s="1906"/>
      <c r="AY3" s="1906"/>
      <c r="AZ3" s="1906"/>
      <c r="BA3" s="1906"/>
      <c r="BB3" s="1906"/>
      <c r="BC3" s="1906"/>
      <c r="BD3" s="1906"/>
      <c r="BE3" s="1906"/>
      <c r="BF3" s="1906"/>
      <c r="BG3" s="1906"/>
      <c r="BH3" s="1906"/>
      <c r="BI3" s="1907"/>
    </row>
    <row r="4" spans="3:61" ht="18.75">
      <c r="C4" s="37" t="s">
        <v>44</v>
      </c>
      <c r="D4" s="1869"/>
      <c r="E4" s="1869"/>
      <c r="F4" s="1870"/>
      <c r="H4" s="1908" t="s">
        <v>33</v>
      </c>
      <c r="I4" s="1909"/>
      <c r="J4" s="1871" t="s">
        <v>43</v>
      </c>
      <c r="K4" s="1872"/>
      <c r="L4" s="1872"/>
      <c r="M4" s="1873"/>
      <c r="N4" s="1871" t="s">
        <v>42</v>
      </c>
      <c r="O4" s="1872"/>
      <c r="P4" s="1872"/>
      <c r="Q4" s="1873"/>
      <c r="R4" s="1871" t="s">
        <v>41</v>
      </c>
      <c r="S4" s="1872"/>
      <c r="T4" s="1872"/>
      <c r="U4" s="1873"/>
      <c r="V4" s="1871" t="s">
        <v>40</v>
      </c>
      <c r="W4" s="1872"/>
      <c r="X4" s="1872"/>
      <c r="Y4" s="1873"/>
      <c r="Z4" s="1871" t="s">
        <v>39</v>
      </c>
      <c r="AA4" s="1872"/>
      <c r="AB4" s="1872"/>
      <c r="AC4" s="1873"/>
      <c r="AD4" s="1871" t="s">
        <v>38</v>
      </c>
      <c r="AE4" s="1872"/>
      <c r="AF4" s="1872"/>
      <c r="AG4" s="1873"/>
      <c r="AH4" s="1874" t="s">
        <v>122</v>
      </c>
      <c r="AI4" s="1875"/>
      <c r="AJ4" s="1875"/>
      <c r="AK4" s="1876"/>
      <c r="AL4" s="1871" t="s">
        <v>37</v>
      </c>
      <c r="AM4" s="1872"/>
      <c r="AN4" s="1872"/>
      <c r="AO4" s="1873"/>
      <c r="AP4" s="1871" t="s">
        <v>36</v>
      </c>
      <c r="AQ4" s="1872"/>
      <c r="AR4" s="1872"/>
      <c r="AS4" s="1873"/>
      <c r="AT4" s="1871" t="s">
        <v>35</v>
      </c>
      <c r="AU4" s="1872"/>
      <c r="AV4" s="1872"/>
      <c r="AW4" s="1873"/>
      <c r="AX4" s="1871" t="s">
        <v>34</v>
      </c>
      <c r="AY4" s="1872"/>
      <c r="AZ4" s="1872"/>
      <c r="BA4" s="1873"/>
      <c r="BB4" s="1874" t="s">
        <v>123</v>
      </c>
      <c r="BC4" s="1875"/>
      <c r="BD4" s="1875"/>
      <c r="BE4" s="1876"/>
      <c r="BF4" s="1877" t="s">
        <v>17</v>
      </c>
      <c r="BG4" s="1878"/>
      <c r="BH4" s="1878"/>
      <c r="BI4" s="1878"/>
    </row>
    <row r="5" spans="3:61" ht="15.75" customHeight="1">
      <c r="C5" s="1879" t="s">
        <v>33</v>
      </c>
      <c r="D5" s="1869"/>
      <c r="E5" s="944" t="s">
        <v>1</v>
      </c>
      <c r="F5" s="948" t="s">
        <v>2</v>
      </c>
      <c r="H5" s="1910"/>
      <c r="I5" s="1911"/>
      <c r="J5" s="36" t="s">
        <v>1</v>
      </c>
      <c r="K5" s="271" t="s">
        <v>2</v>
      </c>
      <c r="L5" s="693" t="s">
        <v>182</v>
      </c>
      <c r="M5" s="35" t="s">
        <v>247</v>
      </c>
      <c r="N5" s="36" t="s">
        <v>1</v>
      </c>
      <c r="O5" s="271" t="s">
        <v>2</v>
      </c>
      <c r="P5" s="693" t="s">
        <v>182</v>
      </c>
      <c r="Q5" s="35" t="s">
        <v>247</v>
      </c>
      <c r="R5" s="36" t="s">
        <v>1</v>
      </c>
      <c r="S5" s="271" t="s">
        <v>2</v>
      </c>
      <c r="T5" s="693" t="s">
        <v>182</v>
      </c>
      <c r="U5" s="35" t="s">
        <v>247</v>
      </c>
      <c r="V5" s="36" t="s">
        <v>1</v>
      </c>
      <c r="W5" s="271" t="s">
        <v>2</v>
      </c>
      <c r="X5" s="693" t="s">
        <v>182</v>
      </c>
      <c r="Y5" s="35" t="s">
        <v>247</v>
      </c>
      <c r="Z5" s="36" t="s">
        <v>1</v>
      </c>
      <c r="AA5" s="271" t="s">
        <v>2</v>
      </c>
      <c r="AB5" s="693" t="s">
        <v>182</v>
      </c>
      <c r="AC5" s="35" t="s">
        <v>247</v>
      </c>
      <c r="AD5" s="36" t="s">
        <v>1</v>
      </c>
      <c r="AE5" s="271" t="s">
        <v>2</v>
      </c>
      <c r="AF5" s="693" t="s">
        <v>182</v>
      </c>
      <c r="AG5" s="35" t="s">
        <v>247</v>
      </c>
      <c r="AH5" s="36" t="s">
        <v>1</v>
      </c>
      <c r="AI5" s="271" t="s">
        <v>2</v>
      </c>
      <c r="AJ5" s="271" t="s">
        <v>182</v>
      </c>
      <c r="AK5" s="690" t="s">
        <v>196</v>
      </c>
      <c r="AL5" s="36" t="s">
        <v>1</v>
      </c>
      <c r="AM5" s="271" t="s">
        <v>2</v>
      </c>
      <c r="AN5" s="693" t="s">
        <v>182</v>
      </c>
      <c r="AO5" s="35" t="s">
        <v>247</v>
      </c>
      <c r="AP5" s="36" t="s">
        <v>1</v>
      </c>
      <c r="AQ5" s="271" t="s">
        <v>2</v>
      </c>
      <c r="AR5" s="693" t="s">
        <v>182</v>
      </c>
      <c r="AS5" s="35" t="s">
        <v>247</v>
      </c>
      <c r="AT5" s="36" t="s">
        <v>1</v>
      </c>
      <c r="AU5" s="271" t="s">
        <v>2</v>
      </c>
      <c r="AV5" s="693" t="s">
        <v>182</v>
      </c>
      <c r="AW5" s="35" t="s">
        <v>247</v>
      </c>
      <c r="AX5" s="36" t="s">
        <v>1</v>
      </c>
      <c r="AY5" s="271" t="s">
        <v>2</v>
      </c>
      <c r="AZ5" s="693" t="s">
        <v>182</v>
      </c>
      <c r="BA5" s="35" t="s">
        <v>247</v>
      </c>
      <c r="BB5" s="36" t="s">
        <v>1</v>
      </c>
      <c r="BC5" s="271" t="s">
        <v>2</v>
      </c>
      <c r="BD5" s="271" t="s">
        <v>182</v>
      </c>
      <c r="BE5" s="690" t="s">
        <v>196</v>
      </c>
      <c r="BF5" s="274" t="s">
        <v>1</v>
      </c>
      <c r="BG5" s="275" t="s">
        <v>2</v>
      </c>
      <c r="BH5" s="275" t="s">
        <v>182</v>
      </c>
      <c r="BI5" s="698" t="s">
        <v>196</v>
      </c>
    </row>
    <row r="6" spans="3:61" s="28" customFormat="1" ht="20.100000000000001" customHeight="1">
      <c r="C6" s="1879" t="s">
        <v>19</v>
      </c>
      <c r="D6" s="944" t="s">
        <v>32</v>
      </c>
      <c r="E6" s="944"/>
      <c r="F6" s="945"/>
      <c r="H6" s="1886" t="s">
        <v>32</v>
      </c>
      <c r="I6" s="33" t="s">
        <v>32</v>
      </c>
      <c r="J6" s="462"/>
      <c r="K6" s="463"/>
      <c r="L6" s="463"/>
      <c r="M6" s="691">
        <f>23.4+5+38</f>
        <v>66.400000000000006</v>
      </c>
      <c r="N6" s="462"/>
      <c r="O6" s="463"/>
      <c r="P6" s="463"/>
      <c r="Q6" s="691"/>
      <c r="R6" s="462"/>
      <c r="S6" s="463"/>
      <c r="T6" s="463"/>
      <c r="U6" s="691"/>
      <c r="V6" s="462"/>
      <c r="W6" s="463"/>
      <c r="X6" s="463"/>
      <c r="Y6" s="691"/>
      <c r="Z6" s="462"/>
      <c r="AA6" s="463"/>
      <c r="AB6" s="463"/>
      <c r="AC6" s="691"/>
      <c r="AD6" s="462"/>
      <c r="AE6" s="463"/>
      <c r="AF6" s="463"/>
      <c r="AG6" s="691"/>
      <c r="AH6" s="128">
        <f>J6+N6+R6+V6+Z6+AD6</f>
        <v>0</v>
      </c>
      <c r="AI6" s="273">
        <f>K6+O6+S6+W6+AA6+AE6</f>
        <v>0</v>
      </c>
      <c r="AJ6" s="273">
        <f>L6+P6+T6+X6+AB6+AF6</f>
        <v>0</v>
      </c>
      <c r="AK6" s="694">
        <f>M6+Q6+U6+Y6+AC6+AG6</f>
        <v>66.400000000000006</v>
      </c>
      <c r="AL6" s="462"/>
      <c r="AM6" s="463"/>
      <c r="AN6" s="463"/>
      <c r="AO6" s="691"/>
      <c r="AP6" s="462"/>
      <c r="AQ6" s="463"/>
      <c r="AR6" s="463"/>
      <c r="AS6" s="691"/>
      <c r="AT6" s="462"/>
      <c r="AU6" s="463">
        <v>5</v>
      </c>
      <c r="AV6" s="463">
        <v>5</v>
      </c>
      <c r="AW6" s="691"/>
      <c r="AX6" s="462"/>
      <c r="AY6" s="463"/>
      <c r="AZ6" s="463"/>
      <c r="BA6" s="691">
        <v>8</v>
      </c>
      <c r="BB6" s="128">
        <f>AL6+AP6+AT6+AX6</f>
        <v>0</v>
      </c>
      <c r="BC6" s="273">
        <f>AM6+AQ6+AU6+AY6</f>
        <v>5</v>
      </c>
      <c r="BD6" s="273">
        <f>AN6+AR6+AV6+AZ6</f>
        <v>5</v>
      </c>
      <c r="BE6" s="273">
        <f>AO6+AS6+AW6+BA6</f>
        <v>8</v>
      </c>
      <c r="BF6" s="276">
        <f>AH6+BB6</f>
        <v>0</v>
      </c>
      <c r="BG6" s="277">
        <f>AI6+BC6</f>
        <v>5</v>
      </c>
      <c r="BH6" s="701">
        <f>AJ6+BD6</f>
        <v>5</v>
      </c>
      <c r="BI6" s="699">
        <f>AK6+BE6</f>
        <v>74.400000000000006</v>
      </c>
    </row>
    <row r="7" spans="3:61" s="28" customFormat="1" ht="20.100000000000001" customHeight="1">
      <c r="C7" s="1879"/>
      <c r="D7" s="944" t="s">
        <v>31</v>
      </c>
      <c r="E7" s="944"/>
      <c r="F7" s="945"/>
      <c r="H7" s="1887"/>
      <c r="I7" s="33" t="s">
        <v>31</v>
      </c>
      <c r="J7" s="462"/>
      <c r="K7" s="463"/>
      <c r="L7" s="463"/>
      <c r="M7" s="691"/>
      <c r="N7" s="462"/>
      <c r="O7" s="463"/>
      <c r="P7" s="463"/>
      <c r="Q7" s="691"/>
      <c r="R7" s="462"/>
      <c r="S7" s="463"/>
      <c r="T7" s="463"/>
      <c r="U7" s="691"/>
      <c r="V7" s="462"/>
      <c r="W7" s="463"/>
      <c r="X7" s="463"/>
      <c r="Y7" s="691"/>
      <c r="Z7" s="462"/>
      <c r="AA7" s="463"/>
      <c r="AB7" s="463"/>
      <c r="AC7" s="691"/>
      <c r="AD7" s="462"/>
      <c r="AE7" s="463"/>
      <c r="AF7" s="463"/>
      <c r="AG7" s="691"/>
      <c r="AH7" s="128">
        <f t="shared" ref="AH7:AK9" si="0">J7+N7+R7+V7+Z7+AD7</f>
        <v>0</v>
      </c>
      <c r="AI7" s="273">
        <f t="shared" si="0"/>
        <v>0</v>
      </c>
      <c r="AJ7" s="273">
        <f t="shared" si="0"/>
        <v>0</v>
      </c>
      <c r="AK7" s="694">
        <f t="shared" si="0"/>
        <v>0</v>
      </c>
      <c r="AL7" s="462"/>
      <c r="AM7" s="463"/>
      <c r="AN7" s="463"/>
      <c r="AO7" s="691"/>
      <c r="AP7" s="462"/>
      <c r="AQ7" s="463"/>
      <c r="AR7" s="463"/>
      <c r="AS7" s="691"/>
      <c r="AT7" s="462"/>
      <c r="AU7" s="463"/>
      <c r="AV7" s="463"/>
      <c r="AW7" s="691"/>
      <c r="AX7" s="462"/>
      <c r="AY7" s="463"/>
      <c r="AZ7" s="463"/>
      <c r="BA7" s="691"/>
      <c r="BB7" s="128">
        <f t="shared" ref="BB7:BE9" si="1">AL7+AP7+AT7+AX7</f>
        <v>0</v>
      </c>
      <c r="BC7" s="273">
        <f t="shared" si="1"/>
        <v>0</v>
      </c>
      <c r="BD7" s="273">
        <f t="shared" si="1"/>
        <v>0</v>
      </c>
      <c r="BE7" s="273">
        <f t="shared" si="1"/>
        <v>0</v>
      </c>
      <c r="BF7" s="276">
        <f t="shared" ref="BF7:BI9" si="2">AH7+BB7</f>
        <v>0</v>
      </c>
      <c r="BG7" s="277">
        <f t="shared" si="2"/>
        <v>0</v>
      </c>
      <c r="BH7" s="277">
        <f t="shared" si="2"/>
        <v>0</v>
      </c>
      <c r="BI7" s="699">
        <f t="shared" si="2"/>
        <v>0</v>
      </c>
    </row>
    <row r="8" spans="3:61" s="28" customFormat="1" ht="20.100000000000001" customHeight="1">
      <c r="C8" s="1879"/>
      <c r="D8" s="944" t="s">
        <v>30</v>
      </c>
      <c r="E8" s="944"/>
      <c r="F8" s="945"/>
      <c r="H8" s="1887"/>
      <c r="I8" s="33" t="s">
        <v>30</v>
      </c>
      <c r="J8" s="462"/>
      <c r="K8" s="463"/>
      <c r="L8" s="463"/>
      <c r="M8" s="691"/>
      <c r="N8" s="462"/>
      <c r="O8" s="463"/>
      <c r="P8" s="463"/>
      <c r="Q8" s="691"/>
      <c r="R8" s="462"/>
      <c r="S8" s="463"/>
      <c r="T8" s="463"/>
      <c r="U8" s="691"/>
      <c r="V8" s="462"/>
      <c r="W8" s="463"/>
      <c r="X8" s="463"/>
      <c r="Y8" s="691"/>
      <c r="Z8" s="462"/>
      <c r="AA8" s="463"/>
      <c r="AB8" s="463"/>
      <c r="AC8" s="691"/>
      <c r="AD8" s="462"/>
      <c r="AE8" s="463"/>
      <c r="AF8" s="463"/>
      <c r="AG8" s="691"/>
      <c r="AH8" s="128">
        <f t="shared" si="0"/>
        <v>0</v>
      </c>
      <c r="AI8" s="273">
        <f t="shared" si="0"/>
        <v>0</v>
      </c>
      <c r="AJ8" s="273">
        <f t="shared" si="0"/>
        <v>0</v>
      </c>
      <c r="AK8" s="694">
        <f t="shared" si="0"/>
        <v>0</v>
      </c>
      <c r="AL8" s="462"/>
      <c r="AM8" s="463"/>
      <c r="AN8" s="463"/>
      <c r="AO8" s="691"/>
      <c r="AP8" s="462"/>
      <c r="AQ8" s="463"/>
      <c r="AR8" s="463"/>
      <c r="AS8" s="691"/>
      <c r="AT8" s="462"/>
      <c r="AU8" s="463"/>
      <c r="AV8" s="463"/>
      <c r="AW8" s="691"/>
      <c r="AX8" s="462"/>
      <c r="AY8" s="463"/>
      <c r="AZ8" s="463"/>
      <c r="BA8" s="691"/>
      <c r="BB8" s="128">
        <f t="shared" si="1"/>
        <v>0</v>
      </c>
      <c r="BC8" s="273">
        <f t="shared" si="1"/>
        <v>0</v>
      </c>
      <c r="BD8" s="273">
        <f t="shared" si="1"/>
        <v>0</v>
      </c>
      <c r="BE8" s="273">
        <f t="shared" si="1"/>
        <v>0</v>
      </c>
      <c r="BF8" s="276">
        <f t="shared" si="2"/>
        <v>0</v>
      </c>
      <c r="BG8" s="277">
        <f t="shared" si="2"/>
        <v>0</v>
      </c>
      <c r="BH8" s="277">
        <f t="shared" si="2"/>
        <v>0</v>
      </c>
      <c r="BI8" s="699">
        <f t="shared" si="2"/>
        <v>0</v>
      </c>
    </row>
    <row r="9" spans="3:61" s="28" customFormat="1" ht="20.100000000000001" customHeight="1">
      <c r="C9" s="1885"/>
      <c r="D9" s="944" t="s">
        <v>29</v>
      </c>
      <c r="E9" s="944"/>
      <c r="F9" s="945"/>
      <c r="H9" s="1887"/>
      <c r="I9" s="33" t="s">
        <v>109</v>
      </c>
      <c r="J9" s="462"/>
      <c r="K9" s="463"/>
      <c r="L9" s="463"/>
      <c r="M9" s="691"/>
      <c r="N9" s="462"/>
      <c r="O9" s="463"/>
      <c r="P9" s="463"/>
      <c r="Q9" s="691"/>
      <c r="R9" s="462"/>
      <c r="S9" s="463"/>
      <c r="T9" s="463"/>
      <c r="U9" s="691"/>
      <c r="V9" s="462"/>
      <c r="W9" s="463"/>
      <c r="X9" s="463"/>
      <c r="Y9" s="691"/>
      <c r="Z9" s="462"/>
      <c r="AA9" s="463"/>
      <c r="AB9" s="463"/>
      <c r="AC9" s="691"/>
      <c r="AD9" s="462"/>
      <c r="AE9" s="463"/>
      <c r="AF9" s="463"/>
      <c r="AG9" s="691"/>
      <c r="AH9" s="128">
        <f t="shared" si="0"/>
        <v>0</v>
      </c>
      <c r="AI9" s="273">
        <f t="shared" si="0"/>
        <v>0</v>
      </c>
      <c r="AJ9" s="273">
        <f t="shared" si="0"/>
        <v>0</v>
      </c>
      <c r="AK9" s="694">
        <f t="shared" si="0"/>
        <v>0</v>
      </c>
      <c r="AL9" s="462"/>
      <c r="AM9" s="463"/>
      <c r="AN9" s="463"/>
      <c r="AO9" s="691"/>
      <c r="AP9" s="462"/>
      <c r="AQ9" s="463"/>
      <c r="AR9" s="463"/>
      <c r="AS9" s="691"/>
      <c r="AT9" s="462"/>
      <c r="AU9" s="463"/>
      <c r="AV9" s="463"/>
      <c r="AW9" s="691"/>
      <c r="AX9" s="462"/>
      <c r="AY9" s="463"/>
      <c r="AZ9" s="463"/>
      <c r="BA9" s="691"/>
      <c r="BB9" s="128">
        <f t="shared" si="1"/>
        <v>0</v>
      </c>
      <c r="BC9" s="273">
        <f t="shared" si="1"/>
        <v>0</v>
      </c>
      <c r="BD9" s="273">
        <f t="shared" si="1"/>
        <v>0</v>
      </c>
      <c r="BE9" s="273">
        <f t="shared" si="1"/>
        <v>0</v>
      </c>
      <c r="BF9" s="276">
        <f t="shared" si="2"/>
        <v>0</v>
      </c>
      <c r="BG9" s="277">
        <f t="shared" si="2"/>
        <v>0</v>
      </c>
      <c r="BH9" s="277">
        <f t="shared" si="2"/>
        <v>0</v>
      </c>
      <c r="BI9" s="699">
        <f t="shared" si="2"/>
        <v>0</v>
      </c>
    </row>
    <row r="10" spans="3:61" s="28" customFormat="1" ht="19.5" customHeight="1" thickBot="1">
      <c r="C10" s="32"/>
      <c r="D10" s="31" t="s">
        <v>18</v>
      </c>
      <c r="E10" s="31"/>
      <c r="F10" s="30"/>
      <c r="H10" s="1865" t="s">
        <v>47</v>
      </c>
      <c r="I10" s="1866"/>
      <c r="J10" s="118">
        <f t="shared" ref="J10:BG10" si="3">SUM(J6:J9)</f>
        <v>0</v>
      </c>
      <c r="K10" s="272">
        <f t="shared" si="3"/>
        <v>0</v>
      </c>
      <c r="L10" s="272">
        <f t="shared" si="3"/>
        <v>0</v>
      </c>
      <c r="M10" s="272">
        <f t="shared" si="3"/>
        <v>66.400000000000006</v>
      </c>
      <c r="N10" s="118">
        <f t="shared" si="3"/>
        <v>0</v>
      </c>
      <c r="O10" s="272">
        <f t="shared" si="3"/>
        <v>0</v>
      </c>
      <c r="P10" s="272">
        <f t="shared" si="3"/>
        <v>0</v>
      </c>
      <c r="Q10" s="272">
        <f t="shared" si="3"/>
        <v>0</v>
      </c>
      <c r="R10" s="118">
        <f t="shared" si="3"/>
        <v>0</v>
      </c>
      <c r="S10" s="272">
        <f t="shared" si="3"/>
        <v>0</v>
      </c>
      <c r="T10" s="272">
        <f t="shared" si="3"/>
        <v>0</v>
      </c>
      <c r="U10" s="272">
        <f t="shared" si="3"/>
        <v>0</v>
      </c>
      <c r="V10" s="118">
        <f t="shared" si="3"/>
        <v>0</v>
      </c>
      <c r="W10" s="272">
        <f t="shared" si="3"/>
        <v>0</v>
      </c>
      <c r="X10" s="272">
        <f t="shared" si="3"/>
        <v>0</v>
      </c>
      <c r="Y10" s="272">
        <f t="shared" si="3"/>
        <v>0</v>
      </c>
      <c r="Z10" s="118">
        <f t="shared" si="3"/>
        <v>0</v>
      </c>
      <c r="AA10" s="272">
        <f t="shared" si="3"/>
        <v>0</v>
      </c>
      <c r="AB10" s="272">
        <f t="shared" si="3"/>
        <v>0</v>
      </c>
      <c r="AC10" s="272">
        <f t="shared" si="3"/>
        <v>0</v>
      </c>
      <c r="AD10" s="118">
        <f t="shared" si="3"/>
        <v>0</v>
      </c>
      <c r="AE10" s="272">
        <f t="shared" si="3"/>
        <v>0</v>
      </c>
      <c r="AF10" s="272">
        <f t="shared" si="3"/>
        <v>0</v>
      </c>
      <c r="AG10" s="272">
        <f t="shared" si="3"/>
        <v>0</v>
      </c>
      <c r="AH10" s="118">
        <f t="shared" si="3"/>
        <v>0</v>
      </c>
      <c r="AI10" s="272">
        <f t="shared" si="3"/>
        <v>0</v>
      </c>
      <c r="AJ10" s="272">
        <f>SUM(AJ6:AJ9)</f>
        <v>0</v>
      </c>
      <c r="AK10" s="695">
        <f>SUM(AK6:AK9)</f>
        <v>66.400000000000006</v>
      </c>
      <c r="AL10" s="118">
        <f t="shared" si="3"/>
        <v>0</v>
      </c>
      <c r="AM10" s="272">
        <f t="shared" si="3"/>
        <v>0</v>
      </c>
      <c r="AN10" s="272">
        <f t="shared" si="3"/>
        <v>0</v>
      </c>
      <c r="AO10" s="272">
        <f t="shared" si="3"/>
        <v>0</v>
      </c>
      <c r="AP10" s="118">
        <f t="shared" si="3"/>
        <v>0</v>
      </c>
      <c r="AQ10" s="272">
        <f t="shared" si="3"/>
        <v>0</v>
      </c>
      <c r="AR10" s="272">
        <f t="shared" si="3"/>
        <v>0</v>
      </c>
      <c r="AS10" s="272">
        <f t="shared" si="3"/>
        <v>0</v>
      </c>
      <c r="AT10" s="118">
        <f t="shared" si="3"/>
        <v>0</v>
      </c>
      <c r="AU10" s="272">
        <f t="shared" si="3"/>
        <v>5</v>
      </c>
      <c r="AV10" s="272">
        <f t="shared" si="3"/>
        <v>5</v>
      </c>
      <c r="AW10" s="272">
        <f t="shared" si="3"/>
        <v>0</v>
      </c>
      <c r="AX10" s="118">
        <f t="shared" si="3"/>
        <v>0</v>
      </c>
      <c r="AY10" s="272">
        <f t="shared" si="3"/>
        <v>0</v>
      </c>
      <c r="AZ10" s="272">
        <f t="shared" si="3"/>
        <v>0</v>
      </c>
      <c r="BA10" s="272">
        <f t="shared" si="3"/>
        <v>8</v>
      </c>
      <c r="BB10" s="118">
        <f t="shared" si="3"/>
        <v>0</v>
      </c>
      <c r="BC10" s="272">
        <f t="shared" si="3"/>
        <v>5</v>
      </c>
      <c r="BD10" s="272">
        <f t="shared" si="3"/>
        <v>5</v>
      </c>
      <c r="BE10" s="272">
        <f t="shared" si="3"/>
        <v>8</v>
      </c>
      <c r="BF10" s="278">
        <f t="shared" si="3"/>
        <v>0</v>
      </c>
      <c r="BG10" s="279">
        <f t="shared" si="3"/>
        <v>5</v>
      </c>
      <c r="BH10" s="702">
        <f>AJ10+BD10</f>
        <v>5</v>
      </c>
      <c r="BI10" s="700">
        <f>AK10+BE10</f>
        <v>74.400000000000006</v>
      </c>
    </row>
    <row r="11" spans="3:61" s="119" customFormat="1" ht="5.25" customHeight="1">
      <c r="D11" s="120"/>
      <c r="E11" s="120"/>
      <c r="F11" s="120"/>
      <c r="H11" s="122"/>
      <c r="I11" s="122"/>
      <c r="J11" s="125"/>
      <c r="K11" s="126"/>
      <c r="L11" s="126"/>
      <c r="M11" s="126"/>
      <c r="N11" s="125"/>
      <c r="O11" s="126"/>
      <c r="P11" s="126"/>
      <c r="Q11" s="126"/>
      <c r="R11" s="125"/>
      <c r="S11" s="126"/>
      <c r="T11" s="126"/>
      <c r="U11" s="126"/>
      <c r="V11" s="125"/>
      <c r="W11" s="126"/>
      <c r="X11" s="126"/>
      <c r="Y11" s="126"/>
      <c r="Z11" s="125"/>
      <c r="AA11" s="126"/>
      <c r="AB11" s="126"/>
      <c r="AC11" s="126"/>
      <c r="AD11" s="125"/>
      <c r="AE11" s="126"/>
      <c r="AF11" s="126"/>
      <c r="AG11" s="126"/>
      <c r="AH11" s="125"/>
      <c r="AI11" s="126"/>
      <c r="AJ11" s="126"/>
      <c r="AK11" s="126"/>
      <c r="AL11" s="125"/>
      <c r="AM11" s="126"/>
      <c r="AN11" s="126"/>
      <c r="AO11" s="126"/>
      <c r="AP11" s="125"/>
      <c r="AQ11" s="126"/>
      <c r="AR11" s="126"/>
      <c r="AS11" s="126"/>
      <c r="AT11" s="125"/>
      <c r="AU11" s="126"/>
      <c r="AV11" s="126"/>
      <c r="AW11" s="126"/>
      <c r="AX11" s="125"/>
      <c r="AY11" s="126"/>
      <c r="AZ11" s="126"/>
      <c r="BA11" s="126"/>
      <c r="BB11" s="125"/>
      <c r="BC11" s="126"/>
      <c r="BD11" s="126"/>
      <c r="BE11" s="126"/>
      <c r="BF11" s="125"/>
      <c r="BG11" s="126"/>
    </row>
    <row r="12" spans="3:61" ht="19.5" thickBot="1">
      <c r="C12" s="946"/>
      <c r="D12" s="944"/>
      <c r="E12" s="944"/>
      <c r="F12" s="948"/>
      <c r="H12" s="1867" t="s">
        <v>114</v>
      </c>
      <c r="I12" s="1868"/>
      <c r="J12" s="1868"/>
      <c r="K12" s="1868"/>
      <c r="L12" s="1868"/>
      <c r="M12" s="1868"/>
      <c r="N12" s="1868"/>
      <c r="O12" s="1868"/>
      <c r="P12" s="1868"/>
      <c r="Q12" s="1868"/>
      <c r="R12" s="1868"/>
      <c r="S12" s="1868"/>
      <c r="T12" s="1868"/>
      <c r="U12" s="1868"/>
      <c r="V12" s="1868"/>
      <c r="W12" s="1868"/>
      <c r="X12" s="1868"/>
      <c r="Y12" s="1868"/>
      <c r="Z12" s="1868"/>
      <c r="AA12" s="1868"/>
      <c r="AB12" s="1868"/>
      <c r="AC12" s="1868"/>
      <c r="AD12" s="1868"/>
      <c r="AE12" s="1868"/>
      <c r="AF12" s="1868"/>
      <c r="AG12" s="1868"/>
      <c r="AH12" s="1868"/>
      <c r="AI12" s="1868"/>
      <c r="AJ12" s="1868"/>
      <c r="AK12" s="1868"/>
      <c r="AL12" s="1868"/>
      <c r="AM12" s="1868"/>
      <c r="AN12" s="1868"/>
      <c r="AO12" s="1868"/>
      <c r="AP12" s="1868"/>
      <c r="AQ12" s="1868"/>
      <c r="AR12" s="1868"/>
      <c r="AS12" s="1868"/>
      <c r="AT12" s="1868"/>
      <c r="AU12" s="1868"/>
      <c r="AV12" s="1868"/>
      <c r="AW12" s="1868"/>
      <c r="AX12" s="1868"/>
      <c r="AY12" s="1868"/>
      <c r="AZ12" s="1868"/>
      <c r="BA12" s="1868"/>
      <c r="BB12" s="1868"/>
      <c r="BC12" s="1868"/>
      <c r="BD12" s="1868"/>
      <c r="BE12" s="1868"/>
      <c r="BF12" s="1868"/>
      <c r="BG12" s="1868"/>
      <c r="BH12" s="1868"/>
      <c r="BI12" s="1868"/>
    </row>
    <row r="13" spans="3:61" ht="18.75" customHeight="1">
      <c r="C13" s="37" t="s">
        <v>44</v>
      </c>
      <c r="D13" s="1869"/>
      <c r="E13" s="1869"/>
      <c r="F13" s="1870"/>
      <c r="H13" s="1895" t="s">
        <v>117</v>
      </c>
      <c r="I13" s="1896"/>
      <c r="J13" s="1890" t="s">
        <v>43</v>
      </c>
      <c r="K13" s="1891"/>
      <c r="L13" s="1891"/>
      <c r="M13" s="1892"/>
      <c r="N13" s="1890" t="s">
        <v>42</v>
      </c>
      <c r="O13" s="1891"/>
      <c r="P13" s="1891"/>
      <c r="Q13" s="1892"/>
      <c r="R13" s="1890" t="s">
        <v>41</v>
      </c>
      <c r="S13" s="1891"/>
      <c r="T13" s="1891"/>
      <c r="U13" s="1892"/>
      <c r="V13" s="1890" t="s">
        <v>40</v>
      </c>
      <c r="W13" s="1891"/>
      <c r="X13" s="1891"/>
      <c r="Y13" s="1892"/>
      <c r="Z13" s="1890" t="s">
        <v>39</v>
      </c>
      <c r="AA13" s="1891"/>
      <c r="AB13" s="1891"/>
      <c r="AC13" s="1892"/>
      <c r="AD13" s="1890" t="s">
        <v>38</v>
      </c>
      <c r="AE13" s="1891"/>
      <c r="AF13" s="1891"/>
      <c r="AG13" s="1892"/>
      <c r="AH13" s="1882" t="s">
        <v>122</v>
      </c>
      <c r="AI13" s="1883"/>
      <c r="AJ13" s="1883"/>
      <c r="AK13" s="1884"/>
      <c r="AL13" s="1890" t="s">
        <v>37</v>
      </c>
      <c r="AM13" s="1891"/>
      <c r="AN13" s="1891"/>
      <c r="AO13" s="1892"/>
      <c r="AP13" s="1890" t="s">
        <v>36</v>
      </c>
      <c r="AQ13" s="1891"/>
      <c r="AR13" s="1891"/>
      <c r="AS13" s="1892"/>
      <c r="AT13" s="1890" t="s">
        <v>35</v>
      </c>
      <c r="AU13" s="1891"/>
      <c r="AV13" s="1891"/>
      <c r="AW13" s="1892"/>
      <c r="AX13" s="1890" t="s">
        <v>34</v>
      </c>
      <c r="AY13" s="1891"/>
      <c r="AZ13" s="1891"/>
      <c r="BA13" s="1892"/>
      <c r="BB13" s="1882" t="s">
        <v>123</v>
      </c>
      <c r="BC13" s="1883"/>
      <c r="BD13" s="1883"/>
      <c r="BE13" s="1884"/>
      <c r="BF13" s="1880" t="s">
        <v>17</v>
      </c>
      <c r="BG13" s="1881"/>
      <c r="BH13" s="1881"/>
      <c r="BI13" s="1881"/>
    </row>
    <row r="14" spans="3:61" ht="27" customHeight="1">
      <c r="C14" s="1879" t="s">
        <v>33</v>
      </c>
      <c r="D14" s="1869"/>
      <c r="E14" s="944" t="s">
        <v>1</v>
      </c>
      <c r="F14" s="948" t="s">
        <v>2</v>
      </c>
      <c r="H14" s="1897"/>
      <c r="I14" s="1898"/>
      <c r="J14" s="36" t="s">
        <v>1</v>
      </c>
      <c r="K14" s="271" t="s">
        <v>2</v>
      </c>
      <c r="L14" s="271" t="s">
        <v>182</v>
      </c>
      <c r="M14" s="35" t="s">
        <v>247</v>
      </c>
      <c r="N14" s="36" t="s">
        <v>1</v>
      </c>
      <c r="O14" s="271" t="s">
        <v>2</v>
      </c>
      <c r="P14" s="271" t="s">
        <v>182</v>
      </c>
      <c r="Q14" s="35" t="s">
        <v>247</v>
      </c>
      <c r="R14" s="36" t="s">
        <v>1</v>
      </c>
      <c r="S14" s="271" t="s">
        <v>2</v>
      </c>
      <c r="T14" s="271" t="s">
        <v>182</v>
      </c>
      <c r="U14" s="35" t="s">
        <v>247</v>
      </c>
      <c r="V14" s="36" t="s">
        <v>1</v>
      </c>
      <c r="W14" s="271" t="s">
        <v>2</v>
      </c>
      <c r="X14" s="271" t="s">
        <v>182</v>
      </c>
      <c r="Y14" s="35" t="s">
        <v>247</v>
      </c>
      <c r="Z14" s="36" t="s">
        <v>1</v>
      </c>
      <c r="AA14" s="271" t="s">
        <v>2</v>
      </c>
      <c r="AB14" s="271" t="s">
        <v>182</v>
      </c>
      <c r="AC14" s="35" t="s">
        <v>247</v>
      </c>
      <c r="AD14" s="36" t="s">
        <v>1</v>
      </c>
      <c r="AE14" s="271" t="s">
        <v>2</v>
      </c>
      <c r="AF14" s="271" t="s">
        <v>182</v>
      </c>
      <c r="AG14" s="35" t="s">
        <v>247</v>
      </c>
      <c r="AH14" s="36" t="s">
        <v>1</v>
      </c>
      <c r="AI14" s="271" t="s">
        <v>2</v>
      </c>
      <c r="AJ14" s="271" t="s">
        <v>182</v>
      </c>
      <c r="AK14" s="690" t="s">
        <v>196</v>
      </c>
      <c r="AL14" s="36" t="s">
        <v>1</v>
      </c>
      <c r="AM14" s="271" t="s">
        <v>2</v>
      </c>
      <c r="AN14" s="271" t="s">
        <v>182</v>
      </c>
      <c r="AO14" s="35" t="s">
        <v>247</v>
      </c>
      <c r="AP14" s="36" t="s">
        <v>1</v>
      </c>
      <c r="AQ14" s="271" t="s">
        <v>2</v>
      </c>
      <c r="AR14" s="271" t="s">
        <v>182</v>
      </c>
      <c r="AS14" s="35" t="s">
        <v>247</v>
      </c>
      <c r="AT14" s="36" t="s">
        <v>1</v>
      </c>
      <c r="AU14" s="271" t="s">
        <v>2</v>
      </c>
      <c r="AV14" s="271" t="s">
        <v>182</v>
      </c>
      <c r="AW14" s="35" t="s">
        <v>247</v>
      </c>
      <c r="AX14" s="36" t="s">
        <v>1</v>
      </c>
      <c r="AY14" s="271" t="s">
        <v>2</v>
      </c>
      <c r="AZ14" s="271" t="s">
        <v>182</v>
      </c>
      <c r="BA14" s="35" t="s">
        <v>247</v>
      </c>
      <c r="BB14" s="36" t="s">
        <v>1</v>
      </c>
      <c r="BC14" s="271" t="s">
        <v>2</v>
      </c>
      <c r="BD14" s="271" t="s">
        <v>182</v>
      </c>
      <c r="BE14" s="690" t="s">
        <v>196</v>
      </c>
      <c r="BF14" s="274" t="s">
        <v>1</v>
      </c>
      <c r="BG14" s="275" t="s">
        <v>2</v>
      </c>
      <c r="BH14" s="275" t="s">
        <v>182</v>
      </c>
      <c r="BI14" s="703" t="s">
        <v>196</v>
      </c>
    </row>
    <row r="15" spans="3:61" s="28" customFormat="1" ht="20.100000000000001" customHeight="1">
      <c r="C15" s="1879" t="s">
        <v>28</v>
      </c>
      <c r="D15" s="944" t="s">
        <v>27</v>
      </c>
      <c r="E15" s="949"/>
      <c r="F15" s="34"/>
      <c r="H15" s="1888" t="s">
        <v>112</v>
      </c>
      <c r="I15" s="33" t="s">
        <v>27</v>
      </c>
      <c r="J15" s="462"/>
      <c r="K15" s="463"/>
      <c r="L15" s="463"/>
      <c r="M15" s="692"/>
      <c r="N15" s="462"/>
      <c r="O15" s="463"/>
      <c r="P15" s="463"/>
      <c r="Q15" s="692"/>
      <c r="R15" s="462"/>
      <c r="S15" s="463"/>
      <c r="T15" s="463"/>
      <c r="U15" s="692"/>
      <c r="V15" s="462"/>
      <c r="W15" s="463"/>
      <c r="X15" s="463"/>
      <c r="Y15" s="692"/>
      <c r="Z15" s="462"/>
      <c r="AA15" s="463"/>
      <c r="AB15" s="463"/>
      <c r="AC15" s="692"/>
      <c r="AD15" s="462"/>
      <c r="AE15" s="463"/>
      <c r="AF15" s="463"/>
      <c r="AG15" s="692"/>
      <c r="AH15" s="128">
        <f>J15+N15+R15+V15+Z15+AD15</f>
        <v>0</v>
      </c>
      <c r="AI15" s="273">
        <f>K15+O15+S15+W15+AA15+AE15</f>
        <v>0</v>
      </c>
      <c r="AJ15" s="273">
        <f>L15+P15+T15+X15+AB15+AF15</f>
        <v>0</v>
      </c>
      <c r="AK15" s="694">
        <f>M15+Q15+U15+Y15+AC15+AG15</f>
        <v>0</v>
      </c>
      <c r="AL15" s="462"/>
      <c r="AM15" s="463"/>
      <c r="AN15" s="463"/>
      <c r="AO15" s="692"/>
      <c r="AP15" s="462"/>
      <c r="AQ15" s="463"/>
      <c r="AR15" s="463"/>
      <c r="AS15" s="692"/>
      <c r="AT15" s="462"/>
      <c r="AU15" s="463"/>
      <c r="AV15" s="463"/>
      <c r="AW15" s="692"/>
      <c r="AX15" s="462"/>
      <c r="AY15" s="463"/>
      <c r="AZ15" s="463"/>
      <c r="BA15" s="692"/>
      <c r="BB15" s="128">
        <f>AL15+AP15+AT15+AX15</f>
        <v>0</v>
      </c>
      <c r="BC15" s="273">
        <f>AM15+AQ15+AU15+AY15</f>
        <v>0</v>
      </c>
      <c r="BD15" s="273">
        <f>AN15+AR15+AV15+AZ15</f>
        <v>0</v>
      </c>
      <c r="BE15" s="273">
        <f>AO15+AS15+AW15+BA15</f>
        <v>0</v>
      </c>
      <c r="BF15" s="276">
        <f t="shared" ref="BF15:BI23" si="4">AH15+BB15</f>
        <v>0</v>
      </c>
      <c r="BG15" s="277">
        <f t="shared" si="4"/>
        <v>0</v>
      </c>
      <c r="BH15" s="277">
        <f t="shared" si="4"/>
        <v>0</v>
      </c>
      <c r="BI15" s="704">
        <f t="shared" si="4"/>
        <v>0</v>
      </c>
    </row>
    <row r="16" spans="3:61" s="28" customFormat="1" ht="20.100000000000001" customHeight="1">
      <c r="C16" s="1879"/>
      <c r="D16" s="944" t="s">
        <v>26</v>
      </c>
      <c r="E16" s="944"/>
      <c r="F16" s="945"/>
      <c r="H16" s="1889"/>
      <c r="I16" s="33" t="s">
        <v>26</v>
      </c>
      <c r="J16" s="462"/>
      <c r="K16" s="463"/>
      <c r="L16" s="463"/>
      <c r="M16" s="692"/>
      <c r="N16" s="462"/>
      <c r="O16" s="463"/>
      <c r="P16" s="463"/>
      <c r="Q16" s="692"/>
      <c r="R16" s="462"/>
      <c r="S16" s="463"/>
      <c r="T16" s="463"/>
      <c r="U16" s="692"/>
      <c r="V16" s="462"/>
      <c r="W16" s="463"/>
      <c r="X16" s="463"/>
      <c r="Y16" s="692"/>
      <c r="Z16" s="462"/>
      <c r="AA16" s="463"/>
      <c r="AB16" s="463"/>
      <c r="AC16" s="692"/>
      <c r="AD16" s="462"/>
      <c r="AE16" s="463"/>
      <c r="AF16" s="463"/>
      <c r="AG16" s="692"/>
      <c r="AH16" s="128">
        <f t="shared" ref="AH16:AK23" si="5">J16+N16+R16+V16+Z16+AD16</f>
        <v>0</v>
      </c>
      <c r="AI16" s="273">
        <f t="shared" si="5"/>
        <v>0</v>
      </c>
      <c r="AJ16" s="273">
        <f t="shared" si="5"/>
        <v>0</v>
      </c>
      <c r="AK16" s="694">
        <f t="shared" si="5"/>
        <v>0</v>
      </c>
      <c r="AL16" s="462"/>
      <c r="AM16" s="463"/>
      <c r="AN16" s="463"/>
      <c r="AO16" s="692"/>
      <c r="AP16" s="462"/>
      <c r="AQ16" s="463"/>
      <c r="AR16" s="463"/>
      <c r="AS16" s="692"/>
      <c r="AT16" s="462"/>
      <c r="AU16" s="463"/>
      <c r="AV16" s="463"/>
      <c r="AW16" s="692"/>
      <c r="AX16" s="462"/>
      <c r="AY16" s="463"/>
      <c r="AZ16" s="463"/>
      <c r="BA16" s="692"/>
      <c r="BB16" s="128">
        <f t="shared" ref="BB16:BE23" si="6">AL16+AP16+AT16+AX16</f>
        <v>0</v>
      </c>
      <c r="BC16" s="273">
        <f t="shared" si="6"/>
        <v>0</v>
      </c>
      <c r="BD16" s="273">
        <f t="shared" si="6"/>
        <v>0</v>
      </c>
      <c r="BE16" s="273">
        <f t="shared" si="6"/>
        <v>0</v>
      </c>
      <c r="BF16" s="276">
        <f t="shared" si="4"/>
        <v>0</v>
      </c>
      <c r="BG16" s="277">
        <f t="shared" si="4"/>
        <v>0</v>
      </c>
      <c r="BH16" s="277">
        <f t="shared" si="4"/>
        <v>0</v>
      </c>
      <c r="BI16" s="704">
        <f t="shared" si="4"/>
        <v>0</v>
      </c>
    </row>
    <row r="17" spans="3:61" s="28" customFormat="1" ht="23.25" customHeight="1">
      <c r="C17" s="1879"/>
      <c r="D17" s="944" t="s">
        <v>25</v>
      </c>
      <c r="E17" s="944"/>
      <c r="F17" s="945"/>
      <c r="H17" s="1889"/>
      <c r="I17" s="33" t="s">
        <v>25</v>
      </c>
      <c r="J17" s="462"/>
      <c r="K17" s="463"/>
      <c r="L17" s="463"/>
      <c r="M17" s="692"/>
      <c r="N17" s="462"/>
      <c r="O17" s="463"/>
      <c r="P17" s="463"/>
      <c r="Q17" s="692"/>
      <c r="R17" s="462"/>
      <c r="S17" s="463"/>
      <c r="T17" s="463"/>
      <c r="U17" s="692"/>
      <c r="V17" s="462"/>
      <c r="W17" s="463"/>
      <c r="X17" s="463"/>
      <c r="Y17" s="692"/>
      <c r="Z17" s="462"/>
      <c r="AA17" s="463"/>
      <c r="AB17" s="463"/>
      <c r="AC17" s="692"/>
      <c r="AD17" s="462"/>
      <c r="AE17" s="463"/>
      <c r="AF17" s="463"/>
      <c r="AG17" s="692"/>
      <c r="AH17" s="128">
        <f t="shared" si="5"/>
        <v>0</v>
      </c>
      <c r="AI17" s="273">
        <f t="shared" si="5"/>
        <v>0</v>
      </c>
      <c r="AJ17" s="273">
        <f t="shared" si="5"/>
        <v>0</v>
      </c>
      <c r="AK17" s="694">
        <f t="shared" si="5"/>
        <v>0</v>
      </c>
      <c r="AL17" s="462"/>
      <c r="AM17" s="463"/>
      <c r="AN17" s="463"/>
      <c r="AO17" s="692"/>
      <c r="AP17" s="462"/>
      <c r="AQ17" s="463"/>
      <c r="AR17" s="463"/>
      <c r="AS17" s="692"/>
      <c r="AT17" s="462"/>
      <c r="AU17" s="463"/>
      <c r="AV17" s="463"/>
      <c r="AW17" s="692"/>
      <c r="AX17" s="462"/>
      <c r="AY17" s="463"/>
      <c r="AZ17" s="463"/>
      <c r="BA17" s="692"/>
      <c r="BB17" s="128">
        <f t="shared" si="6"/>
        <v>0</v>
      </c>
      <c r="BC17" s="273">
        <f t="shared" si="6"/>
        <v>0</v>
      </c>
      <c r="BD17" s="273">
        <f t="shared" si="6"/>
        <v>0</v>
      </c>
      <c r="BE17" s="273">
        <f t="shared" si="6"/>
        <v>0</v>
      </c>
      <c r="BF17" s="276">
        <f t="shared" si="4"/>
        <v>0</v>
      </c>
      <c r="BG17" s="277">
        <f t="shared" si="4"/>
        <v>0</v>
      </c>
      <c r="BH17" s="277">
        <f t="shared" si="4"/>
        <v>0</v>
      </c>
      <c r="BI17" s="704">
        <f t="shared" si="4"/>
        <v>0</v>
      </c>
    </row>
    <row r="18" spans="3:61" s="28" customFormat="1" ht="21">
      <c r="C18" s="1879"/>
      <c r="D18" s="944" t="s">
        <v>24</v>
      </c>
      <c r="E18" s="944"/>
      <c r="F18" s="945"/>
      <c r="H18" s="1889"/>
      <c r="I18" s="33" t="s">
        <v>24</v>
      </c>
      <c r="J18" s="462"/>
      <c r="K18" s="463"/>
      <c r="L18" s="463"/>
      <c r="M18" s="692"/>
      <c r="N18" s="462"/>
      <c r="O18" s="463"/>
      <c r="P18" s="463"/>
      <c r="Q18" s="692"/>
      <c r="R18" s="462"/>
      <c r="S18" s="463"/>
      <c r="T18" s="463"/>
      <c r="U18" s="692"/>
      <c r="V18" s="462"/>
      <c r="W18" s="463"/>
      <c r="X18" s="463"/>
      <c r="Y18" s="692"/>
      <c r="Z18" s="462"/>
      <c r="AA18" s="463"/>
      <c r="AB18" s="463"/>
      <c r="AC18" s="692"/>
      <c r="AD18" s="462"/>
      <c r="AE18" s="463"/>
      <c r="AF18" s="463"/>
      <c r="AG18" s="692"/>
      <c r="AH18" s="128">
        <f t="shared" si="5"/>
        <v>0</v>
      </c>
      <c r="AI18" s="273">
        <f t="shared" si="5"/>
        <v>0</v>
      </c>
      <c r="AJ18" s="273">
        <f t="shared" si="5"/>
        <v>0</v>
      </c>
      <c r="AK18" s="694">
        <f t="shared" si="5"/>
        <v>0</v>
      </c>
      <c r="AL18" s="462"/>
      <c r="AM18" s="463"/>
      <c r="AN18" s="463"/>
      <c r="AO18" s="692"/>
      <c r="AP18" s="462"/>
      <c r="AQ18" s="463"/>
      <c r="AR18" s="463"/>
      <c r="AS18" s="692"/>
      <c r="AT18" s="462"/>
      <c r="AU18" s="463"/>
      <c r="AV18" s="463"/>
      <c r="AW18" s="692"/>
      <c r="AX18" s="462"/>
      <c r="AY18" s="463"/>
      <c r="AZ18" s="463"/>
      <c r="BA18" s="692"/>
      <c r="BB18" s="128">
        <f t="shared" si="6"/>
        <v>0</v>
      </c>
      <c r="BC18" s="273">
        <f t="shared" si="6"/>
        <v>0</v>
      </c>
      <c r="BD18" s="273">
        <f t="shared" si="6"/>
        <v>0</v>
      </c>
      <c r="BE18" s="273">
        <f t="shared" si="6"/>
        <v>0</v>
      </c>
      <c r="BF18" s="276">
        <f t="shared" si="4"/>
        <v>0</v>
      </c>
      <c r="BG18" s="277">
        <f t="shared" si="4"/>
        <v>0</v>
      </c>
      <c r="BH18" s="277">
        <f t="shared" si="4"/>
        <v>0</v>
      </c>
      <c r="BI18" s="704">
        <f t="shared" si="4"/>
        <v>0</v>
      </c>
    </row>
    <row r="19" spans="3:61" s="28" customFormat="1" ht="20.100000000000001" customHeight="1">
      <c r="C19" s="1879"/>
      <c r="D19" s="944" t="s">
        <v>23</v>
      </c>
      <c r="E19" s="944"/>
      <c r="F19" s="945"/>
      <c r="H19" s="1889"/>
      <c r="I19" s="33" t="s">
        <v>23</v>
      </c>
      <c r="J19" s="462"/>
      <c r="K19" s="463"/>
      <c r="L19" s="463"/>
      <c r="M19" s="692"/>
      <c r="N19" s="462"/>
      <c r="O19" s="463"/>
      <c r="P19" s="463"/>
      <c r="Q19" s="692"/>
      <c r="R19" s="462"/>
      <c r="S19" s="463"/>
      <c r="T19" s="463"/>
      <c r="U19" s="692"/>
      <c r="V19" s="462"/>
      <c r="W19" s="463"/>
      <c r="X19" s="463"/>
      <c r="Y19" s="692"/>
      <c r="Z19" s="462"/>
      <c r="AA19" s="463"/>
      <c r="AB19" s="463"/>
      <c r="AC19" s="692"/>
      <c r="AD19" s="462"/>
      <c r="AE19" s="463"/>
      <c r="AF19" s="463"/>
      <c r="AG19" s="692"/>
      <c r="AH19" s="128">
        <f t="shared" si="5"/>
        <v>0</v>
      </c>
      <c r="AI19" s="273">
        <f t="shared" si="5"/>
        <v>0</v>
      </c>
      <c r="AJ19" s="273">
        <f t="shared" si="5"/>
        <v>0</v>
      </c>
      <c r="AK19" s="694">
        <f t="shared" si="5"/>
        <v>0</v>
      </c>
      <c r="AL19" s="462"/>
      <c r="AM19" s="463"/>
      <c r="AN19" s="463"/>
      <c r="AO19" s="692"/>
      <c r="AP19" s="462"/>
      <c r="AQ19" s="463"/>
      <c r="AR19" s="463"/>
      <c r="AS19" s="692"/>
      <c r="AT19" s="462"/>
      <c r="AU19" s="463"/>
      <c r="AV19" s="463"/>
      <c r="AW19" s="692"/>
      <c r="AX19" s="462"/>
      <c r="AY19" s="463"/>
      <c r="AZ19" s="463"/>
      <c r="BA19" s="692"/>
      <c r="BB19" s="128">
        <f t="shared" si="6"/>
        <v>0</v>
      </c>
      <c r="BC19" s="273">
        <f t="shared" si="6"/>
        <v>0</v>
      </c>
      <c r="BD19" s="273">
        <f t="shared" si="6"/>
        <v>0</v>
      </c>
      <c r="BE19" s="273">
        <f t="shared" si="6"/>
        <v>0</v>
      </c>
      <c r="BF19" s="276">
        <f t="shared" si="4"/>
        <v>0</v>
      </c>
      <c r="BG19" s="277">
        <f t="shared" si="4"/>
        <v>0</v>
      </c>
      <c r="BH19" s="277">
        <f t="shared" si="4"/>
        <v>0</v>
      </c>
      <c r="BI19" s="704">
        <f t="shared" si="4"/>
        <v>0</v>
      </c>
    </row>
    <row r="20" spans="3:61" s="28" customFormat="1" ht="20.100000000000001" customHeight="1">
      <c r="C20" s="1879"/>
      <c r="D20" s="944" t="s">
        <v>22</v>
      </c>
      <c r="E20" s="944"/>
      <c r="F20" s="945"/>
      <c r="H20" s="1889"/>
      <c r="I20" s="33" t="s">
        <v>22</v>
      </c>
      <c r="J20" s="462"/>
      <c r="K20" s="463"/>
      <c r="L20" s="463"/>
      <c r="M20" s="692"/>
      <c r="N20" s="462"/>
      <c r="O20" s="463"/>
      <c r="P20" s="463"/>
      <c r="Q20" s="692"/>
      <c r="R20" s="462"/>
      <c r="S20" s="463"/>
      <c r="T20" s="463"/>
      <c r="U20" s="692"/>
      <c r="V20" s="462"/>
      <c r="W20" s="463"/>
      <c r="X20" s="463"/>
      <c r="Y20" s="692"/>
      <c r="Z20" s="462"/>
      <c r="AA20" s="463"/>
      <c r="AB20" s="463"/>
      <c r="AC20" s="692"/>
      <c r="AD20" s="462"/>
      <c r="AE20" s="463"/>
      <c r="AF20" s="463"/>
      <c r="AG20" s="692"/>
      <c r="AH20" s="128">
        <f t="shared" si="5"/>
        <v>0</v>
      </c>
      <c r="AI20" s="273">
        <f t="shared" si="5"/>
        <v>0</v>
      </c>
      <c r="AJ20" s="273">
        <f t="shared" si="5"/>
        <v>0</v>
      </c>
      <c r="AK20" s="694">
        <f t="shared" si="5"/>
        <v>0</v>
      </c>
      <c r="AL20" s="462"/>
      <c r="AM20" s="463"/>
      <c r="AN20" s="463"/>
      <c r="AO20" s="692"/>
      <c r="AP20" s="462"/>
      <c r="AQ20" s="463"/>
      <c r="AR20" s="463"/>
      <c r="AS20" s="692"/>
      <c r="AT20" s="462"/>
      <c r="AU20" s="463"/>
      <c r="AV20" s="463"/>
      <c r="AW20" s="692"/>
      <c r="AX20" s="462"/>
      <c r="AY20" s="463"/>
      <c r="AZ20" s="463"/>
      <c r="BA20" s="692"/>
      <c r="BB20" s="128">
        <f t="shared" si="6"/>
        <v>0</v>
      </c>
      <c r="BC20" s="273">
        <f t="shared" si="6"/>
        <v>0</v>
      </c>
      <c r="BD20" s="273">
        <f t="shared" si="6"/>
        <v>0</v>
      </c>
      <c r="BE20" s="273">
        <f t="shared" si="6"/>
        <v>0</v>
      </c>
      <c r="BF20" s="276">
        <f t="shared" si="4"/>
        <v>0</v>
      </c>
      <c r="BG20" s="277">
        <f t="shared" si="4"/>
        <v>0</v>
      </c>
      <c r="BH20" s="277">
        <f t="shared" si="4"/>
        <v>0</v>
      </c>
      <c r="BI20" s="704">
        <f t="shared" si="4"/>
        <v>0</v>
      </c>
    </row>
    <row r="21" spans="3:61" s="28" customFormat="1" ht="20.100000000000001" customHeight="1">
      <c r="C21" s="1885"/>
      <c r="D21" s="944"/>
      <c r="E21" s="944"/>
      <c r="F21" s="945"/>
      <c r="H21" s="1889"/>
      <c r="I21" s="33" t="s">
        <v>21</v>
      </c>
      <c r="J21" s="462"/>
      <c r="K21" s="463"/>
      <c r="L21" s="463"/>
      <c r="M21" s="692"/>
      <c r="N21" s="462"/>
      <c r="O21" s="463"/>
      <c r="P21" s="463"/>
      <c r="Q21" s="692"/>
      <c r="R21" s="462"/>
      <c r="S21" s="463"/>
      <c r="T21" s="463"/>
      <c r="U21" s="692"/>
      <c r="V21" s="462"/>
      <c r="W21" s="463"/>
      <c r="X21" s="463"/>
      <c r="Y21" s="692"/>
      <c r="Z21" s="462"/>
      <c r="AA21" s="463"/>
      <c r="AB21" s="463"/>
      <c r="AC21" s="692"/>
      <c r="AD21" s="462"/>
      <c r="AE21" s="463"/>
      <c r="AF21" s="463"/>
      <c r="AG21" s="692"/>
      <c r="AH21" s="128">
        <f t="shared" si="5"/>
        <v>0</v>
      </c>
      <c r="AI21" s="273">
        <f t="shared" si="5"/>
        <v>0</v>
      </c>
      <c r="AJ21" s="273">
        <f t="shared" si="5"/>
        <v>0</v>
      </c>
      <c r="AK21" s="694">
        <f t="shared" si="5"/>
        <v>0</v>
      </c>
      <c r="AL21" s="462"/>
      <c r="AM21" s="463"/>
      <c r="AN21" s="463"/>
      <c r="AO21" s="692"/>
      <c r="AP21" s="462"/>
      <c r="AQ21" s="463"/>
      <c r="AR21" s="463"/>
      <c r="AS21" s="692"/>
      <c r="AT21" s="462"/>
      <c r="AU21" s="463"/>
      <c r="AV21" s="463"/>
      <c r="AW21" s="692"/>
      <c r="AX21" s="462"/>
      <c r="AY21" s="463"/>
      <c r="AZ21" s="463"/>
      <c r="BA21" s="692"/>
      <c r="BB21" s="128">
        <f t="shared" si="6"/>
        <v>0</v>
      </c>
      <c r="BC21" s="273">
        <f t="shared" si="6"/>
        <v>0</v>
      </c>
      <c r="BD21" s="273">
        <f t="shared" si="6"/>
        <v>0</v>
      </c>
      <c r="BE21" s="273">
        <f t="shared" si="6"/>
        <v>0</v>
      </c>
      <c r="BF21" s="276">
        <f t="shared" si="4"/>
        <v>0</v>
      </c>
      <c r="BG21" s="277">
        <f t="shared" si="4"/>
        <v>0</v>
      </c>
      <c r="BH21" s="277">
        <f t="shared" si="4"/>
        <v>0</v>
      </c>
      <c r="BI21" s="704">
        <f t="shared" si="4"/>
        <v>0</v>
      </c>
    </row>
    <row r="22" spans="3:61" s="28" customFormat="1" ht="20.100000000000001" customHeight="1">
      <c r="C22" s="1885"/>
      <c r="D22" s="944"/>
      <c r="E22" s="944"/>
      <c r="F22" s="945"/>
      <c r="H22" s="1889"/>
      <c r="I22" s="33" t="s">
        <v>20</v>
      </c>
      <c r="J22" s="462"/>
      <c r="K22" s="463"/>
      <c r="L22" s="463"/>
      <c r="M22" s="692"/>
      <c r="N22" s="462"/>
      <c r="O22" s="463"/>
      <c r="P22" s="463"/>
      <c r="Q22" s="692"/>
      <c r="R22" s="462"/>
      <c r="S22" s="463"/>
      <c r="T22" s="463"/>
      <c r="U22" s="692"/>
      <c r="V22" s="462"/>
      <c r="W22" s="463"/>
      <c r="X22" s="463"/>
      <c r="Y22" s="692"/>
      <c r="Z22" s="462"/>
      <c r="AA22" s="463"/>
      <c r="AB22" s="463"/>
      <c r="AC22" s="692"/>
      <c r="AD22" s="462"/>
      <c r="AE22" s="463"/>
      <c r="AF22" s="463"/>
      <c r="AG22" s="692"/>
      <c r="AH22" s="128">
        <f t="shared" si="5"/>
        <v>0</v>
      </c>
      <c r="AI22" s="273">
        <f t="shared" si="5"/>
        <v>0</v>
      </c>
      <c r="AJ22" s="273">
        <f t="shared" si="5"/>
        <v>0</v>
      </c>
      <c r="AK22" s="694">
        <f t="shared" si="5"/>
        <v>0</v>
      </c>
      <c r="AL22" s="462"/>
      <c r="AM22" s="463"/>
      <c r="AN22" s="463"/>
      <c r="AO22" s="692"/>
      <c r="AP22" s="462"/>
      <c r="AQ22" s="463"/>
      <c r="AR22" s="463"/>
      <c r="AS22" s="692"/>
      <c r="AT22" s="462"/>
      <c r="AU22" s="463"/>
      <c r="AV22" s="463"/>
      <c r="AW22" s="692"/>
      <c r="AX22" s="462"/>
      <c r="AY22" s="463"/>
      <c r="AZ22" s="463"/>
      <c r="BA22" s="692"/>
      <c r="BB22" s="128">
        <f t="shared" si="6"/>
        <v>0</v>
      </c>
      <c r="BC22" s="273">
        <f t="shared" si="6"/>
        <v>0</v>
      </c>
      <c r="BD22" s="273">
        <f t="shared" si="6"/>
        <v>0</v>
      </c>
      <c r="BE22" s="273">
        <f t="shared" si="6"/>
        <v>0</v>
      </c>
      <c r="BF22" s="276">
        <f t="shared" si="4"/>
        <v>0</v>
      </c>
      <c r="BG22" s="277">
        <f t="shared" si="4"/>
        <v>0</v>
      </c>
      <c r="BH22" s="277">
        <f t="shared" si="4"/>
        <v>0</v>
      </c>
      <c r="BI22" s="704">
        <f t="shared" si="4"/>
        <v>0</v>
      </c>
    </row>
    <row r="23" spans="3:61" s="28" customFormat="1" ht="20.100000000000001" customHeight="1">
      <c r="C23" s="1885"/>
      <c r="D23" s="944"/>
      <c r="E23" s="944"/>
      <c r="F23" s="945"/>
      <c r="H23" s="1889"/>
      <c r="I23" s="33" t="s">
        <v>19</v>
      </c>
      <c r="J23" s="462"/>
      <c r="K23" s="463"/>
      <c r="L23" s="463"/>
      <c r="M23" s="692"/>
      <c r="N23" s="462"/>
      <c r="O23" s="463"/>
      <c r="P23" s="463"/>
      <c r="Q23" s="692"/>
      <c r="R23" s="462"/>
      <c r="S23" s="463"/>
      <c r="T23" s="463"/>
      <c r="U23" s="692"/>
      <c r="V23" s="462"/>
      <c r="W23" s="463"/>
      <c r="X23" s="463"/>
      <c r="Y23" s="692"/>
      <c r="Z23" s="462"/>
      <c r="AA23" s="463"/>
      <c r="AB23" s="463"/>
      <c r="AC23" s="692"/>
      <c r="AD23" s="462"/>
      <c r="AE23" s="463"/>
      <c r="AF23" s="463"/>
      <c r="AG23" s="692"/>
      <c r="AH23" s="128">
        <f t="shared" si="5"/>
        <v>0</v>
      </c>
      <c r="AI23" s="273">
        <f t="shared" si="5"/>
        <v>0</v>
      </c>
      <c r="AJ23" s="273">
        <f t="shared" si="5"/>
        <v>0</v>
      </c>
      <c r="AK23" s="694">
        <f t="shared" si="5"/>
        <v>0</v>
      </c>
      <c r="AL23" s="462"/>
      <c r="AM23" s="463"/>
      <c r="AN23" s="463"/>
      <c r="AO23" s="692"/>
      <c r="AP23" s="462"/>
      <c r="AQ23" s="463"/>
      <c r="AR23" s="463"/>
      <c r="AS23" s="692"/>
      <c r="AT23" s="462"/>
      <c r="AU23" s="463"/>
      <c r="AV23" s="463"/>
      <c r="AW23" s="692"/>
      <c r="AX23" s="462"/>
      <c r="AY23" s="463"/>
      <c r="AZ23" s="463"/>
      <c r="BA23" s="692"/>
      <c r="BB23" s="128">
        <f t="shared" si="6"/>
        <v>0</v>
      </c>
      <c r="BC23" s="273">
        <f t="shared" si="6"/>
        <v>0</v>
      </c>
      <c r="BD23" s="273">
        <f t="shared" si="6"/>
        <v>0</v>
      </c>
      <c r="BE23" s="273">
        <f t="shared" si="6"/>
        <v>0</v>
      </c>
      <c r="BF23" s="276">
        <f t="shared" si="4"/>
        <v>0</v>
      </c>
      <c r="BG23" s="277">
        <f t="shared" si="4"/>
        <v>0</v>
      </c>
      <c r="BH23" s="277">
        <f t="shared" si="4"/>
        <v>0</v>
      </c>
      <c r="BI23" s="704">
        <f t="shared" si="4"/>
        <v>0</v>
      </c>
    </row>
    <row r="24" spans="3:61" s="28" customFormat="1" ht="20.100000000000001" customHeight="1" thickBot="1">
      <c r="C24" s="1885"/>
      <c r="D24" s="944"/>
      <c r="E24" s="944"/>
      <c r="F24" s="945"/>
      <c r="H24" s="1865" t="s">
        <v>116</v>
      </c>
      <c r="I24" s="1866"/>
      <c r="J24" s="118">
        <f t="shared" ref="J24:BI24" si="7">SUM(J15:J23)</f>
        <v>0</v>
      </c>
      <c r="K24" s="272">
        <f t="shared" si="7"/>
        <v>0</v>
      </c>
      <c r="L24" s="272">
        <f>SUM(L15:L23)</f>
        <v>0</v>
      </c>
      <c r="M24" s="272">
        <f>SUM(M15:M23)</f>
        <v>0</v>
      </c>
      <c r="N24" s="118">
        <f t="shared" ref="N24:AI24" si="8">SUM(N15:N23)</f>
        <v>0</v>
      </c>
      <c r="O24" s="272">
        <f t="shared" si="8"/>
        <v>0</v>
      </c>
      <c r="P24" s="272">
        <f t="shared" si="8"/>
        <v>0</v>
      </c>
      <c r="Q24" s="272">
        <f t="shared" si="8"/>
        <v>0</v>
      </c>
      <c r="R24" s="118">
        <f t="shared" si="8"/>
        <v>0</v>
      </c>
      <c r="S24" s="272">
        <f t="shared" si="8"/>
        <v>0</v>
      </c>
      <c r="T24" s="272">
        <f t="shared" si="8"/>
        <v>0</v>
      </c>
      <c r="U24" s="272">
        <f t="shared" si="8"/>
        <v>0</v>
      </c>
      <c r="V24" s="118">
        <f t="shared" si="8"/>
        <v>0</v>
      </c>
      <c r="W24" s="272">
        <f t="shared" si="8"/>
        <v>0</v>
      </c>
      <c r="X24" s="272">
        <f t="shared" si="8"/>
        <v>0</v>
      </c>
      <c r="Y24" s="272">
        <f t="shared" si="8"/>
        <v>0</v>
      </c>
      <c r="Z24" s="118">
        <f t="shared" si="8"/>
        <v>0</v>
      </c>
      <c r="AA24" s="272">
        <f t="shared" si="8"/>
        <v>0</v>
      </c>
      <c r="AB24" s="272">
        <f t="shared" si="8"/>
        <v>0</v>
      </c>
      <c r="AC24" s="272">
        <f t="shared" si="8"/>
        <v>0</v>
      </c>
      <c r="AD24" s="118">
        <f t="shared" si="8"/>
        <v>0</v>
      </c>
      <c r="AE24" s="272">
        <f t="shared" si="8"/>
        <v>0</v>
      </c>
      <c r="AF24" s="272">
        <f t="shared" si="8"/>
        <v>0</v>
      </c>
      <c r="AG24" s="272">
        <f t="shared" si="8"/>
        <v>0</v>
      </c>
      <c r="AH24" s="118">
        <f t="shared" si="8"/>
        <v>0</v>
      </c>
      <c r="AI24" s="272">
        <f t="shared" si="8"/>
        <v>0</v>
      </c>
      <c r="AJ24" s="272">
        <f>SUM(AJ15:AJ23)</f>
        <v>0</v>
      </c>
      <c r="AK24" s="695">
        <f>SUM(AK15:AK23)</f>
        <v>0</v>
      </c>
      <c r="AL24" s="118">
        <f t="shared" ref="AL24:BC24" si="9">SUM(AL15:AL23)</f>
        <v>0</v>
      </c>
      <c r="AM24" s="272">
        <f t="shared" si="9"/>
        <v>0</v>
      </c>
      <c r="AN24" s="272">
        <f t="shared" si="9"/>
        <v>0</v>
      </c>
      <c r="AO24" s="272">
        <f t="shared" si="9"/>
        <v>0</v>
      </c>
      <c r="AP24" s="118">
        <f t="shared" si="9"/>
        <v>0</v>
      </c>
      <c r="AQ24" s="272">
        <f t="shared" si="9"/>
        <v>0</v>
      </c>
      <c r="AR24" s="272">
        <f t="shared" si="9"/>
        <v>0</v>
      </c>
      <c r="AS24" s="272">
        <f t="shared" si="9"/>
        <v>0</v>
      </c>
      <c r="AT24" s="118">
        <f t="shared" si="9"/>
        <v>0</v>
      </c>
      <c r="AU24" s="272">
        <f t="shared" si="9"/>
        <v>0</v>
      </c>
      <c r="AV24" s="272">
        <f t="shared" si="9"/>
        <v>0</v>
      </c>
      <c r="AW24" s="272">
        <f t="shared" si="9"/>
        <v>0</v>
      </c>
      <c r="AX24" s="118">
        <f t="shared" si="9"/>
        <v>0</v>
      </c>
      <c r="AY24" s="272">
        <f t="shared" si="9"/>
        <v>0</v>
      </c>
      <c r="AZ24" s="272">
        <f t="shared" si="9"/>
        <v>0</v>
      </c>
      <c r="BA24" s="272">
        <f t="shared" si="9"/>
        <v>0</v>
      </c>
      <c r="BB24" s="118">
        <f t="shared" si="9"/>
        <v>0</v>
      </c>
      <c r="BC24" s="272">
        <f t="shared" si="9"/>
        <v>0</v>
      </c>
      <c r="BD24" s="272">
        <f>SUM(BD15:BD23)</f>
        <v>0</v>
      </c>
      <c r="BE24" s="272">
        <f>SUM(BE15:BE23)</f>
        <v>0</v>
      </c>
      <c r="BF24" s="278">
        <f t="shared" si="7"/>
        <v>0</v>
      </c>
      <c r="BG24" s="279">
        <f t="shared" si="7"/>
        <v>0</v>
      </c>
      <c r="BH24" s="279">
        <f t="shared" si="7"/>
        <v>0</v>
      </c>
      <c r="BI24" s="705">
        <f t="shared" si="7"/>
        <v>0</v>
      </c>
    </row>
    <row r="25" spans="3:61" s="119" customFormat="1" ht="9" customHeight="1" thickBot="1">
      <c r="C25" s="121"/>
      <c r="D25" s="121"/>
      <c r="E25" s="121"/>
      <c r="F25" s="121"/>
      <c r="H25" s="122"/>
      <c r="I25" s="122"/>
      <c r="J25" s="125"/>
      <c r="K25" s="126"/>
      <c r="L25" s="126"/>
      <c r="M25" s="126"/>
      <c r="N25" s="125"/>
      <c r="O25" s="126"/>
      <c r="P25" s="126"/>
      <c r="Q25" s="126"/>
      <c r="R25" s="125"/>
      <c r="S25" s="126"/>
      <c r="T25" s="126"/>
      <c r="U25" s="126"/>
      <c r="V25" s="125"/>
      <c r="W25" s="126"/>
      <c r="X25" s="126"/>
      <c r="Y25" s="126"/>
      <c r="Z25" s="125"/>
      <c r="AA25" s="126"/>
      <c r="AB25" s="126"/>
      <c r="AC25" s="126"/>
      <c r="AD25" s="125"/>
      <c r="AE25" s="126"/>
      <c r="AF25" s="126"/>
      <c r="AG25" s="126"/>
      <c r="AH25" s="125"/>
      <c r="AI25" s="126"/>
      <c r="AJ25" s="126"/>
      <c r="AK25" s="126"/>
      <c r="AL25" s="125"/>
      <c r="AM25" s="126"/>
      <c r="AN25" s="126"/>
      <c r="AO25" s="126"/>
      <c r="AP25" s="125"/>
      <c r="AQ25" s="126"/>
      <c r="AR25" s="126"/>
      <c r="AS25" s="126"/>
      <c r="AT25" s="125"/>
      <c r="AU25" s="126"/>
      <c r="AV25" s="126"/>
      <c r="AW25" s="126"/>
      <c r="AX25" s="125"/>
      <c r="AY25" s="126"/>
      <c r="AZ25" s="126"/>
      <c r="BA25" s="126"/>
      <c r="BB25" s="125"/>
      <c r="BC25" s="126"/>
      <c r="BD25" s="126"/>
      <c r="BE25" s="126"/>
      <c r="BF25" s="125"/>
      <c r="BG25" s="126"/>
    </row>
    <row r="26" spans="3:61" s="28" customFormat="1" ht="26.25" customHeight="1" thickBot="1">
      <c r="D26" s="29"/>
      <c r="E26" s="29"/>
      <c r="F26" s="29"/>
      <c r="H26" s="1893" t="s">
        <v>49</v>
      </c>
      <c r="I26" s="1894"/>
      <c r="J26" s="123">
        <f t="shared" ref="J26:BI26" si="10">J10+J24</f>
        <v>0</v>
      </c>
      <c r="K26" s="280">
        <f t="shared" si="10"/>
        <v>0</v>
      </c>
      <c r="L26" s="280">
        <f>L10+L24</f>
        <v>0</v>
      </c>
      <c r="M26" s="280">
        <f>M10+M24</f>
        <v>66.400000000000006</v>
      </c>
      <c r="N26" s="123">
        <f t="shared" ref="N26:O26" si="11">N10+N24</f>
        <v>0</v>
      </c>
      <c r="O26" s="280">
        <f t="shared" si="11"/>
        <v>0</v>
      </c>
      <c r="P26" s="280">
        <f>P10+P24</f>
        <v>0</v>
      </c>
      <c r="Q26" s="280">
        <f>Q10+Q24</f>
        <v>0</v>
      </c>
      <c r="R26" s="123">
        <f t="shared" ref="R26:S26" si="12">R10+R24</f>
        <v>0</v>
      </c>
      <c r="S26" s="280">
        <f t="shared" si="12"/>
        <v>0</v>
      </c>
      <c r="T26" s="280">
        <f>T10+T24</f>
        <v>0</v>
      </c>
      <c r="U26" s="280">
        <f>U10+U24</f>
        <v>0</v>
      </c>
      <c r="V26" s="123">
        <f t="shared" ref="V26:W26" si="13">V10+V24</f>
        <v>0</v>
      </c>
      <c r="W26" s="280">
        <f t="shared" si="13"/>
        <v>0</v>
      </c>
      <c r="X26" s="280">
        <f>X10+X24</f>
        <v>0</v>
      </c>
      <c r="Y26" s="280">
        <f>Y10+Y24</f>
        <v>0</v>
      </c>
      <c r="Z26" s="123">
        <f t="shared" ref="Z26:AA26" si="14">Z10+Z24</f>
        <v>0</v>
      </c>
      <c r="AA26" s="280">
        <f t="shared" si="14"/>
        <v>0</v>
      </c>
      <c r="AB26" s="280">
        <f>AB10+AB24</f>
        <v>0</v>
      </c>
      <c r="AC26" s="280">
        <f>AC10+AC24</f>
        <v>0</v>
      </c>
      <c r="AD26" s="123">
        <f t="shared" ref="AD26:AE26" si="15">AD10+AD24</f>
        <v>0</v>
      </c>
      <c r="AE26" s="280">
        <f t="shared" si="15"/>
        <v>0</v>
      </c>
      <c r="AF26" s="280">
        <f>AF10+AF24</f>
        <v>0</v>
      </c>
      <c r="AG26" s="280">
        <f>AG10+AG24</f>
        <v>0</v>
      </c>
      <c r="AH26" s="127">
        <f t="shared" ref="AH26:AI26" si="16">AH10+AH24</f>
        <v>0</v>
      </c>
      <c r="AI26" s="280">
        <f t="shared" si="16"/>
        <v>0</v>
      </c>
      <c r="AJ26" s="697">
        <f>AJ10+AJ24</f>
        <v>0</v>
      </c>
      <c r="AK26" s="696">
        <f>AK10+AK24</f>
        <v>66.400000000000006</v>
      </c>
      <c r="AL26" s="123">
        <f t="shared" ref="AL26:AM26" si="17">AL10+AL24</f>
        <v>0</v>
      </c>
      <c r="AM26" s="280">
        <f t="shared" si="17"/>
        <v>0</v>
      </c>
      <c r="AN26" s="280">
        <f>AN10+AN24</f>
        <v>0</v>
      </c>
      <c r="AO26" s="280">
        <f>AO10+AO24</f>
        <v>0</v>
      </c>
      <c r="AP26" s="123">
        <f t="shared" ref="AP26:AQ26" si="18">AP10+AP24</f>
        <v>0</v>
      </c>
      <c r="AQ26" s="280">
        <f t="shared" si="18"/>
        <v>0</v>
      </c>
      <c r="AR26" s="280">
        <f>AR10+AR24</f>
        <v>0</v>
      </c>
      <c r="AS26" s="280">
        <f>AS10+AS24</f>
        <v>0</v>
      </c>
      <c r="AT26" s="123">
        <f t="shared" ref="AT26:AU26" si="19">AT10+AT24</f>
        <v>0</v>
      </c>
      <c r="AU26" s="280">
        <f t="shared" si="19"/>
        <v>5</v>
      </c>
      <c r="AV26" s="280">
        <f>AV10+AV24</f>
        <v>5</v>
      </c>
      <c r="AW26" s="280">
        <f>AW10+AW24</f>
        <v>0</v>
      </c>
      <c r="AX26" s="123">
        <f t="shared" ref="AX26:AY26" si="20">AX10+AX24</f>
        <v>0</v>
      </c>
      <c r="AY26" s="280">
        <f t="shared" si="20"/>
        <v>0</v>
      </c>
      <c r="AZ26" s="280">
        <f>AZ10+AZ24</f>
        <v>0</v>
      </c>
      <c r="BA26" s="280">
        <f>BA10+BA24</f>
        <v>8</v>
      </c>
      <c r="BB26" s="127">
        <f t="shared" ref="BB26:BC26" si="21">BB10+BB24</f>
        <v>0</v>
      </c>
      <c r="BC26" s="280">
        <f t="shared" si="21"/>
        <v>5</v>
      </c>
      <c r="BD26" s="697">
        <f>BD10+BD24</f>
        <v>5</v>
      </c>
      <c r="BE26" s="697">
        <f>BE10+BE24</f>
        <v>8</v>
      </c>
      <c r="BF26" s="124">
        <f>BF10+BF24</f>
        <v>0</v>
      </c>
      <c r="BG26" s="707">
        <f t="shared" si="10"/>
        <v>5</v>
      </c>
      <c r="BH26" s="706">
        <f t="shared" si="10"/>
        <v>5</v>
      </c>
      <c r="BI26" s="284">
        <f t="shared" si="10"/>
        <v>74.400000000000006</v>
      </c>
    </row>
    <row r="27" spans="3:61" ht="21" customHeight="1">
      <c r="I27" s="320"/>
      <c r="J27" s="321"/>
      <c r="K27" s="321"/>
      <c r="L27" s="321">
        <f>23.4+5</f>
        <v>28.4</v>
      </c>
      <c r="M27" s="321" t="s">
        <v>26</v>
      </c>
      <c r="N27" s="321"/>
      <c r="O27" s="321"/>
      <c r="P27" s="321"/>
      <c r="Q27" s="321"/>
      <c r="R27" s="321"/>
      <c r="S27" s="321"/>
      <c r="T27" s="321"/>
      <c r="U27" s="321"/>
      <c r="V27" s="321"/>
      <c r="W27" s="321"/>
      <c r="X27" s="323"/>
      <c r="Y27" s="323"/>
      <c r="Z27" s="321"/>
      <c r="AA27" s="321"/>
      <c r="AB27" s="323"/>
      <c r="AC27" s="323"/>
      <c r="AD27" s="321"/>
      <c r="AE27" s="321"/>
      <c r="AF27" s="321"/>
      <c r="AG27" s="321"/>
      <c r="AH27" s="321"/>
      <c r="AI27" s="321"/>
      <c r="AJ27" s="321"/>
      <c r="AK27" s="321"/>
      <c r="AL27" s="321"/>
      <c r="AM27" s="321"/>
      <c r="AN27" s="321"/>
      <c r="AO27" s="321"/>
      <c r="AP27" s="321"/>
      <c r="AQ27" s="321"/>
      <c r="AR27" s="1414"/>
      <c r="AS27" s="1414"/>
      <c r="AT27" s="321"/>
      <c r="AU27" s="321"/>
      <c r="AV27" s="321"/>
      <c r="AW27" s="321"/>
      <c r="AX27" s="321"/>
      <c r="AY27" s="321"/>
      <c r="AZ27" s="321">
        <v>8</v>
      </c>
      <c r="BA27" s="321" t="s">
        <v>26</v>
      </c>
      <c r="BB27" s="335"/>
      <c r="BC27" s="1918">
        <f>SUM(I27:AZ29)</f>
        <v>74.400000000000006</v>
      </c>
      <c r="BD27" s="335"/>
      <c r="BE27" s="335"/>
      <c r="BF27" s="335"/>
      <c r="BG27" s="335"/>
      <c r="BH27" s="1917">
        <f>BH26+BI26</f>
        <v>79.400000000000006</v>
      </c>
      <c r="BI27" s="1917"/>
    </row>
    <row r="28" spans="3:61" ht="21" customHeight="1">
      <c r="I28" s="320"/>
      <c r="J28" s="322"/>
      <c r="K28" s="323"/>
      <c r="L28" s="323">
        <v>38</v>
      </c>
      <c r="M28" s="323" t="s">
        <v>25</v>
      </c>
      <c r="N28" s="322"/>
      <c r="O28" s="323"/>
      <c r="P28" s="323"/>
      <c r="Q28" s="323"/>
      <c r="R28" s="322"/>
      <c r="S28" s="323"/>
      <c r="T28" s="323"/>
      <c r="U28" s="323"/>
      <c r="V28" s="321"/>
      <c r="W28" s="323"/>
      <c r="X28" s="323"/>
      <c r="Y28" s="323"/>
      <c r="Z28" s="322"/>
      <c r="AA28" s="323"/>
      <c r="AB28" s="323"/>
      <c r="AC28" s="323"/>
      <c r="AD28" s="322"/>
      <c r="AE28" s="323"/>
      <c r="AF28" s="323"/>
      <c r="AG28" s="322"/>
      <c r="AH28" s="322"/>
      <c r="AI28" s="323"/>
      <c r="AJ28" s="323"/>
      <c r="AK28" s="323"/>
      <c r="AL28" s="321"/>
      <c r="AM28" s="323"/>
      <c r="AN28" s="622"/>
      <c r="AO28" s="622"/>
      <c r="AP28" s="321"/>
      <c r="AQ28" s="323"/>
      <c r="AR28" s="323"/>
      <c r="AS28" s="323"/>
      <c r="AT28" s="322"/>
      <c r="AU28" s="323"/>
      <c r="AV28" s="323"/>
      <c r="AW28" s="323"/>
      <c r="AX28" s="322"/>
      <c r="AY28" s="468"/>
      <c r="AZ28" s="468"/>
      <c r="BA28" s="468"/>
      <c r="BB28" s="392"/>
      <c r="BC28" s="1919"/>
      <c r="BD28" s="434"/>
      <c r="BE28" s="434"/>
      <c r="BF28" s="435"/>
      <c r="BG28" s="434"/>
      <c r="BH28" s="726"/>
      <c r="BI28" s="434"/>
    </row>
    <row r="29" spans="3:61" ht="23.25">
      <c r="I29" s="320"/>
      <c r="J29" s="322"/>
      <c r="K29" s="323"/>
      <c r="L29" s="323"/>
      <c r="M29" s="323"/>
      <c r="N29" s="322"/>
      <c r="O29" s="323"/>
      <c r="P29" s="323"/>
      <c r="Q29" s="323"/>
      <c r="R29" s="322"/>
      <c r="S29" s="323"/>
      <c r="T29" s="323"/>
      <c r="U29" s="323"/>
      <c r="V29" s="322"/>
      <c r="W29" s="323"/>
      <c r="X29" s="323"/>
      <c r="Y29" s="323"/>
      <c r="Z29" s="322"/>
      <c r="AA29" s="323"/>
      <c r="AB29" s="323"/>
      <c r="AC29" s="323"/>
      <c r="AD29" s="322"/>
      <c r="AE29" s="323"/>
      <c r="AF29" s="688"/>
      <c r="AG29" s="688"/>
      <c r="AH29" s="322"/>
      <c r="AI29" s="322"/>
      <c r="AJ29" s="323"/>
      <c r="AK29" s="323"/>
      <c r="AL29" s="321"/>
      <c r="AM29" s="323"/>
      <c r="AN29" s="321"/>
      <c r="AO29" s="321"/>
      <c r="AP29" s="322"/>
      <c r="AQ29" s="323"/>
      <c r="AR29" s="323"/>
      <c r="AS29" s="323"/>
      <c r="AT29" s="322"/>
      <c r="AU29" s="323"/>
      <c r="AV29" s="323"/>
      <c r="AW29" s="323"/>
      <c r="AX29" s="322"/>
      <c r="AY29" s="468"/>
      <c r="AZ29" s="468"/>
      <c r="BA29" s="468"/>
      <c r="BB29" s="392"/>
      <c r="BC29" s="434"/>
      <c r="BD29" s="434"/>
      <c r="BE29" s="434"/>
      <c r="BF29" s="435"/>
      <c r="BG29" s="434"/>
      <c r="BH29" s="682"/>
      <c r="BI29" s="434"/>
    </row>
    <row r="30" spans="3:61" s="464" customFormat="1" ht="21.75" thickBot="1">
      <c r="D30" s="576"/>
      <c r="E30" s="576"/>
      <c r="F30" s="576"/>
      <c r="I30" s="577"/>
      <c r="J30" s="578"/>
      <c r="K30" s="579"/>
      <c r="L30" s="579"/>
      <c r="M30" s="579"/>
      <c r="N30" s="578"/>
      <c r="O30" s="579"/>
      <c r="P30" s="579"/>
      <c r="Q30" s="579"/>
      <c r="R30" s="578"/>
      <c r="S30" s="579"/>
      <c r="T30" s="579"/>
      <c r="U30" s="579"/>
      <c r="V30" s="578"/>
      <c r="W30" s="578"/>
      <c r="X30" s="579"/>
      <c r="Y30" s="579"/>
      <c r="Z30" s="579"/>
      <c r="AA30" s="578"/>
      <c r="AB30" s="579"/>
      <c r="AC30" s="579"/>
      <c r="AD30" s="579"/>
      <c r="AE30" s="578"/>
      <c r="AF30" s="579"/>
      <c r="AG30" s="579"/>
      <c r="AH30" s="621"/>
      <c r="AI30" s="578"/>
      <c r="AJ30" s="579"/>
      <c r="AK30" s="579"/>
      <c r="AM30" s="580"/>
      <c r="AN30" s="579"/>
      <c r="AO30" s="579"/>
      <c r="AP30" s="579"/>
      <c r="AQ30" s="578"/>
      <c r="AR30" s="579"/>
      <c r="AS30" s="579"/>
      <c r="AT30" s="579"/>
      <c r="AU30" s="578"/>
      <c r="AV30" s="579"/>
      <c r="AW30" s="579"/>
      <c r="AZ30" s="581"/>
      <c r="BA30" s="581"/>
      <c r="BB30" s="581"/>
      <c r="BC30" s="582"/>
      <c r="BD30" s="583"/>
      <c r="BE30" s="583"/>
      <c r="BF30" s="583"/>
      <c r="BG30" s="584"/>
      <c r="BH30" s="583"/>
      <c r="BI30" s="585"/>
    </row>
    <row r="31" spans="3:61" ht="35.25" customHeight="1" thickBot="1">
      <c r="L31" s="1951" t="s">
        <v>352</v>
      </c>
      <c r="M31" s="1952"/>
      <c r="N31" s="1952"/>
      <c r="O31" s="1952"/>
      <c r="P31" s="1952"/>
      <c r="Q31" s="1952"/>
      <c r="R31" s="1952"/>
      <c r="S31" s="1953"/>
      <c r="T31" s="579"/>
      <c r="U31" s="579"/>
      <c r="V31" s="1929" t="s">
        <v>204</v>
      </c>
      <c r="W31" s="1930"/>
      <c r="X31" s="1930"/>
      <c r="Y31" s="1930"/>
      <c r="Z31" s="1930"/>
      <c r="AA31" s="1930"/>
      <c r="AB31" s="1930"/>
      <c r="AC31" s="1935"/>
      <c r="AD31" s="1936"/>
      <c r="AE31" s="579"/>
      <c r="AF31" s="579"/>
      <c r="AG31" s="26"/>
      <c r="AH31" s="24"/>
      <c r="AJ31" s="685"/>
      <c r="AL31" s="24"/>
      <c r="AM31" s="599"/>
      <c r="AN31" s="599"/>
      <c r="AP31" s="24"/>
      <c r="AS31" s="26"/>
      <c r="AT31" s="24"/>
      <c r="AX31" s="24"/>
      <c r="AY31" s="25"/>
      <c r="AZ31" s="25"/>
      <c r="BA31" s="24"/>
      <c r="BB31" s="24"/>
      <c r="BE31" s="23"/>
      <c r="BF31" s="23"/>
      <c r="BG31" s="23"/>
    </row>
    <row r="32" spans="3:61" s="24" customFormat="1" ht="28.5" customHeight="1" thickBot="1">
      <c r="C32" s="23"/>
      <c r="D32" s="27"/>
      <c r="E32" s="27"/>
      <c r="F32" s="27"/>
      <c r="G32" s="23"/>
      <c r="H32" s="23"/>
      <c r="I32" s="27"/>
      <c r="L32" s="450" t="s">
        <v>0</v>
      </c>
      <c r="M32" s="439" t="s">
        <v>200</v>
      </c>
      <c r="N32" s="454" t="s">
        <v>205</v>
      </c>
      <c r="O32" s="439" t="s">
        <v>31</v>
      </c>
      <c r="P32" s="448" t="s">
        <v>201</v>
      </c>
      <c r="Q32" s="455" t="s">
        <v>206</v>
      </c>
      <c r="R32" s="436" t="s">
        <v>22</v>
      </c>
      <c r="S32" s="438" t="s">
        <v>191</v>
      </c>
      <c r="T32" s="579"/>
      <c r="U32" s="579"/>
      <c r="V32" s="571" t="s">
        <v>0</v>
      </c>
      <c r="W32" s="572" t="s">
        <v>200</v>
      </c>
      <c r="X32" s="623" t="s">
        <v>205</v>
      </c>
      <c r="Y32" s="572" t="s">
        <v>31</v>
      </c>
      <c r="Z32" s="573" t="s">
        <v>201</v>
      </c>
      <c r="AA32" s="574" t="s">
        <v>206</v>
      </c>
      <c r="AB32" s="717" t="s">
        <v>22</v>
      </c>
      <c r="AC32" s="721" t="s">
        <v>191</v>
      </c>
      <c r="AD32" s="722" t="s">
        <v>226</v>
      </c>
      <c r="AE32" s="579"/>
      <c r="AF32" s="579"/>
      <c r="AG32" s="599"/>
      <c r="AH32" s="599"/>
      <c r="AI32" s="599"/>
      <c r="AN32" s="26"/>
      <c r="AT32" s="25"/>
      <c r="AU32" s="25"/>
      <c r="AW32" s="23"/>
      <c r="AX32" s="23"/>
    </row>
    <row r="33" spans="1:59" ht="23.25">
      <c r="L33" s="441" t="s">
        <v>189</v>
      </c>
      <c r="M33" s="470">
        <f>$J$6</f>
        <v>0</v>
      </c>
      <c r="N33" s="430">
        <f>$J9</f>
        <v>0</v>
      </c>
      <c r="O33" s="430">
        <f>$J7</f>
        <v>0</v>
      </c>
      <c r="P33" s="430">
        <f>$J8</f>
        <v>0</v>
      </c>
      <c r="Q33" s="430">
        <f>J15+J16+J17+J18+J19+J21+J22+J23</f>
        <v>0</v>
      </c>
      <c r="R33" s="430">
        <f>$J20</f>
        <v>0</v>
      </c>
      <c r="S33" s="446">
        <f t="shared" ref="S33:S42" si="22">SUM(M33:R33)</f>
        <v>0</v>
      </c>
      <c r="T33" s="579"/>
      <c r="U33" s="579"/>
      <c r="V33" s="447" t="s">
        <v>189</v>
      </c>
      <c r="W33" s="569">
        <f>L$6</f>
        <v>0</v>
      </c>
      <c r="X33" s="570">
        <f>$L9</f>
        <v>0</v>
      </c>
      <c r="Y33" s="570">
        <f>$L7</f>
        <v>0</v>
      </c>
      <c r="Z33" s="570">
        <f>$L8</f>
        <v>0</v>
      </c>
      <c r="AA33" s="570">
        <f>L$15+L$16+L$17+L$18+L$19+L$21+L$22+L$23</f>
        <v>0</v>
      </c>
      <c r="AB33" s="718">
        <f>$L20</f>
        <v>0</v>
      </c>
      <c r="AC33" s="723">
        <f t="shared" ref="AC33:AC42" si="23">SUM(W33:AB33)</f>
        <v>0</v>
      </c>
      <c r="AD33" s="587">
        <f>M6+M7+M8++M9+M15+M16+M17+M18+M19+M21+M20+M22+M23</f>
        <v>66.400000000000006</v>
      </c>
      <c r="AE33" s="579"/>
      <c r="AF33" s="579"/>
      <c r="AG33" s="599"/>
      <c r="AH33" s="599"/>
      <c r="AI33" s="599"/>
      <c r="AL33" s="24"/>
      <c r="AN33" s="26"/>
      <c r="AP33" s="24"/>
      <c r="AT33" s="25"/>
      <c r="AU33" s="25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</row>
    <row r="34" spans="1:59" s="24" customFormat="1" ht="23.25">
      <c r="A34" s="23"/>
      <c r="B34" s="23"/>
      <c r="C34" s="23"/>
      <c r="D34" s="27"/>
      <c r="E34" s="27"/>
      <c r="F34" s="27"/>
      <c r="G34" s="23"/>
      <c r="H34" s="23"/>
      <c r="I34" s="27"/>
      <c r="L34" s="441" t="s">
        <v>183</v>
      </c>
      <c r="M34" s="470">
        <f>$N$6</f>
        <v>0</v>
      </c>
      <c r="N34" s="430">
        <f>$N9</f>
        <v>0</v>
      </c>
      <c r="O34" s="430">
        <f>$N7</f>
        <v>0</v>
      </c>
      <c r="P34" s="430">
        <f>$N8</f>
        <v>0</v>
      </c>
      <c r="Q34" s="430">
        <f>N15+N16+N17+N18+N19+N21+N22+N23</f>
        <v>0</v>
      </c>
      <c r="R34" s="430">
        <f>$N20</f>
        <v>0</v>
      </c>
      <c r="S34" s="446">
        <f t="shared" si="22"/>
        <v>0</v>
      </c>
      <c r="T34" s="686"/>
      <c r="U34" s="26"/>
      <c r="V34" s="441" t="s">
        <v>183</v>
      </c>
      <c r="W34" s="440">
        <f>P$6</f>
        <v>0</v>
      </c>
      <c r="X34" s="430">
        <f>$P9</f>
        <v>0</v>
      </c>
      <c r="Y34" s="430">
        <f>$P7</f>
        <v>0</v>
      </c>
      <c r="Z34" s="430">
        <f>$P8</f>
        <v>0</v>
      </c>
      <c r="AA34" s="430">
        <f>P$15+P$16+P$17+P$18+P$19+P$21+P$22+P$23</f>
        <v>0</v>
      </c>
      <c r="AB34" s="719">
        <f>$P20</f>
        <v>0</v>
      </c>
      <c r="AC34" s="723">
        <f t="shared" si="23"/>
        <v>0</v>
      </c>
      <c r="AD34" s="587">
        <f>Q6+Q7+Q8+Q9+Q15+Q16+Q17+Q18+Q19+Q20+Q21+Q22+Q23</f>
        <v>0</v>
      </c>
      <c r="AG34" s="599"/>
      <c r="AH34" s="599"/>
      <c r="AI34" s="599"/>
      <c r="AN34" s="26"/>
      <c r="AT34" s="25"/>
      <c r="AU34" s="25"/>
    </row>
    <row r="35" spans="1:59" ht="23.25">
      <c r="L35" s="441" t="s">
        <v>184</v>
      </c>
      <c r="M35" s="470">
        <f>$R$6</f>
        <v>0</v>
      </c>
      <c r="N35" s="430">
        <f>$R9</f>
        <v>0</v>
      </c>
      <c r="O35" s="430">
        <f>$R7</f>
        <v>0</v>
      </c>
      <c r="P35" s="430">
        <f>$R8</f>
        <v>0</v>
      </c>
      <c r="Q35" s="430">
        <f>R15+R16+R17+R18+R19+R21+R22+R23</f>
        <v>0</v>
      </c>
      <c r="R35" s="430">
        <f>$R20</f>
        <v>0</v>
      </c>
      <c r="S35" s="446">
        <f t="shared" si="22"/>
        <v>0</v>
      </c>
      <c r="T35" s="686"/>
      <c r="U35" s="26"/>
      <c r="V35" s="441" t="s">
        <v>184</v>
      </c>
      <c r="W35" s="440">
        <f>T$6</f>
        <v>0</v>
      </c>
      <c r="X35" s="430">
        <f>$T9</f>
        <v>0</v>
      </c>
      <c r="Y35" s="430">
        <f>$T7</f>
        <v>0</v>
      </c>
      <c r="Z35" s="430">
        <f>$T8</f>
        <v>0</v>
      </c>
      <c r="AA35" s="430">
        <f>T$15+T$16+T$17+T$18+T$19+T$21+T$22+T$23</f>
        <v>0</v>
      </c>
      <c r="AB35" s="719">
        <f>$T20</f>
        <v>0</v>
      </c>
      <c r="AC35" s="723">
        <f t="shared" si="23"/>
        <v>0</v>
      </c>
      <c r="AD35" s="587">
        <f>U6+U7+U8+U9+U15+U16+U17+U18+U19+U20+U21+U22+U23</f>
        <v>0</v>
      </c>
      <c r="AE35" s="26"/>
      <c r="AF35" s="26"/>
      <c r="AG35" s="599"/>
      <c r="AH35" s="599"/>
      <c r="AI35" s="599"/>
      <c r="AL35" s="24"/>
      <c r="AN35" s="26"/>
      <c r="AP35" s="24"/>
      <c r="AT35" s="25"/>
      <c r="AU35" s="25"/>
      <c r="AX35" s="23"/>
      <c r="AY35" s="23"/>
      <c r="AZ35" s="23"/>
      <c r="BA35" s="23"/>
      <c r="BB35" s="23"/>
      <c r="BC35" s="23"/>
      <c r="BD35" s="23"/>
      <c r="BE35" s="23"/>
      <c r="BF35" s="23"/>
      <c r="BG35" s="23"/>
    </row>
    <row r="36" spans="1:59" ht="23.25">
      <c r="L36" s="441" t="s">
        <v>170</v>
      </c>
      <c r="M36" s="470">
        <f>$V$6</f>
        <v>0</v>
      </c>
      <c r="N36" s="430">
        <f>$V9</f>
        <v>0</v>
      </c>
      <c r="O36" s="430">
        <f>$V7</f>
        <v>0</v>
      </c>
      <c r="P36" s="430">
        <f>$V8</f>
        <v>0</v>
      </c>
      <c r="Q36" s="430">
        <f>V15+V16+V17+V18+V19+V21++V22+V23</f>
        <v>0</v>
      </c>
      <c r="R36" s="430">
        <f>$V20</f>
        <v>0</v>
      </c>
      <c r="S36" s="446">
        <f t="shared" si="22"/>
        <v>0</v>
      </c>
      <c r="T36" s="686"/>
      <c r="U36" s="26"/>
      <c r="V36" s="441" t="s">
        <v>170</v>
      </c>
      <c r="W36" s="440">
        <f>X$6</f>
        <v>0</v>
      </c>
      <c r="X36" s="430">
        <f>$X9</f>
        <v>0</v>
      </c>
      <c r="Y36" s="430">
        <f>$X7</f>
        <v>0</v>
      </c>
      <c r="Z36" s="430">
        <f>$X8</f>
        <v>0</v>
      </c>
      <c r="AA36" s="430">
        <f>X$15+X$16+X$17+X$18+X$19+X$21+X$22+X$23</f>
        <v>0</v>
      </c>
      <c r="AB36" s="719">
        <f>$X20</f>
        <v>0</v>
      </c>
      <c r="AC36" s="723">
        <f t="shared" si="23"/>
        <v>0</v>
      </c>
      <c r="AD36" s="587">
        <f>Y6+Y7+Y8+Y9+Y15+Y16+Y17+Y18+Y19+Y20+Y21+Y22+Y23</f>
        <v>0</v>
      </c>
      <c r="AE36" s="26"/>
      <c r="AF36" s="26"/>
      <c r="AG36" s="599"/>
      <c r="AH36" s="599"/>
      <c r="AI36" s="599"/>
      <c r="AL36" s="24"/>
      <c r="AN36" s="26"/>
      <c r="AP36" s="24"/>
      <c r="AT36" s="25"/>
      <c r="AU36" s="25"/>
      <c r="AX36" s="23"/>
      <c r="AY36" s="23"/>
      <c r="AZ36" s="23"/>
      <c r="BA36" s="23"/>
      <c r="BB36" s="23"/>
      <c r="BC36" s="23"/>
      <c r="BD36" s="23"/>
      <c r="BE36" s="23"/>
      <c r="BF36" s="23"/>
      <c r="BG36" s="23"/>
    </row>
    <row r="37" spans="1:59" ht="23.25">
      <c r="L37" s="441" t="s">
        <v>171</v>
      </c>
      <c r="M37" s="470">
        <f>$Z$6</f>
        <v>0</v>
      </c>
      <c r="N37" s="430">
        <f>$Z9</f>
        <v>0</v>
      </c>
      <c r="O37" s="430">
        <f>$Z7</f>
        <v>0</v>
      </c>
      <c r="P37" s="430">
        <f>$Z8</f>
        <v>0</v>
      </c>
      <c r="Q37" s="430">
        <f>Z15+Z16+Z17+Z18+Z19+Z21+Z22+Z23</f>
        <v>0</v>
      </c>
      <c r="R37" s="430">
        <f>$Z20</f>
        <v>0</v>
      </c>
      <c r="S37" s="446">
        <f t="shared" si="22"/>
        <v>0</v>
      </c>
      <c r="T37" s="686"/>
      <c r="U37" s="26"/>
      <c r="V37" s="441" t="s">
        <v>171</v>
      </c>
      <c r="W37" s="440">
        <f>AB$6</f>
        <v>0</v>
      </c>
      <c r="X37" s="430">
        <f>$AB9</f>
        <v>0</v>
      </c>
      <c r="Y37" s="430">
        <f>$AB7</f>
        <v>0</v>
      </c>
      <c r="Z37" s="430">
        <f>$AB8</f>
        <v>0</v>
      </c>
      <c r="AA37" s="430">
        <f>AB$15+AB$16+AB$17+AB$18+AB$19+AB$21+AB$22+AB$23</f>
        <v>0</v>
      </c>
      <c r="AB37" s="719">
        <f>$AB20</f>
        <v>0</v>
      </c>
      <c r="AC37" s="723">
        <f t="shared" si="23"/>
        <v>0</v>
      </c>
      <c r="AD37" s="587">
        <f>AC6+AC7+AC8+AC9+AC15+AC17+AC16+AC18+AC19+AC20+AC21+AC22+AC23</f>
        <v>0</v>
      </c>
      <c r="AE37" s="26"/>
      <c r="AF37" s="26"/>
      <c r="AG37" s="26"/>
      <c r="AI37" s="26"/>
      <c r="AJ37" s="26"/>
      <c r="AK37" s="26"/>
      <c r="AL37" s="24"/>
      <c r="AN37" s="26"/>
      <c r="AP37" s="24"/>
      <c r="AT37" s="24"/>
      <c r="AV37" s="25"/>
      <c r="AX37" s="23"/>
      <c r="AY37" s="23"/>
      <c r="AZ37" s="23"/>
      <c r="BA37" s="23"/>
      <c r="BB37" s="23"/>
      <c r="BC37" s="23"/>
      <c r="BD37" s="23"/>
      <c r="BE37" s="23"/>
      <c r="BF37" s="23"/>
      <c r="BG37" s="23"/>
    </row>
    <row r="38" spans="1:59" ht="23.25">
      <c r="L38" s="441" t="s">
        <v>190</v>
      </c>
      <c r="M38" s="492">
        <f>$AD$6</f>
        <v>0</v>
      </c>
      <c r="N38" s="471">
        <f>$AD9</f>
        <v>0</v>
      </c>
      <c r="O38" s="471">
        <f>$AD7</f>
        <v>0</v>
      </c>
      <c r="P38" s="471">
        <f>$AD8</f>
        <v>0</v>
      </c>
      <c r="Q38" s="430">
        <f>AD15+AD16+AD17+AD18+AD19+AD21+AD22+AD23</f>
        <v>0</v>
      </c>
      <c r="R38" s="471">
        <f>$AD20</f>
        <v>0</v>
      </c>
      <c r="S38" s="446">
        <f t="shared" si="22"/>
        <v>0</v>
      </c>
      <c r="T38" s="686"/>
      <c r="U38" s="26"/>
      <c r="V38" s="441" t="s">
        <v>190</v>
      </c>
      <c r="W38" s="440">
        <f>AF$6</f>
        <v>0</v>
      </c>
      <c r="X38" s="430">
        <f>$AF9</f>
        <v>0</v>
      </c>
      <c r="Y38" s="430">
        <f>$AF7</f>
        <v>0</v>
      </c>
      <c r="Z38" s="430">
        <f>$AF8</f>
        <v>0</v>
      </c>
      <c r="AA38" s="430">
        <f>AF$15+AF$16+AF$17+AF$18+AF$19+AF$21+AF$22+AF$23</f>
        <v>0</v>
      </c>
      <c r="AB38" s="719">
        <f>$AF20</f>
        <v>0</v>
      </c>
      <c r="AC38" s="723">
        <f t="shared" si="23"/>
        <v>0</v>
      </c>
      <c r="AD38" s="587">
        <f>AG6+AG7+AG8+AG9+AG15+AG16+AG17+AG18+AG19+AG20+AG21+AG22+AG23</f>
        <v>0</v>
      </c>
      <c r="AE38" s="26"/>
      <c r="AF38" s="26"/>
      <c r="AG38" s="26"/>
      <c r="AI38" s="26"/>
      <c r="AJ38" s="26"/>
      <c r="AK38" s="26"/>
      <c r="AL38" s="24"/>
      <c r="AN38" s="26"/>
      <c r="AP38" s="24"/>
      <c r="AT38" s="24"/>
      <c r="AV38" s="25"/>
      <c r="AX38" s="23"/>
      <c r="AY38" s="23"/>
      <c r="AZ38" s="23"/>
      <c r="BA38" s="23"/>
      <c r="BB38" s="23"/>
      <c r="BC38" s="23"/>
      <c r="BD38" s="23"/>
      <c r="BE38" s="23"/>
      <c r="BF38" s="23"/>
      <c r="BG38" s="23"/>
    </row>
    <row r="39" spans="1:59" ht="23.25">
      <c r="L39" s="441" t="s">
        <v>185</v>
      </c>
      <c r="M39" s="470">
        <f>$AL$6</f>
        <v>0</v>
      </c>
      <c r="N39" s="430">
        <f>$AL9</f>
        <v>0</v>
      </c>
      <c r="O39" s="430">
        <f>$AL7</f>
        <v>0</v>
      </c>
      <c r="P39" s="430">
        <f>$AL8</f>
        <v>0</v>
      </c>
      <c r="Q39" s="430">
        <f>AL15+AL16+AL17+AL18+AL19+AL21+AL22+AL23</f>
        <v>0</v>
      </c>
      <c r="R39" s="430">
        <f>$AL20</f>
        <v>0</v>
      </c>
      <c r="S39" s="446">
        <f t="shared" si="22"/>
        <v>0</v>
      </c>
      <c r="T39" s="686"/>
      <c r="U39" s="26"/>
      <c r="V39" s="441" t="s">
        <v>185</v>
      </c>
      <c r="W39" s="469">
        <f>AN$6</f>
        <v>0</v>
      </c>
      <c r="X39" s="430">
        <f>$AN9</f>
        <v>0</v>
      </c>
      <c r="Y39" s="430">
        <f>$AN7</f>
        <v>0</v>
      </c>
      <c r="Z39" s="430">
        <f>$AN8</f>
        <v>0</v>
      </c>
      <c r="AA39" s="430">
        <f>AN$15+AN$16+AN$17+AN$18+AN$19+AN$21+AN$22+AN$23</f>
        <v>0</v>
      </c>
      <c r="AB39" s="719">
        <f>$AN20</f>
        <v>0</v>
      </c>
      <c r="AC39" s="723">
        <f t="shared" si="23"/>
        <v>0</v>
      </c>
      <c r="AD39" s="587">
        <f>AO6+AO7+AO8+AO9+AO15+AO16+AO17+AO18+AO19+AO20+AO21+AO22+AO23</f>
        <v>0</v>
      </c>
      <c r="AE39" s="26"/>
      <c r="AF39" s="23"/>
      <c r="AG39" s="26"/>
      <c r="AI39" s="26"/>
      <c r="AJ39" s="26"/>
      <c r="AK39" s="26"/>
      <c r="AL39" s="24"/>
      <c r="AN39" s="26"/>
      <c r="AP39" s="24"/>
      <c r="AT39" s="24"/>
      <c r="AV39" s="25"/>
      <c r="AX39" s="23"/>
      <c r="AY39" s="23"/>
      <c r="AZ39" s="23"/>
      <c r="BA39" s="23"/>
      <c r="BB39" s="23"/>
      <c r="BC39" s="23"/>
      <c r="BD39" s="23"/>
      <c r="BE39" s="23"/>
      <c r="BF39" s="23"/>
      <c r="BG39" s="23"/>
    </row>
    <row r="40" spans="1:59" ht="23.25">
      <c r="L40" s="441" t="s">
        <v>202</v>
      </c>
      <c r="M40" s="470">
        <f>$AP$6</f>
        <v>0</v>
      </c>
      <c r="N40" s="430">
        <f>$AP9</f>
        <v>0</v>
      </c>
      <c r="O40" s="430">
        <f>$AP7</f>
        <v>0</v>
      </c>
      <c r="P40" s="430">
        <f>$AP8</f>
        <v>0</v>
      </c>
      <c r="Q40" s="430">
        <f>AP15+AP16+AP17+AP18+AP19+AP21+AP22+AP23</f>
        <v>0</v>
      </c>
      <c r="R40" s="430">
        <f>$AP20</f>
        <v>0</v>
      </c>
      <c r="S40" s="446">
        <f t="shared" si="22"/>
        <v>0</v>
      </c>
      <c r="T40" s="686"/>
      <c r="U40" s="26"/>
      <c r="V40" s="441" t="s">
        <v>202</v>
      </c>
      <c r="W40" s="440">
        <f>AR$6</f>
        <v>0</v>
      </c>
      <c r="X40" s="430">
        <f>$AR9</f>
        <v>0</v>
      </c>
      <c r="Y40" s="430">
        <f>$AR7</f>
        <v>0</v>
      </c>
      <c r="Z40" s="430">
        <f>$AR8</f>
        <v>0</v>
      </c>
      <c r="AA40" s="430">
        <f>AR$15+AR$16+AR$17+AR$18+AR$19+AR$21+AR$22+AR$23</f>
        <v>0</v>
      </c>
      <c r="AB40" s="719">
        <f>$AR20</f>
        <v>0</v>
      </c>
      <c r="AC40" s="723">
        <f t="shared" si="23"/>
        <v>0</v>
      </c>
      <c r="AD40" s="587">
        <f>AS6+AS7+AS8+AS9+AS15+AS16+AS17+AS18+AS19+AS20+AS21+AS22+AS23</f>
        <v>0</v>
      </c>
      <c r="AE40" s="26"/>
      <c r="AF40" s="28"/>
      <c r="AG40" s="26"/>
      <c r="AI40" s="26"/>
      <c r="AJ40" s="26"/>
      <c r="AK40" s="26"/>
      <c r="AL40" s="24"/>
      <c r="AN40" s="26"/>
      <c r="AP40" s="24"/>
      <c r="AS40" s="23"/>
      <c r="AT40" s="24"/>
      <c r="AV40" s="25"/>
      <c r="AX40" s="23"/>
      <c r="AY40" s="23"/>
      <c r="AZ40" s="23"/>
      <c r="BA40" s="23"/>
      <c r="BB40" s="23"/>
      <c r="BC40" s="23"/>
      <c r="BD40" s="23"/>
      <c r="BE40" s="23"/>
      <c r="BF40" s="23"/>
      <c r="BG40" s="23"/>
    </row>
    <row r="41" spans="1:59" ht="23.25">
      <c r="L41" s="441" t="s">
        <v>186</v>
      </c>
      <c r="M41" s="470">
        <f>$AT$6</f>
        <v>0</v>
      </c>
      <c r="N41" s="430">
        <f>$AT9</f>
        <v>0</v>
      </c>
      <c r="O41" s="430">
        <f>$AT7</f>
        <v>0</v>
      </c>
      <c r="P41" s="430">
        <f>$AT8</f>
        <v>0</v>
      </c>
      <c r="Q41" s="430">
        <f>AT15+AT16+AT17+AT18+AT19+AT21+AT22+AT23</f>
        <v>0</v>
      </c>
      <c r="R41" s="430">
        <f>$AT20</f>
        <v>0</v>
      </c>
      <c r="S41" s="446">
        <f t="shared" si="22"/>
        <v>0</v>
      </c>
      <c r="T41" s="686"/>
      <c r="U41" s="26"/>
      <c r="V41" s="441" t="s">
        <v>186</v>
      </c>
      <c r="W41" s="440">
        <f>AV$6</f>
        <v>5</v>
      </c>
      <c r="X41" s="430">
        <f>$AV9</f>
        <v>0</v>
      </c>
      <c r="Y41" s="430">
        <f>$AV7</f>
        <v>0</v>
      </c>
      <c r="Z41" s="430">
        <f>$AV8</f>
        <v>0</v>
      </c>
      <c r="AA41" s="430">
        <f>AV$15+AV$16+AV$17+AV$18+AV$19+AV$21+AV$22+AV$23</f>
        <v>0</v>
      </c>
      <c r="AB41" s="719">
        <f>$AV20</f>
        <v>0</v>
      </c>
      <c r="AC41" s="723">
        <f t="shared" si="23"/>
        <v>5</v>
      </c>
      <c r="AD41" s="587">
        <f>AW6+AW7+AW8+AW9+AW15+AW16+AW17+AW18+AW20+AW19+AW21+AW22+AW23</f>
        <v>0</v>
      </c>
      <c r="AE41" s="26"/>
      <c r="AH41" s="24"/>
      <c r="AJ41" s="25"/>
      <c r="AL41" s="24"/>
      <c r="AN41" s="25"/>
      <c r="AP41" s="24"/>
      <c r="AR41" s="25"/>
      <c r="AT41" s="24"/>
      <c r="AV41" s="25"/>
      <c r="AX41" s="23"/>
      <c r="AY41" s="23"/>
      <c r="AZ41" s="23"/>
      <c r="BA41" s="23"/>
      <c r="BB41" s="23"/>
      <c r="BC41" s="23"/>
      <c r="BD41" s="23"/>
      <c r="BE41" s="23"/>
      <c r="BF41" s="23"/>
      <c r="BG41" s="23"/>
    </row>
    <row r="42" spans="1:59" ht="23.25">
      <c r="L42" s="441" t="s">
        <v>203</v>
      </c>
      <c r="M42" s="470">
        <f>$AX$6</f>
        <v>0</v>
      </c>
      <c r="N42" s="430">
        <f>$AX9</f>
        <v>0</v>
      </c>
      <c r="O42" s="430">
        <f>$AX7</f>
        <v>0</v>
      </c>
      <c r="P42" s="430">
        <f>$AX8</f>
        <v>0</v>
      </c>
      <c r="Q42" s="430">
        <f>AX15+AX16+AX17+AX18+AX19+AX21+AX22+AX23</f>
        <v>0</v>
      </c>
      <c r="R42" s="430">
        <f>$AX20</f>
        <v>0</v>
      </c>
      <c r="S42" s="446">
        <f t="shared" si="22"/>
        <v>0</v>
      </c>
      <c r="T42" s="686"/>
      <c r="U42" s="26"/>
      <c r="V42" s="441" t="s">
        <v>203</v>
      </c>
      <c r="W42" s="440">
        <f>AZ$6</f>
        <v>0</v>
      </c>
      <c r="X42" s="430">
        <f>$AZ9</f>
        <v>0</v>
      </c>
      <c r="Y42" s="430">
        <f>$AZ7</f>
        <v>0</v>
      </c>
      <c r="Z42" s="430">
        <f>$AZ8</f>
        <v>0</v>
      </c>
      <c r="AA42" s="430">
        <f>AZ$15+AZ$16+AZ$17+AZ$18+AZ$19+AZ$21+AZ$22+AZ$23</f>
        <v>0</v>
      </c>
      <c r="AB42" s="719">
        <f>$AZ20</f>
        <v>0</v>
      </c>
      <c r="AC42" s="723">
        <f t="shared" si="23"/>
        <v>0</v>
      </c>
      <c r="AD42" s="587">
        <f>BA6+BA7+BA8+BA9+BA15+BA16+BA17+BA18+BA19+BA20+BA21+BA22+BA23</f>
        <v>8</v>
      </c>
      <c r="AE42" s="26"/>
      <c r="AH42" s="24"/>
      <c r="AJ42" s="25"/>
      <c r="AL42" s="24"/>
      <c r="AN42" s="25"/>
      <c r="AP42" s="24"/>
      <c r="AR42" s="25"/>
      <c r="AT42" s="24"/>
      <c r="AV42" s="25"/>
      <c r="AX42" s="23"/>
      <c r="AY42" s="23"/>
      <c r="AZ42" s="23"/>
      <c r="BA42" s="23"/>
      <c r="BB42" s="23"/>
      <c r="BC42" s="23"/>
      <c r="BD42" s="23"/>
      <c r="BE42" s="23"/>
      <c r="BF42" s="23"/>
      <c r="BG42" s="23"/>
    </row>
    <row r="43" spans="1:59" ht="24" thickBot="1">
      <c r="L43" s="442" t="s">
        <v>191</v>
      </c>
      <c r="M43" s="443">
        <f t="shared" ref="M43" si="24">SUM(M33:M42)</f>
        <v>0</v>
      </c>
      <c r="N43" s="444">
        <f>SUM(N33:N42)</f>
        <v>0</v>
      </c>
      <c r="O43" s="443">
        <f t="shared" ref="O43" si="25">SUM(O33:O42)</f>
        <v>0</v>
      </c>
      <c r="P43" s="444">
        <f>SUM(P33:P42)</f>
        <v>0</v>
      </c>
      <c r="Q43" s="444">
        <f>SUM(Q33:Q42)</f>
        <v>0</v>
      </c>
      <c r="R43" s="445">
        <f>SUM(R33:R42)</f>
        <v>0</v>
      </c>
      <c r="S43" s="451">
        <f>SUM(S33:S42)</f>
        <v>0</v>
      </c>
      <c r="T43" s="687"/>
      <c r="U43" s="26"/>
      <c r="V43" s="442" t="s">
        <v>191</v>
      </c>
      <c r="W43" s="443">
        <f t="shared" ref="W43:Y43" si="26">SUM(W33:W42)</f>
        <v>5</v>
      </c>
      <c r="X43" s="444">
        <f>SUM(X33:X42)</f>
        <v>0</v>
      </c>
      <c r="Y43" s="443">
        <f t="shared" si="26"/>
        <v>0</v>
      </c>
      <c r="Z43" s="444">
        <f>SUM(Z33:Z42)</f>
        <v>0</v>
      </c>
      <c r="AA43" s="444">
        <f>SUM(AA33:AA42)</f>
        <v>0</v>
      </c>
      <c r="AB43" s="720">
        <f>SUM(AB33:AB42)</f>
        <v>0</v>
      </c>
      <c r="AC43" s="724">
        <f>SUM(AC33:AC42)</f>
        <v>5</v>
      </c>
      <c r="AD43" s="725">
        <f>SUM(AD33:AD42)</f>
        <v>74.400000000000006</v>
      </c>
      <c r="AE43" s="26"/>
      <c r="AH43" s="24"/>
      <c r="AJ43" s="25"/>
      <c r="AL43" s="24"/>
      <c r="AN43" s="25"/>
      <c r="AP43" s="24"/>
      <c r="AR43" s="25"/>
      <c r="AT43" s="24"/>
      <c r="AV43" s="25"/>
      <c r="AX43" s="23"/>
      <c r="AY43" s="23"/>
      <c r="AZ43" s="23"/>
      <c r="BA43" s="23"/>
      <c r="BB43" s="23"/>
      <c r="BC43" s="23"/>
      <c r="BD43" s="23"/>
      <c r="BE43" s="23"/>
      <c r="BF43" s="23"/>
      <c r="BG43" s="23"/>
    </row>
    <row r="44" spans="1:59" ht="15" customHeight="1" thickBot="1">
      <c r="L44" s="26"/>
      <c r="M44" s="26"/>
      <c r="N44" s="24"/>
      <c r="P44" s="26"/>
      <c r="Q44" s="26"/>
      <c r="R44" s="24"/>
      <c r="T44" s="26"/>
      <c r="U44" s="26"/>
      <c r="V44" s="24"/>
      <c r="Z44" s="24"/>
      <c r="AD44" s="24"/>
      <c r="AE44" s="26"/>
      <c r="AF44" s="466"/>
      <c r="AG44" s="466"/>
      <c r="AH44" s="466"/>
      <c r="AI44" s="467"/>
      <c r="AL44" s="24"/>
      <c r="AM44" s="25"/>
      <c r="AP44" s="24"/>
      <c r="AQ44" s="25"/>
      <c r="AT44" s="24"/>
      <c r="AU44" s="25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</row>
    <row r="45" spans="1:59" ht="29.25" customHeight="1" thickBot="1">
      <c r="L45" s="1929" t="str">
        <f>L31</f>
        <v>Mode wise Collection Plan-14-12-2021</v>
      </c>
      <c r="M45" s="1930"/>
      <c r="N45" s="1930"/>
      <c r="O45" s="1930"/>
      <c r="P45" s="1930"/>
      <c r="Q45" s="1930"/>
      <c r="R45" s="1930"/>
      <c r="S45" s="1930"/>
      <c r="T45" s="1931"/>
      <c r="U45" s="26"/>
      <c r="V45" s="1923" t="s">
        <v>250</v>
      </c>
      <c r="W45" s="1937"/>
      <c r="X45" s="1937"/>
      <c r="Y45" s="1937"/>
      <c r="Z45" s="1937"/>
      <c r="AA45" s="1937"/>
      <c r="AB45" s="1937"/>
      <c r="AC45" s="1937"/>
      <c r="AD45" s="1937"/>
      <c r="AE45" s="1938"/>
      <c r="AF45" s="466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</row>
    <row r="46" spans="1:59" s="28" customFormat="1" ht="31.5">
      <c r="D46" s="29"/>
      <c r="E46" s="29"/>
      <c r="F46" s="29"/>
      <c r="I46" s="29"/>
      <c r="L46" s="450" t="s">
        <v>0</v>
      </c>
      <c r="M46" s="439" t="s">
        <v>200</v>
      </c>
      <c r="N46" s="454" t="s">
        <v>205</v>
      </c>
      <c r="O46" s="439" t="s">
        <v>31</v>
      </c>
      <c r="P46" s="448" t="s">
        <v>201</v>
      </c>
      <c r="Q46" s="455" t="s">
        <v>206</v>
      </c>
      <c r="R46" s="436" t="s">
        <v>22</v>
      </c>
      <c r="S46" s="438" t="s">
        <v>191</v>
      </c>
      <c r="T46" s="438" t="s">
        <v>244</v>
      </c>
      <c r="U46" s="26"/>
      <c r="V46" s="596" t="s">
        <v>0</v>
      </c>
      <c r="W46" s="436" t="s">
        <v>200</v>
      </c>
      <c r="X46" s="454" t="s">
        <v>205</v>
      </c>
      <c r="Y46" s="436" t="s">
        <v>31</v>
      </c>
      <c r="Z46" s="448" t="s">
        <v>201</v>
      </c>
      <c r="AA46" s="453" t="s">
        <v>206</v>
      </c>
      <c r="AB46" s="453" t="s">
        <v>210</v>
      </c>
      <c r="AC46" s="436" t="s">
        <v>22</v>
      </c>
      <c r="AD46" s="437" t="s">
        <v>191</v>
      </c>
      <c r="AE46" s="438" t="s">
        <v>244</v>
      </c>
      <c r="AF46" s="466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</row>
    <row r="47" spans="1:59" ht="23.25">
      <c r="L47" s="441" t="s">
        <v>189</v>
      </c>
      <c r="M47" s="470">
        <v>40</v>
      </c>
      <c r="N47" s="430">
        <v>0</v>
      </c>
      <c r="O47" s="430">
        <v>0</v>
      </c>
      <c r="P47" s="430">
        <v>0</v>
      </c>
      <c r="Q47" s="430">
        <v>0</v>
      </c>
      <c r="R47" s="430">
        <v>0</v>
      </c>
      <c r="S47" s="446">
        <f t="shared" ref="S47:S56" si="27">SUM(M47:R47)</f>
        <v>40</v>
      </c>
      <c r="T47" s="446">
        <v>71</v>
      </c>
      <c r="U47" s="26"/>
      <c r="V47" s="586" t="s">
        <v>189</v>
      </c>
      <c r="W47" s="430">
        <v>3</v>
      </c>
      <c r="X47" s="430">
        <v>0.5</v>
      </c>
      <c r="Y47" s="430"/>
      <c r="Z47" s="430"/>
      <c r="AA47" s="430"/>
      <c r="AB47" s="655"/>
      <c r="AC47" s="430"/>
      <c r="AD47" s="568">
        <f t="shared" ref="AD47:AD56" si="28">SUM(W47:AC47)</f>
        <v>3.5</v>
      </c>
      <c r="AE47" s="587">
        <f>L27+L28+L29</f>
        <v>66.400000000000006</v>
      </c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T47" s="24"/>
      <c r="AU47" s="25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</row>
    <row r="48" spans="1:59" ht="23.25">
      <c r="L48" s="441" t="s">
        <v>183</v>
      </c>
      <c r="M48" s="470">
        <v>18</v>
      </c>
      <c r="N48" s="430">
        <v>0</v>
      </c>
      <c r="O48" s="430">
        <v>0</v>
      </c>
      <c r="P48" s="430">
        <v>0</v>
      </c>
      <c r="Q48" s="430">
        <v>0</v>
      </c>
      <c r="R48" s="430">
        <v>32</v>
      </c>
      <c r="S48" s="446">
        <f t="shared" si="27"/>
        <v>50</v>
      </c>
      <c r="T48" s="446"/>
      <c r="U48" s="466"/>
      <c r="V48" s="586" t="s">
        <v>183</v>
      </c>
      <c r="W48" s="430">
        <v>3.5</v>
      </c>
      <c r="X48" s="430">
        <v>1.25</v>
      </c>
      <c r="Y48" s="430"/>
      <c r="Z48" s="430"/>
      <c r="AA48" s="430"/>
      <c r="AB48" s="655"/>
      <c r="AC48" s="430"/>
      <c r="AD48" s="568">
        <f t="shared" si="28"/>
        <v>4.75</v>
      </c>
      <c r="AE48" s="516">
        <f>P27+P28+P29</f>
        <v>0</v>
      </c>
      <c r="AH48" s="24"/>
      <c r="AI48" s="25"/>
      <c r="AL48" s="24"/>
      <c r="AM48" s="25"/>
      <c r="AP48" s="24"/>
      <c r="AQ48" s="25"/>
      <c r="AT48" s="24"/>
      <c r="AU48" s="25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</row>
    <row r="49" spans="10:59" ht="23.25">
      <c r="L49" s="441" t="s">
        <v>184</v>
      </c>
      <c r="M49" s="470">
        <v>0</v>
      </c>
      <c r="N49" s="430">
        <v>0</v>
      </c>
      <c r="O49" s="430">
        <v>0</v>
      </c>
      <c r="P49" s="430">
        <v>0</v>
      </c>
      <c r="Q49" s="430">
        <v>20</v>
      </c>
      <c r="R49" s="430">
        <v>7</v>
      </c>
      <c r="S49" s="446">
        <f t="shared" si="27"/>
        <v>27</v>
      </c>
      <c r="T49" s="446">
        <v>9.6999999999999993</v>
      </c>
      <c r="U49" s="466"/>
      <c r="V49" s="586" t="s">
        <v>184</v>
      </c>
      <c r="W49" s="430"/>
      <c r="X49" s="430"/>
      <c r="Y49" s="430"/>
      <c r="Z49" s="430"/>
      <c r="AA49" s="430"/>
      <c r="AB49" s="655"/>
      <c r="AC49" s="430"/>
      <c r="AD49" s="568">
        <f t="shared" si="28"/>
        <v>0</v>
      </c>
      <c r="AE49" s="516">
        <f>T27+T28+T29</f>
        <v>0</v>
      </c>
      <c r="AH49" s="24"/>
      <c r="AI49" s="25"/>
      <c r="AL49" s="24"/>
      <c r="AM49" s="25"/>
      <c r="AP49" s="24"/>
      <c r="AQ49" s="25"/>
      <c r="AT49" s="24"/>
      <c r="AU49" s="25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</row>
    <row r="50" spans="10:59" ht="23.25">
      <c r="L50" s="441" t="s">
        <v>170</v>
      </c>
      <c r="M50" s="470">
        <v>20</v>
      </c>
      <c r="N50" s="430">
        <v>0</v>
      </c>
      <c r="O50" s="430">
        <v>0</v>
      </c>
      <c r="P50" s="430">
        <v>0</v>
      </c>
      <c r="Q50" s="430">
        <v>10</v>
      </c>
      <c r="R50" s="430">
        <v>0</v>
      </c>
      <c r="S50" s="446">
        <f t="shared" si="27"/>
        <v>30</v>
      </c>
      <c r="T50" s="446"/>
      <c r="U50" s="466"/>
      <c r="V50" s="586" t="s">
        <v>170</v>
      </c>
      <c r="W50" s="430">
        <v>4.2</v>
      </c>
      <c r="X50" s="430"/>
      <c r="Y50" s="430"/>
      <c r="Z50" s="430"/>
      <c r="AA50" s="430"/>
      <c r="AB50" s="655"/>
      <c r="AC50" s="430"/>
      <c r="AD50" s="568">
        <f t="shared" si="28"/>
        <v>4.2</v>
      </c>
      <c r="AE50" s="516">
        <f>X27+X28+X29</f>
        <v>0</v>
      </c>
      <c r="AH50" s="24"/>
      <c r="AI50" s="25"/>
      <c r="AL50" s="24"/>
      <c r="AM50" s="25"/>
      <c r="AP50" s="24"/>
      <c r="AQ50" s="25"/>
      <c r="AT50" s="24"/>
      <c r="AU50" s="25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</row>
    <row r="51" spans="10:59" ht="23.25">
      <c r="L51" s="441" t="s">
        <v>171</v>
      </c>
      <c r="M51" s="470">
        <v>3</v>
      </c>
      <c r="N51" s="430">
        <v>0</v>
      </c>
      <c r="O51" s="430">
        <v>0</v>
      </c>
      <c r="P51" s="430">
        <v>0</v>
      </c>
      <c r="Q51" s="430">
        <v>7</v>
      </c>
      <c r="R51" s="430">
        <v>0</v>
      </c>
      <c r="S51" s="446">
        <f t="shared" si="27"/>
        <v>10</v>
      </c>
      <c r="T51" s="446"/>
      <c r="U51" s="466"/>
      <c r="V51" s="586" t="s">
        <v>171</v>
      </c>
      <c r="W51" s="430"/>
      <c r="X51" s="430"/>
      <c r="Y51" s="430"/>
      <c r="Z51" s="430"/>
      <c r="AA51" s="430"/>
      <c r="AB51" s="655"/>
      <c r="AC51" s="430"/>
      <c r="AD51" s="568">
        <f t="shared" si="28"/>
        <v>0</v>
      </c>
      <c r="AE51" s="516">
        <f>AB27+AB28+AB29</f>
        <v>0</v>
      </c>
      <c r="AH51" s="24"/>
      <c r="AI51" s="25"/>
      <c r="AL51" s="24"/>
      <c r="AM51" s="25"/>
      <c r="AP51" s="24"/>
      <c r="AQ51" s="25"/>
      <c r="AT51" s="24"/>
      <c r="AU51" s="25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</row>
    <row r="52" spans="10:59" ht="23.25">
      <c r="L52" s="441" t="s">
        <v>190</v>
      </c>
      <c r="M52" s="492">
        <v>32</v>
      </c>
      <c r="N52" s="471">
        <v>0</v>
      </c>
      <c r="O52" s="471">
        <v>0</v>
      </c>
      <c r="P52" s="471">
        <v>0</v>
      </c>
      <c r="Q52" s="430">
        <v>18</v>
      </c>
      <c r="R52" s="471">
        <v>0</v>
      </c>
      <c r="S52" s="446">
        <f t="shared" si="27"/>
        <v>50</v>
      </c>
      <c r="T52" s="446">
        <v>15</v>
      </c>
      <c r="U52" s="466"/>
      <c r="V52" s="586" t="s">
        <v>190</v>
      </c>
      <c r="W52" s="430">
        <v>27</v>
      </c>
      <c r="X52" s="430"/>
      <c r="Y52" s="430"/>
      <c r="Z52" s="430"/>
      <c r="AA52" s="430"/>
      <c r="AB52" s="655"/>
      <c r="AC52" s="430"/>
      <c r="AD52" s="568">
        <f t="shared" si="28"/>
        <v>27</v>
      </c>
      <c r="AE52" s="516">
        <f>AF27+AF28+AF29</f>
        <v>0</v>
      </c>
      <c r="AF52" s="26"/>
      <c r="AH52" s="24"/>
      <c r="AI52" s="25"/>
      <c r="AL52" s="24"/>
      <c r="AM52" s="25"/>
      <c r="AP52" s="24"/>
      <c r="AQ52" s="25"/>
      <c r="AT52" s="24"/>
      <c r="AU52" s="25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</row>
    <row r="53" spans="10:59" ht="23.25">
      <c r="L53" s="441" t="s">
        <v>185</v>
      </c>
      <c r="M53" s="470">
        <v>30</v>
      </c>
      <c r="N53" s="430">
        <v>0</v>
      </c>
      <c r="O53" s="430">
        <v>0</v>
      </c>
      <c r="P53" s="430">
        <v>0</v>
      </c>
      <c r="Q53" s="430">
        <v>0</v>
      </c>
      <c r="R53" s="430">
        <v>15</v>
      </c>
      <c r="S53" s="446">
        <f t="shared" si="27"/>
        <v>45</v>
      </c>
      <c r="T53" s="446"/>
      <c r="U53" s="466"/>
      <c r="V53" s="586" t="s">
        <v>185</v>
      </c>
      <c r="W53" s="575">
        <v>3.75</v>
      </c>
      <c r="X53" s="430">
        <v>1.8</v>
      </c>
      <c r="Y53" s="430"/>
      <c r="Z53" s="430"/>
      <c r="AA53" s="430"/>
      <c r="AB53" s="655"/>
      <c r="AC53" s="430"/>
      <c r="AD53" s="568">
        <f t="shared" si="28"/>
        <v>5.55</v>
      </c>
      <c r="AE53" s="516">
        <f>AN27+AN28+AN29</f>
        <v>0</v>
      </c>
      <c r="AF53" s="26"/>
      <c r="AH53" s="24"/>
      <c r="AI53" s="25"/>
      <c r="AL53" s="24"/>
      <c r="AM53" s="25"/>
      <c r="AP53" s="24"/>
      <c r="AQ53" s="25"/>
      <c r="AT53" s="24"/>
      <c r="AU53" s="25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</row>
    <row r="54" spans="10:59" ht="23.25">
      <c r="L54" s="441" t="s">
        <v>202</v>
      </c>
      <c r="M54" s="470">
        <v>10</v>
      </c>
      <c r="N54" s="430">
        <v>0</v>
      </c>
      <c r="O54" s="430">
        <v>0</v>
      </c>
      <c r="P54" s="430">
        <v>0</v>
      </c>
      <c r="Q54" s="430">
        <v>0</v>
      </c>
      <c r="R54" s="430">
        <v>0</v>
      </c>
      <c r="S54" s="446">
        <f t="shared" si="27"/>
        <v>10</v>
      </c>
      <c r="T54" s="446"/>
      <c r="U54" s="466"/>
      <c r="V54" s="586" t="s">
        <v>202</v>
      </c>
      <c r="W54" s="430">
        <v>1.1000000000000001</v>
      </c>
      <c r="X54" s="430"/>
      <c r="Y54" s="430"/>
      <c r="Z54" s="430"/>
      <c r="AA54" s="430"/>
      <c r="AB54" s="655"/>
      <c r="AC54" s="430"/>
      <c r="AD54" s="568">
        <f t="shared" si="28"/>
        <v>1.1000000000000001</v>
      </c>
      <c r="AE54" s="516">
        <f>AR27+AR28+AR29</f>
        <v>0</v>
      </c>
      <c r="AF54" s="466"/>
      <c r="AH54" s="24"/>
      <c r="AI54" s="25"/>
      <c r="AL54" s="24"/>
      <c r="AM54" s="25"/>
      <c r="AP54" s="24"/>
      <c r="AQ54" s="25"/>
      <c r="AT54" s="24"/>
      <c r="AU54" s="25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</row>
    <row r="55" spans="10:59" ht="23.25">
      <c r="L55" s="441" t="s">
        <v>186</v>
      </c>
      <c r="M55" s="470">
        <v>20</v>
      </c>
      <c r="N55" s="430">
        <v>0</v>
      </c>
      <c r="O55" s="430">
        <v>0</v>
      </c>
      <c r="P55" s="430">
        <v>0</v>
      </c>
      <c r="Q55" s="430">
        <v>0</v>
      </c>
      <c r="R55" s="430">
        <v>20</v>
      </c>
      <c r="S55" s="446">
        <f t="shared" si="27"/>
        <v>40</v>
      </c>
      <c r="T55" s="446">
        <v>10</v>
      </c>
      <c r="U55" s="466"/>
      <c r="V55" s="586" t="s">
        <v>186</v>
      </c>
      <c r="W55" s="430"/>
      <c r="X55" s="430"/>
      <c r="Y55" s="430"/>
      <c r="Z55" s="430"/>
      <c r="AA55" s="430"/>
      <c r="AB55" s="655"/>
      <c r="AC55" s="430"/>
      <c r="AD55" s="568">
        <f t="shared" si="28"/>
        <v>0</v>
      </c>
      <c r="AE55" s="516">
        <f>AV27+AV28+AV29</f>
        <v>0</v>
      </c>
      <c r="AF55" s="466"/>
      <c r="AH55" s="24"/>
      <c r="AI55" s="25"/>
      <c r="AL55" s="24"/>
      <c r="AM55" s="25"/>
      <c r="AP55" s="24"/>
      <c r="AQ55" s="25"/>
      <c r="AT55" s="24"/>
      <c r="AU55" s="25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</row>
    <row r="56" spans="10:59" ht="23.25">
      <c r="L56" s="441" t="s">
        <v>203</v>
      </c>
      <c r="M56" s="470">
        <v>10</v>
      </c>
      <c r="N56" s="430">
        <v>0</v>
      </c>
      <c r="O56" s="430">
        <v>0</v>
      </c>
      <c r="P56" s="430">
        <v>0</v>
      </c>
      <c r="Q56" s="430">
        <v>0</v>
      </c>
      <c r="R56" s="430">
        <v>0</v>
      </c>
      <c r="S56" s="446">
        <f t="shared" si="27"/>
        <v>10</v>
      </c>
      <c r="T56" s="446">
        <v>10</v>
      </c>
      <c r="U56" s="466"/>
      <c r="V56" s="586" t="s">
        <v>203</v>
      </c>
      <c r="W56" s="430"/>
      <c r="X56" s="430"/>
      <c r="Y56" s="430"/>
      <c r="Z56" s="430"/>
      <c r="AA56" s="430"/>
      <c r="AB56" s="655"/>
      <c r="AC56" s="430"/>
      <c r="AD56" s="568">
        <f t="shared" si="28"/>
        <v>0</v>
      </c>
      <c r="AE56" s="587">
        <f>AZ27+AZ28+AZ29</f>
        <v>8</v>
      </c>
      <c r="AF56" s="466"/>
      <c r="AH56" s="24"/>
      <c r="AI56" s="25"/>
      <c r="AL56" s="24"/>
      <c r="AM56" s="25"/>
      <c r="AP56" s="24"/>
      <c r="AQ56" s="25"/>
      <c r="AT56" s="24"/>
      <c r="AU56" s="25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</row>
    <row r="57" spans="10:59" ht="24" thickBot="1">
      <c r="L57" s="442" t="s">
        <v>191</v>
      </c>
      <c r="M57" s="443">
        <f t="shared" ref="M57" si="29">SUM(M47:M56)</f>
        <v>183</v>
      </c>
      <c r="N57" s="444">
        <f>SUM(N47:N56)</f>
        <v>0</v>
      </c>
      <c r="O57" s="443">
        <f t="shared" ref="O57" si="30">SUM(O47:O56)</f>
        <v>0</v>
      </c>
      <c r="P57" s="444">
        <f>SUM(P47:P56)</f>
        <v>0</v>
      </c>
      <c r="Q57" s="444">
        <f>SUM(Q47:Q56)</f>
        <v>55</v>
      </c>
      <c r="R57" s="445">
        <f>SUM(R47:R56)</f>
        <v>74</v>
      </c>
      <c r="S57" s="451">
        <f>SUM(S47:S56)</f>
        <v>312</v>
      </c>
      <c r="T57" s="451">
        <f>SUM(T47:T56)</f>
        <v>115.7</v>
      </c>
      <c r="U57" s="466"/>
      <c r="V57" s="588" t="s">
        <v>191</v>
      </c>
      <c r="W57" s="589">
        <f t="shared" ref="W57" si="31">SUM(W47:W56)</f>
        <v>42.550000000000004</v>
      </c>
      <c r="X57" s="444">
        <f>SUM(X47:X56)</f>
        <v>3.55</v>
      </c>
      <c r="Y57" s="444">
        <f t="shared" ref="Y57" si="32">SUM(Y47:Y56)</f>
        <v>0</v>
      </c>
      <c r="Z57" s="444">
        <f>SUM(Z47:Z56)</f>
        <v>0</v>
      </c>
      <c r="AA57" s="444">
        <f>SUM(AA47:AA56)</f>
        <v>0</v>
      </c>
      <c r="AB57" s="444"/>
      <c r="AC57" s="444">
        <f t="shared" ref="AC57" si="33">SUM(AC47:AC56)</f>
        <v>0</v>
      </c>
      <c r="AD57" s="630">
        <f>SUM(AD47:AD56)</f>
        <v>46.1</v>
      </c>
      <c r="AE57" s="631">
        <f>SUM(AE47:AE56)</f>
        <v>74.400000000000006</v>
      </c>
      <c r="AF57" s="466"/>
      <c r="AH57" s="24"/>
      <c r="AI57" s="25"/>
      <c r="AL57" s="24"/>
      <c r="AM57" s="25"/>
      <c r="AP57" s="24"/>
      <c r="AQ57" s="25"/>
      <c r="AT57" s="24"/>
      <c r="AU57" s="25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</row>
    <row r="58" spans="10:59" ht="27" thickBot="1">
      <c r="L58" s="26"/>
      <c r="M58" s="26"/>
      <c r="N58" s="24"/>
      <c r="O58" s="1958" t="s">
        <v>254</v>
      </c>
      <c r="P58" s="1959"/>
      <c r="Q58" s="1959"/>
      <c r="R58" s="1960"/>
      <c r="S58" s="1927">
        <f>S57+T57</f>
        <v>427.7</v>
      </c>
      <c r="T58" s="1928"/>
      <c r="U58" s="466"/>
      <c r="V58" s="1932" t="s">
        <v>221</v>
      </c>
      <c r="W58" s="1932"/>
      <c r="X58" s="1932"/>
      <c r="Y58" s="1932"/>
      <c r="Z58" s="1932"/>
      <c r="AA58" s="1932"/>
      <c r="AB58" s="1932"/>
      <c r="AC58" s="1932"/>
      <c r="AD58" s="1954">
        <f>AD57+AE57</f>
        <v>120.5</v>
      </c>
      <c r="AE58" s="1955"/>
      <c r="AF58" s="466"/>
      <c r="AH58" s="24"/>
      <c r="AI58" s="25"/>
      <c r="AL58" s="24"/>
      <c r="AM58" s="25"/>
      <c r="AP58" s="24"/>
      <c r="AQ58" s="25"/>
      <c r="AT58" s="24"/>
      <c r="AU58" s="25"/>
      <c r="AX58" s="24"/>
      <c r="AY58" s="24"/>
      <c r="AZ58" s="25"/>
      <c r="BA58" s="24"/>
      <c r="BB58" s="24"/>
      <c r="BC58" s="23"/>
      <c r="BD58" s="23"/>
      <c r="BE58" s="23"/>
      <c r="BF58" s="23"/>
      <c r="BG58" s="23"/>
    </row>
    <row r="59" spans="10:59" ht="23.25">
      <c r="J59" s="24"/>
      <c r="N59" s="24"/>
      <c r="R59" s="24"/>
      <c r="T59" s="26"/>
      <c r="U59" s="26"/>
      <c r="V59" s="466"/>
      <c r="W59" s="466"/>
      <c r="X59" s="466"/>
      <c r="Y59" s="1922" t="s">
        <v>235</v>
      </c>
      <c r="Z59" s="1922"/>
      <c r="AA59" s="1922"/>
      <c r="AB59" s="1922"/>
      <c r="AC59" s="1922"/>
      <c r="AD59" s="1956">
        <f>W57+X57+AC57+BI6</f>
        <v>120.5</v>
      </c>
      <c r="AE59" s="1957"/>
      <c r="AF59" s="466"/>
      <c r="AH59" s="24"/>
      <c r="AI59" s="25"/>
      <c r="AL59" s="24"/>
      <c r="AP59" s="25"/>
      <c r="AT59" s="25"/>
      <c r="AX59" s="25"/>
      <c r="AY59" s="24"/>
      <c r="AZ59" s="24"/>
      <c r="BA59" s="24"/>
      <c r="BB59" s="25"/>
      <c r="BE59" s="23"/>
      <c r="BF59" s="23"/>
      <c r="BG59" s="23"/>
    </row>
    <row r="60" spans="10:59" ht="15" customHeight="1" thickBot="1">
      <c r="J60" s="24"/>
      <c r="N60" s="24"/>
      <c r="R60" s="24"/>
      <c r="T60" s="26"/>
      <c r="U60" s="26"/>
      <c r="V60" s="466"/>
      <c r="W60" s="466"/>
      <c r="X60" s="466"/>
      <c r="Y60" s="465"/>
      <c r="Z60" s="466"/>
      <c r="AA60" s="466"/>
      <c r="AB60" s="466"/>
      <c r="AC60" s="465"/>
      <c r="AD60" s="466"/>
      <c r="AF60" s="466"/>
      <c r="AH60" s="24"/>
      <c r="AI60" s="25"/>
      <c r="AL60" s="24"/>
      <c r="AP60" s="25"/>
      <c r="AT60" s="25"/>
      <c r="AX60" s="25"/>
      <c r="AY60" s="26"/>
      <c r="AZ60" s="26"/>
      <c r="BA60" s="24"/>
      <c r="BB60" s="24"/>
      <c r="BC60" s="25"/>
      <c r="BD60" s="25"/>
      <c r="BF60" s="23"/>
      <c r="BG60" s="23"/>
    </row>
    <row r="61" spans="10:59" ht="39.75" customHeight="1" thickBot="1">
      <c r="J61" s="24"/>
      <c r="L61" s="1923" t="s">
        <v>319</v>
      </c>
      <c r="M61" s="1937"/>
      <c r="N61" s="1937"/>
      <c r="O61" s="1937"/>
      <c r="P61" s="1937"/>
      <c r="Q61" s="1937"/>
      <c r="R61" s="1937"/>
      <c r="S61" s="1937"/>
      <c r="T61" s="1937"/>
      <c r="U61" s="1938"/>
      <c r="V61" s="466"/>
      <c r="W61" s="466"/>
      <c r="X61" s="466"/>
      <c r="Y61" s="465"/>
      <c r="Z61" s="466"/>
      <c r="AA61" s="466"/>
      <c r="AB61" s="466"/>
      <c r="AC61" s="465"/>
      <c r="AD61" s="466"/>
      <c r="AF61" s="466"/>
      <c r="AH61" s="24"/>
      <c r="AI61" s="25"/>
      <c r="AL61" s="24"/>
      <c r="AM61" s="26"/>
      <c r="AN61" s="26"/>
      <c r="AP61" s="24"/>
      <c r="AQ61" s="26"/>
      <c r="AR61" s="26"/>
      <c r="AT61" s="24"/>
      <c r="AU61" s="26"/>
      <c r="AV61" s="26"/>
      <c r="AX61" s="24"/>
      <c r="AY61" s="26"/>
      <c r="AZ61" s="26"/>
      <c r="BA61" s="24"/>
      <c r="BB61" s="24"/>
      <c r="BC61" s="25"/>
      <c r="BD61" s="25"/>
      <c r="BF61" s="23"/>
      <c r="BG61" s="23"/>
    </row>
    <row r="62" spans="10:59" ht="31.5">
      <c r="J62" s="24"/>
      <c r="L62" s="596" t="s">
        <v>0</v>
      </c>
      <c r="M62" s="436" t="s">
        <v>200</v>
      </c>
      <c r="N62" s="454" t="s">
        <v>205</v>
      </c>
      <c r="O62" s="436" t="s">
        <v>31</v>
      </c>
      <c r="P62" s="448" t="s">
        <v>201</v>
      </c>
      <c r="Q62" s="453" t="s">
        <v>206</v>
      </c>
      <c r="R62" s="453" t="s">
        <v>210</v>
      </c>
      <c r="S62" s="436" t="s">
        <v>22</v>
      </c>
      <c r="T62" s="437" t="s">
        <v>191</v>
      </c>
      <c r="U62" s="438" t="s">
        <v>244</v>
      </c>
      <c r="V62" s="466"/>
      <c r="W62" s="466"/>
      <c r="X62" s="466"/>
      <c r="Y62" s="465"/>
      <c r="Z62" s="466"/>
      <c r="AA62" s="466"/>
      <c r="AB62" s="466"/>
      <c r="AC62" s="465"/>
      <c r="AD62" s="466"/>
      <c r="AF62" s="466"/>
      <c r="AH62" s="24"/>
      <c r="AI62" s="25"/>
      <c r="AL62" s="24"/>
      <c r="AM62" s="26"/>
      <c r="AN62" s="26"/>
      <c r="AP62" s="24"/>
      <c r="AQ62" s="26"/>
      <c r="AR62" s="26"/>
      <c r="AT62" s="24"/>
      <c r="AU62" s="26"/>
      <c r="AV62" s="26"/>
      <c r="AX62" s="24"/>
      <c r="AY62" s="26"/>
      <c r="AZ62" s="26"/>
      <c r="BA62" s="24"/>
      <c r="BB62" s="24"/>
      <c r="BC62" s="25"/>
      <c r="BD62" s="25"/>
      <c r="BF62" s="23"/>
      <c r="BG62" s="23"/>
    </row>
    <row r="63" spans="10:59" ht="27" customHeight="1">
      <c r="J63" s="24"/>
      <c r="L63" s="586" t="s">
        <v>189</v>
      </c>
      <c r="M63" s="430">
        <v>0</v>
      </c>
      <c r="N63" s="430">
        <v>0</v>
      </c>
      <c r="O63" s="430">
        <v>0</v>
      </c>
      <c r="P63" s="430">
        <v>0</v>
      </c>
      <c r="Q63" s="430">
        <v>0</v>
      </c>
      <c r="R63" s="655">
        <v>0</v>
      </c>
      <c r="S63" s="430"/>
      <c r="T63" s="568">
        <f t="shared" ref="T63:T72" si="34">SUM(M63:S63)</f>
        <v>0</v>
      </c>
      <c r="U63" s="587">
        <v>15</v>
      </c>
      <c r="V63" s="466"/>
      <c r="W63" s="466"/>
      <c r="X63" s="466"/>
      <c r="Y63" s="465"/>
      <c r="Z63" s="466"/>
      <c r="AA63" s="466"/>
      <c r="AB63" s="466"/>
      <c r="AC63" s="465"/>
      <c r="AD63" s="466"/>
      <c r="AG63" s="26"/>
      <c r="AH63" s="24"/>
      <c r="AK63" s="49"/>
      <c r="AL63" s="24"/>
      <c r="AM63" s="26"/>
      <c r="AN63" s="26"/>
      <c r="AP63" s="24"/>
      <c r="AQ63" s="26"/>
      <c r="AR63" s="26"/>
      <c r="AT63" s="24"/>
      <c r="AU63" s="26"/>
      <c r="AV63" s="26"/>
      <c r="AX63" s="24"/>
      <c r="AY63" s="26"/>
      <c r="AZ63" s="26"/>
      <c r="BA63" s="24"/>
      <c r="BB63" s="24"/>
      <c r="BC63" s="25"/>
      <c r="BD63" s="25"/>
      <c r="BF63" s="23"/>
      <c r="BG63" s="23"/>
    </row>
    <row r="64" spans="10:59" ht="23.25">
      <c r="J64" s="24"/>
      <c r="L64" s="586" t="s">
        <v>183</v>
      </c>
      <c r="M64" s="430">
        <v>29</v>
      </c>
      <c r="N64" s="430">
        <v>0</v>
      </c>
      <c r="O64" s="430">
        <v>0</v>
      </c>
      <c r="P64" s="430">
        <v>0</v>
      </c>
      <c r="Q64" s="430">
        <v>0</v>
      </c>
      <c r="R64" s="655">
        <v>0</v>
      </c>
      <c r="S64" s="430"/>
      <c r="T64" s="568">
        <f t="shared" si="34"/>
        <v>29</v>
      </c>
      <c r="U64" s="516"/>
      <c r="V64" s="466"/>
      <c r="W64" s="466"/>
      <c r="X64" s="466"/>
      <c r="Y64" s="465"/>
      <c r="Z64" s="466"/>
      <c r="AA64" s="466"/>
      <c r="AB64" s="466"/>
      <c r="AC64" s="465"/>
      <c r="AD64" s="466"/>
      <c r="AG64" s="26"/>
      <c r="AH64" s="24"/>
      <c r="AK64" s="49"/>
      <c r="AL64" s="24"/>
      <c r="AO64" s="26"/>
      <c r="AP64" s="24"/>
      <c r="AQ64" s="26"/>
      <c r="AR64" s="26"/>
      <c r="AT64" s="24"/>
      <c r="AU64" s="26"/>
      <c r="AV64" s="26"/>
      <c r="AX64" s="24"/>
      <c r="AY64" s="26"/>
      <c r="AZ64" s="26"/>
      <c r="BA64" s="24"/>
      <c r="BB64" s="24"/>
      <c r="BE64" s="25"/>
      <c r="BF64" s="24"/>
      <c r="BG64" s="23"/>
    </row>
    <row r="65" spans="10:59" ht="23.25">
      <c r="J65" s="24"/>
      <c r="L65" s="586" t="s">
        <v>184</v>
      </c>
      <c r="M65" s="430">
        <v>0</v>
      </c>
      <c r="N65" s="430">
        <v>0</v>
      </c>
      <c r="O65" s="430">
        <v>0</v>
      </c>
      <c r="P65" s="430">
        <v>0</v>
      </c>
      <c r="Q65" s="430">
        <v>0</v>
      </c>
      <c r="R65" s="655">
        <v>0</v>
      </c>
      <c r="S65" s="430"/>
      <c r="T65" s="568">
        <f t="shared" si="34"/>
        <v>0</v>
      </c>
      <c r="U65" s="516">
        <v>9.6999999999999993</v>
      </c>
      <c r="V65" s="466"/>
      <c r="W65" s="466"/>
      <c r="X65" s="466"/>
      <c r="Y65" s="465"/>
      <c r="Z65" s="466"/>
      <c r="AA65" s="466"/>
      <c r="AB65" s="466"/>
      <c r="AC65" s="465"/>
      <c r="AD65" s="466"/>
      <c r="AG65" s="26"/>
      <c r="AH65" s="24"/>
      <c r="AK65" s="49"/>
      <c r="AL65" s="24"/>
      <c r="AO65" s="26"/>
      <c r="AP65" s="24"/>
      <c r="AQ65" s="26"/>
      <c r="AR65" s="26"/>
      <c r="AT65" s="24"/>
      <c r="AU65" s="26"/>
      <c r="AV65" s="26"/>
      <c r="AX65" s="24"/>
      <c r="AY65" s="26"/>
      <c r="AZ65" s="26"/>
      <c r="BA65" s="24"/>
      <c r="BB65" s="24"/>
      <c r="BE65" s="25"/>
      <c r="BF65" s="24"/>
      <c r="BG65" s="23"/>
    </row>
    <row r="66" spans="10:59" ht="23.25">
      <c r="J66" s="24"/>
      <c r="L66" s="586" t="s">
        <v>170</v>
      </c>
      <c r="M66" s="430">
        <v>18</v>
      </c>
      <c r="N66" s="430">
        <v>0</v>
      </c>
      <c r="O66" s="430">
        <v>0</v>
      </c>
      <c r="P66" s="430">
        <v>0</v>
      </c>
      <c r="Q66" s="430">
        <v>0</v>
      </c>
      <c r="R66" s="655">
        <v>0</v>
      </c>
      <c r="S66" s="430"/>
      <c r="T66" s="568">
        <f t="shared" si="34"/>
        <v>18</v>
      </c>
      <c r="U66" s="516"/>
      <c r="V66" s="466"/>
      <c r="W66" s="466"/>
      <c r="X66" s="466"/>
      <c r="Y66" s="465"/>
      <c r="Z66" s="466"/>
      <c r="AA66" s="466"/>
      <c r="AB66" s="466"/>
      <c r="AC66" s="465"/>
      <c r="AD66" s="466"/>
      <c r="AG66" s="26"/>
      <c r="AH66" s="24"/>
      <c r="AK66" s="49"/>
      <c r="AL66" s="24"/>
      <c r="AO66" s="26"/>
      <c r="AP66" s="24"/>
      <c r="AQ66" s="26"/>
      <c r="AR66" s="26"/>
      <c r="AT66" s="24"/>
      <c r="AU66" s="26"/>
      <c r="AV66" s="26"/>
      <c r="AX66" s="24"/>
      <c r="AY66" s="26"/>
      <c r="AZ66" s="26"/>
      <c r="BA66" s="24"/>
      <c r="BB66" s="24"/>
      <c r="BE66" s="25"/>
      <c r="BF66" s="24"/>
      <c r="BG66" s="23"/>
    </row>
    <row r="67" spans="10:59" ht="23.25">
      <c r="J67" s="24"/>
      <c r="L67" s="586" t="s">
        <v>171</v>
      </c>
      <c r="M67" s="430">
        <v>0</v>
      </c>
      <c r="N67" s="430">
        <v>2.8</v>
      </c>
      <c r="O67" s="430">
        <v>0</v>
      </c>
      <c r="P67" s="430">
        <v>0</v>
      </c>
      <c r="Q67" s="430">
        <v>0</v>
      </c>
      <c r="R67" s="655">
        <v>0</v>
      </c>
      <c r="S67" s="430"/>
      <c r="T67" s="568">
        <f t="shared" si="34"/>
        <v>2.8</v>
      </c>
      <c r="U67" s="516"/>
      <c r="V67" s="466"/>
      <c r="W67" s="466"/>
      <c r="X67" s="466"/>
      <c r="Y67" s="465"/>
      <c r="Z67" s="466"/>
      <c r="AA67" s="466"/>
      <c r="AB67" s="466"/>
      <c r="AC67" s="465"/>
      <c r="AD67" s="466"/>
      <c r="AG67" s="26"/>
      <c r="AH67" s="24"/>
      <c r="AK67" s="49"/>
      <c r="AL67" s="24"/>
      <c r="AO67" s="26"/>
      <c r="AP67" s="24"/>
      <c r="AQ67" s="26"/>
      <c r="AR67" s="26"/>
      <c r="AT67" s="24"/>
      <c r="AU67" s="26"/>
      <c r="AV67" s="26"/>
      <c r="AX67" s="24"/>
      <c r="AY67" s="26"/>
      <c r="AZ67" s="26"/>
      <c r="BA67" s="24"/>
      <c r="BB67" s="24"/>
      <c r="BE67" s="25"/>
      <c r="BF67" s="24"/>
      <c r="BG67" s="23"/>
    </row>
    <row r="68" spans="10:59" ht="23.25">
      <c r="J68" s="24"/>
      <c r="L68" s="586" t="s">
        <v>190</v>
      </c>
      <c r="M68" s="430">
        <v>0</v>
      </c>
      <c r="N68" s="430">
        <v>0</v>
      </c>
      <c r="O68" s="430">
        <v>0</v>
      </c>
      <c r="P68" s="430">
        <v>0</v>
      </c>
      <c r="Q68" s="430">
        <v>0</v>
      </c>
      <c r="R68" s="655">
        <v>0</v>
      </c>
      <c r="S68" s="430"/>
      <c r="T68" s="568">
        <f t="shared" si="34"/>
        <v>0</v>
      </c>
      <c r="U68" s="516">
        <v>15</v>
      </c>
      <c r="V68" s="466"/>
      <c r="W68" s="466"/>
      <c r="X68" s="466"/>
      <c r="Y68" s="465"/>
      <c r="Z68" s="466"/>
      <c r="AA68" s="466"/>
      <c r="AB68" s="466"/>
      <c r="AC68" s="465"/>
      <c r="AD68" s="466"/>
      <c r="AG68" s="26"/>
      <c r="AH68" s="24"/>
      <c r="AK68" s="49"/>
      <c r="AL68" s="24"/>
      <c r="AO68" s="26"/>
      <c r="AP68" s="24"/>
      <c r="AQ68" s="26"/>
      <c r="AR68" s="26"/>
      <c r="AT68" s="24"/>
      <c r="AU68" s="26"/>
      <c r="AV68" s="26"/>
      <c r="AX68" s="24"/>
      <c r="AY68" s="26"/>
      <c r="AZ68" s="26"/>
      <c r="BA68" s="24"/>
      <c r="BB68" s="24"/>
      <c r="BE68" s="25"/>
      <c r="BF68" s="24"/>
      <c r="BG68" s="23"/>
    </row>
    <row r="69" spans="10:59" ht="23.25">
      <c r="L69" s="586" t="s">
        <v>185</v>
      </c>
      <c r="M69" s="575">
        <v>31.05</v>
      </c>
      <c r="N69" s="430">
        <v>1.1000000000000001</v>
      </c>
      <c r="O69" s="430">
        <v>0</v>
      </c>
      <c r="P69" s="430">
        <v>0</v>
      </c>
      <c r="Q69" s="430">
        <v>0</v>
      </c>
      <c r="R69" s="655">
        <v>0</v>
      </c>
      <c r="S69" s="430"/>
      <c r="T69" s="568">
        <f t="shared" si="34"/>
        <v>32.15</v>
      </c>
      <c r="U69" s="516"/>
      <c r="V69" s="466"/>
      <c r="W69" s="466"/>
      <c r="X69" s="466"/>
      <c r="Y69" s="465"/>
      <c r="Z69" s="466"/>
      <c r="AA69" s="466"/>
      <c r="AB69" s="466"/>
      <c r="AC69" s="465"/>
      <c r="AD69" s="466"/>
      <c r="AG69" s="26"/>
      <c r="AH69" s="24"/>
      <c r="AK69" s="49"/>
      <c r="AL69" s="24"/>
      <c r="AO69" s="26"/>
      <c r="AP69" s="24"/>
      <c r="AQ69" s="26"/>
      <c r="AR69" s="26"/>
      <c r="AT69" s="24"/>
      <c r="AU69" s="26"/>
      <c r="AV69" s="26"/>
      <c r="AX69" s="24"/>
      <c r="AY69" s="26"/>
      <c r="AZ69" s="26"/>
      <c r="BA69" s="24"/>
      <c r="BB69" s="24"/>
      <c r="BE69" s="25"/>
      <c r="BF69" s="24"/>
      <c r="BG69" s="23"/>
    </row>
    <row r="70" spans="10:59" ht="23.25">
      <c r="L70" s="586" t="s">
        <v>202</v>
      </c>
      <c r="M70" s="430">
        <v>0</v>
      </c>
      <c r="N70" s="430">
        <v>0</v>
      </c>
      <c r="O70" s="430">
        <v>0</v>
      </c>
      <c r="P70" s="430">
        <v>4</v>
      </c>
      <c r="Q70" s="430">
        <v>0</v>
      </c>
      <c r="R70" s="655">
        <v>0</v>
      </c>
      <c r="S70" s="430"/>
      <c r="T70" s="568">
        <f t="shared" si="34"/>
        <v>4</v>
      </c>
      <c r="U70" s="516"/>
      <c r="V70" s="466"/>
      <c r="W70" s="466"/>
      <c r="X70" s="466"/>
      <c r="Y70" s="465"/>
      <c r="Z70" s="466"/>
      <c r="AA70" s="466"/>
      <c r="AB70" s="466"/>
      <c r="AC70" s="465"/>
      <c r="AD70" s="466"/>
      <c r="AG70" s="26"/>
      <c r="AH70" s="24"/>
      <c r="AK70" s="49"/>
      <c r="AL70" s="24"/>
      <c r="AM70" s="26"/>
      <c r="AN70" s="26"/>
      <c r="AY70" s="24"/>
      <c r="AZ70" s="24"/>
      <c r="BA70" s="24"/>
      <c r="BB70" s="24"/>
      <c r="BC70" s="25"/>
      <c r="BD70" s="25"/>
      <c r="BF70" s="23"/>
      <c r="BG70" s="23"/>
    </row>
    <row r="71" spans="10:59" ht="23.25">
      <c r="L71" s="586" t="s">
        <v>186</v>
      </c>
      <c r="M71" s="430">
        <v>25</v>
      </c>
      <c r="N71" s="430">
        <v>0</v>
      </c>
      <c r="O71" s="430">
        <v>0</v>
      </c>
      <c r="P71" s="430">
        <v>0</v>
      </c>
      <c r="Q71" s="430">
        <v>0</v>
      </c>
      <c r="R71" s="655">
        <v>0</v>
      </c>
      <c r="S71" s="430"/>
      <c r="T71" s="568">
        <f t="shared" si="34"/>
        <v>25</v>
      </c>
      <c r="U71" s="516"/>
      <c r="V71" s="466"/>
      <c r="W71" s="466"/>
      <c r="X71" s="466"/>
      <c r="Y71" s="465"/>
      <c r="Z71" s="466"/>
      <c r="AA71" s="466"/>
      <c r="AB71" s="466"/>
      <c r="AC71" s="465"/>
      <c r="AD71" s="466"/>
      <c r="AG71" s="26"/>
      <c r="AH71" s="24"/>
      <c r="AK71" s="49"/>
      <c r="AL71" s="24"/>
      <c r="AM71" s="26"/>
      <c r="AN71" s="26"/>
      <c r="AY71" s="24"/>
      <c r="AZ71" s="24"/>
      <c r="BA71" s="24"/>
      <c r="BB71" s="24"/>
      <c r="BC71" s="25"/>
      <c r="BD71" s="25"/>
      <c r="BF71" s="23"/>
      <c r="BG71" s="23"/>
    </row>
    <row r="72" spans="10:59" ht="23.25">
      <c r="L72" s="586" t="s">
        <v>203</v>
      </c>
      <c r="M72" s="430">
        <v>12</v>
      </c>
      <c r="N72" s="430">
        <v>0</v>
      </c>
      <c r="O72" s="430">
        <v>0</v>
      </c>
      <c r="P72" s="430">
        <v>0</v>
      </c>
      <c r="Q72" s="430">
        <v>0</v>
      </c>
      <c r="R72" s="655">
        <v>0</v>
      </c>
      <c r="S72" s="430"/>
      <c r="T72" s="568">
        <f t="shared" si="34"/>
        <v>12</v>
      </c>
      <c r="U72" s="587">
        <v>9.7899999999999991</v>
      </c>
      <c r="V72" s="466"/>
      <c r="W72" s="466"/>
      <c r="X72" s="466"/>
      <c r="Y72" s="465"/>
      <c r="Z72" s="466"/>
      <c r="AA72" s="466"/>
      <c r="AB72" s="466"/>
      <c r="AC72" s="465"/>
      <c r="AD72" s="466"/>
      <c r="AG72" s="26"/>
      <c r="AH72" s="24"/>
      <c r="AK72" s="49"/>
      <c r="AL72" s="24"/>
      <c r="AM72" s="26"/>
      <c r="AN72" s="26"/>
      <c r="AY72" s="24"/>
      <c r="AZ72" s="24"/>
      <c r="BA72" s="24"/>
      <c r="BB72" s="24"/>
      <c r="BC72" s="25"/>
      <c r="BD72" s="25"/>
      <c r="BF72" s="23"/>
      <c r="BG72" s="23"/>
    </row>
    <row r="73" spans="10:59" ht="33" customHeight="1" thickBot="1">
      <c r="L73" s="588" t="s">
        <v>191</v>
      </c>
      <c r="M73" s="589">
        <f t="shared" ref="M73" si="35">SUM(M63:M72)</f>
        <v>115.05</v>
      </c>
      <c r="N73" s="444">
        <f>SUM(N63:N72)</f>
        <v>3.9</v>
      </c>
      <c r="O73" s="444">
        <f t="shared" ref="O73" si="36">SUM(O63:O72)</f>
        <v>0</v>
      </c>
      <c r="P73" s="444">
        <f>SUM(P63:P72)</f>
        <v>4</v>
      </c>
      <c r="Q73" s="444">
        <f>SUM(Q63:Q72)</f>
        <v>0</v>
      </c>
      <c r="R73" s="444"/>
      <c r="S73" s="444">
        <f t="shared" ref="S73" si="37">SUM(S63:S72)</f>
        <v>0</v>
      </c>
      <c r="T73" s="630">
        <f>SUM(T63:T72)</f>
        <v>122.94999999999999</v>
      </c>
      <c r="U73" s="631">
        <f>SUM(U63:U72)</f>
        <v>49.49</v>
      </c>
      <c r="V73" s="466"/>
      <c r="W73" s="466"/>
      <c r="X73" s="466"/>
      <c r="Y73" s="465"/>
      <c r="Z73" s="466"/>
      <c r="AA73" s="466"/>
      <c r="AB73" s="466"/>
      <c r="AC73" s="465"/>
      <c r="AD73" s="466"/>
      <c r="AG73" s="26"/>
      <c r="AH73" s="24"/>
      <c r="AK73" s="49"/>
      <c r="AL73" s="24"/>
      <c r="AM73" s="26"/>
      <c r="AN73" s="26"/>
      <c r="AY73" s="24"/>
      <c r="AZ73" s="24"/>
      <c r="BA73" s="24"/>
      <c r="BB73" s="24"/>
      <c r="BC73" s="25"/>
      <c r="BD73" s="25"/>
      <c r="BF73" s="23"/>
      <c r="BG73" s="23"/>
    </row>
    <row r="74" spans="10:59" ht="27" customHeight="1" thickBot="1">
      <c r="L74" s="1932" t="s">
        <v>221</v>
      </c>
      <c r="M74" s="1932"/>
      <c r="N74" s="1932"/>
      <c r="O74" s="1932"/>
      <c r="P74" s="1932"/>
      <c r="Q74" s="1932"/>
      <c r="R74" s="1932"/>
      <c r="S74" s="1932"/>
      <c r="T74" s="1954">
        <f>T73+U73</f>
        <v>172.44</v>
      </c>
      <c r="U74" s="1955"/>
      <c r="V74" s="466"/>
      <c r="W74" s="466"/>
      <c r="X74" s="466"/>
      <c r="Y74" s="465"/>
      <c r="Z74" s="466"/>
      <c r="AA74" s="466"/>
      <c r="AB74" s="466"/>
      <c r="AC74" s="465"/>
      <c r="AD74" s="466"/>
      <c r="AG74" s="26"/>
      <c r="AH74" s="24"/>
      <c r="AK74" s="49"/>
      <c r="AL74" s="24"/>
      <c r="AM74" s="26"/>
      <c r="AN74" s="26"/>
      <c r="AP74" s="24"/>
      <c r="AQ74" s="26"/>
      <c r="AR74" s="26"/>
      <c r="AT74" s="24"/>
      <c r="AU74" s="26"/>
      <c r="AV74" s="26"/>
      <c r="AW74" s="50"/>
      <c r="AX74" s="50"/>
      <c r="AY74" s="26"/>
      <c r="AZ74" s="26"/>
      <c r="BA74" s="24"/>
      <c r="BB74" s="24"/>
      <c r="BC74" s="25"/>
      <c r="BD74" s="25"/>
      <c r="BF74" s="23"/>
      <c r="BG74" s="23"/>
    </row>
    <row r="75" spans="10:59" ht="23.25">
      <c r="L75" s="466"/>
      <c r="M75" s="466"/>
      <c r="N75" s="466"/>
      <c r="O75" s="1922" t="s">
        <v>235</v>
      </c>
      <c r="P75" s="1922"/>
      <c r="Q75" s="1922"/>
      <c r="R75" s="1922"/>
      <c r="S75" s="1922"/>
      <c r="T75" s="1956">
        <v>166</v>
      </c>
      <c r="U75" s="1957"/>
      <c r="V75" s="24"/>
      <c r="W75" s="466"/>
      <c r="X75" s="466"/>
      <c r="Y75" s="466"/>
      <c r="Z75" s="465"/>
      <c r="AA75" s="466"/>
      <c r="AB75" s="466"/>
      <c r="AC75" s="466"/>
      <c r="AD75" s="465"/>
      <c r="AE75" s="466"/>
      <c r="AN75" s="26"/>
      <c r="AO75" s="26"/>
      <c r="AP75" s="24"/>
      <c r="AR75" s="26"/>
      <c r="AS75" s="26"/>
      <c r="AT75" s="24"/>
      <c r="AV75" s="26"/>
      <c r="AW75" s="26"/>
      <c r="AX75" s="50"/>
      <c r="AZ75" s="26"/>
      <c r="BA75" s="26"/>
      <c r="BB75" s="24"/>
      <c r="BD75" s="25"/>
      <c r="BE75" s="25"/>
      <c r="BF75" s="24"/>
      <c r="BG75" s="23"/>
    </row>
    <row r="76" spans="10:59">
      <c r="L76" s="26"/>
      <c r="M76" s="26"/>
      <c r="N76" s="24"/>
      <c r="P76" s="26"/>
      <c r="Q76" s="26"/>
      <c r="R76" s="24"/>
      <c r="T76" s="26"/>
      <c r="U76" s="26"/>
      <c r="V76" s="24"/>
      <c r="W76" s="466"/>
      <c r="X76" s="466"/>
      <c r="Y76" s="466"/>
      <c r="Z76" s="465"/>
      <c r="AA76" s="466"/>
      <c r="AB76" s="466"/>
      <c r="AC76" s="466"/>
      <c r="AD76" s="465"/>
      <c r="AE76" s="466"/>
      <c r="AN76" s="26"/>
      <c r="AO76" s="26"/>
      <c r="AP76" s="24"/>
      <c r="AR76" s="26"/>
      <c r="AS76" s="26"/>
      <c r="AT76" s="24"/>
      <c r="AV76" s="26"/>
      <c r="AW76" s="26"/>
      <c r="AX76" s="50"/>
      <c r="AZ76" s="26"/>
      <c r="BA76" s="26"/>
      <c r="BB76" s="24"/>
      <c r="BD76" s="25"/>
      <c r="BE76" s="25"/>
      <c r="BF76" s="24"/>
      <c r="BG76" s="23"/>
    </row>
    <row r="77" spans="10:59">
      <c r="L77" s="26"/>
      <c r="M77" s="26"/>
      <c r="N77" s="24"/>
      <c r="P77" s="26"/>
      <c r="Q77" s="26"/>
      <c r="R77" s="24"/>
      <c r="T77" s="26"/>
      <c r="U77" s="26"/>
      <c r="V77" s="24"/>
      <c r="W77" s="466"/>
      <c r="X77" s="466"/>
      <c r="Y77" s="466"/>
      <c r="Z77" s="465"/>
      <c r="AA77" s="466"/>
      <c r="AB77" s="466"/>
      <c r="AC77" s="466"/>
      <c r="AD77" s="465"/>
      <c r="AE77" s="466"/>
      <c r="AN77" s="26"/>
      <c r="AO77" s="26"/>
      <c r="AP77" s="24"/>
      <c r="AR77" s="26"/>
      <c r="AS77" s="26"/>
      <c r="AT77" s="24"/>
      <c r="AV77" s="26"/>
      <c r="AW77" s="26"/>
      <c r="AX77" s="50"/>
      <c r="AZ77" s="26"/>
      <c r="BA77" s="26"/>
      <c r="BB77" s="24"/>
      <c r="BD77" s="25"/>
      <c r="BE77" s="25"/>
      <c r="BF77" s="24"/>
      <c r="BG77" s="23"/>
    </row>
    <row r="78" spans="10:59">
      <c r="L78" s="26"/>
      <c r="M78" s="26"/>
      <c r="N78" s="24"/>
      <c r="P78" s="26"/>
      <c r="Q78" s="26"/>
      <c r="R78" s="24"/>
      <c r="T78" s="26"/>
      <c r="U78" s="26"/>
      <c r="V78" s="24"/>
      <c r="W78" s="466"/>
      <c r="X78" s="466"/>
      <c r="Y78" s="466"/>
      <c r="Z78" s="465"/>
      <c r="AA78" s="466"/>
      <c r="AB78" s="466"/>
      <c r="AC78" s="466"/>
      <c r="AD78" s="465"/>
      <c r="AE78" s="466"/>
      <c r="AN78" s="26"/>
      <c r="AO78" s="26"/>
      <c r="AP78" s="24"/>
      <c r="AR78" s="26"/>
      <c r="AS78" s="26"/>
      <c r="AT78" s="24"/>
      <c r="AV78" s="26"/>
      <c r="AW78" s="26"/>
      <c r="AX78" s="50"/>
      <c r="AZ78" s="26"/>
      <c r="BA78" s="26"/>
      <c r="BB78" s="24"/>
      <c r="BD78" s="25"/>
      <c r="BE78" s="25"/>
      <c r="BF78" s="24"/>
      <c r="BG78" s="23"/>
    </row>
    <row r="79" spans="10:59">
      <c r="L79" s="26"/>
      <c r="M79" s="26"/>
      <c r="N79" s="24"/>
      <c r="P79" s="26"/>
      <c r="Q79" s="26"/>
      <c r="R79" s="24"/>
      <c r="T79" s="26"/>
      <c r="U79" s="26"/>
      <c r="V79" s="24"/>
      <c r="X79" s="26"/>
      <c r="Y79" s="26"/>
      <c r="Z79" s="24"/>
      <c r="AB79" s="26"/>
      <c r="AC79" s="26"/>
      <c r="AD79" s="24"/>
      <c r="AF79" s="26"/>
      <c r="AG79" s="26"/>
      <c r="AH79" s="24"/>
      <c r="AJ79" s="49"/>
      <c r="AK79" s="49"/>
      <c r="AL79" s="24"/>
      <c r="AN79" s="26"/>
      <c r="AO79" s="26"/>
      <c r="AP79" s="24"/>
      <c r="AR79" s="26"/>
      <c r="AS79" s="26"/>
      <c r="AT79" s="24"/>
      <c r="AV79" s="26"/>
      <c r="AW79" s="26"/>
      <c r="AX79" s="50"/>
      <c r="AZ79" s="26"/>
      <c r="BA79" s="26"/>
      <c r="BB79" s="24"/>
      <c r="BD79" s="25"/>
      <c r="BE79" s="25"/>
      <c r="BF79" s="24"/>
      <c r="BG79" s="23"/>
    </row>
    <row r="80" spans="10:59">
      <c r="L80" s="26"/>
      <c r="M80" s="26"/>
      <c r="N80" s="24"/>
      <c r="P80" s="26"/>
      <c r="Q80" s="26"/>
      <c r="R80" s="24"/>
      <c r="T80" s="26"/>
      <c r="U80" s="26"/>
      <c r="V80" s="24"/>
      <c r="X80" s="26"/>
      <c r="Y80" s="26"/>
      <c r="Z80" s="24"/>
      <c r="AB80" s="26"/>
      <c r="AC80" s="26"/>
      <c r="AD80" s="24"/>
      <c r="AF80" s="26"/>
      <c r="AG80" s="26"/>
      <c r="AH80" s="24"/>
      <c r="AJ80" s="49"/>
      <c r="AK80" s="49"/>
      <c r="AL80" s="24"/>
      <c r="AN80" s="26"/>
      <c r="AO80" s="26"/>
      <c r="AP80" s="24"/>
      <c r="AR80" s="26"/>
      <c r="AS80" s="26"/>
      <c r="AT80" s="24"/>
      <c r="AV80" s="26"/>
      <c r="AW80" s="26"/>
      <c r="AX80" s="50"/>
      <c r="AZ80" s="26"/>
      <c r="BA80" s="26"/>
      <c r="BB80" s="24"/>
      <c r="BD80" s="25"/>
      <c r="BE80" s="25"/>
      <c r="BF80" s="24"/>
      <c r="BG80" s="23"/>
    </row>
  </sheetData>
  <mergeCells count="62">
    <mergeCell ref="C14:D14"/>
    <mergeCell ref="V31:AD31"/>
    <mergeCell ref="BF4:BI4"/>
    <mergeCell ref="AD59:AE59"/>
    <mergeCell ref="C2:F2"/>
    <mergeCell ref="H2:K2"/>
    <mergeCell ref="C6:C9"/>
    <mergeCell ref="H6:H9"/>
    <mergeCell ref="D4:F4"/>
    <mergeCell ref="H4:I5"/>
    <mergeCell ref="C5:D5"/>
    <mergeCell ref="H10:I10"/>
    <mergeCell ref="H13:I14"/>
    <mergeCell ref="D13:F13"/>
    <mergeCell ref="C15:C24"/>
    <mergeCell ref="H15:H23"/>
    <mergeCell ref="H24:I24"/>
    <mergeCell ref="H26:I26"/>
    <mergeCell ref="BF13:BI13"/>
    <mergeCell ref="N2:AZ2"/>
    <mergeCell ref="BB2:BI2"/>
    <mergeCell ref="H3:BI3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Y59:AC59"/>
    <mergeCell ref="BC27:BC28"/>
    <mergeCell ref="AX4:BA4"/>
    <mergeCell ref="BB4:BE4"/>
    <mergeCell ref="L31:S31"/>
    <mergeCell ref="L45:T45"/>
    <mergeCell ref="V45:AE45"/>
    <mergeCell ref="H12:BI12"/>
    <mergeCell ref="J13:M13"/>
    <mergeCell ref="N13:Q13"/>
    <mergeCell ref="R13:U13"/>
    <mergeCell ref="V13:Y13"/>
    <mergeCell ref="Z13:AC13"/>
    <mergeCell ref="AD13:AG13"/>
    <mergeCell ref="AH13:AK13"/>
    <mergeCell ref="AL13:AO13"/>
    <mergeCell ref="O58:R58"/>
    <mergeCell ref="S58:T58"/>
    <mergeCell ref="BH27:BI27"/>
    <mergeCell ref="AX13:BA13"/>
    <mergeCell ref="BB13:BE13"/>
    <mergeCell ref="V58:AC58"/>
    <mergeCell ref="AD58:AE58"/>
    <mergeCell ref="AP13:AS13"/>
    <mergeCell ref="AT13:AW13"/>
    <mergeCell ref="L61:U61"/>
    <mergeCell ref="L74:S74"/>
    <mergeCell ref="T74:U74"/>
    <mergeCell ref="O75:S75"/>
    <mergeCell ref="T75:U75"/>
  </mergeCells>
  <conditionalFormatting sqref="M47:R56">
    <cfRule type="cellIs" dxfId="42" priority="2" operator="equal">
      <formula>0</formula>
    </cfRule>
  </conditionalFormatting>
  <conditionalFormatting sqref="M63:S72">
    <cfRule type="cellIs" dxfId="41" priority="1" operator="equal">
      <formula>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1">
    <pageSetUpPr fitToPage="1"/>
  </sheetPr>
  <dimension ref="A1:BI80"/>
  <sheetViews>
    <sheetView showGridLines="0" topLeftCell="I1" zoomScale="50" zoomScaleNormal="50" workbookViewId="0">
      <pane xSplit="1" topLeftCell="J1" activePane="topRight" state="frozen"/>
      <selection activeCell="I1" sqref="I1"/>
      <selection pane="topRight" activeCell="AF43" sqref="AF43"/>
    </sheetView>
  </sheetViews>
  <sheetFormatPr defaultColWidth="9.140625" defaultRowHeight="15"/>
  <cols>
    <col min="1" max="2" width="9.140625" style="23" hidden="1" customWidth="1"/>
    <col min="3" max="3" width="14.5703125" style="23" hidden="1" customWidth="1"/>
    <col min="4" max="4" width="11.42578125" style="27" hidden="1" customWidth="1"/>
    <col min="5" max="5" width="6.85546875" style="27" hidden="1" customWidth="1"/>
    <col min="6" max="6" width="9.140625" style="27" hidden="1" customWidth="1"/>
    <col min="7" max="7" width="3.42578125" style="23" hidden="1" customWidth="1"/>
    <col min="8" max="8" width="6.140625" style="23" customWidth="1"/>
    <col min="9" max="9" width="22.140625" style="27" customWidth="1"/>
    <col min="10" max="10" width="11.5703125" style="26" customWidth="1"/>
    <col min="11" max="11" width="9.140625" style="24" customWidth="1"/>
    <col min="12" max="13" width="12.85546875" style="24" customWidth="1"/>
    <col min="14" max="14" width="10.5703125" style="26" customWidth="1"/>
    <col min="15" max="15" width="10.28515625" style="24" customWidth="1"/>
    <col min="16" max="17" width="10.5703125" style="24" customWidth="1"/>
    <col min="18" max="18" width="8.5703125" style="26" customWidth="1"/>
    <col min="19" max="19" width="11.5703125" style="24" customWidth="1"/>
    <col min="20" max="20" width="15.85546875" style="24" customWidth="1"/>
    <col min="21" max="21" width="13.7109375" style="24" customWidth="1"/>
    <col min="22" max="22" width="13.7109375" style="26" bestFit="1" customWidth="1"/>
    <col min="23" max="23" width="11" style="24" bestFit="1" customWidth="1"/>
    <col min="24" max="25" width="9.7109375" style="24" customWidth="1"/>
    <col min="26" max="26" width="11" style="26" customWidth="1"/>
    <col min="27" max="27" width="12.42578125" style="24" customWidth="1"/>
    <col min="28" max="29" width="11.85546875" style="24" customWidth="1"/>
    <col min="30" max="30" width="11" style="26" bestFit="1" customWidth="1"/>
    <col min="31" max="31" width="11.7109375" style="24" bestFit="1" customWidth="1"/>
    <col min="32" max="32" width="10.5703125" style="24" bestFit="1" customWidth="1"/>
    <col min="33" max="33" width="10.5703125" style="24" customWidth="1"/>
    <col min="34" max="34" width="11.5703125" style="26" bestFit="1" customWidth="1"/>
    <col min="35" max="35" width="13.5703125" style="24" customWidth="1"/>
    <col min="36" max="37" width="11.5703125" style="24" customWidth="1"/>
    <col min="38" max="38" width="10.5703125" style="49" customWidth="1"/>
    <col min="39" max="39" width="9" style="24" customWidth="1"/>
    <col min="40" max="40" width="12" style="24" bestFit="1" customWidth="1"/>
    <col min="41" max="41" width="12" style="24" customWidth="1"/>
    <col min="42" max="42" width="8.42578125" style="26" customWidth="1"/>
    <col min="43" max="43" width="10" style="24" bestFit="1" customWidth="1"/>
    <col min="44" max="44" width="13.85546875" style="24" bestFit="1" customWidth="1"/>
    <col min="45" max="45" width="13.85546875" style="24" customWidth="1"/>
    <col min="46" max="46" width="11.7109375" style="26" customWidth="1"/>
    <col min="47" max="47" width="11.7109375" style="24" customWidth="1"/>
    <col min="48" max="48" width="10.5703125" style="24" bestFit="1" customWidth="1"/>
    <col min="49" max="49" width="10.5703125" style="24" customWidth="1"/>
    <col min="50" max="50" width="9.140625" style="26" bestFit="1" customWidth="1"/>
    <col min="51" max="51" width="9.140625" style="50" bestFit="1" customWidth="1"/>
    <col min="52" max="52" width="10.5703125" style="50" bestFit="1" customWidth="1"/>
    <col min="53" max="53" width="10.5703125" style="50" customWidth="1"/>
    <col min="54" max="54" width="10.7109375" style="26" bestFit="1" customWidth="1"/>
    <col min="55" max="55" width="12.85546875" style="24" bestFit="1" customWidth="1"/>
    <col min="56" max="56" width="10.5703125" style="24" bestFit="1" customWidth="1"/>
    <col min="57" max="57" width="10.5703125" style="24" customWidth="1"/>
    <col min="58" max="58" width="16" style="25" bestFit="1" customWidth="1"/>
    <col min="59" max="59" width="10.7109375" style="24" bestFit="1" customWidth="1"/>
    <col min="60" max="60" width="13" style="23" bestFit="1" customWidth="1"/>
    <col min="61" max="16384" width="9.140625" style="23"/>
  </cols>
  <sheetData>
    <row r="1" spans="3:61" ht="15" customHeight="1" thickBot="1"/>
    <row r="2" spans="3:61" ht="21.75" thickBot="1">
      <c r="C2" s="1899" t="s">
        <v>45</v>
      </c>
      <c r="D2" s="1900"/>
      <c r="E2" s="1900"/>
      <c r="F2" s="1901"/>
      <c r="H2" s="1915"/>
      <c r="I2" s="1567"/>
      <c r="J2" s="1567"/>
      <c r="K2" s="1567"/>
      <c r="L2" s="1020"/>
      <c r="M2" s="1020"/>
      <c r="N2" s="1916" t="s">
        <v>293</v>
      </c>
      <c r="O2" s="1916"/>
      <c r="P2" s="1916"/>
      <c r="Q2" s="1916"/>
      <c r="R2" s="1916"/>
      <c r="S2" s="1916"/>
      <c r="T2" s="1916"/>
      <c r="U2" s="1916"/>
      <c r="V2" s="1916"/>
      <c r="W2" s="1916"/>
      <c r="X2" s="1916"/>
      <c r="Y2" s="1916"/>
      <c r="Z2" s="1916"/>
      <c r="AA2" s="1916"/>
      <c r="AB2" s="1916"/>
      <c r="AC2" s="1916"/>
      <c r="AD2" s="1916"/>
      <c r="AE2" s="1916"/>
      <c r="AF2" s="1916"/>
      <c r="AG2" s="1916"/>
      <c r="AH2" s="1916"/>
      <c r="AI2" s="1916"/>
      <c r="AJ2" s="1916"/>
      <c r="AK2" s="1916"/>
      <c r="AL2" s="1916"/>
      <c r="AM2" s="1916"/>
      <c r="AN2" s="1916"/>
      <c r="AO2" s="1916"/>
      <c r="AP2" s="1916"/>
      <c r="AQ2" s="1916"/>
      <c r="AR2" s="1916"/>
      <c r="AS2" s="1916"/>
      <c r="AT2" s="1916"/>
      <c r="AU2" s="1916"/>
      <c r="AV2" s="1916"/>
      <c r="AW2" s="1916"/>
      <c r="AX2" s="1916"/>
      <c r="AY2" s="1916"/>
      <c r="AZ2" s="1916"/>
      <c r="BA2" s="1020"/>
      <c r="BB2" s="1902" t="s">
        <v>118</v>
      </c>
      <c r="BC2" s="1903"/>
      <c r="BD2" s="1903"/>
      <c r="BE2" s="1903"/>
      <c r="BF2" s="1903"/>
      <c r="BG2" s="1903"/>
      <c r="BH2" s="1903"/>
      <c r="BI2" s="1904"/>
    </row>
    <row r="3" spans="3:61" ht="19.5" thickBot="1">
      <c r="C3" s="1019"/>
      <c r="D3" s="1017"/>
      <c r="E3" s="1017"/>
      <c r="F3" s="1023"/>
      <c r="H3" s="1905" t="s">
        <v>115</v>
      </c>
      <c r="I3" s="1906"/>
      <c r="J3" s="1906"/>
      <c r="K3" s="1906"/>
      <c r="L3" s="1906"/>
      <c r="M3" s="1906"/>
      <c r="N3" s="1906"/>
      <c r="O3" s="1906"/>
      <c r="P3" s="1906"/>
      <c r="Q3" s="1906"/>
      <c r="R3" s="1906"/>
      <c r="S3" s="1906"/>
      <c r="T3" s="1906"/>
      <c r="U3" s="1906"/>
      <c r="V3" s="1906"/>
      <c r="W3" s="1906"/>
      <c r="X3" s="1906"/>
      <c r="Y3" s="1906"/>
      <c r="Z3" s="1906"/>
      <c r="AA3" s="1906"/>
      <c r="AB3" s="1906"/>
      <c r="AC3" s="1906"/>
      <c r="AD3" s="1906"/>
      <c r="AE3" s="1906"/>
      <c r="AF3" s="1906"/>
      <c r="AG3" s="1906"/>
      <c r="AH3" s="1906"/>
      <c r="AI3" s="1906"/>
      <c r="AJ3" s="1906"/>
      <c r="AK3" s="1906"/>
      <c r="AL3" s="1906"/>
      <c r="AM3" s="1906"/>
      <c r="AN3" s="1906"/>
      <c r="AO3" s="1906"/>
      <c r="AP3" s="1906"/>
      <c r="AQ3" s="1906"/>
      <c r="AR3" s="1906"/>
      <c r="AS3" s="1906"/>
      <c r="AT3" s="1906"/>
      <c r="AU3" s="1906"/>
      <c r="AV3" s="1906"/>
      <c r="AW3" s="1906"/>
      <c r="AX3" s="1906"/>
      <c r="AY3" s="1906"/>
      <c r="AZ3" s="1906"/>
      <c r="BA3" s="1906"/>
      <c r="BB3" s="1906"/>
      <c r="BC3" s="1906"/>
      <c r="BD3" s="1906"/>
      <c r="BE3" s="1906"/>
      <c r="BF3" s="1906"/>
      <c r="BG3" s="1906"/>
      <c r="BH3" s="1906"/>
      <c r="BI3" s="1907"/>
    </row>
    <row r="4" spans="3:61" ht="18.75">
      <c r="C4" s="37" t="s">
        <v>44</v>
      </c>
      <c r="D4" s="1869"/>
      <c r="E4" s="1869"/>
      <c r="F4" s="1870"/>
      <c r="H4" s="1908" t="s">
        <v>33</v>
      </c>
      <c r="I4" s="1909"/>
      <c r="J4" s="1871" t="s">
        <v>43</v>
      </c>
      <c r="K4" s="1872"/>
      <c r="L4" s="1872"/>
      <c r="M4" s="1873"/>
      <c r="N4" s="1871" t="s">
        <v>42</v>
      </c>
      <c r="O4" s="1872"/>
      <c r="P4" s="1872"/>
      <c r="Q4" s="1873"/>
      <c r="R4" s="1871" t="s">
        <v>41</v>
      </c>
      <c r="S4" s="1872"/>
      <c r="T4" s="1872"/>
      <c r="U4" s="1873"/>
      <c r="V4" s="1871" t="s">
        <v>40</v>
      </c>
      <c r="W4" s="1872"/>
      <c r="X4" s="1872"/>
      <c r="Y4" s="1873"/>
      <c r="Z4" s="1871" t="s">
        <v>39</v>
      </c>
      <c r="AA4" s="1872"/>
      <c r="AB4" s="1872"/>
      <c r="AC4" s="1873"/>
      <c r="AD4" s="1871" t="s">
        <v>38</v>
      </c>
      <c r="AE4" s="1872"/>
      <c r="AF4" s="1872"/>
      <c r="AG4" s="1873"/>
      <c r="AH4" s="1874" t="s">
        <v>122</v>
      </c>
      <c r="AI4" s="1875"/>
      <c r="AJ4" s="1875"/>
      <c r="AK4" s="1876"/>
      <c r="AL4" s="1871" t="s">
        <v>37</v>
      </c>
      <c r="AM4" s="1872"/>
      <c r="AN4" s="1872"/>
      <c r="AO4" s="1873"/>
      <c r="AP4" s="1871" t="s">
        <v>36</v>
      </c>
      <c r="AQ4" s="1872"/>
      <c r="AR4" s="1872"/>
      <c r="AS4" s="1873"/>
      <c r="AT4" s="1871" t="s">
        <v>35</v>
      </c>
      <c r="AU4" s="1872"/>
      <c r="AV4" s="1872"/>
      <c r="AW4" s="1873"/>
      <c r="AX4" s="1871" t="s">
        <v>34</v>
      </c>
      <c r="AY4" s="1872"/>
      <c r="AZ4" s="1872"/>
      <c r="BA4" s="1873"/>
      <c r="BB4" s="1874" t="s">
        <v>123</v>
      </c>
      <c r="BC4" s="1875"/>
      <c r="BD4" s="1875"/>
      <c r="BE4" s="1876"/>
      <c r="BF4" s="1877" t="s">
        <v>17</v>
      </c>
      <c r="BG4" s="1878"/>
      <c r="BH4" s="1878"/>
      <c r="BI4" s="1878"/>
    </row>
    <row r="5" spans="3:61" ht="15.75" customHeight="1">
      <c r="C5" s="1879" t="s">
        <v>33</v>
      </c>
      <c r="D5" s="1869"/>
      <c r="E5" s="1017" t="s">
        <v>1</v>
      </c>
      <c r="F5" s="1023" t="s">
        <v>2</v>
      </c>
      <c r="H5" s="1910"/>
      <c r="I5" s="1911"/>
      <c r="J5" s="36" t="s">
        <v>1</v>
      </c>
      <c r="K5" s="271" t="s">
        <v>2</v>
      </c>
      <c r="L5" s="693" t="s">
        <v>182</v>
      </c>
      <c r="M5" s="35" t="s">
        <v>247</v>
      </c>
      <c r="N5" s="36" t="s">
        <v>1</v>
      </c>
      <c r="O5" s="271" t="s">
        <v>2</v>
      </c>
      <c r="P5" s="693" t="s">
        <v>182</v>
      </c>
      <c r="Q5" s="35" t="s">
        <v>247</v>
      </c>
      <c r="R5" s="36" t="s">
        <v>1</v>
      </c>
      <c r="S5" s="271" t="s">
        <v>2</v>
      </c>
      <c r="T5" s="693" t="s">
        <v>182</v>
      </c>
      <c r="U5" s="35" t="s">
        <v>247</v>
      </c>
      <c r="V5" s="36" t="s">
        <v>1</v>
      </c>
      <c r="W5" s="271" t="s">
        <v>2</v>
      </c>
      <c r="X5" s="693" t="s">
        <v>182</v>
      </c>
      <c r="Y5" s="35" t="s">
        <v>247</v>
      </c>
      <c r="Z5" s="36" t="s">
        <v>1</v>
      </c>
      <c r="AA5" s="271" t="s">
        <v>2</v>
      </c>
      <c r="AB5" s="693" t="s">
        <v>182</v>
      </c>
      <c r="AC5" s="35" t="s">
        <v>247</v>
      </c>
      <c r="AD5" s="36" t="s">
        <v>1</v>
      </c>
      <c r="AE5" s="271" t="s">
        <v>2</v>
      </c>
      <c r="AF5" s="693" t="s">
        <v>182</v>
      </c>
      <c r="AG5" s="35" t="s">
        <v>247</v>
      </c>
      <c r="AH5" s="36" t="s">
        <v>1</v>
      </c>
      <c r="AI5" s="271" t="s">
        <v>2</v>
      </c>
      <c r="AJ5" s="271" t="s">
        <v>182</v>
      </c>
      <c r="AK5" s="690" t="s">
        <v>196</v>
      </c>
      <c r="AL5" s="36" t="s">
        <v>1</v>
      </c>
      <c r="AM5" s="271" t="s">
        <v>2</v>
      </c>
      <c r="AN5" s="693" t="s">
        <v>182</v>
      </c>
      <c r="AO5" s="35" t="s">
        <v>247</v>
      </c>
      <c r="AP5" s="36" t="s">
        <v>1</v>
      </c>
      <c r="AQ5" s="271" t="s">
        <v>2</v>
      </c>
      <c r="AR5" s="693" t="s">
        <v>182</v>
      </c>
      <c r="AS5" s="35" t="s">
        <v>247</v>
      </c>
      <c r="AT5" s="36" t="s">
        <v>1</v>
      </c>
      <c r="AU5" s="271" t="s">
        <v>2</v>
      </c>
      <c r="AV5" s="693" t="s">
        <v>182</v>
      </c>
      <c r="AW5" s="35" t="s">
        <v>247</v>
      </c>
      <c r="AX5" s="36" t="s">
        <v>1</v>
      </c>
      <c r="AY5" s="271" t="s">
        <v>2</v>
      </c>
      <c r="AZ5" s="693" t="s">
        <v>182</v>
      </c>
      <c r="BA5" s="35" t="s">
        <v>247</v>
      </c>
      <c r="BB5" s="36" t="s">
        <v>1</v>
      </c>
      <c r="BC5" s="271" t="s">
        <v>2</v>
      </c>
      <c r="BD5" s="271" t="s">
        <v>182</v>
      </c>
      <c r="BE5" s="690" t="s">
        <v>196</v>
      </c>
      <c r="BF5" s="274" t="s">
        <v>1</v>
      </c>
      <c r="BG5" s="275" t="s">
        <v>2</v>
      </c>
      <c r="BH5" s="275" t="s">
        <v>182</v>
      </c>
      <c r="BI5" s="698" t="s">
        <v>196</v>
      </c>
    </row>
    <row r="6" spans="3:61" s="28" customFormat="1" ht="20.100000000000001" customHeight="1">
      <c r="C6" s="1879" t="s">
        <v>19</v>
      </c>
      <c r="D6" s="1017" t="s">
        <v>32</v>
      </c>
      <c r="E6" s="1017"/>
      <c r="F6" s="1018"/>
      <c r="H6" s="1886" t="s">
        <v>32</v>
      </c>
      <c r="I6" s="33" t="s">
        <v>32</v>
      </c>
      <c r="J6" s="462"/>
      <c r="K6" s="463"/>
      <c r="L6" s="463"/>
      <c r="M6" s="691"/>
      <c r="N6" s="462"/>
      <c r="O6" s="463"/>
      <c r="P6" s="463"/>
      <c r="Q6" s="691"/>
      <c r="R6" s="462"/>
      <c r="S6" s="463"/>
      <c r="T6" s="463"/>
      <c r="U6" s="691"/>
      <c r="V6" s="462"/>
      <c r="W6" s="463"/>
      <c r="X6" s="463"/>
      <c r="Y6" s="691"/>
      <c r="Z6" s="462"/>
      <c r="AA6" s="463"/>
      <c r="AB6" s="463"/>
      <c r="AC6" s="691"/>
      <c r="AD6" s="462"/>
      <c r="AE6" s="463"/>
      <c r="AF6" s="463"/>
      <c r="AG6" s="691"/>
      <c r="AH6" s="128">
        <f>J6+N6+R6+V6+Z6+AD6</f>
        <v>0</v>
      </c>
      <c r="AI6" s="273">
        <f>K6+O6+S6+W6+AA6+AE6</f>
        <v>0</v>
      </c>
      <c r="AJ6" s="273">
        <f>L6+P6+T6+X6+AB6+AF6</f>
        <v>0</v>
      </c>
      <c r="AK6" s="694">
        <f>M6+Q6+U6+Y6+AC6+AG6</f>
        <v>0</v>
      </c>
      <c r="AL6" s="462"/>
      <c r="AM6" s="463"/>
      <c r="AN6" s="463"/>
      <c r="AO6" s="691"/>
      <c r="AP6" s="462"/>
      <c r="AQ6" s="463"/>
      <c r="AR6" s="463"/>
      <c r="AS6" s="691"/>
      <c r="AT6" s="462"/>
      <c r="AU6" s="463"/>
      <c r="AV6" s="463"/>
      <c r="AW6" s="691"/>
      <c r="AX6" s="462"/>
      <c r="AY6" s="463"/>
      <c r="AZ6" s="463"/>
      <c r="BA6" s="691"/>
      <c r="BB6" s="128">
        <f>AL6+AP6+AT6+AX6</f>
        <v>0</v>
      </c>
      <c r="BC6" s="273">
        <f>AM6+AQ6+AU6+AY6</f>
        <v>0</v>
      </c>
      <c r="BD6" s="273">
        <f>AN6+AR6+AV6+AZ6</f>
        <v>0</v>
      </c>
      <c r="BE6" s="273">
        <f>AO6+AS6+AW6+BA6</f>
        <v>0</v>
      </c>
      <c r="BF6" s="276">
        <f>AH6+BB6</f>
        <v>0</v>
      </c>
      <c r="BG6" s="277">
        <f>AI6+BC6</f>
        <v>0</v>
      </c>
      <c r="BH6" s="701">
        <f>AJ6+BD6</f>
        <v>0</v>
      </c>
      <c r="BI6" s="699">
        <f>AK6+BE6</f>
        <v>0</v>
      </c>
    </row>
    <row r="7" spans="3:61" s="28" customFormat="1" ht="20.100000000000001" customHeight="1">
      <c r="C7" s="1879"/>
      <c r="D7" s="1017" t="s">
        <v>31</v>
      </c>
      <c r="E7" s="1017"/>
      <c r="F7" s="1018"/>
      <c r="H7" s="1887"/>
      <c r="I7" s="33" t="s">
        <v>31</v>
      </c>
      <c r="J7" s="462"/>
      <c r="K7" s="463"/>
      <c r="L7" s="463"/>
      <c r="M7" s="691"/>
      <c r="N7" s="462"/>
      <c r="O7" s="463"/>
      <c r="P7" s="463"/>
      <c r="Q7" s="691"/>
      <c r="R7" s="462"/>
      <c r="S7" s="463"/>
      <c r="T7" s="463"/>
      <c r="U7" s="691"/>
      <c r="V7" s="462"/>
      <c r="W7" s="463"/>
      <c r="X7" s="463"/>
      <c r="Y7" s="691"/>
      <c r="Z7" s="462"/>
      <c r="AA7" s="463"/>
      <c r="AB7" s="463"/>
      <c r="AC7" s="691"/>
      <c r="AD7" s="462"/>
      <c r="AE7" s="463"/>
      <c r="AF7" s="463"/>
      <c r="AG7" s="691"/>
      <c r="AH7" s="128">
        <f t="shared" ref="AH7:AK9" si="0">J7+N7+R7+V7+Z7+AD7</f>
        <v>0</v>
      </c>
      <c r="AI7" s="273">
        <f t="shared" si="0"/>
        <v>0</v>
      </c>
      <c r="AJ7" s="273">
        <f t="shared" si="0"/>
        <v>0</v>
      </c>
      <c r="AK7" s="694">
        <f t="shared" si="0"/>
        <v>0</v>
      </c>
      <c r="AL7" s="462"/>
      <c r="AM7" s="463"/>
      <c r="AN7" s="463"/>
      <c r="AO7" s="691"/>
      <c r="AP7" s="462"/>
      <c r="AQ7" s="463"/>
      <c r="AR7" s="463"/>
      <c r="AS7" s="691"/>
      <c r="AT7" s="462"/>
      <c r="AU7" s="463"/>
      <c r="AV7" s="463"/>
      <c r="AW7" s="691"/>
      <c r="AX7" s="462"/>
      <c r="AY7" s="463"/>
      <c r="AZ7" s="463"/>
      <c r="BA7" s="691"/>
      <c r="BB7" s="128">
        <f t="shared" ref="BB7:BE9" si="1">AL7+AP7+AT7+AX7</f>
        <v>0</v>
      </c>
      <c r="BC7" s="273">
        <f t="shared" si="1"/>
        <v>0</v>
      </c>
      <c r="BD7" s="273">
        <f t="shared" si="1"/>
        <v>0</v>
      </c>
      <c r="BE7" s="273">
        <f t="shared" si="1"/>
        <v>0</v>
      </c>
      <c r="BF7" s="276">
        <f t="shared" ref="BF7:BI9" si="2">AH7+BB7</f>
        <v>0</v>
      </c>
      <c r="BG7" s="277">
        <f t="shared" si="2"/>
        <v>0</v>
      </c>
      <c r="BH7" s="277">
        <f t="shared" si="2"/>
        <v>0</v>
      </c>
      <c r="BI7" s="699">
        <f t="shared" si="2"/>
        <v>0</v>
      </c>
    </row>
    <row r="8" spans="3:61" s="28" customFormat="1" ht="20.100000000000001" customHeight="1">
      <c r="C8" s="1879"/>
      <c r="D8" s="1017" t="s">
        <v>30</v>
      </c>
      <c r="E8" s="1017"/>
      <c r="F8" s="1018"/>
      <c r="H8" s="1887"/>
      <c r="I8" s="33" t="s">
        <v>30</v>
      </c>
      <c r="J8" s="462"/>
      <c r="K8" s="463"/>
      <c r="L8" s="463"/>
      <c r="M8" s="691"/>
      <c r="N8" s="462"/>
      <c r="O8" s="463"/>
      <c r="P8" s="463"/>
      <c r="Q8" s="691"/>
      <c r="R8" s="462"/>
      <c r="S8" s="463"/>
      <c r="T8" s="463"/>
      <c r="U8" s="691"/>
      <c r="V8" s="462"/>
      <c r="W8" s="463"/>
      <c r="X8" s="463"/>
      <c r="Y8" s="691"/>
      <c r="Z8" s="462"/>
      <c r="AA8" s="463"/>
      <c r="AB8" s="463"/>
      <c r="AC8" s="691"/>
      <c r="AD8" s="462"/>
      <c r="AE8" s="463"/>
      <c r="AF8" s="463"/>
      <c r="AG8" s="691"/>
      <c r="AH8" s="128">
        <f t="shared" si="0"/>
        <v>0</v>
      </c>
      <c r="AI8" s="273">
        <f t="shared" si="0"/>
        <v>0</v>
      </c>
      <c r="AJ8" s="273">
        <f t="shared" si="0"/>
        <v>0</v>
      </c>
      <c r="AK8" s="694">
        <f t="shared" si="0"/>
        <v>0</v>
      </c>
      <c r="AL8" s="462"/>
      <c r="AM8" s="463"/>
      <c r="AN8" s="463"/>
      <c r="AO8" s="691"/>
      <c r="AP8" s="462"/>
      <c r="AQ8" s="463"/>
      <c r="AR8" s="463"/>
      <c r="AS8" s="691"/>
      <c r="AT8" s="462"/>
      <c r="AU8" s="463"/>
      <c r="AV8" s="463"/>
      <c r="AW8" s="691"/>
      <c r="AX8" s="462"/>
      <c r="AY8" s="463"/>
      <c r="AZ8" s="463"/>
      <c r="BA8" s="691"/>
      <c r="BB8" s="128">
        <f t="shared" si="1"/>
        <v>0</v>
      </c>
      <c r="BC8" s="273">
        <f t="shared" si="1"/>
        <v>0</v>
      </c>
      <c r="BD8" s="273">
        <f t="shared" si="1"/>
        <v>0</v>
      </c>
      <c r="BE8" s="273">
        <f t="shared" si="1"/>
        <v>0</v>
      </c>
      <c r="BF8" s="276">
        <f t="shared" si="2"/>
        <v>0</v>
      </c>
      <c r="BG8" s="277">
        <f t="shared" si="2"/>
        <v>0</v>
      </c>
      <c r="BH8" s="277">
        <f t="shared" si="2"/>
        <v>0</v>
      </c>
      <c r="BI8" s="699">
        <f t="shared" si="2"/>
        <v>0</v>
      </c>
    </row>
    <row r="9" spans="3:61" s="28" customFormat="1" ht="20.100000000000001" customHeight="1">
      <c r="C9" s="1885"/>
      <c r="D9" s="1017" t="s">
        <v>29</v>
      </c>
      <c r="E9" s="1017"/>
      <c r="F9" s="1018"/>
      <c r="H9" s="1887"/>
      <c r="I9" s="33" t="s">
        <v>109</v>
      </c>
      <c r="J9" s="462"/>
      <c r="K9" s="463"/>
      <c r="L9" s="463"/>
      <c r="M9" s="691"/>
      <c r="N9" s="462"/>
      <c r="O9" s="463"/>
      <c r="P9" s="463"/>
      <c r="Q9" s="691"/>
      <c r="R9" s="462"/>
      <c r="S9" s="463"/>
      <c r="T9" s="463"/>
      <c r="U9" s="691"/>
      <c r="V9" s="462"/>
      <c r="W9" s="463"/>
      <c r="X9" s="463"/>
      <c r="Y9" s="691"/>
      <c r="Z9" s="462"/>
      <c r="AA9" s="463"/>
      <c r="AB9" s="463"/>
      <c r="AC9" s="691"/>
      <c r="AD9" s="462"/>
      <c r="AE9" s="463"/>
      <c r="AF9" s="463"/>
      <c r="AG9" s="691"/>
      <c r="AH9" s="128">
        <f t="shared" si="0"/>
        <v>0</v>
      </c>
      <c r="AI9" s="273">
        <f t="shared" si="0"/>
        <v>0</v>
      </c>
      <c r="AJ9" s="273">
        <f>L9+P9+T9+X9+AB9+AF9</f>
        <v>0</v>
      </c>
      <c r="AK9" s="694">
        <f t="shared" si="0"/>
        <v>0</v>
      </c>
      <c r="AL9" s="462"/>
      <c r="AM9" s="463"/>
      <c r="AN9" s="463"/>
      <c r="AO9" s="691"/>
      <c r="AP9" s="462"/>
      <c r="AQ9" s="463"/>
      <c r="AR9" s="463"/>
      <c r="AS9" s="691"/>
      <c r="AT9" s="462"/>
      <c r="AU9" s="463"/>
      <c r="AV9" s="463"/>
      <c r="AW9" s="691"/>
      <c r="AX9" s="462"/>
      <c r="AY9" s="463"/>
      <c r="AZ9" s="463"/>
      <c r="BA9" s="691"/>
      <c r="BB9" s="128">
        <f t="shared" si="1"/>
        <v>0</v>
      </c>
      <c r="BC9" s="273">
        <f t="shared" si="1"/>
        <v>0</v>
      </c>
      <c r="BD9" s="273">
        <f t="shared" si="1"/>
        <v>0</v>
      </c>
      <c r="BE9" s="273">
        <f t="shared" si="1"/>
        <v>0</v>
      </c>
      <c r="BF9" s="276">
        <f t="shared" si="2"/>
        <v>0</v>
      </c>
      <c r="BG9" s="277">
        <f t="shared" si="2"/>
        <v>0</v>
      </c>
      <c r="BH9" s="277">
        <f t="shared" si="2"/>
        <v>0</v>
      </c>
      <c r="BI9" s="699">
        <f t="shared" si="2"/>
        <v>0</v>
      </c>
    </row>
    <row r="10" spans="3:61" s="28" customFormat="1" ht="19.5" customHeight="1" thickBot="1">
      <c r="C10" s="32"/>
      <c r="D10" s="31" t="s">
        <v>18</v>
      </c>
      <c r="E10" s="31"/>
      <c r="F10" s="30"/>
      <c r="H10" s="1865" t="s">
        <v>47</v>
      </c>
      <c r="I10" s="1866"/>
      <c r="J10" s="118">
        <f t="shared" ref="J10:BG10" si="3">SUM(J6:J9)</f>
        <v>0</v>
      </c>
      <c r="K10" s="272">
        <f t="shared" si="3"/>
        <v>0</v>
      </c>
      <c r="L10" s="272">
        <f t="shared" si="3"/>
        <v>0</v>
      </c>
      <c r="M10" s="272">
        <f t="shared" si="3"/>
        <v>0</v>
      </c>
      <c r="N10" s="118">
        <f t="shared" si="3"/>
        <v>0</v>
      </c>
      <c r="O10" s="272">
        <f t="shared" si="3"/>
        <v>0</v>
      </c>
      <c r="P10" s="272">
        <f t="shared" si="3"/>
        <v>0</v>
      </c>
      <c r="Q10" s="272">
        <f t="shared" si="3"/>
        <v>0</v>
      </c>
      <c r="R10" s="118">
        <f t="shared" si="3"/>
        <v>0</v>
      </c>
      <c r="S10" s="272">
        <f t="shared" si="3"/>
        <v>0</v>
      </c>
      <c r="T10" s="272">
        <f t="shared" si="3"/>
        <v>0</v>
      </c>
      <c r="U10" s="272">
        <f t="shared" si="3"/>
        <v>0</v>
      </c>
      <c r="V10" s="118">
        <f t="shared" si="3"/>
        <v>0</v>
      </c>
      <c r="W10" s="272">
        <f t="shared" si="3"/>
        <v>0</v>
      </c>
      <c r="X10" s="272">
        <f t="shared" si="3"/>
        <v>0</v>
      </c>
      <c r="Y10" s="272">
        <f t="shared" si="3"/>
        <v>0</v>
      </c>
      <c r="Z10" s="118">
        <f t="shared" si="3"/>
        <v>0</v>
      </c>
      <c r="AA10" s="272">
        <f t="shared" si="3"/>
        <v>0</v>
      </c>
      <c r="AB10" s="272">
        <f t="shared" si="3"/>
        <v>0</v>
      </c>
      <c r="AC10" s="272">
        <f t="shared" si="3"/>
        <v>0</v>
      </c>
      <c r="AD10" s="118">
        <f t="shared" si="3"/>
        <v>0</v>
      </c>
      <c r="AE10" s="272">
        <f t="shared" si="3"/>
        <v>0</v>
      </c>
      <c r="AF10" s="272">
        <f t="shared" si="3"/>
        <v>0</v>
      </c>
      <c r="AG10" s="272">
        <f t="shared" si="3"/>
        <v>0</v>
      </c>
      <c r="AH10" s="118">
        <f t="shared" si="3"/>
        <v>0</v>
      </c>
      <c r="AI10" s="272">
        <f t="shared" si="3"/>
        <v>0</v>
      </c>
      <c r="AJ10" s="272">
        <f>SUM(AJ6:AJ9)</f>
        <v>0</v>
      </c>
      <c r="AK10" s="695">
        <f>SUM(AK6:AK9)</f>
        <v>0</v>
      </c>
      <c r="AL10" s="118">
        <f t="shared" si="3"/>
        <v>0</v>
      </c>
      <c r="AM10" s="272">
        <f t="shared" si="3"/>
        <v>0</v>
      </c>
      <c r="AN10" s="272">
        <f t="shared" si="3"/>
        <v>0</v>
      </c>
      <c r="AO10" s="272">
        <f t="shared" si="3"/>
        <v>0</v>
      </c>
      <c r="AP10" s="118">
        <f t="shared" si="3"/>
        <v>0</v>
      </c>
      <c r="AQ10" s="272">
        <f t="shared" si="3"/>
        <v>0</v>
      </c>
      <c r="AR10" s="272">
        <f t="shared" si="3"/>
        <v>0</v>
      </c>
      <c r="AS10" s="272">
        <f t="shared" si="3"/>
        <v>0</v>
      </c>
      <c r="AT10" s="118">
        <f t="shared" si="3"/>
        <v>0</v>
      </c>
      <c r="AU10" s="272">
        <f t="shared" si="3"/>
        <v>0</v>
      </c>
      <c r="AV10" s="272">
        <f t="shared" si="3"/>
        <v>0</v>
      </c>
      <c r="AW10" s="272">
        <f t="shared" si="3"/>
        <v>0</v>
      </c>
      <c r="AX10" s="118">
        <f t="shared" si="3"/>
        <v>0</v>
      </c>
      <c r="AY10" s="272">
        <f t="shared" si="3"/>
        <v>0</v>
      </c>
      <c r="AZ10" s="272">
        <f t="shared" si="3"/>
        <v>0</v>
      </c>
      <c r="BA10" s="272">
        <f t="shared" si="3"/>
        <v>0</v>
      </c>
      <c r="BB10" s="118">
        <f t="shared" si="3"/>
        <v>0</v>
      </c>
      <c r="BC10" s="272">
        <f t="shared" si="3"/>
        <v>0</v>
      </c>
      <c r="BD10" s="272">
        <f t="shared" si="3"/>
        <v>0</v>
      </c>
      <c r="BE10" s="272">
        <f t="shared" si="3"/>
        <v>0</v>
      </c>
      <c r="BF10" s="278">
        <f t="shared" si="3"/>
        <v>0</v>
      </c>
      <c r="BG10" s="279">
        <f t="shared" si="3"/>
        <v>0</v>
      </c>
      <c r="BH10" s="702">
        <f>AJ10+BD10</f>
        <v>0</v>
      </c>
      <c r="BI10" s="700">
        <f>AK10+BE10</f>
        <v>0</v>
      </c>
    </row>
    <row r="11" spans="3:61" s="119" customFormat="1" ht="5.25" customHeight="1">
      <c r="D11" s="120"/>
      <c r="E11" s="120"/>
      <c r="F11" s="120"/>
      <c r="H11" s="122"/>
      <c r="I11" s="122"/>
      <c r="J11" s="125"/>
      <c r="K11" s="126"/>
      <c r="L11" s="126"/>
      <c r="M11" s="126"/>
      <c r="N11" s="125"/>
      <c r="O11" s="126"/>
      <c r="P11" s="126"/>
      <c r="Q11" s="126"/>
      <c r="R11" s="125"/>
      <c r="S11" s="126"/>
      <c r="T11" s="126"/>
      <c r="U11" s="126"/>
      <c r="V11" s="125"/>
      <c r="W11" s="126"/>
      <c r="X11" s="126"/>
      <c r="Y11" s="126"/>
      <c r="Z11" s="125"/>
      <c r="AA11" s="126"/>
      <c r="AB11" s="126"/>
      <c r="AC11" s="126"/>
      <c r="AD11" s="125"/>
      <c r="AE11" s="126"/>
      <c r="AF11" s="126"/>
      <c r="AG11" s="126"/>
      <c r="AH11" s="125"/>
      <c r="AI11" s="126"/>
      <c r="AJ11" s="126"/>
      <c r="AK11" s="126"/>
      <c r="AL11" s="125"/>
      <c r="AM11" s="126"/>
      <c r="AN11" s="126"/>
      <c r="AO11" s="126"/>
      <c r="AP11" s="125"/>
      <c r="AQ11" s="126"/>
      <c r="AR11" s="126"/>
      <c r="AS11" s="126"/>
      <c r="AT11" s="125"/>
      <c r="AU11" s="126"/>
      <c r="AV11" s="126"/>
      <c r="AW11" s="126"/>
      <c r="AX11" s="125"/>
      <c r="AY11" s="126"/>
      <c r="AZ11" s="126"/>
      <c r="BA11" s="126"/>
      <c r="BB11" s="125"/>
      <c r="BC11" s="126"/>
      <c r="BD11" s="126"/>
      <c r="BE11" s="126"/>
      <c r="BF11" s="125"/>
      <c r="BG11" s="126"/>
    </row>
    <row r="12" spans="3:61" ht="19.5" thickBot="1">
      <c r="C12" s="1019"/>
      <c r="D12" s="1017"/>
      <c r="E12" s="1017"/>
      <c r="F12" s="1023"/>
      <c r="H12" s="1867" t="s">
        <v>114</v>
      </c>
      <c r="I12" s="1868"/>
      <c r="J12" s="1868"/>
      <c r="K12" s="1868"/>
      <c r="L12" s="1868"/>
      <c r="M12" s="1868"/>
      <c r="N12" s="1868"/>
      <c r="O12" s="1868"/>
      <c r="P12" s="1868"/>
      <c r="Q12" s="1868"/>
      <c r="R12" s="1868"/>
      <c r="S12" s="1868"/>
      <c r="T12" s="1868"/>
      <c r="U12" s="1868"/>
      <c r="V12" s="1868"/>
      <c r="W12" s="1868"/>
      <c r="X12" s="1868"/>
      <c r="Y12" s="1868"/>
      <c r="Z12" s="1868"/>
      <c r="AA12" s="1868"/>
      <c r="AB12" s="1868"/>
      <c r="AC12" s="1868"/>
      <c r="AD12" s="1868"/>
      <c r="AE12" s="1868"/>
      <c r="AF12" s="1868"/>
      <c r="AG12" s="1868"/>
      <c r="AH12" s="1868"/>
      <c r="AI12" s="1868"/>
      <c r="AJ12" s="1868"/>
      <c r="AK12" s="1868"/>
      <c r="AL12" s="1868"/>
      <c r="AM12" s="1868"/>
      <c r="AN12" s="1868"/>
      <c r="AO12" s="1868"/>
      <c r="AP12" s="1868"/>
      <c r="AQ12" s="1868"/>
      <c r="AR12" s="1868"/>
      <c r="AS12" s="1868"/>
      <c r="AT12" s="1868"/>
      <c r="AU12" s="1868"/>
      <c r="AV12" s="1868"/>
      <c r="AW12" s="1868"/>
      <c r="AX12" s="1868"/>
      <c r="AY12" s="1868"/>
      <c r="AZ12" s="1868"/>
      <c r="BA12" s="1868"/>
      <c r="BB12" s="1868"/>
      <c r="BC12" s="1868"/>
      <c r="BD12" s="1868"/>
      <c r="BE12" s="1868"/>
      <c r="BF12" s="1868"/>
      <c r="BG12" s="1868"/>
      <c r="BH12" s="1868"/>
      <c r="BI12" s="1868"/>
    </row>
    <row r="13" spans="3:61" ht="18.75" customHeight="1">
      <c r="C13" s="37" t="s">
        <v>44</v>
      </c>
      <c r="D13" s="1869"/>
      <c r="E13" s="1869"/>
      <c r="F13" s="1870"/>
      <c r="H13" s="1895" t="s">
        <v>117</v>
      </c>
      <c r="I13" s="1896"/>
      <c r="J13" s="1890" t="s">
        <v>43</v>
      </c>
      <c r="K13" s="1891"/>
      <c r="L13" s="1891"/>
      <c r="M13" s="1892"/>
      <c r="N13" s="1890" t="s">
        <v>42</v>
      </c>
      <c r="O13" s="1891"/>
      <c r="P13" s="1891"/>
      <c r="Q13" s="1892"/>
      <c r="R13" s="1890" t="s">
        <v>41</v>
      </c>
      <c r="S13" s="1891"/>
      <c r="T13" s="1891"/>
      <c r="U13" s="1892"/>
      <c r="V13" s="1890" t="s">
        <v>40</v>
      </c>
      <c r="W13" s="1891"/>
      <c r="X13" s="1891"/>
      <c r="Y13" s="1892"/>
      <c r="Z13" s="1890" t="s">
        <v>39</v>
      </c>
      <c r="AA13" s="1891"/>
      <c r="AB13" s="1891"/>
      <c r="AC13" s="1892"/>
      <c r="AD13" s="1890" t="s">
        <v>38</v>
      </c>
      <c r="AE13" s="1891"/>
      <c r="AF13" s="1891"/>
      <c r="AG13" s="1892"/>
      <c r="AH13" s="1882" t="s">
        <v>122</v>
      </c>
      <c r="AI13" s="1883"/>
      <c r="AJ13" s="1883"/>
      <c r="AK13" s="1884"/>
      <c r="AL13" s="1890" t="s">
        <v>37</v>
      </c>
      <c r="AM13" s="1891"/>
      <c r="AN13" s="1891"/>
      <c r="AO13" s="1892"/>
      <c r="AP13" s="1890" t="s">
        <v>36</v>
      </c>
      <c r="AQ13" s="1891"/>
      <c r="AR13" s="1891"/>
      <c r="AS13" s="1892"/>
      <c r="AT13" s="1890" t="s">
        <v>35</v>
      </c>
      <c r="AU13" s="1891"/>
      <c r="AV13" s="1891"/>
      <c r="AW13" s="1892"/>
      <c r="AX13" s="1890" t="s">
        <v>34</v>
      </c>
      <c r="AY13" s="1891"/>
      <c r="AZ13" s="1891"/>
      <c r="BA13" s="1892"/>
      <c r="BB13" s="1882" t="s">
        <v>123</v>
      </c>
      <c r="BC13" s="1883"/>
      <c r="BD13" s="1883"/>
      <c r="BE13" s="1884"/>
      <c r="BF13" s="1880" t="s">
        <v>17</v>
      </c>
      <c r="BG13" s="1881"/>
      <c r="BH13" s="1881"/>
      <c r="BI13" s="1881"/>
    </row>
    <row r="14" spans="3:61" ht="27" customHeight="1">
      <c r="C14" s="1879" t="s">
        <v>33</v>
      </c>
      <c r="D14" s="1869"/>
      <c r="E14" s="1017" t="s">
        <v>1</v>
      </c>
      <c r="F14" s="1023" t="s">
        <v>2</v>
      </c>
      <c r="H14" s="1897"/>
      <c r="I14" s="1898"/>
      <c r="J14" s="36" t="s">
        <v>1</v>
      </c>
      <c r="K14" s="271" t="s">
        <v>2</v>
      </c>
      <c r="L14" s="271" t="s">
        <v>182</v>
      </c>
      <c r="M14" s="35" t="s">
        <v>247</v>
      </c>
      <c r="N14" s="36" t="s">
        <v>1</v>
      </c>
      <c r="O14" s="271" t="s">
        <v>2</v>
      </c>
      <c r="P14" s="271" t="s">
        <v>182</v>
      </c>
      <c r="Q14" s="35" t="s">
        <v>247</v>
      </c>
      <c r="R14" s="36" t="s">
        <v>1</v>
      </c>
      <c r="S14" s="271" t="s">
        <v>2</v>
      </c>
      <c r="T14" s="271" t="s">
        <v>182</v>
      </c>
      <c r="U14" s="35" t="s">
        <v>247</v>
      </c>
      <c r="V14" s="36" t="s">
        <v>1</v>
      </c>
      <c r="W14" s="271" t="s">
        <v>2</v>
      </c>
      <c r="X14" s="271" t="s">
        <v>182</v>
      </c>
      <c r="Y14" s="35" t="s">
        <v>247</v>
      </c>
      <c r="Z14" s="36" t="s">
        <v>1</v>
      </c>
      <c r="AA14" s="271" t="s">
        <v>2</v>
      </c>
      <c r="AB14" s="271" t="s">
        <v>182</v>
      </c>
      <c r="AC14" s="35" t="s">
        <v>247</v>
      </c>
      <c r="AD14" s="36" t="s">
        <v>1</v>
      </c>
      <c r="AE14" s="271" t="s">
        <v>2</v>
      </c>
      <c r="AF14" s="271" t="s">
        <v>182</v>
      </c>
      <c r="AG14" s="35" t="s">
        <v>247</v>
      </c>
      <c r="AH14" s="36" t="s">
        <v>1</v>
      </c>
      <c r="AI14" s="271" t="s">
        <v>2</v>
      </c>
      <c r="AJ14" s="271" t="s">
        <v>182</v>
      </c>
      <c r="AK14" s="690" t="s">
        <v>196</v>
      </c>
      <c r="AL14" s="36" t="s">
        <v>1</v>
      </c>
      <c r="AM14" s="271" t="s">
        <v>2</v>
      </c>
      <c r="AN14" s="271" t="s">
        <v>182</v>
      </c>
      <c r="AO14" s="35" t="s">
        <v>247</v>
      </c>
      <c r="AP14" s="36" t="s">
        <v>1</v>
      </c>
      <c r="AQ14" s="271" t="s">
        <v>2</v>
      </c>
      <c r="AR14" s="271" t="s">
        <v>182</v>
      </c>
      <c r="AS14" s="35" t="s">
        <v>247</v>
      </c>
      <c r="AT14" s="36" t="s">
        <v>1</v>
      </c>
      <c r="AU14" s="271" t="s">
        <v>2</v>
      </c>
      <c r="AV14" s="271" t="s">
        <v>182</v>
      </c>
      <c r="AW14" s="35" t="s">
        <v>247</v>
      </c>
      <c r="AX14" s="36" t="s">
        <v>1</v>
      </c>
      <c r="AY14" s="271" t="s">
        <v>2</v>
      </c>
      <c r="AZ14" s="271" t="s">
        <v>182</v>
      </c>
      <c r="BA14" s="35" t="s">
        <v>247</v>
      </c>
      <c r="BB14" s="36" t="s">
        <v>1</v>
      </c>
      <c r="BC14" s="271" t="s">
        <v>2</v>
      </c>
      <c r="BD14" s="271" t="s">
        <v>182</v>
      </c>
      <c r="BE14" s="690" t="s">
        <v>196</v>
      </c>
      <c r="BF14" s="274" t="s">
        <v>1</v>
      </c>
      <c r="BG14" s="275" t="s">
        <v>2</v>
      </c>
      <c r="BH14" s="275" t="s">
        <v>182</v>
      </c>
      <c r="BI14" s="703" t="s">
        <v>196</v>
      </c>
    </row>
    <row r="15" spans="3:61" s="28" customFormat="1" ht="20.100000000000001" customHeight="1">
      <c r="C15" s="1879" t="s">
        <v>28</v>
      </c>
      <c r="D15" s="1017" t="s">
        <v>27</v>
      </c>
      <c r="E15" s="1021"/>
      <c r="F15" s="34"/>
      <c r="H15" s="1888" t="s">
        <v>112</v>
      </c>
      <c r="I15" s="33" t="s">
        <v>27</v>
      </c>
      <c r="J15" s="462"/>
      <c r="K15" s="463"/>
      <c r="L15" s="463"/>
      <c r="M15" s="692"/>
      <c r="N15" s="462"/>
      <c r="O15" s="463"/>
      <c r="P15" s="463"/>
      <c r="Q15" s="692"/>
      <c r="R15" s="462"/>
      <c r="S15" s="463"/>
      <c r="T15" s="463"/>
      <c r="U15" s="692"/>
      <c r="V15" s="462"/>
      <c r="W15" s="463"/>
      <c r="X15" s="463"/>
      <c r="Y15" s="692"/>
      <c r="Z15" s="462"/>
      <c r="AA15" s="463"/>
      <c r="AB15" s="463"/>
      <c r="AC15" s="692"/>
      <c r="AD15" s="462"/>
      <c r="AE15" s="463"/>
      <c r="AF15" s="463"/>
      <c r="AG15" s="692"/>
      <c r="AH15" s="128">
        <f>J15+N15+R15+V15+Z15+AD15</f>
        <v>0</v>
      </c>
      <c r="AI15" s="273">
        <f>K15+O15+S15+W15+AA15+AE15</f>
        <v>0</v>
      </c>
      <c r="AJ15" s="273">
        <f>L15+P15+T15+X15+AB15+AF15</f>
        <v>0</v>
      </c>
      <c r="AK15" s="694">
        <f>M15+Q15+U15+Y15+AC15+AG15</f>
        <v>0</v>
      </c>
      <c r="AL15" s="462"/>
      <c r="AM15" s="463"/>
      <c r="AN15" s="463"/>
      <c r="AO15" s="692"/>
      <c r="AP15" s="462"/>
      <c r="AQ15" s="463"/>
      <c r="AR15" s="463"/>
      <c r="AS15" s="692"/>
      <c r="AT15" s="462"/>
      <c r="AU15" s="463"/>
      <c r="AV15" s="463"/>
      <c r="AW15" s="692"/>
      <c r="AX15" s="462"/>
      <c r="AY15" s="463"/>
      <c r="AZ15" s="463"/>
      <c r="BA15" s="692"/>
      <c r="BB15" s="128">
        <f>AL15+AP15+AT15+AX15</f>
        <v>0</v>
      </c>
      <c r="BC15" s="273">
        <f>AM15+AQ15+AU15+AY15</f>
        <v>0</v>
      </c>
      <c r="BD15" s="273">
        <f>AN15+AR15+AV15+AZ15</f>
        <v>0</v>
      </c>
      <c r="BE15" s="273">
        <f>AO15+AS15+AW15+BA15</f>
        <v>0</v>
      </c>
      <c r="BF15" s="276">
        <f t="shared" ref="BF15:BI23" si="4">AH15+BB15</f>
        <v>0</v>
      </c>
      <c r="BG15" s="277">
        <f t="shared" si="4"/>
        <v>0</v>
      </c>
      <c r="BH15" s="277">
        <f t="shared" si="4"/>
        <v>0</v>
      </c>
      <c r="BI15" s="704">
        <f t="shared" si="4"/>
        <v>0</v>
      </c>
    </row>
    <row r="16" spans="3:61" s="28" customFormat="1" ht="20.100000000000001" customHeight="1">
      <c r="C16" s="1879"/>
      <c r="D16" s="1017" t="s">
        <v>26</v>
      </c>
      <c r="E16" s="1017"/>
      <c r="F16" s="1018"/>
      <c r="H16" s="1889"/>
      <c r="I16" s="33" t="s">
        <v>26</v>
      </c>
      <c r="J16" s="462"/>
      <c r="K16" s="463"/>
      <c r="L16" s="463"/>
      <c r="M16" s="692"/>
      <c r="N16" s="462"/>
      <c r="O16" s="463"/>
      <c r="P16" s="463"/>
      <c r="Q16" s="692"/>
      <c r="R16" s="462"/>
      <c r="S16" s="463"/>
      <c r="T16" s="463"/>
      <c r="U16" s="692"/>
      <c r="V16" s="462"/>
      <c r="W16" s="463"/>
      <c r="X16" s="463"/>
      <c r="Y16" s="692"/>
      <c r="Z16" s="462"/>
      <c r="AA16" s="463"/>
      <c r="AB16" s="463"/>
      <c r="AC16" s="692"/>
      <c r="AD16" s="462"/>
      <c r="AE16" s="463"/>
      <c r="AF16" s="463"/>
      <c r="AG16" s="692"/>
      <c r="AH16" s="128">
        <f t="shared" ref="AH16:AK23" si="5">J16+N16+R16+V16+Z16+AD16</f>
        <v>0</v>
      </c>
      <c r="AI16" s="273">
        <f t="shared" si="5"/>
        <v>0</v>
      </c>
      <c r="AJ16" s="273">
        <f t="shared" si="5"/>
        <v>0</v>
      </c>
      <c r="AK16" s="694">
        <f t="shared" si="5"/>
        <v>0</v>
      </c>
      <c r="AL16" s="462"/>
      <c r="AM16" s="463"/>
      <c r="AN16" s="463"/>
      <c r="AO16" s="692"/>
      <c r="AP16" s="462"/>
      <c r="AQ16" s="463"/>
      <c r="AR16" s="463"/>
      <c r="AS16" s="692"/>
      <c r="AT16" s="462"/>
      <c r="AU16" s="463"/>
      <c r="AV16" s="463"/>
      <c r="AW16" s="692"/>
      <c r="AX16" s="462"/>
      <c r="AY16" s="463"/>
      <c r="AZ16" s="463"/>
      <c r="BA16" s="692"/>
      <c r="BB16" s="128">
        <f t="shared" ref="BB16:BE23" si="6">AL16+AP16+AT16+AX16</f>
        <v>0</v>
      </c>
      <c r="BC16" s="273">
        <f t="shared" si="6"/>
        <v>0</v>
      </c>
      <c r="BD16" s="273">
        <f t="shared" si="6"/>
        <v>0</v>
      </c>
      <c r="BE16" s="273">
        <f t="shared" si="6"/>
        <v>0</v>
      </c>
      <c r="BF16" s="276">
        <f t="shared" si="4"/>
        <v>0</v>
      </c>
      <c r="BG16" s="277">
        <f t="shared" si="4"/>
        <v>0</v>
      </c>
      <c r="BH16" s="277">
        <f t="shared" si="4"/>
        <v>0</v>
      </c>
      <c r="BI16" s="704">
        <f t="shared" si="4"/>
        <v>0</v>
      </c>
    </row>
    <row r="17" spans="3:61" s="28" customFormat="1" ht="23.25" customHeight="1">
      <c r="C17" s="1879"/>
      <c r="D17" s="1017" t="s">
        <v>25</v>
      </c>
      <c r="E17" s="1017"/>
      <c r="F17" s="1018"/>
      <c r="H17" s="1889"/>
      <c r="I17" s="33" t="s">
        <v>25</v>
      </c>
      <c r="J17" s="462"/>
      <c r="K17" s="463"/>
      <c r="L17" s="463"/>
      <c r="M17" s="692"/>
      <c r="N17" s="462"/>
      <c r="O17" s="463"/>
      <c r="P17" s="463"/>
      <c r="Q17" s="692"/>
      <c r="R17" s="462"/>
      <c r="S17" s="463"/>
      <c r="T17" s="463"/>
      <c r="U17" s="692"/>
      <c r="V17" s="462"/>
      <c r="W17" s="463"/>
      <c r="X17" s="463"/>
      <c r="Y17" s="692"/>
      <c r="Z17" s="462"/>
      <c r="AA17" s="463"/>
      <c r="AB17" s="463"/>
      <c r="AC17" s="692"/>
      <c r="AD17" s="462"/>
      <c r="AE17" s="463"/>
      <c r="AF17" s="463"/>
      <c r="AG17" s="692"/>
      <c r="AH17" s="128">
        <f t="shared" si="5"/>
        <v>0</v>
      </c>
      <c r="AI17" s="273">
        <f t="shared" si="5"/>
        <v>0</v>
      </c>
      <c r="AJ17" s="273">
        <f t="shared" si="5"/>
        <v>0</v>
      </c>
      <c r="AK17" s="694">
        <f t="shared" si="5"/>
        <v>0</v>
      </c>
      <c r="AL17" s="462"/>
      <c r="AM17" s="463"/>
      <c r="AN17" s="463"/>
      <c r="AO17" s="692"/>
      <c r="AP17" s="462"/>
      <c r="AQ17" s="463"/>
      <c r="AR17" s="463"/>
      <c r="AS17" s="692"/>
      <c r="AT17" s="462"/>
      <c r="AU17" s="463"/>
      <c r="AV17" s="463"/>
      <c r="AW17" s="692"/>
      <c r="AX17" s="462"/>
      <c r="AY17" s="463"/>
      <c r="AZ17" s="463"/>
      <c r="BA17" s="692"/>
      <c r="BB17" s="128">
        <f t="shared" si="6"/>
        <v>0</v>
      </c>
      <c r="BC17" s="273">
        <f t="shared" si="6"/>
        <v>0</v>
      </c>
      <c r="BD17" s="273">
        <f t="shared" si="6"/>
        <v>0</v>
      </c>
      <c r="BE17" s="273">
        <f t="shared" si="6"/>
        <v>0</v>
      </c>
      <c r="BF17" s="276">
        <f t="shared" si="4"/>
        <v>0</v>
      </c>
      <c r="BG17" s="277">
        <f t="shared" si="4"/>
        <v>0</v>
      </c>
      <c r="BH17" s="277">
        <f t="shared" si="4"/>
        <v>0</v>
      </c>
      <c r="BI17" s="704">
        <f t="shared" si="4"/>
        <v>0</v>
      </c>
    </row>
    <row r="18" spans="3:61" s="28" customFormat="1" ht="21">
      <c r="C18" s="1879"/>
      <c r="D18" s="1017" t="s">
        <v>24</v>
      </c>
      <c r="E18" s="1017"/>
      <c r="F18" s="1018"/>
      <c r="H18" s="1889"/>
      <c r="I18" s="33" t="s">
        <v>24</v>
      </c>
      <c r="J18" s="462"/>
      <c r="K18" s="463"/>
      <c r="L18" s="463"/>
      <c r="M18" s="692"/>
      <c r="N18" s="462"/>
      <c r="O18" s="463"/>
      <c r="P18" s="463"/>
      <c r="Q18" s="692"/>
      <c r="R18" s="462"/>
      <c r="S18" s="463"/>
      <c r="T18" s="463"/>
      <c r="U18" s="692"/>
      <c r="V18" s="462"/>
      <c r="W18" s="463"/>
      <c r="X18" s="463"/>
      <c r="Y18" s="692"/>
      <c r="Z18" s="462"/>
      <c r="AA18" s="463"/>
      <c r="AB18" s="463"/>
      <c r="AC18" s="692"/>
      <c r="AD18" s="462"/>
      <c r="AE18" s="463"/>
      <c r="AF18" s="463"/>
      <c r="AG18" s="692"/>
      <c r="AH18" s="128">
        <f t="shared" si="5"/>
        <v>0</v>
      </c>
      <c r="AI18" s="273">
        <f t="shared" si="5"/>
        <v>0</v>
      </c>
      <c r="AJ18" s="273">
        <f t="shared" si="5"/>
        <v>0</v>
      </c>
      <c r="AK18" s="694">
        <f t="shared" si="5"/>
        <v>0</v>
      </c>
      <c r="AL18" s="462"/>
      <c r="AM18" s="463"/>
      <c r="AN18" s="463"/>
      <c r="AO18" s="692"/>
      <c r="AP18" s="462"/>
      <c r="AQ18" s="463"/>
      <c r="AR18" s="463"/>
      <c r="AS18" s="692"/>
      <c r="AT18" s="462"/>
      <c r="AU18" s="463"/>
      <c r="AV18" s="463"/>
      <c r="AW18" s="692"/>
      <c r="AX18" s="462"/>
      <c r="AY18" s="463"/>
      <c r="AZ18" s="463"/>
      <c r="BA18" s="692"/>
      <c r="BB18" s="128">
        <f t="shared" si="6"/>
        <v>0</v>
      </c>
      <c r="BC18" s="273">
        <f t="shared" si="6"/>
        <v>0</v>
      </c>
      <c r="BD18" s="273">
        <f t="shared" si="6"/>
        <v>0</v>
      </c>
      <c r="BE18" s="273">
        <f t="shared" si="6"/>
        <v>0</v>
      </c>
      <c r="BF18" s="276">
        <f t="shared" si="4"/>
        <v>0</v>
      </c>
      <c r="BG18" s="277">
        <f t="shared" si="4"/>
        <v>0</v>
      </c>
      <c r="BH18" s="277">
        <f t="shared" si="4"/>
        <v>0</v>
      </c>
      <c r="BI18" s="704">
        <f t="shared" si="4"/>
        <v>0</v>
      </c>
    </row>
    <row r="19" spans="3:61" s="28" customFormat="1" ht="20.100000000000001" customHeight="1">
      <c r="C19" s="1879"/>
      <c r="D19" s="1017" t="s">
        <v>23</v>
      </c>
      <c r="E19" s="1017"/>
      <c r="F19" s="1018"/>
      <c r="H19" s="1889"/>
      <c r="I19" s="33" t="s">
        <v>23</v>
      </c>
      <c r="J19" s="462"/>
      <c r="K19" s="463"/>
      <c r="L19" s="463"/>
      <c r="M19" s="692"/>
      <c r="N19" s="462"/>
      <c r="O19" s="463"/>
      <c r="P19" s="463"/>
      <c r="Q19" s="692"/>
      <c r="R19" s="462"/>
      <c r="S19" s="463"/>
      <c r="T19" s="463"/>
      <c r="U19" s="692"/>
      <c r="V19" s="462"/>
      <c r="W19" s="463"/>
      <c r="X19" s="463"/>
      <c r="Y19" s="692"/>
      <c r="Z19" s="462"/>
      <c r="AA19" s="463"/>
      <c r="AB19" s="463"/>
      <c r="AC19" s="692"/>
      <c r="AD19" s="462"/>
      <c r="AE19" s="463"/>
      <c r="AF19" s="463"/>
      <c r="AG19" s="692"/>
      <c r="AH19" s="128">
        <f t="shared" si="5"/>
        <v>0</v>
      </c>
      <c r="AI19" s="273">
        <f t="shared" si="5"/>
        <v>0</v>
      </c>
      <c r="AJ19" s="273">
        <f t="shared" si="5"/>
        <v>0</v>
      </c>
      <c r="AK19" s="694">
        <f t="shared" si="5"/>
        <v>0</v>
      </c>
      <c r="AL19" s="1012"/>
      <c r="AM19" s="463"/>
      <c r="AN19" s="463"/>
      <c r="AO19" s="692"/>
      <c r="AP19" s="462"/>
      <c r="AQ19" s="463"/>
      <c r="AR19" s="463"/>
      <c r="AS19" s="692"/>
      <c r="AT19" s="462"/>
      <c r="AU19" s="463"/>
      <c r="AV19" s="463"/>
      <c r="AW19" s="692"/>
      <c r="AX19" s="462"/>
      <c r="AY19" s="463"/>
      <c r="AZ19" s="463"/>
      <c r="BA19" s="692"/>
      <c r="BB19" s="128">
        <f t="shared" si="6"/>
        <v>0</v>
      </c>
      <c r="BC19" s="273">
        <f t="shared" si="6"/>
        <v>0</v>
      </c>
      <c r="BD19" s="273">
        <f t="shared" si="6"/>
        <v>0</v>
      </c>
      <c r="BE19" s="273">
        <f t="shared" si="6"/>
        <v>0</v>
      </c>
      <c r="BF19" s="276">
        <f t="shared" si="4"/>
        <v>0</v>
      </c>
      <c r="BG19" s="277">
        <f t="shared" si="4"/>
        <v>0</v>
      </c>
      <c r="BH19" s="277">
        <f t="shared" si="4"/>
        <v>0</v>
      </c>
      <c r="BI19" s="704">
        <f t="shared" si="4"/>
        <v>0</v>
      </c>
    </row>
    <row r="20" spans="3:61" s="28" customFormat="1" ht="20.100000000000001" customHeight="1">
      <c r="C20" s="1879"/>
      <c r="D20" s="1017" t="s">
        <v>22</v>
      </c>
      <c r="E20" s="1017"/>
      <c r="F20" s="1018"/>
      <c r="H20" s="1889"/>
      <c r="I20" s="33" t="s">
        <v>22</v>
      </c>
      <c r="J20" s="462"/>
      <c r="K20" s="463"/>
      <c r="L20" s="463"/>
      <c r="M20" s="692"/>
      <c r="N20" s="462"/>
      <c r="O20" s="463"/>
      <c r="P20" s="463"/>
      <c r="Q20" s="692"/>
      <c r="R20" s="462"/>
      <c r="S20" s="463"/>
      <c r="T20" s="463"/>
      <c r="U20" s="692"/>
      <c r="V20" s="462"/>
      <c r="W20" s="463"/>
      <c r="X20" s="463"/>
      <c r="Y20" s="692"/>
      <c r="Z20" s="462"/>
      <c r="AA20" s="463"/>
      <c r="AB20" s="463"/>
      <c r="AC20" s="692"/>
      <c r="AD20" s="462"/>
      <c r="AE20" s="463"/>
      <c r="AF20" s="463"/>
      <c r="AG20" s="692"/>
      <c r="AH20" s="128">
        <f t="shared" si="5"/>
        <v>0</v>
      </c>
      <c r="AI20" s="273">
        <f t="shared" si="5"/>
        <v>0</v>
      </c>
      <c r="AJ20" s="273">
        <f t="shared" si="5"/>
        <v>0</v>
      </c>
      <c r="AK20" s="694">
        <f t="shared" si="5"/>
        <v>0</v>
      </c>
      <c r="AL20" s="462"/>
      <c r="AM20" s="463"/>
      <c r="AN20" s="463"/>
      <c r="AO20" s="692"/>
      <c r="AP20" s="462"/>
      <c r="AQ20" s="463"/>
      <c r="AR20" s="463"/>
      <c r="AS20" s="692"/>
      <c r="AT20" s="462"/>
      <c r="AU20" s="463"/>
      <c r="AV20" s="463"/>
      <c r="AW20" s="692"/>
      <c r="AX20" s="462"/>
      <c r="AY20" s="463"/>
      <c r="AZ20" s="463"/>
      <c r="BA20" s="692"/>
      <c r="BB20" s="128">
        <f t="shared" si="6"/>
        <v>0</v>
      </c>
      <c r="BC20" s="273">
        <f t="shared" si="6"/>
        <v>0</v>
      </c>
      <c r="BD20" s="273">
        <f t="shared" si="6"/>
        <v>0</v>
      </c>
      <c r="BE20" s="273">
        <f t="shared" si="6"/>
        <v>0</v>
      </c>
      <c r="BF20" s="276">
        <f t="shared" si="4"/>
        <v>0</v>
      </c>
      <c r="BG20" s="277">
        <f t="shared" si="4"/>
        <v>0</v>
      </c>
      <c r="BH20" s="277">
        <f t="shared" si="4"/>
        <v>0</v>
      </c>
      <c r="BI20" s="704">
        <f t="shared" si="4"/>
        <v>0</v>
      </c>
    </row>
    <row r="21" spans="3:61" s="28" customFormat="1" ht="20.100000000000001" customHeight="1">
      <c r="C21" s="1885"/>
      <c r="D21" s="1017"/>
      <c r="E21" s="1017"/>
      <c r="F21" s="1018"/>
      <c r="H21" s="1889"/>
      <c r="I21" s="33" t="s">
        <v>21</v>
      </c>
      <c r="J21" s="462"/>
      <c r="K21" s="463"/>
      <c r="L21" s="463"/>
      <c r="M21" s="692"/>
      <c r="N21" s="462"/>
      <c r="O21" s="463"/>
      <c r="P21" s="463"/>
      <c r="Q21" s="692"/>
      <c r="R21" s="462"/>
      <c r="S21" s="463"/>
      <c r="T21" s="463"/>
      <c r="U21" s="692"/>
      <c r="V21" s="462"/>
      <c r="W21" s="463"/>
      <c r="X21" s="463"/>
      <c r="Y21" s="692"/>
      <c r="Z21" s="462"/>
      <c r="AA21" s="463"/>
      <c r="AB21" s="463"/>
      <c r="AC21" s="692"/>
      <c r="AD21" s="462"/>
      <c r="AE21" s="463"/>
      <c r="AF21" s="463"/>
      <c r="AG21" s="692"/>
      <c r="AH21" s="128">
        <f t="shared" si="5"/>
        <v>0</v>
      </c>
      <c r="AI21" s="273">
        <f t="shared" si="5"/>
        <v>0</v>
      </c>
      <c r="AJ21" s="273">
        <f t="shared" si="5"/>
        <v>0</v>
      </c>
      <c r="AK21" s="694">
        <f t="shared" si="5"/>
        <v>0</v>
      </c>
      <c r="AL21" s="462"/>
      <c r="AM21" s="463"/>
      <c r="AN21" s="463"/>
      <c r="AO21" s="692"/>
      <c r="AP21" s="462"/>
      <c r="AQ21" s="463"/>
      <c r="AR21" s="463"/>
      <c r="AS21" s="692"/>
      <c r="AT21" s="462"/>
      <c r="AU21" s="463"/>
      <c r="AV21" s="463"/>
      <c r="AW21" s="692"/>
      <c r="AX21" s="462"/>
      <c r="AY21" s="463"/>
      <c r="AZ21" s="463"/>
      <c r="BA21" s="692"/>
      <c r="BB21" s="128">
        <f t="shared" si="6"/>
        <v>0</v>
      </c>
      <c r="BC21" s="273">
        <f t="shared" si="6"/>
        <v>0</v>
      </c>
      <c r="BD21" s="273">
        <f t="shared" si="6"/>
        <v>0</v>
      </c>
      <c r="BE21" s="273">
        <f t="shared" si="6"/>
        <v>0</v>
      </c>
      <c r="BF21" s="276">
        <f t="shared" si="4"/>
        <v>0</v>
      </c>
      <c r="BG21" s="277">
        <f t="shared" si="4"/>
        <v>0</v>
      </c>
      <c r="BH21" s="277">
        <f t="shared" si="4"/>
        <v>0</v>
      </c>
      <c r="BI21" s="704">
        <f t="shared" si="4"/>
        <v>0</v>
      </c>
    </row>
    <row r="22" spans="3:61" s="28" customFormat="1" ht="20.100000000000001" customHeight="1">
      <c r="C22" s="1885"/>
      <c r="D22" s="1017"/>
      <c r="E22" s="1017"/>
      <c r="F22" s="1018"/>
      <c r="H22" s="1889"/>
      <c r="I22" s="33" t="s">
        <v>20</v>
      </c>
      <c r="J22" s="462"/>
      <c r="K22" s="463"/>
      <c r="L22" s="463"/>
      <c r="M22" s="692"/>
      <c r="N22" s="462"/>
      <c r="O22" s="463"/>
      <c r="P22" s="463"/>
      <c r="Q22" s="692"/>
      <c r="R22" s="462"/>
      <c r="S22" s="463"/>
      <c r="T22" s="463"/>
      <c r="U22" s="692"/>
      <c r="V22" s="462"/>
      <c r="W22" s="463"/>
      <c r="X22" s="463"/>
      <c r="Y22" s="692"/>
      <c r="Z22" s="462"/>
      <c r="AA22" s="463"/>
      <c r="AB22" s="463"/>
      <c r="AC22" s="692"/>
      <c r="AD22" s="462"/>
      <c r="AE22" s="463"/>
      <c r="AF22" s="463"/>
      <c r="AG22" s="692"/>
      <c r="AH22" s="128">
        <f t="shared" si="5"/>
        <v>0</v>
      </c>
      <c r="AI22" s="273">
        <f t="shared" si="5"/>
        <v>0</v>
      </c>
      <c r="AJ22" s="273">
        <f t="shared" si="5"/>
        <v>0</v>
      </c>
      <c r="AK22" s="694">
        <f t="shared" si="5"/>
        <v>0</v>
      </c>
      <c r="AL22" s="462"/>
      <c r="AM22" s="463"/>
      <c r="AN22" s="463"/>
      <c r="AO22" s="692"/>
      <c r="AP22" s="462"/>
      <c r="AQ22" s="463"/>
      <c r="AR22" s="463"/>
      <c r="AS22" s="692"/>
      <c r="AT22" s="462"/>
      <c r="AU22" s="463"/>
      <c r="AV22" s="463"/>
      <c r="AW22" s="692"/>
      <c r="AX22" s="462"/>
      <c r="AY22" s="463"/>
      <c r="AZ22" s="463"/>
      <c r="BA22" s="692"/>
      <c r="BB22" s="128">
        <f t="shared" si="6"/>
        <v>0</v>
      </c>
      <c r="BC22" s="273">
        <f t="shared" si="6"/>
        <v>0</v>
      </c>
      <c r="BD22" s="273">
        <f t="shared" si="6"/>
        <v>0</v>
      </c>
      <c r="BE22" s="273">
        <f t="shared" si="6"/>
        <v>0</v>
      </c>
      <c r="BF22" s="276">
        <f t="shared" si="4"/>
        <v>0</v>
      </c>
      <c r="BG22" s="277">
        <f t="shared" si="4"/>
        <v>0</v>
      </c>
      <c r="BH22" s="277">
        <f t="shared" si="4"/>
        <v>0</v>
      </c>
      <c r="BI22" s="704">
        <f t="shared" si="4"/>
        <v>0</v>
      </c>
    </row>
    <row r="23" spans="3:61" s="28" customFormat="1" ht="20.100000000000001" customHeight="1">
      <c r="C23" s="1885"/>
      <c r="D23" s="1017"/>
      <c r="E23" s="1017"/>
      <c r="F23" s="1018"/>
      <c r="H23" s="1889"/>
      <c r="I23" s="33" t="s">
        <v>19</v>
      </c>
      <c r="J23" s="462"/>
      <c r="K23" s="463"/>
      <c r="L23" s="463"/>
      <c r="M23" s="692"/>
      <c r="N23" s="462"/>
      <c r="O23" s="463"/>
      <c r="P23" s="463"/>
      <c r="Q23" s="692"/>
      <c r="R23" s="462"/>
      <c r="S23" s="463"/>
      <c r="T23" s="463"/>
      <c r="U23" s="692"/>
      <c r="V23" s="462"/>
      <c r="W23" s="463"/>
      <c r="X23" s="463"/>
      <c r="Y23" s="692"/>
      <c r="Z23" s="462"/>
      <c r="AA23" s="463"/>
      <c r="AB23" s="463"/>
      <c r="AC23" s="692"/>
      <c r="AD23" s="462"/>
      <c r="AE23" s="463"/>
      <c r="AF23" s="463"/>
      <c r="AG23" s="692"/>
      <c r="AH23" s="128">
        <f t="shared" si="5"/>
        <v>0</v>
      </c>
      <c r="AI23" s="273">
        <f t="shared" si="5"/>
        <v>0</v>
      </c>
      <c r="AJ23" s="273">
        <f t="shared" si="5"/>
        <v>0</v>
      </c>
      <c r="AK23" s="694">
        <f t="shared" si="5"/>
        <v>0</v>
      </c>
      <c r="AL23" s="462"/>
      <c r="AM23" s="463"/>
      <c r="AN23" s="463"/>
      <c r="AO23" s="692"/>
      <c r="AP23" s="462"/>
      <c r="AQ23" s="463"/>
      <c r="AR23" s="463"/>
      <c r="AS23" s="692"/>
      <c r="AT23" s="462"/>
      <c r="AU23" s="463"/>
      <c r="AV23" s="463"/>
      <c r="AW23" s="692"/>
      <c r="AX23" s="462"/>
      <c r="AY23" s="463"/>
      <c r="AZ23" s="463"/>
      <c r="BA23" s="692"/>
      <c r="BB23" s="128">
        <f t="shared" si="6"/>
        <v>0</v>
      </c>
      <c r="BC23" s="273">
        <f t="shared" si="6"/>
        <v>0</v>
      </c>
      <c r="BD23" s="273">
        <f t="shared" si="6"/>
        <v>0</v>
      </c>
      <c r="BE23" s="273">
        <f t="shared" si="6"/>
        <v>0</v>
      </c>
      <c r="BF23" s="276">
        <f t="shared" si="4"/>
        <v>0</v>
      </c>
      <c r="BG23" s="277">
        <f t="shared" si="4"/>
        <v>0</v>
      </c>
      <c r="BH23" s="277">
        <f t="shared" si="4"/>
        <v>0</v>
      </c>
      <c r="BI23" s="704">
        <f t="shared" si="4"/>
        <v>0</v>
      </c>
    </row>
    <row r="24" spans="3:61" s="28" customFormat="1" ht="20.100000000000001" customHeight="1" thickBot="1">
      <c r="C24" s="1885"/>
      <c r="D24" s="1017"/>
      <c r="E24" s="1017"/>
      <c r="F24" s="1018"/>
      <c r="H24" s="1865" t="s">
        <v>116</v>
      </c>
      <c r="I24" s="1866"/>
      <c r="J24" s="118">
        <f t="shared" ref="J24:BI24" si="7">SUM(J15:J23)</f>
        <v>0</v>
      </c>
      <c r="K24" s="272">
        <f t="shared" si="7"/>
        <v>0</v>
      </c>
      <c r="L24" s="272">
        <f>SUM(L15:L23)</f>
        <v>0</v>
      </c>
      <c r="M24" s="272">
        <f>SUM(M15:M23)</f>
        <v>0</v>
      </c>
      <c r="N24" s="118">
        <f t="shared" ref="N24:AI24" si="8">SUM(N15:N23)</f>
        <v>0</v>
      </c>
      <c r="O24" s="272">
        <f t="shared" si="8"/>
        <v>0</v>
      </c>
      <c r="P24" s="272">
        <f t="shared" si="8"/>
        <v>0</v>
      </c>
      <c r="Q24" s="272">
        <f t="shared" si="8"/>
        <v>0</v>
      </c>
      <c r="R24" s="118">
        <f t="shared" si="8"/>
        <v>0</v>
      </c>
      <c r="S24" s="272">
        <f t="shared" si="8"/>
        <v>0</v>
      </c>
      <c r="T24" s="272">
        <f t="shared" si="8"/>
        <v>0</v>
      </c>
      <c r="U24" s="272">
        <f t="shared" si="8"/>
        <v>0</v>
      </c>
      <c r="V24" s="118">
        <f t="shared" si="8"/>
        <v>0</v>
      </c>
      <c r="W24" s="272">
        <f t="shared" si="8"/>
        <v>0</v>
      </c>
      <c r="X24" s="272">
        <f t="shared" si="8"/>
        <v>0</v>
      </c>
      <c r="Y24" s="272">
        <f t="shared" si="8"/>
        <v>0</v>
      </c>
      <c r="Z24" s="118">
        <f t="shared" si="8"/>
        <v>0</v>
      </c>
      <c r="AA24" s="272">
        <f t="shared" si="8"/>
        <v>0</v>
      </c>
      <c r="AB24" s="272">
        <f t="shared" si="8"/>
        <v>0</v>
      </c>
      <c r="AC24" s="272">
        <f t="shared" si="8"/>
        <v>0</v>
      </c>
      <c r="AD24" s="118">
        <f t="shared" si="8"/>
        <v>0</v>
      </c>
      <c r="AE24" s="272">
        <f t="shared" si="8"/>
        <v>0</v>
      </c>
      <c r="AF24" s="272">
        <f t="shared" si="8"/>
        <v>0</v>
      </c>
      <c r="AG24" s="272">
        <f t="shared" si="8"/>
        <v>0</v>
      </c>
      <c r="AH24" s="118">
        <f t="shared" si="8"/>
        <v>0</v>
      </c>
      <c r="AI24" s="272">
        <f t="shared" si="8"/>
        <v>0</v>
      </c>
      <c r="AJ24" s="272">
        <f>SUM(AJ15:AJ23)</f>
        <v>0</v>
      </c>
      <c r="AK24" s="695">
        <f>SUM(AK15:AK23)</f>
        <v>0</v>
      </c>
      <c r="AL24" s="118">
        <f t="shared" ref="AL24:BC24" si="9">SUM(AL15:AL23)</f>
        <v>0</v>
      </c>
      <c r="AM24" s="272">
        <f t="shared" si="9"/>
        <v>0</v>
      </c>
      <c r="AN24" s="272">
        <f t="shared" si="9"/>
        <v>0</v>
      </c>
      <c r="AO24" s="272">
        <f t="shared" si="9"/>
        <v>0</v>
      </c>
      <c r="AP24" s="118">
        <f t="shared" si="9"/>
        <v>0</v>
      </c>
      <c r="AQ24" s="272">
        <f t="shared" si="9"/>
        <v>0</v>
      </c>
      <c r="AR24" s="272">
        <f t="shared" si="9"/>
        <v>0</v>
      </c>
      <c r="AS24" s="272">
        <f t="shared" si="9"/>
        <v>0</v>
      </c>
      <c r="AT24" s="118">
        <f t="shared" si="9"/>
        <v>0</v>
      </c>
      <c r="AU24" s="272">
        <f t="shared" si="9"/>
        <v>0</v>
      </c>
      <c r="AV24" s="272">
        <f t="shared" si="9"/>
        <v>0</v>
      </c>
      <c r="AW24" s="272">
        <f t="shared" si="9"/>
        <v>0</v>
      </c>
      <c r="AX24" s="118">
        <f t="shared" si="9"/>
        <v>0</v>
      </c>
      <c r="AY24" s="272">
        <f t="shared" si="9"/>
        <v>0</v>
      </c>
      <c r="AZ24" s="272">
        <f t="shared" si="9"/>
        <v>0</v>
      </c>
      <c r="BA24" s="272">
        <f t="shared" si="9"/>
        <v>0</v>
      </c>
      <c r="BB24" s="118">
        <f t="shared" si="9"/>
        <v>0</v>
      </c>
      <c r="BC24" s="272">
        <f t="shared" si="9"/>
        <v>0</v>
      </c>
      <c r="BD24" s="272">
        <f>SUM(BD15:BD23)</f>
        <v>0</v>
      </c>
      <c r="BE24" s="272">
        <f>SUM(BE15:BE23)</f>
        <v>0</v>
      </c>
      <c r="BF24" s="278">
        <f t="shared" si="7"/>
        <v>0</v>
      </c>
      <c r="BG24" s="279">
        <f t="shared" si="7"/>
        <v>0</v>
      </c>
      <c r="BH24" s="279">
        <f t="shared" si="7"/>
        <v>0</v>
      </c>
      <c r="BI24" s="705">
        <f t="shared" si="7"/>
        <v>0</v>
      </c>
    </row>
    <row r="25" spans="3:61" s="119" customFormat="1" ht="9" customHeight="1" thickBot="1">
      <c r="C25" s="121"/>
      <c r="D25" s="121"/>
      <c r="E25" s="121"/>
      <c r="F25" s="121"/>
      <c r="H25" s="122"/>
      <c r="I25" s="122"/>
      <c r="J25" s="125"/>
      <c r="K25" s="126"/>
      <c r="L25" s="126"/>
      <c r="M25" s="126"/>
      <c r="N25" s="125"/>
      <c r="O25" s="126"/>
      <c r="P25" s="126"/>
      <c r="Q25" s="126"/>
      <c r="R25" s="125"/>
      <c r="S25" s="126"/>
      <c r="T25" s="126"/>
      <c r="U25" s="126"/>
      <c r="V25" s="125"/>
      <c r="W25" s="126"/>
      <c r="X25" s="126"/>
      <c r="Y25" s="126"/>
      <c r="Z25" s="125"/>
      <c r="AA25" s="126"/>
      <c r="AB25" s="126"/>
      <c r="AC25" s="126"/>
      <c r="AD25" s="125"/>
      <c r="AE25" s="126"/>
      <c r="AF25" s="126"/>
      <c r="AG25" s="126"/>
      <c r="AH25" s="125"/>
      <c r="AI25" s="126"/>
      <c r="AJ25" s="126"/>
      <c r="AK25" s="126"/>
      <c r="AL25" s="125"/>
      <c r="AM25" s="126"/>
      <c r="AN25" s="126"/>
      <c r="AO25" s="126"/>
      <c r="AP25" s="125"/>
      <c r="AQ25" s="126"/>
      <c r="AR25" s="126"/>
      <c r="AS25" s="126"/>
      <c r="AT25" s="125"/>
      <c r="AU25" s="126"/>
      <c r="AV25" s="126"/>
      <c r="AW25" s="126"/>
      <c r="AX25" s="125"/>
      <c r="AY25" s="126"/>
      <c r="AZ25" s="126"/>
      <c r="BA25" s="126"/>
      <c r="BB25" s="125"/>
      <c r="BC25" s="126"/>
      <c r="BD25" s="126"/>
      <c r="BE25" s="126"/>
      <c r="BF25" s="125"/>
      <c r="BG25" s="126"/>
    </row>
    <row r="26" spans="3:61" s="28" customFormat="1" ht="26.25" customHeight="1" thickBot="1">
      <c r="D26" s="29"/>
      <c r="E26" s="29"/>
      <c r="F26" s="29"/>
      <c r="H26" s="1893" t="s">
        <v>49</v>
      </c>
      <c r="I26" s="1894"/>
      <c r="J26" s="123">
        <f t="shared" ref="J26:BI26" si="10">J10+J24</f>
        <v>0</v>
      </c>
      <c r="K26" s="280">
        <f t="shared" si="10"/>
        <v>0</v>
      </c>
      <c r="L26" s="280">
        <f>L10+L24</f>
        <v>0</v>
      </c>
      <c r="M26" s="280">
        <f>M10+M24</f>
        <v>0</v>
      </c>
      <c r="N26" s="123">
        <f t="shared" ref="N26:O26" si="11">N10+N24</f>
        <v>0</v>
      </c>
      <c r="O26" s="280">
        <f t="shared" si="11"/>
        <v>0</v>
      </c>
      <c r="P26" s="280">
        <f>P10+P24</f>
        <v>0</v>
      </c>
      <c r="Q26" s="280">
        <f>Q10+Q24</f>
        <v>0</v>
      </c>
      <c r="R26" s="123">
        <f t="shared" ref="R26:S26" si="12">R10+R24</f>
        <v>0</v>
      </c>
      <c r="S26" s="280">
        <f t="shared" si="12"/>
        <v>0</v>
      </c>
      <c r="T26" s="280">
        <f>T10+T24</f>
        <v>0</v>
      </c>
      <c r="U26" s="280">
        <f>U10+U24</f>
        <v>0</v>
      </c>
      <c r="V26" s="123">
        <f t="shared" ref="V26:W26" si="13">V10+V24</f>
        <v>0</v>
      </c>
      <c r="W26" s="280">
        <f t="shared" si="13"/>
        <v>0</v>
      </c>
      <c r="X26" s="280">
        <f>X10+X24</f>
        <v>0</v>
      </c>
      <c r="Y26" s="280">
        <f>Y10+Y24</f>
        <v>0</v>
      </c>
      <c r="Z26" s="123">
        <f t="shared" ref="Z26:AA26" si="14">Z10+Z24</f>
        <v>0</v>
      </c>
      <c r="AA26" s="280">
        <f t="shared" si="14"/>
        <v>0</v>
      </c>
      <c r="AB26" s="280">
        <f>AB10+AB24</f>
        <v>0</v>
      </c>
      <c r="AC26" s="280">
        <f>AC10+AC24</f>
        <v>0</v>
      </c>
      <c r="AD26" s="123">
        <f t="shared" ref="AD26:AE26" si="15">AD10+AD24</f>
        <v>0</v>
      </c>
      <c r="AE26" s="280">
        <f t="shared" si="15"/>
        <v>0</v>
      </c>
      <c r="AF26" s="280">
        <f>AF10+AF24</f>
        <v>0</v>
      </c>
      <c r="AG26" s="280">
        <f>AG10+AG24</f>
        <v>0</v>
      </c>
      <c r="AH26" s="127">
        <f t="shared" ref="AH26:AI26" si="16">AH10+AH24</f>
        <v>0</v>
      </c>
      <c r="AI26" s="280">
        <f t="shared" si="16"/>
        <v>0</v>
      </c>
      <c r="AJ26" s="697">
        <f>AJ10+AJ24</f>
        <v>0</v>
      </c>
      <c r="AK26" s="696">
        <f>AK10+AK24</f>
        <v>0</v>
      </c>
      <c r="AL26" s="123">
        <f t="shared" ref="AL26:AM26" si="17">AL10+AL24</f>
        <v>0</v>
      </c>
      <c r="AM26" s="280">
        <f t="shared" si="17"/>
        <v>0</v>
      </c>
      <c r="AN26" s="280">
        <f>AN10+AN24</f>
        <v>0</v>
      </c>
      <c r="AO26" s="280">
        <f>AO10+AO24</f>
        <v>0</v>
      </c>
      <c r="AP26" s="123">
        <f t="shared" ref="AP26:AQ26" si="18">AP10+AP24</f>
        <v>0</v>
      </c>
      <c r="AQ26" s="280">
        <f t="shared" si="18"/>
        <v>0</v>
      </c>
      <c r="AR26" s="280">
        <f>AR10+AR24</f>
        <v>0</v>
      </c>
      <c r="AS26" s="280">
        <f>AS10+AS24</f>
        <v>0</v>
      </c>
      <c r="AT26" s="127">
        <f t="shared" ref="AT26:AU26" si="19">AT10+AT24</f>
        <v>0</v>
      </c>
      <c r="AU26" s="280">
        <f t="shared" si="19"/>
        <v>0</v>
      </c>
      <c r="AV26" s="280">
        <f>AV10+AV24</f>
        <v>0</v>
      </c>
      <c r="AW26" s="280">
        <f>AW10+AW24</f>
        <v>0</v>
      </c>
      <c r="AX26" s="123">
        <f t="shared" ref="AX26:AY26" si="20">AX10+AX24</f>
        <v>0</v>
      </c>
      <c r="AY26" s="280">
        <f t="shared" si="20"/>
        <v>0</v>
      </c>
      <c r="AZ26" s="280">
        <f>AZ10+AZ24</f>
        <v>0</v>
      </c>
      <c r="BA26" s="280">
        <f>BA10+BA24</f>
        <v>0</v>
      </c>
      <c r="BB26" s="127">
        <f t="shared" ref="BB26:BC26" si="21">BB10+BB24</f>
        <v>0</v>
      </c>
      <c r="BC26" s="280">
        <f t="shared" si="21"/>
        <v>0</v>
      </c>
      <c r="BD26" s="697">
        <f>BD10+BD24</f>
        <v>0</v>
      </c>
      <c r="BE26" s="697">
        <f>BE10+BE24</f>
        <v>0</v>
      </c>
      <c r="BF26" s="124">
        <f>BF10+BF24</f>
        <v>0</v>
      </c>
      <c r="BG26" s="707">
        <f t="shared" si="10"/>
        <v>0</v>
      </c>
      <c r="BH26" s="706">
        <f t="shared" si="10"/>
        <v>0</v>
      </c>
      <c r="BI26" s="284">
        <f t="shared" si="10"/>
        <v>0</v>
      </c>
    </row>
    <row r="27" spans="3:61" ht="21" customHeight="1">
      <c r="H27" s="320"/>
      <c r="I27" s="320"/>
      <c r="J27" s="321"/>
      <c r="K27" s="321"/>
      <c r="L27" s="321"/>
      <c r="M27" s="321"/>
      <c r="N27" s="321"/>
      <c r="O27" s="321"/>
      <c r="P27" s="321"/>
      <c r="Q27" s="321"/>
      <c r="R27" s="321"/>
      <c r="S27" s="321"/>
      <c r="T27" s="321"/>
      <c r="U27" s="321"/>
      <c r="V27" s="321"/>
      <c r="W27" s="321"/>
      <c r="X27" s="323"/>
      <c r="Y27" s="323"/>
      <c r="Z27" s="321"/>
      <c r="AA27" s="321"/>
      <c r="AB27" s="323"/>
      <c r="AC27" s="323"/>
      <c r="AD27" s="321"/>
      <c r="AE27" s="321"/>
      <c r="AF27" s="321"/>
      <c r="AG27" s="321"/>
      <c r="AH27" s="321"/>
      <c r="AI27" s="321"/>
      <c r="AJ27" s="321"/>
      <c r="AK27" s="321"/>
      <c r="AL27" s="321"/>
      <c r="AM27" s="321"/>
      <c r="AN27" s="321"/>
      <c r="AO27" s="321"/>
      <c r="AP27" s="321"/>
      <c r="AQ27" s="321"/>
      <c r="AR27" s="321"/>
      <c r="AS27" s="321"/>
      <c r="AT27" s="321"/>
      <c r="AU27" s="321"/>
      <c r="AV27" s="321"/>
      <c r="AW27" s="321"/>
      <c r="AX27" s="321"/>
      <c r="AY27" s="321"/>
      <c r="AZ27" s="321"/>
      <c r="BA27" s="321"/>
      <c r="BB27" s="335"/>
      <c r="BC27" s="1918">
        <f>SUM(I27:AZ29)</f>
        <v>0</v>
      </c>
      <c r="BD27" s="335"/>
      <c r="BE27" s="335"/>
      <c r="BF27" s="335"/>
      <c r="BG27" s="335"/>
      <c r="BH27" s="1917">
        <f>BH26+BI26</f>
        <v>0</v>
      </c>
      <c r="BI27" s="1917"/>
    </row>
    <row r="28" spans="3:61" ht="21" customHeight="1">
      <c r="H28" s="320"/>
      <c r="I28" s="320"/>
      <c r="J28" s="322"/>
      <c r="K28" s="323"/>
      <c r="L28" s="323"/>
      <c r="M28" s="323"/>
      <c r="N28" s="322"/>
      <c r="O28" s="323"/>
      <c r="P28" s="323"/>
      <c r="Q28" s="323"/>
      <c r="R28" s="322"/>
      <c r="S28" s="323"/>
      <c r="T28" s="323"/>
      <c r="U28" s="323"/>
      <c r="V28" s="321"/>
      <c r="W28" s="323"/>
      <c r="X28" s="323"/>
      <c r="Y28" s="323"/>
      <c r="Z28" s="322"/>
      <c r="AA28" s="323"/>
      <c r="AB28" s="323"/>
      <c r="AC28" s="323"/>
      <c r="AD28" s="322"/>
      <c r="AE28" s="323"/>
      <c r="AF28" s="323"/>
      <c r="AG28" s="322"/>
      <c r="AH28" s="322"/>
      <c r="AI28" s="323"/>
      <c r="AJ28" s="323"/>
      <c r="AK28" s="323"/>
      <c r="AL28" s="321"/>
      <c r="AM28" s="323"/>
      <c r="AN28" s="622"/>
      <c r="AO28" s="622"/>
      <c r="AP28" s="321"/>
      <c r="AQ28" s="323"/>
      <c r="AR28" s="323"/>
      <c r="AS28" s="323"/>
      <c r="AT28" s="322"/>
      <c r="AU28" s="323"/>
      <c r="AV28" s="323"/>
      <c r="AW28" s="323"/>
      <c r="AX28" s="322"/>
      <c r="AY28" s="468"/>
      <c r="AZ28" s="468"/>
      <c r="BA28" s="468"/>
      <c r="BB28" s="392"/>
      <c r="BC28" s="1919"/>
      <c r="BD28" s="434"/>
      <c r="BE28" s="434"/>
      <c r="BF28" s="435"/>
      <c r="BG28" s="434"/>
      <c r="BH28" s="726"/>
      <c r="BI28" s="434"/>
    </row>
    <row r="29" spans="3:61" ht="23.25">
      <c r="H29" s="320"/>
      <c r="I29" s="320"/>
      <c r="J29" s="322"/>
      <c r="K29" s="323"/>
      <c r="L29" s="323"/>
      <c r="M29" s="323"/>
      <c r="N29" s="322"/>
      <c r="O29" s="323"/>
      <c r="P29" s="323"/>
      <c r="Q29" s="323"/>
      <c r="R29" s="322"/>
      <c r="S29" s="323"/>
      <c r="T29" s="323"/>
      <c r="U29" s="323"/>
      <c r="V29" s="322"/>
      <c r="W29" s="323"/>
      <c r="X29" s="323"/>
      <c r="Y29" s="323"/>
      <c r="Z29" s="322"/>
      <c r="AA29" s="323"/>
      <c r="AB29" s="323"/>
      <c r="AC29" s="323"/>
      <c r="AD29" s="322"/>
      <c r="AE29" s="323"/>
      <c r="AF29" s="688"/>
      <c r="AG29" s="688"/>
      <c r="AH29" s="322"/>
      <c r="AI29" s="322"/>
      <c r="AJ29" s="323"/>
      <c r="AK29" s="323"/>
      <c r="AL29" s="321"/>
      <c r="AM29" s="323"/>
      <c r="AN29" s="321"/>
      <c r="AO29" s="321"/>
      <c r="AP29" s="322"/>
      <c r="AQ29" s="323"/>
      <c r="AR29" s="323"/>
      <c r="AS29" s="323"/>
      <c r="AT29" s="322"/>
      <c r="AU29" s="323"/>
      <c r="AV29" s="323"/>
      <c r="AW29" s="323"/>
      <c r="AX29" s="322"/>
      <c r="AY29" s="468"/>
      <c r="AZ29" s="468"/>
      <c r="BA29" s="468"/>
      <c r="BB29" s="392"/>
      <c r="BC29" s="434"/>
      <c r="BD29" s="434"/>
      <c r="BE29" s="434"/>
      <c r="BF29" s="435"/>
      <c r="BG29" s="434"/>
      <c r="BH29" s="682"/>
      <c r="BI29" s="434"/>
    </row>
    <row r="30" spans="3:61" s="464" customFormat="1" ht="21.75" thickBot="1">
      <c r="D30" s="576"/>
      <c r="E30" s="576"/>
      <c r="F30" s="576"/>
      <c r="I30" s="577"/>
      <c r="J30" s="578"/>
      <c r="K30" s="579"/>
      <c r="L30" s="579"/>
      <c r="M30" s="579"/>
      <c r="N30" s="578"/>
      <c r="O30" s="579"/>
      <c r="P30" s="579"/>
      <c r="Q30" s="579"/>
      <c r="R30" s="578"/>
      <c r="S30" s="579"/>
      <c r="T30" s="579"/>
      <c r="U30" s="579"/>
      <c r="V30" s="578"/>
      <c r="W30" s="578"/>
      <c r="X30" s="579"/>
      <c r="Y30" s="579"/>
      <c r="Z30" s="579"/>
      <c r="AA30" s="578"/>
      <c r="AB30" s="579"/>
      <c r="AC30" s="579"/>
      <c r="AD30" s="579"/>
      <c r="AE30" s="578"/>
      <c r="AF30" s="579"/>
      <c r="AG30" s="579"/>
      <c r="AH30" s="621"/>
      <c r="AI30" s="578"/>
      <c r="AJ30" s="579"/>
      <c r="AK30" s="579"/>
      <c r="AM30" s="580"/>
      <c r="AN30" s="579"/>
      <c r="AO30" s="579"/>
      <c r="AP30" s="579"/>
      <c r="AQ30" s="578"/>
      <c r="AR30" s="579"/>
      <c r="AS30" s="579"/>
      <c r="AT30" s="579"/>
      <c r="AU30" s="578"/>
      <c r="AV30" s="579"/>
      <c r="AW30" s="579"/>
      <c r="AZ30" s="581"/>
      <c r="BA30" s="581"/>
      <c r="BB30" s="581"/>
      <c r="BC30" s="582"/>
      <c r="BD30" s="583"/>
      <c r="BE30" s="583"/>
      <c r="BF30" s="583"/>
      <c r="BG30" s="584"/>
      <c r="BH30" s="583"/>
      <c r="BI30" s="585"/>
    </row>
    <row r="31" spans="3:61" ht="35.25" customHeight="1" thickBot="1">
      <c r="I31" s="577"/>
      <c r="L31" s="1951" t="s">
        <v>353</v>
      </c>
      <c r="M31" s="1952"/>
      <c r="N31" s="1952"/>
      <c r="O31" s="1952"/>
      <c r="P31" s="1952"/>
      <c r="Q31" s="1952"/>
      <c r="R31" s="1952"/>
      <c r="S31" s="1953"/>
      <c r="T31" s="579"/>
      <c r="U31" s="579"/>
      <c r="V31" s="1929" t="s">
        <v>204</v>
      </c>
      <c r="W31" s="1930"/>
      <c r="X31" s="1930"/>
      <c r="Y31" s="1930"/>
      <c r="Z31" s="1930"/>
      <c r="AA31" s="1930"/>
      <c r="AB31" s="1930"/>
      <c r="AC31" s="1935"/>
      <c r="AD31" s="1936"/>
      <c r="AE31" s="579"/>
      <c r="AF31" s="579"/>
      <c r="AG31" s="26"/>
      <c r="AH31" s="24"/>
      <c r="AJ31" s="685"/>
      <c r="AL31" s="24"/>
      <c r="AM31" s="599"/>
      <c r="AN31" s="579"/>
      <c r="AP31" s="24"/>
      <c r="AS31" s="26"/>
      <c r="AT31" s="24"/>
      <c r="AX31" s="24"/>
      <c r="AY31" s="25"/>
      <c r="AZ31" s="25"/>
      <c r="BA31" s="24"/>
      <c r="BB31" s="24"/>
      <c r="BE31" s="23"/>
      <c r="BF31" s="23"/>
      <c r="BG31" s="23"/>
    </row>
    <row r="32" spans="3:61" s="24" customFormat="1" ht="28.5" customHeight="1" thickBot="1">
      <c r="C32" s="23"/>
      <c r="D32" s="27"/>
      <c r="E32" s="27"/>
      <c r="F32" s="27"/>
      <c r="G32" s="23"/>
      <c r="H32" s="23"/>
      <c r="I32" s="577"/>
      <c r="L32" s="450" t="s">
        <v>0</v>
      </c>
      <c r="M32" s="439" t="s">
        <v>200</v>
      </c>
      <c r="N32" s="454" t="s">
        <v>205</v>
      </c>
      <c r="O32" s="439" t="s">
        <v>31</v>
      </c>
      <c r="P32" s="448" t="s">
        <v>201</v>
      </c>
      <c r="Q32" s="455" t="s">
        <v>206</v>
      </c>
      <c r="R32" s="436" t="s">
        <v>22</v>
      </c>
      <c r="S32" s="438" t="s">
        <v>191</v>
      </c>
      <c r="T32" s="579"/>
      <c r="U32" s="579"/>
      <c r="V32" s="571" t="s">
        <v>0</v>
      </c>
      <c r="W32" s="572" t="s">
        <v>200</v>
      </c>
      <c r="X32" s="623" t="s">
        <v>205</v>
      </c>
      <c r="Y32" s="572" t="s">
        <v>31</v>
      </c>
      <c r="Z32" s="573" t="s">
        <v>201</v>
      </c>
      <c r="AA32" s="574" t="s">
        <v>206</v>
      </c>
      <c r="AB32" s="717" t="s">
        <v>22</v>
      </c>
      <c r="AC32" s="721" t="s">
        <v>191</v>
      </c>
      <c r="AD32" s="722" t="s">
        <v>226</v>
      </c>
      <c r="AE32" s="579"/>
      <c r="AF32" s="579"/>
      <c r="AG32" s="599"/>
      <c r="AH32" s="599"/>
      <c r="AI32" s="599"/>
      <c r="AN32" s="26"/>
      <c r="AT32" s="25"/>
      <c r="AU32" s="25"/>
      <c r="AW32" s="23"/>
      <c r="AX32" s="23"/>
    </row>
    <row r="33" spans="1:59" ht="23.25">
      <c r="L33" s="441" t="s">
        <v>189</v>
      </c>
      <c r="M33" s="470">
        <f>$J$6</f>
        <v>0</v>
      </c>
      <c r="N33" s="430">
        <f>$J9</f>
        <v>0</v>
      </c>
      <c r="O33" s="430">
        <f>$J7</f>
        <v>0</v>
      </c>
      <c r="P33" s="430">
        <f>$J8</f>
        <v>0</v>
      </c>
      <c r="Q33" s="430">
        <f>J15+J16+J17+J18+J19+J21+J22+J23</f>
        <v>0</v>
      </c>
      <c r="R33" s="430">
        <f>$J20</f>
        <v>0</v>
      </c>
      <c r="S33" s="446">
        <f t="shared" ref="S33:S42" si="22">SUM(M33:R33)</f>
        <v>0</v>
      </c>
      <c r="T33" s="579"/>
      <c r="U33" s="579"/>
      <c r="V33" s="447" t="s">
        <v>189</v>
      </c>
      <c r="W33" s="569">
        <f>L$6</f>
        <v>0</v>
      </c>
      <c r="X33" s="570">
        <f>$L9</f>
        <v>0</v>
      </c>
      <c r="Y33" s="570">
        <f>$L7</f>
        <v>0</v>
      </c>
      <c r="Z33" s="570">
        <f>$L8</f>
        <v>0</v>
      </c>
      <c r="AA33" s="570">
        <f>L$15+L$16+L$17+L$18+L$19+L$21+L$22+L$23</f>
        <v>0</v>
      </c>
      <c r="AB33" s="718">
        <f>$L20</f>
        <v>0</v>
      </c>
      <c r="AC33" s="723">
        <f t="shared" ref="AC33:AC42" si="23">SUM(W33:AB33)</f>
        <v>0</v>
      </c>
      <c r="AD33" s="587">
        <f>M6+M7+M8++M9+M15+M16+M17+M18+M19+M21+M20+M22+M23</f>
        <v>0</v>
      </c>
      <c r="AE33" s="579">
        <f>AC33+AD33</f>
        <v>0</v>
      </c>
      <c r="AF33" s="579"/>
      <c r="AG33" s="599"/>
      <c r="AH33" s="599"/>
      <c r="AI33" s="599"/>
      <c r="AL33" s="24"/>
      <c r="AN33" s="26"/>
      <c r="AP33" s="24"/>
      <c r="AT33" s="25"/>
      <c r="AU33" s="25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</row>
    <row r="34" spans="1:59" s="24" customFormat="1" ht="23.25">
      <c r="A34" s="23"/>
      <c r="B34" s="23"/>
      <c r="C34" s="23"/>
      <c r="D34" s="27"/>
      <c r="E34" s="27"/>
      <c r="F34" s="27"/>
      <c r="G34" s="23"/>
      <c r="H34" s="23"/>
      <c r="I34" s="27"/>
      <c r="L34" s="441" t="s">
        <v>183</v>
      </c>
      <c r="M34" s="470">
        <f>$N$6</f>
        <v>0</v>
      </c>
      <c r="N34" s="430">
        <f>$N9</f>
        <v>0</v>
      </c>
      <c r="O34" s="430">
        <f>$N7</f>
        <v>0</v>
      </c>
      <c r="P34" s="430">
        <f>$N8</f>
        <v>0</v>
      </c>
      <c r="Q34" s="430">
        <f>N15+N16+N17+N18+N19+N21+N22+N23</f>
        <v>0</v>
      </c>
      <c r="R34" s="430">
        <f>$N20</f>
        <v>0</v>
      </c>
      <c r="S34" s="446">
        <f t="shared" si="22"/>
        <v>0</v>
      </c>
      <c r="T34" s="686"/>
      <c r="U34" s="26"/>
      <c r="V34" s="441" t="s">
        <v>183</v>
      </c>
      <c r="W34" s="440">
        <f>P$6</f>
        <v>0</v>
      </c>
      <c r="X34" s="430">
        <f>$P9</f>
        <v>0</v>
      </c>
      <c r="Y34" s="430">
        <f>$P7</f>
        <v>0</v>
      </c>
      <c r="Z34" s="430">
        <f>$P8</f>
        <v>0</v>
      </c>
      <c r="AA34" s="430">
        <f>P$15+P$16+P$17+P$18+P$19+P$21+P$22+P$23</f>
        <v>0</v>
      </c>
      <c r="AB34" s="719">
        <f>$P20</f>
        <v>0</v>
      </c>
      <c r="AC34" s="723">
        <f t="shared" si="23"/>
        <v>0</v>
      </c>
      <c r="AD34" s="587">
        <f>Q6+Q7+Q8+Q9+Q15+Q16+Q17+Q18+Q19+Q20+Q21+Q22+Q23</f>
        <v>0</v>
      </c>
      <c r="AE34" s="579">
        <f t="shared" ref="AE34:AE43" si="24">AC34+AD34</f>
        <v>0</v>
      </c>
      <c r="AG34" s="599"/>
      <c r="AH34" s="599"/>
      <c r="AI34" s="599"/>
      <c r="AN34" s="26"/>
      <c r="AT34" s="25"/>
      <c r="AU34" s="25"/>
    </row>
    <row r="35" spans="1:59" ht="23.25">
      <c r="L35" s="441" t="s">
        <v>184</v>
      </c>
      <c r="M35" s="470">
        <f>$R$6</f>
        <v>0</v>
      </c>
      <c r="N35" s="430">
        <f>$R9</f>
        <v>0</v>
      </c>
      <c r="O35" s="430">
        <f>$R7</f>
        <v>0</v>
      </c>
      <c r="P35" s="430">
        <f>$R8</f>
        <v>0</v>
      </c>
      <c r="Q35" s="430">
        <f>R15+R16+R17+R18+R19+R21+R22+R23</f>
        <v>0</v>
      </c>
      <c r="R35" s="430">
        <f>$R20</f>
        <v>0</v>
      </c>
      <c r="S35" s="446">
        <f t="shared" si="22"/>
        <v>0</v>
      </c>
      <c r="T35" s="686"/>
      <c r="U35" s="26"/>
      <c r="V35" s="441" t="s">
        <v>184</v>
      </c>
      <c r="W35" s="440">
        <f>T$6</f>
        <v>0</v>
      </c>
      <c r="X35" s="430">
        <f>$T9</f>
        <v>0</v>
      </c>
      <c r="Y35" s="430">
        <f>$T7</f>
        <v>0</v>
      </c>
      <c r="Z35" s="430">
        <f>$T8</f>
        <v>0</v>
      </c>
      <c r="AA35" s="430">
        <f>T$15+T$16+T$17+T$18+T$19+T$21+T$22+T$23</f>
        <v>0</v>
      </c>
      <c r="AB35" s="719">
        <f>$T20</f>
        <v>0</v>
      </c>
      <c r="AC35" s="723">
        <f t="shared" si="23"/>
        <v>0</v>
      </c>
      <c r="AD35" s="587">
        <f>U6+U7+U8+U9+U15+U16+U17+U18+U19+U20+U21+U22+U23</f>
        <v>0</v>
      </c>
      <c r="AE35" s="579">
        <f t="shared" si="24"/>
        <v>0</v>
      </c>
      <c r="AF35" s="26"/>
      <c r="AG35" s="599"/>
      <c r="AH35" s="599"/>
      <c r="AI35" s="599"/>
      <c r="AL35" s="24"/>
      <c r="AN35" s="26"/>
      <c r="AP35" s="24"/>
      <c r="AT35" s="25"/>
      <c r="AU35" s="25"/>
      <c r="AX35" s="23"/>
      <c r="AY35" s="23"/>
      <c r="AZ35" s="23"/>
      <c r="BA35" s="23"/>
      <c r="BB35" s="23"/>
      <c r="BC35" s="23"/>
      <c r="BD35" s="23"/>
      <c r="BE35" s="23"/>
      <c r="BF35" s="23"/>
      <c r="BG35" s="23"/>
    </row>
    <row r="36" spans="1:59" ht="23.25">
      <c r="L36" s="441" t="s">
        <v>170</v>
      </c>
      <c r="M36" s="470">
        <f>$V$6</f>
        <v>0</v>
      </c>
      <c r="N36" s="430">
        <f>$V9</f>
        <v>0</v>
      </c>
      <c r="O36" s="430">
        <f>$V7</f>
        <v>0</v>
      </c>
      <c r="P36" s="430">
        <f>$V8</f>
        <v>0</v>
      </c>
      <c r="Q36" s="430">
        <f>V15+V16+V17+V18+V19+V21++V22+V23</f>
        <v>0</v>
      </c>
      <c r="R36" s="430">
        <f>$V20</f>
        <v>0</v>
      </c>
      <c r="S36" s="446">
        <f t="shared" si="22"/>
        <v>0</v>
      </c>
      <c r="T36" s="686"/>
      <c r="U36" s="26"/>
      <c r="V36" s="441" t="s">
        <v>170</v>
      </c>
      <c r="W36" s="440">
        <f>X$6</f>
        <v>0</v>
      </c>
      <c r="X36" s="430">
        <f>$X9</f>
        <v>0</v>
      </c>
      <c r="Y36" s="430">
        <f>$X7</f>
        <v>0</v>
      </c>
      <c r="Z36" s="430">
        <f>$X8</f>
        <v>0</v>
      </c>
      <c r="AA36" s="430">
        <f>X$15+X$16+X$17+X$18+X$19+X$21+X$22+X$23</f>
        <v>0</v>
      </c>
      <c r="AB36" s="719">
        <f>$X20</f>
        <v>0</v>
      </c>
      <c r="AC36" s="723">
        <f t="shared" si="23"/>
        <v>0</v>
      </c>
      <c r="AD36" s="587">
        <f>Y6+Y7+Y8+Y9+Y15+Y16+Y17+Y18+Y19+Y20+Y21+Y22+Y23</f>
        <v>0</v>
      </c>
      <c r="AE36" s="579">
        <f t="shared" si="24"/>
        <v>0</v>
      </c>
      <c r="AF36" s="26"/>
      <c r="AG36" s="599"/>
      <c r="AH36" s="599"/>
      <c r="AI36" s="599"/>
      <c r="AL36" s="24"/>
      <c r="AN36" s="26"/>
      <c r="AP36" s="24"/>
      <c r="AT36" s="25"/>
      <c r="AU36" s="25"/>
      <c r="AX36" s="23"/>
      <c r="AY36" s="23"/>
      <c r="AZ36" s="23"/>
      <c r="BA36" s="23"/>
      <c r="BB36" s="23"/>
      <c r="BC36" s="23"/>
      <c r="BD36" s="23"/>
      <c r="BE36" s="23"/>
      <c r="BF36" s="23"/>
      <c r="BG36" s="23"/>
    </row>
    <row r="37" spans="1:59" ht="23.25">
      <c r="L37" s="441" t="s">
        <v>171</v>
      </c>
      <c r="M37" s="470">
        <f>$Z$6</f>
        <v>0</v>
      </c>
      <c r="N37" s="430">
        <f>$Z9</f>
        <v>0</v>
      </c>
      <c r="O37" s="430">
        <f>$Z7</f>
        <v>0</v>
      </c>
      <c r="P37" s="430">
        <f>$Z8</f>
        <v>0</v>
      </c>
      <c r="Q37" s="430">
        <f>Z15+Z16+Z17+Z18+Z19+Z21+Z22+Z23</f>
        <v>0</v>
      </c>
      <c r="R37" s="430">
        <f>$Z20</f>
        <v>0</v>
      </c>
      <c r="S37" s="446">
        <f t="shared" si="22"/>
        <v>0</v>
      </c>
      <c r="T37" s="686"/>
      <c r="U37" s="26"/>
      <c r="V37" s="441" t="s">
        <v>171</v>
      </c>
      <c r="W37" s="440">
        <f>AB$6</f>
        <v>0</v>
      </c>
      <c r="X37" s="430">
        <f>$AB9</f>
        <v>0</v>
      </c>
      <c r="Y37" s="430">
        <f>$AB7</f>
        <v>0</v>
      </c>
      <c r="Z37" s="430">
        <f>$AB8</f>
        <v>0</v>
      </c>
      <c r="AA37" s="430">
        <f>AB$15+AB$16+AB$17+AB$18+AB$19+AB$21+AB$22+AB$23</f>
        <v>0</v>
      </c>
      <c r="AB37" s="719">
        <f>$AB20</f>
        <v>0</v>
      </c>
      <c r="AC37" s="723">
        <f t="shared" si="23"/>
        <v>0</v>
      </c>
      <c r="AD37" s="587">
        <f>AC6+AC7+AC8+AC9+AC15+AC17+AC16+AC18+AC19+AC20+AC21+AC22+AC23</f>
        <v>0</v>
      </c>
      <c r="AE37" s="579">
        <f t="shared" si="24"/>
        <v>0</v>
      </c>
      <c r="AF37" s="26"/>
      <c r="AG37" s="26"/>
      <c r="AI37" s="26"/>
      <c r="AJ37" s="26"/>
      <c r="AK37" s="26"/>
      <c r="AL37" s="24"/>
      <c r="AN37" s="26"/>
      <c r="AP37" s="24"/>
      <c r="AT37" s="24"/>
      <c r="AX37" s="23"/>
      <c r="AY37" s="23"/>
      <c r="AZ37" s="23"/>
      <c r="BA37" s="23"/>
      <c r="BB37" s="23"/>
      <c r="BC37" s="23"/>
      <c r="BD37" s="23"/>
      <c r="BE37" s="23"/>
      <c r="BF37" s="23"/>
      <c r="BG37" s="23"/>
    </row>
    <row r="38" spans="1:59" ht="23.25">
      <c r="L38" s="441" t="s">
        <v>190</v>
      </c>
      <c r="M38" s="492">
        <f>$AD$6</f>
        <v>0</v>
      </c>
      <c r="N38" s="471">
        <f>$AD9</f>
        <v>0</v>
      </c>
      <c r="O38" s="471">
        <f>$AD7</f>
        <v>0</v>
      </c>
      <c r="P38" s="471">
        <f>$AD8</f>
        <v>0</v>
      </c>
      <c r="Q38" s="430">
        <f>AD15+AD16+AD17+AD18+AD19+AD21+AD22+AD23</f>
        <v>0</v>
      </c>
      <c r="R38" s="471">
        <f>$AD20</f>
        <v>0</v>
      </c>
      <c r="S38" s="446">
        <f t="shared" si="22"/>
        <v>0</v>
      </c>
      <c r="T38" s="686"/>
      <c r="U38" s="26"/>
      <c r="V38" s="441" t="s">
        <v>190</v>
      </c>
      <c r="W38" s="440">
        <f>AF$6</f>
        <v>0</v>
      </c>
      <c r="X38" s="430">
        <f>$AF9</f>
        <v>0</v>
      </c>
      <c r="Y38" s="430">
        <f>$AF7</f>
        <v>0</v>
      </c>
      <c r="Z38" s="430">
        <f>$AF8</f>
        <v>0</v>
      </c>
      <c r="AA38" s="430">
        <f>AF$15+AF$16+AF$17+AF$18+AF$19+AF$21+AF$22+AF$23</f>
        <v>0</v>
      </c>
      <c r="AB38" s="719">
        <f>$AF20</f>
        <v>0</v>
      </c>
      <c r="AC38" s="723">
        <f t="shared" si="23"/>
        <v>0</v>
      </c>
      <c r="AD38" s="587">
        <f>AG6+AG7+AG8+AG9+AG15+AG16+AG17+AG18+AG19+AG20+AG21+AG22+AG23</f>
        <v>0</v>
      </c>
      <c r="AE38" s="579">
        <f t="shared" si="24"/>
        <v>0</v>
      </c>
      <c r="AF38" s="26"/>
      <c r="AG38" s="26"/>
      <c r="AI38" s="26"/>
      <c r="AJ38" s="26"/>
      <c r="AK38" s="26"/>
      <c r="AL38" s="24"/>
      <c r="AN38" s="26"/>
      <c r="AP38" s="24"/>
      <c r="AT38" s="24"/>
      <c r="AX38" s="23"/>
      <c r="AY38" s="23"/>
      <c r="AZ38" s="23"/>
      <c r="BA38" s="23"/>
      <c r="BB38" s="23"/>
      <c r="BC38" s="23"/>
      <c r="BD38" s="23"/>
      <c r="BE38" s="23"/>
      <c r="BF38" s="23"/>
      <c r="BG38" s="23"/>
    </row>
    <row r="39" spans="1:59" ht="23.25">
      <c r="L39" s="441" t="s">
        <v>185</v>
      </c>
      <c r="M39" s="470">
        <f>$AL$6</f>
        <v>0</v>
      </c>
      <c r="N39" s="430">
        <f>$AL9</f>
        <v>0</v>
      </c>
      <c r="O39" s="430">
        <f>$AL7</f>
        <v>0</v>
      </c>
      <c r="P39" s="430">
        <f>$AL8</f>
        <v>0</v>
      </c>
      <c r="Q39" s="430">
        <f>AL15+AL16+AL17+AL18+AL19+AL21+AL22+AL23</f>
        <v>0</v>
      </c>
      <c r="R39" s="430">
        <f>$AL20</f>
        <v>0</v>
      </c>
      <c r="S39" s="446">
        <f t="shared" si="22"/>
        <v>0</v>
      </c>
      <c r="T39" s="686"/>
      <c r="U39" s="26"/>
      <c r="V39" s="441" t="s">
        <v>185</v>
      </c>
      <c r="W39" s="469">
        <f>AN$6</f>
        <v>0</v>
      </c>
      <c r="X39" s="430">
        <f>$AN9</f>
        <v>0</v>
      </c>
      <c r="Y39" s="430">
        <f>$AN7</f>
        <v>0</v>
      </c>
      <c r="Z39" s="430">
        <f>$AN8</f>
        <v>0</v>
      </c>
      <c r="AA39" s="430">
        <f>AN$15+AN$16+AN$17+AN$18+AN$19+AN$21+AN$22+AN$23</f>
        <v>0</v>
      </c>
      <c r="AB39" s="719">
        <f>$AN20</f>
        <v>0</v>
      </c>
      <c r="AC39" s="723">
        <f t="shared" si="23"/>
        <v>0</v>
      </c>
      <c r="AD39" s="587">
        <f>AO6+AO7+AO8+AO9+AO15+AO16+AO17+AO18+AO19+AO20+AO21+AO22+AO23</f>
        <v>0</v>
      </c>
      <c r="AE39" s="579">
        <f t="shared" si="24"/>
        <v>0</v>
      </c>
      <c r="AF39" s="23"/>
      <c r="AG39" s="26"/>
      <c r="AI39" s="26"/>
      <c r="AJ39" s="26"/>
      <c r="AK39" s="26"/>
      <c r="AL39" s="24"/>
      <c r="AN39" s="26"/>
      <c r="AP39" s="24"/>
      <c r="AT39" s="24"/>
      <c r="AX39" s="23"/>
      <c r="AY39" s="23"/>
      <c r="AZ39" s="23"/>
      <c r="BA39" s="23"/>
      <c r="BB39" s="23"/>
      <c r="BC39" s="23"/>
      <c r="BD39" s="23"/>
      <c r="BE39" s="23"/>
      <c r="BF39" s="23"/>
      <c r="BG39" s="23"/>
    </row>
    <row r="40" spans="1:59" ht="23.25">
      <c r="L40" s="441" t="s">
        <v>202</v>
      </c>
      <c r="M40" s="470">
        <f>$AP$6</f>
        <v>0</v>
      </c>
      <c r="N40" s="430">
        <f>$AP9</f>
        <v>0</v>
      </c>
      <c r="O40" s="430">
        <f>$AP7</f>
        <v>0</v>
      </c>
      <c r="P40" s="430">
        <f>$AP8</f>
        <v>0</v>
      </c>
      <c r="Q40" s="430">
        <f>AP15+AP16+AP17+AP18+AP19+AP21+AP22+AP23</f>
        <v>0</v>
      </c>
      <c r="R40" s="430">
        <f>$AP20</f>
        <v>0</v>
      </c>
      <c r="S40" s="446">
        <f t="shared" si="22"/>
        <v>0</v>
      </c>
      <c r="T40" s="686"/>
      <c r="U40" s="26"/>
      <c r="V40" s="441" t="s">
        <v>202</v>
      </c>
      <c r="W40" s="440">
        <f>AR$6</f>
        <v>0</v>
      </c>
      <c r="X40" s="430">
        <f>$AR9</f>
        <v>0</v>
      </c>
      <c r="Y40" s="430">
        <f>$AR7</f>
        <v>0</v>
      </c>
      <c r="Z40" s="430">
        <f>$AR8</f>
        <v>0</v>
      </c>
      <c r="AA40" s="430">
        <f>AR$15+AR$16+AR$17+AR$18+AR$19+AR$21+AR$22+AR$23</f>
        <v>0</v>
      </c>
      <c r="AB40" s="719">
        <f>$AR20</f>
        <v>0</v>
      </c>
      <c r="AC40" s="723">
        <f t="shared" si="23"/>
        <v>0</v>
      </c>
      <c r="AD40" s="587">
        <f>AS6+AS7+AS8+AS9+AS15+AS16+AS17+AS18+AS19+AS20+AS21+AS22+AS23</f>
        <v>0</v>
      </c>
      <c r="AE40" s="579">
        <f t="shared" si="24"/>
        <v>0</v>
      </c>
      <c r="AF40" s="28"/>
      <c r="AG40" s="26"/>
      <c r="AI40" s="26"/>
      <c r="AJ40" s="26"/>
      <c r="AK40" s="26"/>
      <c r="AL40" s="24"/>
      <c r="AN40" s="26"/>
      <c r="AP40" s="24"/>
      <c r="AS40" s="23"/>
      <c r="AT40" s="24"/>
      <c r="AX40" s="23"/>
      <c r="AY40" s="23"/>
      <c r="AZ40" s="23"/>
      <c r="BA40" s="23"/>
      <c r="BB40" s="23"/>
      <c r="BC40" s="23"/>
      <c r="BD40" s="23"/>
      <c r="BE40" s="23"/>
      <c r="BF40" s="23"/>
      <c r="BG40" s="23"/>
    </row>
    <row r="41" spans="1:59" ht="23.25">
      <c r="L41" s="441" t="s">
        <v>186</v>
      </c>
      <c r="M41" s="470">
        <f>$AT$6</f>
        <v>0</v>
      </c>
      <c r="N41" s="430">
        <f>$AT9</f>
        <v>0</v>
      </c>
      <c r="O41" s="430">
        <f>$AT7</f>
        <v>0</v>
      </c>
      <c r="P41" s="430">
        <f>$AT8</f>
        <v>0</v>
      </c>
      <c r="Q41" s="430">
        <f>AT15+AT16+AT17+AT18+AT19+AT21+AT22+AT23</f>
        <v>0</v>
      </c>
      <c r="R41" s="430">
        <f>$AT20</f>
        <v>0</v>
      </c>
      <c r="S41" s="446">
        <f t="shared" si="22"/>
        <v>0</v>
      </c>
      <c r="T41" s="686"/>
      <c r="U41" s="26"/>
      <c r="V41" s="441" t="s">
        <v>186</v>
      </c>
      <c r="W41" s="440">
        <f>AV$6</f>
        <v>0</v>
      </c>
      <c r="X41" s="430">
        <f>$AV9</f>
        <v>0</v>
      </c>
      <c r="Y41" s="430">
        <f>$AV7</f>
        <v>0</v>
      </c>
      <c r="Z41" s="430">
        <f>$AV8</f>
        <v>0</v>
      </c>
      <c r="AA41" s="430">
        <f>AV$15+AV$16+AV$17+AV$18+AV$19+AV$21+AV$22+AV$23</f>
        <v>0</v>
      </c>
      <c r="AB41" s="719">
        <f>$AV20</f>
        <v>0</v>
      </c>
      <c r="AC41" s="723">
        <f t="shared" si="23"/>
        <v>0</v>
      </c>
      <c r="AD41" s="587">
        <f>AW6+AW7+AW8+AW9+AW15+AW16+AW17+AW18+AW20+AW19+AW21+AW22+AW23</f>
        <v>0</v>
      </c>
      <c r="AE41" s="579">
        <f t="shared" si="24"/>
        <v>0</v>
      </c>
      <c r="AH41" s="24"/>
      <c r="AJ41" s="25"/>
      <c r="AL41" s="24"/>
      <c r="AN41" s="25"/>
      <c r="AP41" s="24"/>
      <c r="AR41" s="25"/>
      <c r="AT41" s="24"/>
      <c r="AX41" s="23"/>
      <c r="AY41" s="23"/>
      <c r="AZ41" s="23"/>
      <c r="BA41" s="23"/>
      <c r="BB41" s="23"/>
      <c r="BC41" s="23"/>
      <c r="BD41" s="23"/>
      <c r="BE41" s="23"/>
      <c r="BF41" s="23"/>
      <c r="BG41" s="23"/>
    </row>
    <row r="42" spans="1:59" ht="23.25">
      <c r="L42" s="441" t="s">
        <v>203</v>
      </c>
      <c r="M42" s="470">
        <f>$AX$6</f>
        <v>0</v>
      </c>
      <c r="N42" s="430">
        <f>$AX9</f>
        <v>0</v>
      </c>
      <c r="O42" s="430">
        <f>$AX7</f>
        <v>0</v>
      </c>
      <c r="P42" s="430">
        <f>$AX8</f>
        <v>0</v>
      </c>
      <c r="Q42" s="430">
        <f>AX15+AX16+AX17+AX18+AX19+AX21+AX22+AX23</f>
        <v>0</v>
      </c>
      <c r="R42" s="430">
        <f>$AX20</f>
        <v>0</v>
      </c>
      <c r="S42" s="446">
        <f t="shared" si="22"/>
        <v>0</v>
      </c>
      <c r="T42" s="686"/>
      <c r="U42" s="26"/>
      <c r="V42" s="441" t="s">
        <v>203</v>
      </c>
      <c r="W42" s="440">
        <f>AZ$6</f>
        <v>0</v>
      </c>
      <c r="X42" s="430">
        <f>$AZ9</f>
        <v>0</v>
      </c>
      <c r="Y42" s="430">
        <f>$AZ7</f>
        <v>0</v>
      </c>
      <c r="Z42" s="430">
        <f>$AZ8</f>
        <v>0</v>
      </c>
      <c r="AA42" s="430">
        <f>AZ$15+AZ$16+AZ$17+AZ$18+AZ$19+AZ$21+AZ$22+AZ$23</f>
        <v>0</v>
      </c>
      <c r="AB42" s="719">
        <f>$AZ20</f>
        <v>0</v>
      </c>
      <c r="AC42" s="723">
        <f t="shared" si="23"/>
        <v>0</v>
      </c>
      <c r="AD42" s="587">
        <f>BA6+BA7+BA8+BA9+BA15+BA16+BA17+BA18+BA19+BA20+BA21+BA22+BA23</f>
        <v>0</v>
      </c>
      <c r="AE42" s="579">
        <f t="shared" si="24"/>
        <v>0</v>
      </c>
      <c r="AH42" s="24"/>
      <c r="AJ42" s="25"/>
      <c r="AL42" s="24"/>
      <c r="AN42" s="25"/>
      <c r="AP42" s="24"/>
      <c r="AR42" s="25"/>
      <c r="AT42" s="24"/>
      <c r="AV42" s="25"/>
      <c r="AX42" s="23"/>
      <c r="AY42" s="23"/>
      <c r="AZ42" s="23"/>
      <c r="BA42" s="23"/>
      <c r="BB42" s="23"/>
      <c r="BC42" s="23"/>
      <c r="BD42" s="23"/>
      <c r="BE42" s="23"/>
      <c r="BF42" s="23"/>
      <c r="BG42" s="23"/>
    </row>
    <row r="43" spans="1:59" ht="24" thickBot="1">
      <c r="L43" s="442" t="s">
        <v>191</v>
      </c>
      <c r="M43" s="443">
        <f t="shared" ref="M43" si="25">SUM(M33:M42)</f>
        <v>0</v>
      </c>
      <c r="N43" s="444">
        <f>SUM(N33:N42)</f>
        <v>0</v>
      </c>
      <c r="O43" s="443">
        <f t="shared" ref="O43" si="26">SUM(O33:O42)</f>
        <v>0</v>
      </c>
      <c r="P43" s="444">
        <f>SUM(P33:P42)</f>
        <v>0</v>
      </c>
      <c r="Q43" s="444">
        <f>SUM(Q33:Q42)</f>
        <v>0</v>
      </c>
      <c r="R43" s="445">
        <f>SUM(R33:R42)</f>
        <v>0</v>
      </c>
      <c r="S43" s="451">
        <f>SUM(S33:S42)</f>
        <v>0</v>
      </c>
      <c r="T43" s="687"/>
      <c r="U43" s="26"/>
      <c r="V43" s="442" t="s">
        <v>191</v>
      </c>
      <c r="W43" s="443">
        <f t="shared" ref="W43:Y43" si="27">SUM(W33:W42)</f>
        <v>0</v>
      </c>
      <c r="X43" s="444">
        <f>SUM(X33:X42)</f>
        <v>0</v>
      </c>
      <c r="Y43" s="443">
        <f t="shared" si="27"/>
        <v>0</v>
      </c>
      <c r="Z43" s="444">
        <f>SUM(Z33:Z42)</f>
        <v>0</v>
      </c>
      <c r="AA43" s="444">
        <f>SUM(AA33:AA42)</f>
        <v>0</v>
      </c>
      <c r="AB43" s="720">
        <f>SUM(AB33:AB42)</f>
        <v>0</v>
      </c>
      <c r="AC43" s="724">
        <f>SUM(AC33:AC42)</f>
        <v>0</v>
      </c>
      <c r="AD43" s="725">
        <f>SUM(AD33:AD42)</f>
        <v>0</v>
      </c>
      <c r="AE43" s="579">
        <f t="shared" si="24"/>
        <v>0</v>
      </c>
      <c r="AH43" s="24"/>
      <c r="AJ43" s="25"/>
      <c r="AL43" s="24"/>
      <c r="AN43" s="25"/>
      <c r="AP43" s="24"/>
      <c r="AR43" s="25"/>
      <c r="AT43" s="24"/>
      <c r="AV43" s="25"/>
      <c r="AX43" s="23"/>
      <c r="AY43" s="23"/>
      <c r="AZ43" s="23"/>
      <c r="BA43" s="23"/>
      <c r="BB43" s="23"/>
      <c r="BC43" s="23"/>
      <c r="BD43" s="23"/>
      <c r="BE43" s="23"/>
      <c r="BF43" s="23"/>
      <c r="BG43" s="23"/>
    </row>
    <row r="44" spans="1:59" ht="15" customHeight="1" thickBot="1">
      <c r="L44" s="26"/>
      <c r="M44" s="26"/>
      <c r="N44" s="24"/>
      <c r="P44" s="26"/>
      <c r="Q44" s="26"/>
      <c r="R44" s="24"/>
      <c r="T44" s="26"/>
      <c r="U44" s="26"/>
      <c r="V44" s="24"/>
      <c r="Z44" s="24"/>
      <c r="AD44" s="24"/>
      <c r="AE44" s="26"/>
      <c r="AF44" s="466"/>
      <c r="AG44" s="466"/>
      <c r="AH44" s="466"/>
      <c r="AI44" s="467"/>
      <c r="AL44" s="24"/>
      <c r="AM44" s="25"/>
      <c r="AP44" s="24"/>
      <c r="AQ44" s="25"/>
      <c r="AT44" s="24"/>
      <c r="AU44" s="25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</row>
    <row r="45" spans="1:59" ht="31.5" customHeight="1" thickBot="1">
      <c r="L45" s="1929" t="str">
        <f>L31</f>
        <v>Mode wise Collection Plan-15-12-2021</v>
      </c>
      <c r="M45" s="1930"/>
      <c r="N45" s="1930"/>
      <c r="O45" s="1930"/>
      <c r="P45" s="1930"/>
      <c r="Q45" s="1930"/>
      <c r="R45" s="1930"/>
      <c r="S45" s="1930"/>
      <c r="T45" s="1931"/>
      <c r="U45" s="26"/>
      <c r="V45" s="1923" t="s">
        <v>305</v>
      </c>
      <c r="W45" s="1937"/>
      <c r="X45" s="1937"/>
      <c r="Y45" s="1937"/>
      <c r="Z45" s="1937"/>
      <c r="AA45" s="1937"/>
      <c r="AB45" s="1937"/>
      <c r="AC45" s="1937"/>
      <c r="AD45" s="1937"/>
      <c r="AE45" s="1938"/>
      <c r="AF45" s="466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</row>
    <row r="46" spans="1:59" s="28" customFormat="1" ht="49.5" customHeight="1">
      <c r="D46" s="29"/>
      <c r="E46" s="29"/>
      <c r="F46" s="29"/>
      <c r="I46" s="29"/>
      <c r="J46" s="1011" t="s">
        <v>270</v>
      </c>
      <c r="K46" s="1011" t="s">
        <v>196</v>
      </c>
      <c r="L46" s="450" t="s">
        <v>0</v>
      </c>
      <c r="M46" s="439" t="s">
        <v>200</v>
      </c>
      <c r="N46" s="454" t="s">
        <v>205</v>
      </c>
      <c r="O46" s="439" t="s">
        <v>31</v>
      </c>
      <c r="P46" s="448" t="s">
        <v>201</v>
      </c>
      <c r="Q46" s="455" t="s">
        <v>206</v>
      </c>
      <c r="R46" s="436" t="s">
        <v>22</v>
      </c>
      <c r="S46" s="438" t="s">
        <v>191</v>
      </c>
      <c r="T46" s="438" t="s">
        <v>244</v>
      </c>
      <c r="U46" s="26"/>
      <c r="V46" s="596" t="s">
        <v>0</v>
      </c>
      <c r="W46" s="436" t="s">
        <v>200</v>
      </c>
      <c r="X46" s="454" t="s">
        <v>205</v>
      </c>
      <c r="Y46" s="436" t="s">
        <v>31</v>
      </c>
      <c r="Z46" s="448" t="s">
        <v>201</v>
      </c>
      <c r="AA46" s="453" t="s">
        <v>206</v>
      </c>
      <c r="AB46" s="453" t="s">
        <v>210</v>
      </c>
      <c r="AC46" s="436" t="s">
        <v>22</v>
      </c>
      <c r="AD46" s="437" t="s">
        <v>191</v>
      </c>
      <c r="AE46" s="438" t="s">
        <v>244</v>
      </c>
      <c r="AF46" s="952" t="s">
        <v>32</v>
      </c>
      <c r="AG46" s="1069" t="s">
        <v>22</v>
      </c>
      <c r="AH46" s="1022" t="s">
        <v>23</v>
      </c>
      <c r="AI46" s="1022" t="s">
        <v>271</v>
      </c>
      <c r="AJ46" s="23"/>
      <c r="AK46" s="23"/>
      <c r="AL46" s="23"/>
      <c r="AM46" s="23"/>
      <c r="AN46" s="23"/>
      <c r="AO46" s="23"/>
      <c r="AP46" s="23"/>
      <c r="AQ46" s="23"/>
      <c r="AR46" s="23"/>
    </row>
    <row r="47" spans="1:59" ht="26.25" customHeight="1">
      <c r="J47" s="441"/>
      <c r="K47" s="441"/>
      <c r="L47" s="441" t="s">
        <v>189</v>
      </c>
      <c r="M47" s="470">
        <v>31</v>
      </c>
      <c r="N47" s="430">
        <v>2</v>
      </c>
      <c r="O47" s="430">
        <v>0</v>
      </c>
      <c r="P47" s="430">
        <v>0</v>
      </c>
      <c r="Q47" s="430">
        <v>8</v>
      </c>
      <c r="R47" s="430">
        <v>0</v>
      </c>
      <c r="S47" s="446">
        <f t="shared" ref="S47:S56" si="28">SUM(M47:R47)</f>
        <v>41</v>
      </c>
      <c r="T47" s="446">
        <v>73</v>
      </c>
      <c r="U47" s="26"/>
      <c r="V47" s="586" t="s">
        <v>189</v>
      </c>
      <c r="W47" s="430">
        <v>38.299999999999997</v>
      </c>
      <c r="X47" s="430">
        <v>7.75</v>
      </c>
      <c r="Y47" s="430">
        <v>0</v>
      </c>
      <c r="Z47" s="430">
        <v>11</v>
      </c>
      <c r="AA47" s="430">
        <v>0</v>
      </c>
      <c r="AB47" s="655">
        <v>0</v>
      </c>
      <c r="AC47" s="430"/>
      <c r="AD47" s="568">
        <f t="shared" ref="AD47:AD56" si="29">SUM(W47:AC47)</f>
        <v>57.05</v>
      </c>
      <c r="AE47" s="587">
        <f>L27+L28+L29</f>
        <v>0</v>
      </c>
      <c r="AF47" s="953"/>
      <c r="AG47" s="1017"/>
      <c r="AH47" s="1017"/>
      <c r="AI47" s="1017"/>
      <c r="AJ47" s="28"/>
      <c r="AK47" s="28"/>
      <c r="AL47" s="28"/>
      <c r="AM47" s="28"/>
      <c r="AN47" s="28"/>
      <c r="AO47" s="28"/>
      <c r="AP47" s="28"/>
      <c r="AQ47" s="28"/>
      <c r="AR47" s="28"/>
      <c r="AT47" s="24"/>
      <c r="AU47" s="25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</row>
    <row r="48" spans="1:59" ht="23.25">
      <c r="J48" s="441"/>
      <c r="K48" s="441"/>
      <c r="L48" s="441" t="s">
        <v>183</v>
      </c>
      <c r="M48" s="470">
        <v>18</v>
      </c>
      <c r="N48" s="430">
        <v>0</v>
      </c>
      <c r="O48" s="430">
        <v>0</v>
      </c>
      <c r="P48" s="430">
        <v>0</v>
      </c>
      <c r="Q48" s="430">
        <v>0</v>
      </c>
      <c r="R48" s="430">
        <v>12</v>
      </c>
      <c r="S48" s="446">
        <f t="shared" si="28"/>
        <v>30</v>
      </c>
      <c r="T48" s="446"/>
      <c r="U48" s="466"/>
      <c r="V48" s="586" t="s">
        <v>183</v>
      </c>
      <c r="W48" s="430">
        <v>21</v>
      </c>
      <c r="X48" s="430">
        <v>0</v>
      </c>
      <c r="Y48" s="430">
        <v>0</v>
      </c>
      <c r="Z48" s="430">
        <v>0</v>
      </c>
      <c r="AA48" s="430">
        <v>0</v>
      </c>
      <c r="AB48" s="655">
        <v>0</v>
      </c>
      <c r="AC48" s="430"/>
      <c r="AD48" s="568">
        <f t="shared" si="29"/>
        <v>21</v>
      </c>
      <c r="AE48" s="587">
        <f>P27+P28+P29</f>
        <v>0</v>
      </c>
      <c r="AF48" s="953"/>
      <c r="AG48" s="951">
        <v>5.97</v>
      </c>
      <c r="AH48" s="951"/>
      <c r="AI48" s="655"/>
      <c r="AL48" s="24"/>
      <c r="AM48" s="25"/>
      <c r="AP48" s="24"/>
      <c r="AQ48" s="25"/>
      <c r="AT48" s="24"/>
      <c r="AU48" s="25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</row>
    <row r="49" spans="4:59" ht="23.25">
      <c r="J49" s="441"/>
      <c r="K49" s="441"/>
      <c r="L49" s="441" t="s">
        <v>184</v>
      </c>
      <c r="M49" s="470">
        <v>0</v>
      </c>
      <c r="N49" s="430">
        <v>3</v>
      </c>
      <c r="O49" s="430">
        <v>0</v>
      </c>
      <c r="P49" s="430">
        <v>0</v>
      </c>
      <c r="Q49" s="430">
        <v>17</v>
      </c>
      <c r="R49" s="430">
        <v>0</v>
      </c>
      <c r="S49" s="446">
        <f t="shared" si="28"/>
        <v>20</v>
      </c>
      <c r="T49" s="446">
        <v>20</v>
      </c>
      <c r="U49" s="466"/>
      <c r="V49" s="586" t="s">
        <v>184</v>
      </c>
      <c r="W49" s="430">
        <v>0</v>
      </c>
      <c r="X49" s="430">
        <v>0</v>
      </c>
      <c r="Y49" s="430">
        <v>0</v>
      </c>
      <c r="Z49" s="430">
        <v>0</v>
      </c>
      <c r="AA49" s="430">
        <v>0</v>
      </c>
      <c r="AB49" s="655">
        <v>0</v>
      </c>
      <c r="AC49" s="430"/>
      <c r="AD49" s="568">
        <f t="shared" si="29"/>
        <v>0</v>
      </c>
      <c r="AE49" s="587">
        <f>T27+T28+T29</f>
        <v>0</v>
      </c>
      <c r="AF49" s="953"/>
      <c r="AG49" s="951"/>
      <c r="AH49" s="951"/>
      <c r="AI49" s="655"/>
      <c r="AL49" s="24"/>
      <c r="AM49" s="25"/>
      <c r="AP49" s="24"/>
      <c r="AQ49" s="25"/>
      <c r="AT49" s="24"/>
      <c r="AU49" s="25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</row>
    <row r="50" spans="4:59" ht="23.25">
      <c r="J50" s="441"/>
      <c r="K50" s="441"/>
      <c r="L50" s="441" t="s">
        <v>170</v>
      </c>
      <c r="M50" s="470">
        <v>20</v>
      </c>
      <c r="N50" s="430">
        <v>2</v>
      </c>
      <c r="O50" s="430">
        <v>0</v>
      </c>
      <c r="P50" s="430">
        <v>0</v>
      </c>
      <c r="Q50" s="430">
        <v>8</v>
      </c>
      <c r="R50" s="430">
        <v>0</v>
      </c>
      <c r="S50" s="446">
        <f t="shared" si="28"/>
        <v>30</v>
      </c>
      <c r="T50" s="446"/>
      <c r="U50" s="466"/>
      <c r="V50" s="586" t="s">
        <v>170</v>
      </c>
      <c r="W50" s="430">
        <v>7</v>
      </c>
      <c r="X50" s="430">
        <v>0</v>
      </c>
      <c r="Y50" s="430">
        <v>0</v>
      </c>
      <c r="Z50" s="430">
        <v>1.5</v>
      </c>
      <c r="AA50" s="430">
        <v>0</v>
      </c>
      <c r="AB50" s="655">
        <v>0</v>
      </c>
      <c r="AC50" s="430"/>
      <c r="AD50" s="568">
        <f t="shared" si="29"/>
        <v>8.5</v>
      </c>
      <c r="AE50" s="587">
        <f>X27+X28+X29</f>
        <v>0</v>
      </c>
      <c r="AF50" s="953"/>
      <c r="AG50" s="951"/>
      <c r="AH50" s="951"/>
      <c r="AI50" s="655"/>
      <c r="AL50" s="24"/>
      <c r="AM50" s="25"/>
      <c r="AP50" s="24"/>
      <c r="AQ50" s="25"/>
      <c r="AT50" s="24"/>
      <c r="AU50" s="25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</row>
    <row r="51" spans="4:59" ht="23.25">
      <c r="J51" s="441"/>
      <c r="K51" s="441"/>
      <c r="L51" s="441" t="s">
        <v>171</v>
      </c>
      <c r="M51" s="470">
        <v>5</v>
      </c>
      <c r="N51" s="430">
        <v>0</v>
      </c>
      <c r="O51" s="430">
        <v>0</v>
      </c>
      <c r="P51" s="430">
        <v>5</v>
      </c>
      <c r="Q51" s="430">
        <v>0</v>
      </c>
      <c r="R51" s="430">
        <v>0</v>
      </c>
      <c r="S51" s="446">
        <f t="shared" si="28"/>
        <v>10</v>
      </c>
      <c r="T51" s="446"/>
      <c r="U51" s="466"/>
      <c r="V51" s="586" t="s">
        <v>171</v>
      </c>
      <c r="W51" s="430">
        <v>5.95</v>
      </c>
      <c r="X51" s="430">
        <v>0</v>
      </c>
      <c r="Y51" s="430">
        <v>0</v>
      </c>
      <c r="Z51" s="430">
        <v>0</v>
      </c>
      <c r="AA51" s="430">
        <v>0</v>
      </c>
      <c r="AB51" s="655">
        <v>0</v>
      </c>
      <c r="AC51" s="430"/>
      <c r="AD51" s="568">
        <f t="shared" si="29"/>
        <v>5.95</v>
      </c>
      <c r="AE51" s="587">
        <f>AB27+AB28+AB29</f>
        <v>0</v>
      </c>
      <c r="AF51" s="953"/>
      <c r="AG51" s="951"/>
      <c r="AH51" s="951"/>
      <c r="AI51" s="655"/>
      <c r="AL51" s="24"/>
      <c r="AM51" s="25"/>
      <c r="AP51" s="24"/>
      <c r="AQ51" s="25"/>
      <c r="AT51" s="24"/>
      <c r="AU51" s="25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</row>
    <row r="52" spans="4:59" ht="23.25">
      <c r="J52" s="441">
        <f>14+20+12.96</f>
        <v>46.96</v>
      </c>
      <c r="K52" s="441">
        <f>25+18</f>
        <v>43</v>
      </c>
      <c r="L52" s="441" t="s">
        <v>190</v>
      </c>
      <c r="M52" s="492">
        <v>20</v>
      </c>
      <c r="N52" s="471">
        <v>0</v>
      </c>
      <c r="O52" s="471">
        <v>0</v>
      </c>
      <c r="P52" s="471"/>
      <c r="Q52" s="430">
        <v>0</v>
      </c>
      <c r="R52" s="471">
        <v>0</v>
      </c>
      <c r="S52" s="446">
        <f t="shared" si="28"/>
        <v>20</v>
      </c>
      <c r="T52" s="446">
        <v>22</v>
      </c>
      <c r="U52" s="466"/>
      <c r="V52" s="586" t="s">
        <v>190</v>
      </c>
      <c r="W52" s="430">
        <v>41.84</v>
      </c>
      <c r="X52" s="430">
        <v>0</v>
      </c>
      <c r="Y52" s="430">
        <v>0</v>
      </c>
      <c r="Z52" s="430">
        <v>0</v>
      </c>
      <c r="AA52" s="430">
        <v>0</v>
      </c>
      <c r="AB52" s="655">
        <v>0</v>
      </c>
      <c r="AC52" s="430"/>
      <c r="AD52" s="568">
        <f t="shared" si="29"/>
        <v>41.84</v>
      </c>
      <c r="AE52" s="587">
        <f>AF27+AF28+AF29</f>
        <v>0</v>
      </c>
      <c r="AF52" s="954">
        <v>20</v>
      </c>
      <c r="AG52" s="951">
        <v>13</v>
      </c>
      <c r="AH52" s="951"/>
      <c r="AI52" s="655"/>
      <c r="AL52" s="24"/>
      <c r="AM52" s="25"/>
      <c r="AP52" s="24"/>
      <c r="AQ52" s="25"/>
      <c r="AT52" s="24"/>
      <c r="AU52" s="25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</row>
    <row r="53" spans="4:59" ht="23.25">
      <c r="J53" s="441">
        <f>19+19.3</f>
        <v>38.299999999999997</v>
      </c>
      <c r="K53" s="441">
        <f>19</f>
        <v>19</v>
      </c>
      <c r="L53" s="441" t="s">
        <v>185</v>
      </c>
      <c r="M53" s="470">
        <v>36</v>
      </c>
      <c r="N53" s="430">
        <v>0</v>
      </c>
      <c r="O53" s="430">
        <v>0</v>
      </c>
      <c r="P53" s="430">
        <v>0</v>
      </c>
      <c r="Q53" s="430">
        <v>32</v>
      </c>
      <c r="R53" s="430">
        <v>0</v>
      </c>
      <c r="S53" s="446">
        <f t="shared" si="28"/>
        <v>68</v>
      </c>
      <c r="T53" s="446"/>
      <c r="U53" s="466"/>
      <c r="V53" s="586" t="s">
        <v>185</v>
      </c>
      <c r="W53" s="430">
        <v>10</v>
      </c>
      <c r="X53" s="430">
        <v>0</v>
      </c>
      <c r="Y53" s="430">
        <v>0</v>
      </c>
      <c r="Z53" s="430">
        <v>0</v>
      </c>
      <c r="AA53" s="430">
        <v>0</v>
      </c>
      <c r="AB53" s="655">
        <v>0</v>
      </c>
      <c r="AC53" s="430"/>
      <c r="AD53" s="568">
        <f t="shared" si="29"/>
        <v>10</v>
      </c>
      <c r="AE53" s="587">
        <f>AN27+AN28+AN29</f>
        <v>0</v>
      </c>
      <c r="AF53" s="954">
        <v>19</v>
      </c>
      <c r="AG53" s="951"/>
      <c r="AH53" s="951">
        <v>7.48</v>
      </c>
      <c r="AI53" s="655"/>
      <c r="AL53" s="24"/>
      <c r="AM53" s="25"/>
      <c r="AP53" s="24"/>
      <c r="AQ53" s="25"/>
      <c r="AT53" s="24"/>
      <c r="AU53" s="25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</row>
    <row r="54" spans="4:59" ht="23.25">
      <c r="J54" s="441"/>
      <c r="K54" s="441"/>
      <c r="L54" s="441" t="s">
        <v>202</v>
      </c>
      <c r="M54" s="470">
        <v>6</v>
      </c>
      <c r="N54" s="430">
        <v>0</v>
      </c>
      <c r="O54" s="430">
        <v>0</v>
      </c>
      <c r="P54" s="430">
        <v>0</v>
      </c>
      <c r="Q54" s="430">
        <v>0</v>
      </c>
      <c r="R54" s="430">
        <v>7.5</v>
      </c>
      <c r="S54" s="446">
        <f t="shared" si="28"/>
        <v>13.5</v>
      </c>
      <c r="T54" s="446"/>
      <c r="U54" s="466"/>
      <c r="V54" s="586" t="s">
        <v>202</v>
      </c>
      <c r="W54" s="430">
        <v>0</v>
      </c>
      <c r="X54" s="430">
        <v>0</v>
      </c>
      <c r="Y54" s="430">
        <v>0</v>
      </c>
      <c r="Z54" s="430">
        <v>0</v>
      </c>
      <c r="AA54" s="430">
        <v>0</v>
      </c>
      <c r="AB54" s="655">
        <v>0</v>
      </c>
      <c r="AC54" s="430"/>
      <c r="AD54" s="568">
        <f t="shared" si="29"/>
        <v>0</v>
      </c>
      <c r="AE54" s="587">
        <f>AR27+AR28+AR29</f>
        <v>0</v>
      </c>
      <c r="AF54" s="952"/>
      <c r="AG54" s="951"/>
      <c r="AH54" s="951"/>
      <c r="AI54" s="655"/>
      <c r="AL54" s="24"/>
      <c r="AM54" s="25"/>
      <c r="AP54" s="24"/>
      <c r="AQ54" s="25"/>
      <c r="AT54" s="24"/>
      <c r="AU54" s="25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</row>
    <row r="55" spans="4:59" ht="23.25">
      <c r="J55" s="441"/>
      <c r="K55" s="441"/>
      <c r="L55" s="441" t="s">
        <v>186</v>
      </c>
      <c r="M55" s="470">
        <v>10</v>
      </c>
      <c r="N55" s="430">
        <v>0</v>
      </c>
      <c r="O55" s="430">
        <v>0</v>
      </c>
      <c r="P55" s="430">
        <v>0</v>
      </c>
      <c r="Q55" s="430">
        <v>0</v>
      </c>
      <c r="R55" s="430">
        <v>0</v>
      </c>
      <c r="S55" s="446">
        <f t="shared" si="28"/>
        <v>10</v>
      </c>
      <c r="T55" s="446">
        <v>10</v>
      </c>
      <c r="U55" s="466"/>
      <c r="V55" s="586" t="s">
        <v>186</v>
      </c>
      <c r="W55" s="430">
        <v>1.5</v>
      </c>
      <c r="X55" s="430">
        <v>1</v>
      </c>
      <c r="Y55" s="430">
        <v>0</v>
      </c>
      <c r="Z55" s="430">
        <v>0</v>
      </c>
      <c r="AA55" s="430">
        <v>0</v>
      </c>
      <c r="AB55" s="655">
        <v>0</v>
      </c>
      <c r="AC55" s="430"/>
      <c r="AD55" s="568">
        <f t="shared" si="29"/>
        <v>2.5</v>
      </c>
      <c r="AE55" s="587">
        <f>AV27+AV28+AV29</f>
        <v>0</v>
      </c>
      <c r="AF55" s="952"/>
      <c r="AG55" s="951"/>
      <c r="AH55" s="951"/>
      <c r="AI55" s="655"/>
      <c r="AL55" s="24"/>
      <c r="AM55" s="25"/>
      <c r="AP55" s="24"/>
      <c r="AQ55" s="25"/>
      <c r="AT55" s="24"/>
      <c r="AU55" s="25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</row>
    <row r="56" spans="4:59" ht="23.25">
      <c r="J56" s="441"/>
      <c r="K56" s="441"/>
      <c r="L56" s="441" t="s">
        <v>203</v>
      </c>
      <c r="M56" s="470">
        <v>5</v>
      </c>
      <c r="N56" s="430">
        <v>0</v>
      </c>
      <c r="O56" s="430">
        <v>0</v>
      </c>
      <c r="P56" s="430">
        <v>0</v>
      </c>
      <c r="Q56" s="430">
        <v>0</v>
      </c>
      <c r="R56" s="430">
        <v>15</v>
      </c>
      <c r="S56" s="446">
        <f t="shared" si="28"/>
        <v>20</v>
      </c>
      <c r="T56" s="446"/>
      <c r="U56" s="466"/>
      <c r="V56" s="586" t="s">
        <v>203</v>
      </c>
      <c r="W56" s="430">
        <v>0</v>
      </c>
      <c r="X56" s="430">
        <v>0</v>
      </c>
      <c r="Y56" s="430">
        <v>0</v>
      </c>
      <c r="Z56" s="430">
        <v>0</v>
      </c>
      <c r="AA56" s="430">
        <v>0</v>
      </c>
      <c r="AB56" s="655">
        <v>0</v>
      </c>
      <c r="AC56" s="430"/>
      <c r="AD56" s="568">
        <f t="shared" si="29"/>
        <v>0</v>
      </c>
      <c r="AE56" s="587">
        <f>AZ27+AZ28+AZ29</f>
        <v>0</v>
      </c>
      <c r="AF56" s="952"/>
      <c r="AG56" s="951"/>
      <c r="AH56" s="951"/>
      <c r="AI56" s="655"/>
      <c r="AL56" s="24"/>
      <c r="AM56" s="25"/>
      <c r="AP56" s="24"/>
      <c r="AQ56" s="25"/>
      <c r="AT56" s="24"/>
      <c r="AU56" s="25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</row>
    <row r="57" spans="4:59" ht="24" thickBot="1">
      <c r="J57" s="442">
        <f t="shared" ref="J57:K57" si="30">SUM(J47:J56)</f>
        <v>85.259999999999991</v>
      </c>
      <c r="K57" s="442">
        <f t="shared" si="30"/>
        <v>62</v>
      </c>
      <c r="L57" s="442" t="s">
        <v>191</v>
      </c>
      <c r="M57" s="443">
        <f t="shared" ref="M57" si="31">SUM(M47:M56)</f>
        <v>151</v>
      </c>
      <c r="N57" s="444">
        <f>SUM(N47:N56)</f>
        <v>7</v>
      </c>
      <c r="O57" s="443">
        <f t="shared" ref="O57" si="32">SUM(O47:O56)</f>
        <v>0</v>
      </c>
      <c r="P57" s="444">
        <f>SUM(P47:P56)</f>
        <v>5</v>
      </c>
      <c r="Q57" s="444">
        <f>SUM(Q47:Q56)</f>
        <v>65</v>
      </c>
      <c r="R57" s="445">
        <f>SUM(R47:R56)</f>
        <v>34.5</v>
      </c>
      <c r="S57" s="451">
        <f>SUM(S47:S56)</f>
        <v>262.5</v>
      </c>
      <c r="T57" s="451">
        <f>SUM(T47:T56)</f>
        <v>125</v>
      </c>
      <c r="U57" s="466"/>
      <c r="V57" s="588" t="s">
        <v>191</v>
      </c>
      <c r="W57" s="589">
        <f t="shared" ref="W57" si="33">SUM(W47:W56)</f>
        <v>125.59</v>
      </c>
      <c r="X57" s="444">
        <f>SUM(X47:X56)</f>
        <v>8.75</v>
      </c>
      <c r="Y57" s="444">
        <f t="shared" ref="Y57" si="34">SUM(Y47:Y56)</f>
        <v>0</v>
      </c>
      <c r="Z57" s="444">
        <f>SUM(Z47:Z56)</f>
        <v>12.5</v>
      </c>
      <c r="AA57" s="444">
        <f>SUM(AA47:AA56)</f>
        <v>0</v>
      </c>
      <c r="AB57" s="444"/>
      <c r="AC57" s="444">
        <f t="shared" ref="AC57" si="35">SUM(AC47:AC56)</f>
        <v>0</v>
      </c>
      <c r="AD57" s="630">
        <f>SUM(AD47:AD56)</f>
        <v>146.84</v>
      </c>
      <c r="AE57" s="631">
        <f>SUM(AE47:AE56)</f>
        <v>0</v>
      </c>
      <c r="AF57" s="1016">
        <f t="shared" ref="AF57:AI57" si="36">SUM(AF47:AF56)</f>
        <v>39</v>
      </c>
      <c r="AG57" s="1015">
        <f t="shared" si="36"/>
        <v>18.97</v>
      </c>
      <c r="AH57" s="1015">
        <f t="shared" si="36"/>
        <v>7.48</v>
      </c>
      <c r="AI57" s="1015">
        <f t="shared" si="36"/>
        <v>0</v>
      </c>
      <c r="AL57" s="24"/>
      <c r="AM57" s="25"/>
      <c r="AP57" s="24"/>
      <c r="AQ57" s="25"/>
      <c r="AT57" s="24"/>
      <c r="AU57" s="25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</row>
    <row r="58" spans="4:59" ht="24.75" customHeight="1" thickBot="1">
      <c r="N58" s="24"/>
      <c r="O58" s="1924" t="s">
        <v>254</v>
      </c>
      <c r="P58" s="1925"/>
      <c r="Q58" s="1925"/>
      <c r="R58" s="1926"/>
      <c r="S58" s="1927">
        <f>S57+T57</f>
        <v>387.5</v>
      </c>
      <c r="T58" s="1928"/>
      <c r="U58" s="466"/>
      <c r="V58" s="1932" t="s">
        <v>221</v>
      </c>
      <c r="W58" s="1932"/>
      <c r="X58" s="1932"/>
      <c r="Y58" s="1932"/>
      <c r="Z58" s="1932"/>
      <c r="AA58" s="1932"/>
      <c r="AB58" s="1932"/>
      <c r="AC58" s="1932"/>
      <c r="AD58" s="1933">
        <f>AD57+AE57</f>
        <v>146.84</v>
      </c>
      <c r="AE58" s="1934"/>
      <c r="AF58" s="466"/>
      <c r="AH58" s="24"/>
      <c r="AI58" s="25"/>
      <c r="AL58" s="24"/>
      <c r="AM58" s="25"/>
      <c r="AP58" s="24"/>
      <c r="AQ58" s="25"/>
      <c r="AT58" s="24"/>
      <c r="AU58" s="25"/>
      <c r="AX58" s="24"/>
      <c r="AY58" s="24"/>
      <c r="AZ58" s="25"/>
      <c r="BA58" s="24"/>
      <c r="BB58" s="24"/>
      <c r="BC58" s="23"/>
      <c r="BD58" s="23"/>
      <c r="BE58" s="23"/>
      <c r="BF58" s="23"/>
      <c r="BG58" s="23"/>
    </row>
    <row r="59" spans="4:59" ht="25.5" customHeight="1" thickBot="1">
      <c r="J59" s="24"/>
      <c r="N59" s="24"/>
      <c r="R59" s="24"/>
      <c r="T59" s="26"/>
      <c r="U59" s="26"/>
      <c r="V59" s="966"/>
      <c r="W59" s="966"/>
      <c r="X59" s="966"/>
      <c r="Y59" s="1922" t="s">
        <v>235</v>
      </c>
      <c r="Z59" s="1922"/>
      <c r="AA59" s="1922"/>
      <c r="AB59" s="1922"/>
      <c r="AC59" s="1922"/>
      <c r="AD59" s="1920">
        <f>BH6+BI6+BD20+BE20+BI16+30</f>
        <v>30</v>
      </c>
      <c r="AE59" s="1921"/>
      <c r="AF59" s="466"/>
      <c r="AH59" s="24"/>
      <c r="AI59" s="25"/>
      <c r="AL59" s="24"/>
      <c r="AP59" s="25"/>
      <c r="AT59" s="25"/>
      <c r="AX59" s="25"/>
      <c r="AY59" s="24"/>
      <c r="AZ59" s="24"/>
      <c r="BA59" s="24"/>
      <c r="BB59" s="25"/>
      <c r="BE59" s="23"/>
      <c r="BF59" s="23"/>
      <c r="BG59" s="23"/>
    </row>
    <row r="60" spans="4:59" s="28" customFormat="1" ht="28.5" customHeight="1" thickBot="1">
      <c r="D60" s="29"/>
      <c r="E60" s="29"/>
      <c r="F60" s="29"/>
      <c r="I60" s="29"/>
      <c r="J60" s="24"/>
      <c r="K60" s="24"/>
      <c r="L60" s="1923" t="s">
        <v>279</v>
      </c>
      <c r="M60" s="1937"/>
      <c r="N60" s="1937"/>
      <c r="O60" s="1937"/>
      <c r="P60" s="1937"/>
      <c r="Q60" s="1937"/>
      <c r="R60" s="1937"/>
      <c r="S60" s="1937"/>
      <c r="T60" s="1937"/>
      <c r="U60" s="1938"/>
      <c r="V60" s="966"/>
      <c r="W60" s="966"/>
      <c r="X60" s="966"/>
      <c r="Y60" s="1013"/>
      <c r="Z60" s="966"/>
      <c r="AA60" s="966"/>
      <c r="AB60" s="966"/>
      <c r="AC60" s="1013"/>
      <c r="AD60" s="966"/>
      <c r="AE60" s="964"/>
      <c r="AF60" s="966"/>
      <c r="AG60" s="964"/>
      <c r="AH60" s="964"/>
      <c r="AI60" s="967"/>
      <c r="AJ60" s="964"/>
      <c r="AK60" s="964"/>
      <c r="AL60" s="964"/>
      <c r="AM60" s="964"/>
      <c r="AN60" s="964"/>
      <c r="AO60" s="964"/>
      <c r="AP60" s="967"/>
      <c r="AQ60" s="964"/>
      <c r="AR60" s="964"/>
      <c r="AS60" s="964"/>
      <c r="AT60" s="967"/>
      <c r="AU60" s="964"/>
      <c r="AV60" s="964"/>
      <c r="AW60" s="964"/>
      <c r="AX60" s="967"/>
      <c r="AY60" s="965"/>
      <c r="AZ60" s="965"/>
      <c r="BA60" s="964"/>
      <c r="BB60" s="964"/>
      <c r="BC60" s="967"/>
      <c r="BD60" s="967"/>
      <c r="BE60" s="964"/>
    </row>
    <row r="61" spans="4:59" ht="36" customHeight="1">
      <c r="J61" s="24"/>
      <c r="L61" s="596" t="s">
        <v>0</v>
      </c>
      <c r="M61" s="436" t="s">
        <v>200</v>
      </c>
      <c r="N61" s="454" t="s">
        <v>205</v>
      </c>
      <c r="O61" s="436" t="s">
        <v>31</v>
      </c>
      <c r="P61" s="448" t="s">
        <v>201</v>
      </c>
      <c r="Q61" s="453" t="s">
        <v>206</v>
      </c>
      <c r="R61" s="453" t="s">
        <v>210</v>
      </c>
      <c r="S61" s="436" t="s">
        <v>22</v>
      </c>
      <c r="T61" s="437" t="s">
        <v>191</v>
      </c>
      <c r="U61" s="438" t="s">
        <v>244</v>
      </c>
      <c r="V61" s="466"/>
      <c r="W61" s="466"/>
      <c r="X61" s="466"/>
      <c r="Y61" s="465"/>
      <c r="Z61" s="466"/>
      <c r="AA61" s="466"/>
      <c r="AB61" s="466"/>
      <c r="AC61" s="465"/>
      <c r="AD61" s="466"/>
      <c r="AF61" s="466"/>
      <c r="AH61" s="24"/>
      <c r="AI61" s="25"/>
      <c r="AL61" s="24"/>
      <c r="AM61" s="26"/>
      <c r="AN61" s="26"/>
      <c r="AP61" s="24"/>
      <c r="AQ61" s="26"/>
      <c r="AR61" s="26"/>
      <c r="AT61" s="24"/>
      <c r="AU61" s="26"/>
      <c r="AV61" s="26"/>
      <c r="AX61" s="24"/>
      <c r="AY61" s="26"/>
      <c r="AZ61" s="26"/>
      <c r="BA61" s="24"/>
      <c r="BB61" s="24"/>
      <c r="BC61" s="25"/>
      <c r="BD61" s="25"/>
      <c r="BF61" s="23"/>
      <c r="BG61" s="23"/>
    </row>
    <row r="62" spans="4:59" ht="30" customHeight="1">
      <c r="J62" s="24"/>
      <c r="L62" s="586" t="s">
        <v>189</v>
      </c>
      <c r="M62" s="430">
        <v>30</v>
      </c>
      <c r="N62" s="430">
        <v>1</v>
      </c>
      <c r="O62" s="430">
        <v>0</v>
      </c>
      <c r="P62" s="430">
        <v>1</v>
      </c>
      <c r="Q62" s="430">
        <v>0</v>
      </c>
      <c r="R62" s="655">
        <v>0</v>
      </c>
      <c r="S62" s="430"/>
      <c r="T62" s="568">
        <f t="shared" ref="T62:T71" si="37">SUM(M62:S62)</f>
        <v>32</v>
      </c>
      <c r="U62" s="587">
        <v>33</v>
      </c>
      <c r="V62" s="466"/>
      <c r="W62" s="466"/>
      <c r="X62" s="466"/>
      <c r="Y62" s="465"/>
      <c r="Z62" s="466"/>
      <c r="AA62" s="466"/>
      <c r="AB62" s="466"/>
      <c r="AC62" s="465"/>
      <c r="AD62" s="466"/>
      <c r="AF62" s="466"/>
      <c r="AH62" s="24"/>
      <c r="AI62" s="25"/>
      <c r="AL62" s="24"/>
      <c r="AM62" s="26"/>
      <c r="AN62" s="26"/>
      <c r="AP62" s="24"/>
      <c r="AQ62" s="26"/>
      <c r="AR62" s="26"/>
      <c r="AT62" s="24"/>
      <c r="AU62" s="26"/>
      <c r="AV62" s="26"/>
      <c r="AX62" s="24"/>
      <c r="AY62" s="26"/>
      <c r="AZ62" s="26"/>
      <c r="BA62" s="24"/>
      <c r="BB62" s="24"/>
      <c r="BC62" s="25"/>
      <c r="BD62" s="25"/>
      <c r="BF62" s="23"/>
      <c r="BG62" s="23"/>
    </row>
    <row r="63" spans="4:59" ht="23.25">
      <c r="J63" s="24"/>
      <c r="L63" s="586" t="s">
        <v>183</v>
      </c>
      <c r="M63" s="430">
        <v>18.8</v>
      </c>
      <c r="N63" s="430">
        <v>0</v>
      </c>
      <c r="O63" s="430">
        <v>0</v>
      </c>
      <c r="P63" s="430">
        <v>1</v>
      </c>
      <c r="Q63" s="430">
        <v>0</v>
      </c>
      <c r="R63" s="655"/>
      <c r="S63" s="430">
        <v>7</v>
      </c>
      <c r="T63" s="568">
        <f t="shared" si="37"/>
        <v>26.8</v>
      </c>
      <c r="U63" s="587">
        <v>24</v>
      </c>
      <c r="V63" s="466"/>
      <c r="W63" s="466"/>
      <c r="X63" s="466"/>
      <c r="Y63" s="465"/>
      <c r="Z63" s="466"/>
      <c r="AA63" s="466"/>
      <c r="AB63" s="466"/>
      <c r="AC63" s="465"/>
      <c r="AD63" s="466"/>
      <c r="AG63" s="26"/>
      <c r="AH63" s="24"/>
      <c r="AK63" s="49"/>
      <c r="AL63" s="24"/>
      <c r="AM63" s="26"/>
      <c r="AN63" s="26"/>
      <c r="AP63" s="24"/>
      <c r="AQ63" s="26"/>
      <c r="AR63" s="26"/>
      <c r="AT63" s="24"/>
      <c r="AU63" s="26"/>
      <c r="AV63" s="26"/>
      <c r="AX63" s="24"/>
      <c r="AY63" s="26"/>
      <c r="AZ63" s="26"/>
      <c r="BA63" s="24"/>
      <c r="BB63" s="24"/>
      <c r="BC63" s="25"/>
      <c r="BD63" s="25"/>
      <c r="BF63" s="23"/>
      <c r="BG63" s="23"/>
    </row>
    <row r="64" spans="4:59" ht="23.25">
      <c r="J64" s="24"/>
      <c r="L64" s="586" t="s">
        <v>184</v>
      </c>
      <c r="M64" s="430">
        <v>13</v>
      </c>
      <c r="N64" s="430">
        <v>0</v>
      </c>
      <c r="O64" s="430">
        <v>0</v>
      </c>
      <c r="P64" s="430">
        <v>0</v>
      </c>
      <c r="Q64" s="430">
        <v>0</v>
      </c>
      <c r="R64" s="655">
        <v>0</v>
      </c>
      <c r="S64" s="430"/>
      <c r="T64" s="568">
        <f t="shared" si="37"/>
        <v>13</v>
      </c>
      <c r="U64" s="587"/>
      <c r="V64" s="466"/>
      <c r="W64" s="466"/>
      <c r="X64" s="466"/>
      <c r="Y64" s="465"/>
      <c r="Z64" s="466"/>
      <c r="AA64" s="466"/>
      <c r="AB64" s="466"/>
      <c r="AC64" s="465"/>
      <c r="AD64" s="466"/>
      <c r="AG64" s="26"/>
      <c r="AH64" s="24"/>
      <c r="AK64" s="49"/>
      <c r="AL64" s="24"/>
      <c r="AO64" s="26"/>
      <c r="AP64" s="24"/>
      <c r="AQ64" s="26"/>
      <c r="AR64" s="26"/>
      <c r="AT64" s="24"/>
      <c r="AU64" s="26"/>
      <c r="AV64" s="26"/>
      <c r="AX64" s="24"/>
      <c r="AY64" s="26"/>
      <c r="AZ64" s="26"/>
      <c r="BA64" s="24"/>
      <c r="BB64" s="24"/>
      <c r="BE64" s="25"/>
      <c r="BF64" s="24"/>
      <c r="BG64" s="23"/>
    </row>
    <row r="65" spans="10:59" ht="23.25">
      <c r="J65" s="24"/>
      <c r="L65" s="586" t="s">
        <v>170</v>
      </c>
      <c r="M65" s="430">
        <v>20</v>
      </c>
      <c r="N65" s="430">
        <v>0</v>
      </c>
      <c r="O65" s="430">
        <v>0</v>
      </c>
      <c r="P65" s="430">
        <v>0</v>
      </c>
      <c r="Q65" s="430">
        <v>0</v>
      </c>
      <c r="R65" s="655">
        <v>0</v>
      </c>
      <c r="S65" s="430"/>
      <c r="T65" s="568">
        <f t="shared" si="37"/>
        <v>20</v>
      </c>
      <c r="U65" s="587"/>
      <c r="V65" s="466"/>
      <c r="W65" s="466"/>
      <c r="X65" s="466"/>
      <c r="Y65" s="465"/>
      <c r="Z65" s="466"/>
      <c r="AA65" s="466"/>
      <c r="AB65" s="466"/>
      <c r="AC65" s="465"/>
      <c r="AD65" s="466"/>
      <c r="AG65" s="26"/>
      <c r="AH65" s="24"/>
      <c r="AK65" s="49"/>
      <c r="AL65" s="24"/>
      <c r="AO65" s="26"/>
      <c r="AP65" s="24"/>
      <c r="AQ65" s="26"/>
      <c r="AR65" s="26"/>
      <c r="AT65" s="24"/>
      <c r="AU65" s="26"/>
      <c r="AV65" s="26"/>
      <c r="AX65" s="24"/>
      <c r="AY65" s="26"/>
      <c r="AZ65" s="26"/>
      <c r="BA65" s="24"/>
      <c r="BB65" s="24"/>
      <c r="BE65" s="25"/>
      <c r="BF65" s="24"/>
      <c r="BG65" s="23"/>
    </row>
    <row r="66" spans="10:59" ht="23.25">
      <c r="J66" s="24"/>
      <c r="L66" s="586" t="s">
        <v>171</v>
      </c>
      <c r="M66" s="430">
        <v>0</v>
      </c>
      <c r="N66" s="430">
        <v>0</v>
      </c>
      <c r="O66" s="430">
        <v>0</v>
      </c>
      <c r="P66" s="430">
        <v>4.29</v>
      </c>
      <c r="Q66" s="430">
        <v>0</v>
      </c>
      <c r="R66" s="655">
        <v>0</v>
      </c>
      <c r="S66" s="430"/>
      <c r="T66" s="568">
        <f t="shared" si="37"/>
        <v>4.29</v>
      </c>
      <c r="U66" s="587"/>
      <c r="V66" s="466"/>
      <c r="W66" s="466"/>
      <c r="X66" s="466"/>
      <c r="Y66" s="465"/>
      <c r="Z66" s="466"/>
      <c r="AA66" s="466"/>
      <c r="AB66" s="466"/>
      <c r="AC66" s="465"/>
      <c r="AD66" s="466"/>
      <c r="AG66" s="26"/>
      <c r="AH66" s="24"/>
      <c r="AK66" s="49"/>
      <c r="AL66" s="24"/>
      <c r="AO66" s="26"/>
      <c r="AP66" s="24"/>
      <c r="AQ66" s="26"/>
      <c r="AR66" s="26"/>
      <c r="AT66" s="24"/>
      <c r="AU66" s="26"/>
      <c r="AV66" s="26"/>
      <c r="AX66" s="24"/>
      <c r="AY66" s="26"/>
      <c r="AZ66" s="26"/>
      <c r="BA66" s="24"/>
      <c r="BB66" s="24"/>
      <c r="BE66" s="25"/>
      <c r="BF66" s="24"/>
      <c r="BG66" s="23"/>
    </row>
    <row r="67" spans="10:59" ht="23.25">
      <c r="J67" s="24"/>
      <c r="L67" s="586" t="s">
        <v>190</v>
      </c>
      <c r="M67" s="430">
        <v>0</v>
      </c>
      <c r="N67" s="430">
        <v>0</v>
      </c>
      <c r="O67" s="430">
        <v>0</v>
      </c>
      <c r="P67" s="430">
        <v>0</v>
      </c>
      <c r="Q67" s="430">
        <v>0</v>
      </c>
      <c r="R67" s="655">
        <v>0</v>
      </c>
      <c r="S67" s="430"/>
      <c r="T67" s="568">
        <f t="shared" si="37"/>
        <v>0</v>
      </c>
      <c r="U67" s="587"/>
      <c r="V67" s="466"/>
      <c r="W67" s="466"/>
      <c r="X67" s="466"/>
      <c r="Y67" s="465"/>
      <c r="Z67" s="466"/>
      <c r="AA67" s="466"/>
      <c r="AB67" s="466"/>
      <c r="AC67" s="465"/>
      <c r="AD67" s="466"/>
      <c r="AG67" s="26"/>
      <c r="AH67" s="24"/>
      <c r="AK67" s="49"/>
      <c r="AL67" s="24"/>
      <c r="AO67" s="26"/>
      <c r="AP67" s="24"/>
      <c r="AQ67" s="26"/>
      <c r="AR67" s="26"/>
      <c r="AT67" s="24"/>
      <c r="AU67" s="26"/>
      <c r="AV67" s="26"/>
      <c r="AX67" s="24"/>
      <c r="AY67" s="26"/>
      <c r="AZ67" s="26"/>
      <c r="BA67" s="24"/>
      <c r="BB67" s="24"/>
      <c r="BE67" s="25"/>
      <c r="BF67" s="24"/>
      <c r="BG67" s="23"/>
    </row>
    <row r="68" spans="10:59" ht="23.25">
      <c r="J68" s="24"/>
      <c r="L68" s="586" t="s">
        <v>185</v>
      </c>
      <c r="M68" s="430">
        <v>37</v>
      </c>
      <c r="N68" s="430">
        <v>0</v>
      </c>
      <c r="O68" s="430">
        <v>0</v>
      </c>
      <c r="P68" s="430">
        <v>0</v>
      </c>
      <c r="Q68" s="430">
        <v>0</v>
      </c>
      <c r="R68" s="655">
        <v>0</v>
      </c>
      <c r="S68" s="430"/>
      <c r="T68" s="568">
        <f t="shared" si="37"/>
        <v>37</v>
      </c>
      <c r="U68" s="587"/>
      <c r="V68" s="466"/>
      <c r="W68" s="466"/>
      <c r="X68" s="466"/>
      <c r="Y68" s="465"/>
      <c r="Z68" s="466"/>
      <c r="AA68" s="466"/>
      <c r="AB68" s="466"/>
      <c r="AC68" s="465"/>
      <c r="AD68" s="466"/>
      <c r="AG68" s="26"/>
      <c r="AH68" s="24"/>
      <c r="AK68" s="49"/>
      <c r="AL68" s="24"/>
      <c r="AO68" s="26"/>
      <c r="AP68" s="24"/>
      <c r="AQ68" s="26"/>
      <c r="AR68" s="26"/>
      <c r="AT68" s="24"/>
      <c r="AU68" s="26"/>
      <c r="AV68" s="26"/>
      <c r="AX68" s="24"/>
      <c r="AY68" s="26"/>
      <c r="AZ68" s="26"/>
      <c r="BA68" s="24"/>
      <c r="BB68" s="24"/>
      <c r="BE68" s="25"/>
      <c r="BF68" s="24"/>
      <c r="BG68" s="23"/>
    </row>
    <row r="69" spans="10:59" ht="23.25">
      <c r="L69" s="586" t="s">
        <v>202</v>
      </c>
      <c r="M69" s="430">
        <v>0</v>
      </c>
      <c r="N69" s="430">
        <v>0</v>
      </c>
      <c r="O69" s="430">
        <v>0</v>
      </c>
      <c r="P69" s="430">
        <v>0</v>
      </c>
      <c r="Q69" s="430">
        <v>0</v>
      </c>
      <c r="R69" s="655">
        <v>0</v>
      </c>
      <c r="S69" s="430"/>
      <c r="T69" s="568">
        <f t="shared" si="37"/>
        <v>0</v>
      </c>
      <c r="U69" s="587"/>
      <c r="V69" s="466"/>
      <c r="W69" s="466"/>
      <c r="X69" s="466"/>
      <c r="Y69" s="465"/>
      <c r="Z69" s="466"/>
      <c r="AA69" s="466"/>
      <c r="AB69" s="466"/>
      <c r="AC69" s="465"/>
      <c r="AD69" s="466"/>
      <c r="AG69" s="26"/>
      <c r="AH69" s="24"/>
      <c r="AK69" s="49"/>
      <c r="AL69" s="24"/>
      <c r="AO69" s="26"/>
      <c r="AP69" s="24"/>
      <c r="AQ69" s="26"/>
      <c r="AR69" s="26"/>
      <c r="AT69" s="24"/>
      <c r="AU69" s="26"/>
      <c r="AV69" s="26"/>
      <c r="AX69" s="24"/>
      <c r="AY69" s="26"/>
      <c r="AZ69" s="26"/>
      <c r="BA69" s="24"/>
      <c r="BB69" s="24"/>
      <c r="BE69" s="25"/>
      <c r="BF69" s="24"/>
      <c r="BG69" s="23"/>
    </row>
    <row r="70" spans="10:59" ht="23.25">
      <c r="L70" s="586" t="s">
        <v>186</v>
      </c>
      <c r="M70" s="430">
        <v>24</v>
      </c>
      <c r="N70" s="430">
        <v>0</v>
      </c>
      <c r="O70" s="430">
        <v>0</v>
      </c>
      <c r="P70" s="430">
        <v>0</v>
      </c>
      <c r="Q70" s="430">
        <v>0</v>
      </c>
      <c r="R70" s="655">
        <v>0</v>
      </c>
      <c r="S70" s="430"/>
      <c r="T70" s="568">
        <f t="shared" si="37"/>
        <v>24</v>
      </c>
      <c r="U70" s="587">
        <v>14</v>
      </c>
      <c r="V70" s="466"/>
      <c r="W70" s="466"/>
      <c r="X70" s="466"/>
      <c r="Y70" s="465"/>
      <c r="Z70" s="466"/>
      <c r="AA70" s="466"/>
      <c r="AB70" s="466"/>
      <c r="AC70" s="465"/>
      <c r="AD70" s="466"/>
      <c r="AG70" s="26"/>
      <c r="AH70" s="24"/>
      <c r="AK70" s="49"/>
      <c r="AL70" s="24"/>
      <c r="AM70" s="26"/>
      <c r="AN70" s="26"/>
      <c r="AY70" s="24"/>
      <c r="AZ70" s="24"/>
      <c r="BA70" s="24"/>
      <c r="BB70" s="24"/>
      <c r="BC70" s="25"/>
      <c r="BD70" s="25"/>
      <c r="BF70" s="23"/>
      <c r="BG70" s="23"/>
    </row>
    <row r="71" spans="10:59" ht="23.25">
      <c r="L71" s="586" t="s">
        <v>203</v>
      </c>
      <c r="M71" s="430">
        <v>13</v>
      </c>
      <c r="N71" s="430">
        <v>1</v>
      </c>
      <c r="O71" s="430">
        <v>0</v>
      </c>
      <c r="P71" s="430">
        <v>0</v>
      </c>
      <c r="Q71" s="430">
        <v>0</v>
      </c>
      <c r="R71" s="655">
        <v>0</v>
      </c>
      <c r="S71" s="430"/>
      <c r="T71" s="568">
        <f t="shared" si="37"/>
        <v>14</v>
      </c>
      <c r="U71" s="587"/>
      <c r="V71" s="466"/>
      <c r="W71" s="466"/>
      <c r="X71" s="466"/>
      <c r="Y71" s="465"/>
      <c r="Z71" s="466"/>
      <c r="AA71" s="466"/>
      <c r="AB71" s="466"/>
      <c r="AC71" s="465"/>
      <c r="AD71" s="466"/>
      <c r="AG71" s="26"/>
      <c r="AH71" s="24"/>
      <c r="AK71" s="49"/>
      <c r="AL71" s="24"/>
      <c r="AM71" s="26"/>
      <c r="AN71" s="26"/>
      <c r="AY71" s="24"/>
      <c r="AZ71" s="24"/>
      <c r="BA71" s="24"/>
      <c r="BB71" s="24"/>
      <c r="BC71" s="25"/>
      <c r="BD71" s="25"/>
      <c r="BF71" s="23"/>
      <c r="BG71" s="23"/>
    </row>
    <row r="72" spans="10:59" ht="24" thickBot="1">
      <c r="L72" s="588" t="s">
        <v>191</v>
      </c>
      <c r="M72" s="589">
        <f t="shared" ref="M72" si="38">SUM(M62:M71)</f>
        <v>155.80000000000001</v>
      </c>
      <c r="N72" s="444">
        <f>SUM(N62:N71)</f>
        <v>2</v>
      </c>
      <c r="O72" s="444">
        <f t="shared" ref="O72" si="39">SUM(O62:O71)</f>
        <v>0</v>
      </c>
      <c r="P72" s="444">
        <f>SUM(P62:P71)</f>
        <v>6.29</v>
      </c>
      <c r="Q72" s="444">
        <f>SUM(Q62:Q71)</f>
        <v>0</v>
      </c>
      <c r="R72" s="444">
        <f>SUM(R62:R71)</f>
        <v>0</v>
      </c>
      <c r="S72" s="444">
        <f t="shared" ref="S72" si="40">SUM(S62:S71)</f>
        <v>7</v>
      </c>
      <c r="T72" s="630">
        <f>SUM(T62:T71)</f>
        <v>171.09</v>
      </c>
      <c r="U72" s="631">
        <f>SUM(U62:U71)</f>
        <v>71</v>
      </c>
      <c r="V72" s="466"/>
      <c r="W72" s="466"/>
      <c r="X72" s="466"/>
      <c r="Y72" s="465"/>
      <c r="Z72" s="466"/>
      <c r="AA72" s="466"/>
      <c r="AB72" s="466"/>
      <c r="AC72" s="465"/>
      <c r="AD72" s="466"/>
      <c r="AG72" s="26"/>
      <c r="AH72" s="24"/>
      <c r="AK72" s="49"/>
      <c r="AL72" s="24"/>
      <c r="AM72" s="26"/>
      <c r="AN72" s="26"/>
      <c r="AY72" s="24"/>
      <c r="AZ72" s="24"/>
      <c r="BA72" s="24"/>
      <c r="BB72" s="24"/>
      <c r="BC72" s="25"/>
      <c r="BD72" s="25"/>
      <c r="BF72" s="23"/>
      <c r="BG72" s="23"/>
    </row>
    <row r="73" spans="10:59" ht="27" thickBot="1">
      <c r="L73" s="1932" t="s">
        <v>221</v>
      </c>
      <c r="M73" s="1932"/>
      <c r="N73" s="1932"/>
      <c r="O73" s="1932"/>
      <c r="P73" s="1932"/>
      <c r="Q73" s="1932"/>
      <c r="R73" s="1932"/>
      <c r="S73" s="1932"/>
      <c r="T73" s="1933">
        <f>T72+U72</f>
        <v>242.09</v>
      </c>
      <c r="U73" s="1934"/>
      <c r="V73" s="466"/>
      <c r="W73" s="466"/>
      <c r="X73" s="466"/>
      <c r="Y73" s="465"/>
      <c r="Z73" s="466"/>
      <c r="AA73" s="466"/>
      <c r="AB73" s="466"/>
      <c r="AC73" s="465"/>
      <c r="AD73" s="466"/>
      <c r="AG73" s="26"/>
      <c r="AH73" s="24"/>
      <c r="AK73" s="49"/>
      <c r="AL73" s="24"/>
      <c r="AM73" s="26"/>
      <c r="AN73" s="26"/>
      <c r="AY73" s="24"/>
      <c r="AZ73" s="24"/>
      <c r="BA73" s="24"/>
      <c r="BB73" s="24"/>
      <c r="BC73" s="25"/>
      <c r="BD73" s="25"/>
      <c r="BF73" s="23"/>
      <c r="BG73" s="23"/>
    </row>
    <row r="74" spans="10:59" ht="31.5" customHeight="1">
      <c r="L74" s="966"/>
      <c r="M74" s="966"/>
      <c r="N74" s="966"/>
      <c r="O74" s="1922" t="s">
        <v>235</v>
      </c>
      <c r="P74" s="1922"/>
      <c r="Q74" s="1922"/>
      <c r="R74" s="1922"/>
      <c r="S74" s="1922"/>
      <c r="T74" s="1920">
        <v>200</v>
      </c>
      <c r="U74" s="1921"/>
      <c r="V74" s="466"/>
      <c r="W74" s="466"/>
      <c r="X74" s="466"/>
      <c r="Y74" s="465"/>
      <c r="Z74" s="466"/>
      <c r="AA74" s="466"/>
      <c r="AB74" s="466"/>
      <c r="AC74" s="465"/>
      <c r="AD74" s="466"/>
      <c r="AG74" s="26"/>
      <c r="AH74" s="24"/>
      <c r="AK74" s="49"/>
      <c r="AL74" s="24"/>
      <c r="AM74" s="26"/>
      <c r="AN74" s="26"/>
      <c r="AP74" s="24"/>
      <c r="AQ74" s="26"/>
      <c r="AR74" s="26"/>
      <c r="AT74" s="24"/>
      <c r="AU74" s="26"/>
      <c r="AV74" s="26"/>
      <c r="AW74" s="50"/>
      <c r="AX74" s="50"/>
      <c r="AY74" s="26"/>
      <c r="AZ74" s="26"/>
      <c r="BA74" s="24"/>
      <c r="BB74" s="24"/>
      <c r="BC74" s="25"/>
      <c r="BD74" s="25"/>
      <c r="BF74" s="23"/>
      <c r="BG74" s="23"/>
    </row>
    <row r="75" spans="10:59" ht="27" customHeight="1">
      <c r="L75" s="966"/>
      <c r="M75" s="966"/>
      <c r="N75" s="966"/>
      <c r="O75" s="1013"/>
      <c r="P75" s="966"/>
      <c r="Q75" s="966"/>
      <c r="R75" s="966"/>
      <c r="S75" s="1013"/>
      <c r="T75" s="966"/>
      <c r="U75" s="964"/>
      <c r="V75" s="24"/>
      <c r="W75" s="466"/>
      <c r="X75" s="466"/>
      <c r="Y75" s="466"/>
      <c r="Z75" s="465"/>
      <c r="AA75" s="466"/>
      <c r="AB75" s="466"/>
      <c r="AC75" s="466"/>
      <c r="AD75" s="465"/>
      <c r="AE75" s="466"/>
      <c r="AN75" s="26"/>
      <c r="AO75" s="26"/>
      <c r="AP75" s="24"/>
      <c r="AR75" s="26"/>
      <c r="AS75" s="26"/>
      <c r="AT75" s="24"/>
      <c r="AV75" s="26"/>
      <c r="AW75" s="26"/>
      <c r="AX75" s="50"/>
      <c r="AZ75" s="26"/>
      <c r="BA75" s="26"/>
      <c r="BB75" s="24"/>
      <c r="BD75" s="25"/>
      <c r="BE75" s="25"/>
      <c r="BF75" s="24"/>
      <c r="BG75" s="23"/>
    </row>
    <row r="76" spans="10:59">
      <c r="L76" s="26"/>
      <c r="M76" s="26"/>
      <c r="N76" s="24"/>
      <c r="P76" s="26"/>
      <c r="Q76" s="26"/>
      <c r="R76" s="24"/>
      <c r="T76" s="26"/>
      <c r="U76" s="26"/>
      <c r="V76" s="24"/>
      <c r="W76" s="466"/>
      <c r="X76" s="466"/>
      <c r="Y76" s="466"/>
      <c r="Z76" s="465"/>
      <c r="AA76" s="466"/>
      <c r="AB76" s="466"/>
      <c r="AC76" s="466"/>
      <c r="AD76" s="465"/>
      <c r="AE76" s="466"/>
      <c r="AN76" s="26"/>
      <c r="AO76" s="26"/>
      <c r="AP76" s="24"/>
      <c r="AR76" s="26"/>
      <c r="AS76" s="26"/>
      <c r="AT76" s="24"/>
      <c r="AV76" s="26"/>
      <c r="AW76" s="26"/>
      <c r="AX76" s="50"/>
      <c r="AZ76" s="26"/>
      <c r="BA76" s="26"/>
      <c r="BB76" s="24"/>
      <c r="BD76" s="25"/>
      <c r="BE76" s="25"/>
      <c r="BF76" s="24"/>
      <c r="BG76" s="23"/>
    </row>
    <row r="77" spans="10:59">
      <c r="L77" s="26"/>
      <c r="M77" s="26"/>
      <c r="N77" s="24"/>
      <c r="P77" s="26"/>
      <c r="Q77" s="26"/>
      <c r="R77" s="24"/>
      <c r="T77" s="26"/>
      <c r="U77" s="26"/>
      <c r="V77" s="24"/>
      <c r="W77" s="466"/>
      <c r="X77" s="466"/>
      <c r="Y77" s="466"/>
      <c r="Z77" s="465"/>
      <c r="AA77" s="466"/>
      <c r="AB77" s="466"/>
      <c r="AC77" s="466"/>
      <c r="AD77" s="465"/>
      <c r="AE77" s="466"/>
      <c r="AN77" s="26"/>
      <c r="AO77" s="26"/>
      <c r="AP77" s="24"/>
      <c r="AR77" s="26"/>
      <c r="AS77" s="26"/>
      <c r="AT77" s="24"/>
      <c r="AV77" s="26"/>
      <c r="AW77" s="26"/>
      <c r="AX77" s="50"/>
      <c r="AZ77" s="26"/>
      <c r="BA77" s="26"/>
      <c r="BB77" s="24"/>
      <c r="BD77" s="25"/>
      <c r="BE77" s="25"/>
      <c r="BF77" s="24"/>
      <c r="BG77" s="23"/>
    </row>
    <row r="78" spans="10:59">
      <c r="L78" s="26"/>
      <c r="M78" s="26"/>
      <c r="N78" s="24"/>
      <c r="P78" s="26"/>
      <c r="Q78" s="26"/>
      <c r="R78" s="24"/>
      <c r="T78" s="26"/>
      <c r="U78" s="26"/>
      <c r="V78" s="24"/>
      <c r="W78" s="466"/>
      <c r="X78" s="466"/>
      <c r="Y78" s="466"/>
      <c r="Z78" s="465"/>
      <c r="AA78" s="466"/>
      <c r="AB78" s="466"/>
      <c r="AC78" s="466"/>
      <c r="AD78" s="465"/>
      <c r="AE78" s="466"/>
      <c r="AN78" s="26"/>
      <c r="AO78" s="26"/>
      <c r="AP78" s="24"/>
      <c r="AR78" s="26"/>
      <c r="AS78" s="26"/>
      <c r="AT78" s="24"/>
      <c r="AV78" s="26"/>
      <c r="AW78" s="26"/>
      <c r="AX78" s="50"/>
      <c r="AZ78" s="26"/>
      <c r="BA78" s="26"/>
      <c r="BB78" s="24"/>
      <c r="BD78" s="25"/>
      <c r="BE78" s="25"/>
      <c r="BF78" s="24"/>
      <c r="BG78" s="23"/>
    </row>
    <row r="79" spans="10:59">
      <c r="L79" s="26"/>
      <c r="M79" s="26"/>
      <c r="N79" s="24"/>
      <c r="P79" s="26"/>
      <c r="Q79" s="26"/>
      <c r="R79" s="24"/>
      <c r="T79" s="26"/>
      <c r="U79" s="26"/>
      <c r="V79" s="24"/>
      <c r="X79" s="26"/>
      <c r="Y79" s="26"/>
      <c r="Z79" s="24"/>
      <c r="AB79" s="26"/>
      <c r="AC79" s="26"/>
      <c r="AD79" s="24"/>
      <c r="AF79" s="26"/>
      <c r="AG79" s="26"/>
      <c r="AH79" s="24"/>
      <c r="AJ79" s="49"/>
      <c r="AK79" s="49"/>
      <c r="AL79" s="24"/>
      <c r="AN79" s="26"/>
      <c r="AO79" s="26"/>
      <c r="AP79" s="24"/>
      <c r="AR79" s="26"/>
      <c r="AS79" s="26"/>
      <c r="AT79" s="24"/>
      <c r="AV79" s="26"/>
      <c r="AW79" s="26"/>
      <c r="AX79" s="50"/>
      <c r="AZ79" s="26"/>
      <c r="BA79" s="26"/>
      <c r="BB79" s="24"/>
      <c r="BD79" s="25"/>
      <c r="BE79" s="25"/>
      <c r="BF79" s="24"/>
      <c r="BG79" s="23"/>
    </row>
    <row r="80" spans="10:59">
      <c r="L80" s="26"/>
      <c r="M80" s="26"/>
      <c r="N80" s="24"/>
      <c r="P80" s="26"/>
      <c r="Q80" s="26"/>
      <c r="R80" s="24"/>
      <c r="T80" s="26"/>
      <c r="U80" s="26"/>
      <c r="V80" s="24"/>
      <c r="X80" s="26"/>
      <c r="Y80" s="26"/>
      <c r="Z80" s="24"/>
      <c r="AB80" s="26"/>
      <c r="AC80" s="26"/>
      <c r="AD80" s="24"/>
      <c r="AF80" s="26"/>
      <c r="AG80" s="26"/>
      <c r="AH80" s="24"/>
      <c r="AJ80" s="49"/>
      <c r="AK80" s="49"/>
      <c r="AL80" s="24"/>
      <c r="AN80" s="26"/>
      <c r="AO80" s="26"/>
      <c r="AP80" s="24"/>
      <c r="AR80" s="26"/>
      <c r="AS80" s="26"/>
      <c r="AT80" s="24"/>
      <c r="AV80" s="26"/>
      <c r="AW80" s="26"/>
      <c r="AX80" s="50"/>
      <c r="AZ80" s="26"/>
      <c r="BA80" s="26"/>
      <c r="BB80" s="24"/>
      <c r="BD80" s="25"/>
      <c r="BE80" s="25"/>
      <c r="BF80" s="24"/>
      <c r="BG80" s="23"/>
    </row>
  </sheetData>
  <mergeCells count="62">
    <mergeCell ref="L60:U60"/>
    <mergeCell ref="L73:S73"/>
    <mergeCell ref="T73:U73"/>
    <mergeCell ref="O74:S74"/>
    <mergeCell ref="T74:U74"/>
    <mergeCell ref="H26:I26"/>
    <mergeCell ref="H10:I10"/>
    <mergeCell ref="H12:BI12"/>
    <mergeCell ref="J13:M13"/>
    <mergeCell ref="V31:AD31"/>
    <mergeCell ref="BB13:BE13"/>
    <mergeCell ref="BF13:BI13"/>
    <mergeCell ref="BC27:BC28"/>
    <mergeCell ref="BH27:BI27"/>
    <mergeCell ref="L31:S31"/>
    <mergeCell ref="AH13:AK13"/>
    <mergeCell ref="AL13:AO13"/>
    <mergeCell ref="AP13:AS13"/>
    <mergeCell ref="AT13:AW13"/>
    <mergeCell ref="AX13:BA13"/>
    <mergeCell ref="N13:Q13"/>
    <mergeCell ref="C15:C24"/>
    <mergeCell ref="H15:H23"/>
    <mergeCell ref="H24:I24"/>
    <mergeCell ref="D13:F13"/>
    <mergeCell ref="H13:I14"/>
    <mergeCell ref="C14:D14"/>
    <mergeCell ref="C2:F2"/>
    <mergeCell ref="H2:K2"/>
    <mergeCell ref="C6:C9"/>
    <mergeCell ref="H6:H9"/>
    <mergeCell ref="D4:F4"/>
    <mergeCell ref="H4:I5"/>
    <mergeCell ref="C5:D5"/>
    <mergeCell ref="N2:AZ2"/>
    <mergeCell ref="BB2:BI2"/>
    <mergeCell ref="H3:BI3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V58:AC58"/>
    <mergeCell ref="AD58:AE58"/>
    <mergeCell ref="AD59:AE59"/>
    <mergeCell ref="R13:U13"/>
    <mergeCell ref="V13:Y13"/>
    <mergeCell ref="Z13:AC13"/>
    <mergeCell ref="AD13:AG13"/>
    <mergeCell ref="L45:T45"/>
    <mergeCell ref="V45:AE45"/>
    <mergeCell ref="O58:R58"/>
    <mergeCell ref="S58:T58"/>
    <mergeCell ref="Y59:AC59"/>
  </mergeCells>
  <conditionalFormatting sqref="M47:R56">
    <cfRule type="cellIs" dxfId="40" priority="2" operator="equal">
      <formula>0</formula>
    </cfRule>
  </conditionalFormatting>
  <conditionalFormatting sqref="M62:R71">
    <cfRule type="cellIs" dxfId="39" priority="1" operator="equal">
      <formula>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2">
    <pageSetUpPr fitToPage="1"/>
  </sheetPr>
  <dimension ref="A1:BI79"/>
  <sheetViews>
    <sheetView showGridLines="0" topLeftCell="I2" zoomScale="55" zoomScaleNormal="55" workbookViewId="0">
      <pane xSplit="1" topLeftCell="J1" activePane="topRight" state="frozen"/>
      <selection activeCell="I1" sqref="I1"/>
      <selection pane="topRight" activeCell="L27" sqref="L27:AG27"/>
    </sheetView>
  </sheetViews>
  <sheetFormatPr defaultColWidth="9.140625" defaultRowHeight="15"/>
  <cols>
    <col min="1" max="2" width="9.140625" style="23" hidden="1" customWidth="1"/>
    <col min="3" max="3" width="14.5703125" style="23" hidden="1" customWidth="1"/>
    <col min="4" max="4" width="11.42578125" style="27" hidden="1" customWidth="1"/>
    <col min="5" max="5" width="6.85546875" style="27" hidden="1" customWidth="1"/>
    <col min="6" max="6" width="9.140625" style="27" hidden="1" customWidth="1"/>
    <col min="7" max="7" width="3.42578125" style="23" hidden="1" customWidth="1"/>
    <col min="8" max="8" width="6.140625" style="23" customWidth="1"/>
    <col min="9" max="9" width="24.140625" style="27" customWidth="1"/>
    <col min="10" max="10" width="11.5703125" style="26" customWidth="1"/>
    <col min="11" max="11" width="11" style="24" bestFit="1" customWidth="1"/>
    <col min="12" max="13" width="12.85546875" style="24" customWidth="1"/>
    <col min="14" max="14" width="10.5703125" style="26" customWidth="1"/>
    <col min="15" max="15" width="10.28515625" style="24" customWidth="1"/>
    <col min="16" max="17" width="10.5703125" style="24" customWidth="1"/>
    <col min="18" max="18" width="8.5703125" style="26" customWidth="1"/>
    <col min="19" max="19" width="11.5703125" style="24" customWidth="1"/>
    <col min="20" max="20" width="14" style="24" bestFit="1" customWidth="1"/>
    <col min="21" max="21" width="10.5703125" style="24" customWidth="1"/>
    <col min="22" max="22" width="13.7109375" style="26" bestFit="1" customWidth="1"/>
    <col min="23" max="23" width="12.5703125" style="24" bestFit="1" customWidth="1"/>
    <col min="24" max="25" width="9.7109375" style="24" customWidth="1"/>
    <col min="26" max="26" width="11" style="26" customWidth="1"/>
    <col min="27" max="27" width="12.42578125" style="24" customWidth="1"/>
    <col min="28" max="29" width="11.85546875" style="24" customWidth="1"/>
    <col min="30" max="30" width="11.5703125" style="26" bestFit="1" customWidth="1"/>
    <col min="31" max="31" width="11.7109375" style="24" bestFit="1" customWidth="1"/>
    <col min="32" max="32" width="10.5703125" style="24" bestFit="1" customWidth="1"/>
    <col min="33" max="33" width="10.5703125" style="24" customWidth="1"/>
    <col min="34" max="34" width="11.5703125" style="26" bestFit="1" customWidth="1"/>
    <col min="35" max="35" width="13.5703125" style="24" customWidth="1"/>
    <col min="36" max="37" width="11.5703125" style="24" customWidth="1"/>
    <col min="38" max="38" width="10.5703125" style="49" customWidth="1"/>
    <col min="39" max="39" width="9" style="24" customWidth="1"/>
    <col min="40" max="40" width="12" style="24" bestFit="1" customWidth="1"/>
    <col min="41" max="41" width="12" style="24" customWidth="1"/>
    <col min="42" max="42" width="8.42578125" style="26" customWidth="1"/>
    <col min="43" max="43" width="10" style="24" bestFit="1" customWidth="1"/>
    <col min="44" max="44" width="13.85546875" style="24" bestFit="1" customWidth="1"/>
    <col min="45" max="45" width="13.85546875" style="24" customWidth="1"/>
    <col min="46" max="46" width="11.7109375" style="26" customWidth="1"/>
    <col min="47" max="47" width="11.7109375" style="24" customWidth="1"/>
    <col min="48" max="48" width="10.5703125" style="24" bestFit="1" customWidth="1"/>
    <col min="49" max="49" width="10.5703125" style="24" customWidth="1"/>
    <col min="50" max="50" width="9.140625" style="26" bestFit="1" customWidth="1"/>
    <col min="51" max="51" width="9.140625" style="50" bestFit="1" customWidth="1"/>
    <col min="52" max="52" width="10.5703125" style="50" bestFit="1" customWidth="1"/>
    <col min="53" max="53" width="10.5703125" style="50" customWidth="1"/>
    <col min="54" max="54" width="10.7109375" style="26" bestFit="1" customWidth="1"/>
    <col min="55" max="55" width="12.85546875" style="24" bestFit="1" customWidth="1"/>
    <col min="56" max="56" width="10.5703125" style="24" bestFit="1" customWidth="1"/>
    <col min="57" max="57" width="10.5703125" style="24" customWidth="1"/>
    <col min="58" max="58" width="16" style="25" bestFit="1" customWidth="1"/>
    <col min="59" max="59" width="10.7109375" style="24" bestFit="1" customWidth="1"/>
    <col min="60" max="60" width="13" style="23" bestFit="1" customWidth="1"/>
    <col min="61" max="16384" width="9.140625" style="23"/>
  </cols>
  <sheetData>
    <row r="1" spans="3:61" ht="15" customHeight="1" thickBot="1"/>
    <row r="2" spans="3:61" ht="21.75" thickBot="1">
      <c r="C2" s="1899" t="s">
        <v>45</v>
      </c>
      <c r="D2" s="1900"/>
      <c r="E2" s="1900"/>
      <c r="F2" s="1901"/>
      <c r="H2" s="1915"/>
      <c r="I2" s="1567"/>
      <c r="J2" s="1567"/>
      <c r="K2" s="1567"/>
      <c r="L2" s="1020"/>
      <c r="M2" s="1020"/>
      <c r="N2" s="1916" t="s">
        <v>249</v>
      </c>
      <c r="O2" s="1916"/>
      <c r="P2" s="1916"/>
      <c r="Q2" s="1916"/>
      <c r="R2" s="1916"/>
      <c r="S2" s="1916"/>
      <c r="T2" s="1916"/>
      <c r="U2" s="1916"/>
      <c r="V2" s="1916"/>
      <c r="W2" s="1916"/>
      <c r="X2" s="1916"/>
      <c r="Y2" s="1916"/>
      <c r="Z2" s="1916"/>
      <c r="AA2" s="1916"/>
      <c r="AB2" s="1916"/>
      <c r="AC2" s="1916"/>
      <c r="AD2" s="1916"/>
      <c r="AE2" s="1916"/>
      <c r="AF2" s="1916"/>
      <c r="AG2" s="1916"/>
      <c r="AH2" s="1916"/>
      <c r="AI2" s="1916"/>
      <c r="AJ2" s="1916"/>
      <c r="AK2" s="1916"/>
      <c r="AL2" s="1916"/>
      <c r="AM2" s="1916"/>
      <c r="AN2" s="1916"/>
      <c r="AO2" s="1916"/>
      <c r="AP2" s="1916"/>
      <c r="AQ2" s="1916"/>
      <c r="AR2" s="1916"/>
      <c r="AS2" s="1916"/>
      <c r="AT2" s="1916"/>
      <c r="AU2" s="1916"/>
      <c r="AV2" s="1916"/>
      <c r="AW2" s="1916"/>
      <c r="AX2" s="1916"/>
      <c r="AY2" s="1916"/>
      <c r="AZ2" s="1916"/>
      <c r="BA2" s="1020"/>
      <c r="BB2" s="1902" t="s">
        <v>118</v>
      </c>
      <c r="BC2" s="1903"/>
      <c r="BD2" s="1903"/>
      <c r="BE2" s="1903"/>
      <c r="BF2" s="1903"/>
      <c r="BG2" s="1903"/>
      <c r="BH2" s="1903"/>
      <c r="BI2" s="1904"/>
    </row>
    <row r="3" spans="3:61" ht="19.5" thickBot="1">
      <c r="C3" s="1019"/>
      <c r="D3" s="1017"/>
      <c r="E3" s="1017"/>
      <c r="F3" s="1023"/>
      <c r="H3" s="1905" t="s">
        <v>115</v>
      </c>
      <c r="I3" s="1906"/>
      <c r="J3" s="1906"/>
      <c r="K3" s="1906"/>
      <c r="L3" s="1906"/>
      <c r="M3" s="1906"/>
      <c r="N3" s="1906"/>
      <c r="O3" s="1906"/>
      <c r="P3" s="1906"/>
      <c r="Q3" s="1906"/>
      <c r="R3" s="1906"/>
      <c r="S3" s="1906"/>
      <c r="T3" s="1906"/>
      <c r="U3" s="1906"/>
      <c r="V3" s="1906"/>
      <c r="W3" s="1906"/>
      <c r="X3" s="1906"/>
      <c r="Y3" s="1906"/>
      <c r="Z3" s="1906"/>
      <c r="AA3" s="1906"/>
      <c r="AB3" s="1906"/>
      <c r="AC3" s="1906"/>
      <c r="AD3" s="1906"/>
      <c r="AE3" s="1906"/>
      <c r="AF3" s="1906"/>
      <c r="AG3" s="1906"/>
      <c r="AH3" s="1906"/>
      <c r="AI3" s="1906"/>
      <c r="AJ3" s="1906"/>
      <c r="AK3" s="1906"/>
      <c r="AL3" s="1906"/>
      <c r="AM3" s="1906"/>
      <c r="AN3" s="1906"/>
      <c r="AO3" s="1906"/>
      <c r="AP3" s="1906"/>
      <c r="AQ3" s="1906"/>
      <c r="AR3" s="1906"/>
      <c r="AS3" s="1906"/>
      <c r="AT3" s="1906"/>
      <c r="AU3" s="1906"/>
      <c r="AV3" s="1906"/>
      <c r="AW3" s="1906"/>
      <c r="AX3" s="1906"/>
      <c r="AY3" s="1906"/>
      <c r="AZ3" s="1906"/>
      <c r="BA3" s="1906"/>
      <c r="BB3" s="1906"/>
      <c r="BC3" s="1906"/>
      <c r="BD3" s="1906"/>
      <c r="BE3" s="1906"/>
      <c r="BF3" s="1906"/>
      <c r="BG3" s="1906"/>
      <c r="BH3" s="1906"/>
      <c r="BI3" s="1907"/>
    </row>
    <row r="4" spans="3:61" ht="18.75">
      <c r="C4" s="37" t="s">
        <v>44</v>
      </c>
      <c r="D4" s="1869"/>
      <c r="E4" s="1869"/>
      <c r="F4" s="1870"/>
      <c r="H4" s="1908" t="s">
        <v>33</v>
      </c>
      <c r="I4" s="1909"/>
      <c r="J4" s="1871" t="s">
        <v>43</v>
      </c>
      <c r="K4" s="1872"/>
      <c r="L4" s="1872"/>
      <c r="M4" s="1873"/>
      <c r="N4" s="1871" t="s">
        <v>42</v>
      </c>
      <c r="O4" s="1872"/>
      <c r="P4" s="1872"/>
      <c r="Q4" s="1873"/>
      <c r="R4" s="1871" t="s">
        <v>41</v>
      </c>
      <c r="S4" s="1872"/>
      <c r="T4" s="1872"/>
      <c r="U4" s="1873"/>
      <c r="V4" s="1871" t="s">
        <v>40</v>
      </c>
      <c r="W4" s="1872"/>
      <c r="X4" s="1872"/>
      <c r="Y4" s="1873"/>
      <c r="Z4" s="1871" t="s">
        <v>39</v>
      </c>
      <c r="AA4" s="1872"/>
      <c r="AB4" s="1872"/>
      <c r="AC4" s="1873"/>
      <c r="AD4" s="1871" t="s">
        <v>38</v>
      </c>
      <c r="AE4" s="1872"/>
      <c r="AF4" s="1872"/>
      <c r="AG4" s="1873"/>
      <c r="AH4" s="1874" t="s">
        <v>122</v>
      </c>
      <c r="AI4" s="1875"/>
      <c r="AJ4" s="1875"/>
      <c r="AK4" s="1876"/>
      <c r="AL4" s="1871" t="s">
        <v>37</v>
      </c>
      <c r="AM4" s="1872"/>
      <c r="AN4" s="1872"/>
      <c r="AO4" s="1873"/>
      <c r="AP4" s="1871" t="s">
        <v>36</v>
      </c>
      <c r="AQ4" s="1872"/>
      <c r="AR4" s="1872"/>
      <c r="AS4" s="1873"/>
      <c r="AT4" s="1871" t="s">
        <v>35</v>
      </c>
      <c r="AU4" s="1872"/>
      <c r="AV4" s="1872"/>
      <c r="AW4" s="1873"/>
      <c r="AX4" s="1871" t="s">
        <v>34</v>
      </c>
      <c r="AY4" s="1872"/>
      <c r="AZ4" s="1872"/>
      <c r="BA4" s="1873"/>
      <c r="BB4" s="1874" t="s">
        <v>123</v>
      </c>
      <c r="BC4" s="1875"/>
      <c r="BD4" s="1875"/>
      <c r="BE4" s="1876"/>
      <c r="BF4" s="1877" t="s">
        <v>17</v>
      </c>
      <c r="BG4" s="1878"/>
      <c r="BH4" s="1878"/>
      <c r="BI4" s="1878"/>
    </row>
    <row r="5" spans="3:61" ht="15.75" customHeight="1">
      <c r="C5" s="1879" t="s">
        <v>33</v>
      </c>
      <c r="D5" s="1869"/>
      <c r="E5" s="1017" t="s">
        <v>1</v>
      </c>
      <c r="F5" s="1023" t="s">
        <v>2</v>
      </c>
      <c r="H5" s="1910"/>
      <c r="I5" s="1911"/>
      <c r="J5" s="36" t="s">
        <v>1</v>
      </c>
      <c r="K5" s="271" t="s">
        <v>2</v>
      </c>
      <c r="L5" s="693" t="s">
        <v>182</v>
      </c>
      <c r="M5" s="35" t="s">
        <v>247</v>
      </c>
      <c r="N5" s="36" t="s">
        <v>1</v>
      </c>
      <c r="O5" s="271" t="s">
        <v>2</v>
      </c>
      <c r="P5" s="693" t="s">
        <v>182</v>
      </c>
      <c r="Q5" s="35" t="s">
        <v>247</v>
      </c>
      <c r="R5" s="36" t="s">
        <v>1</v>
      </c>
      <c r="S5" s="271" t="s">
        <v>2</v>
      </c>
      <c r="T5" s="693" t="s">
        <v>182</v>
      </c>
      <c r="U5" s="35" t="s">
        <v>247</v>
      </c>
      <c r="V5" s="36" t="s">
        <v>1</v>
      </c>
      <c r="W5" s="271" t="s">
        <v>2</v>
      </c>
      <c r="X5" s="693" t="s">
        <v>182</v>
      </c>
      <c r="Y5" s="35" t="s">
        <v>247</v>
      </c>
      <c r="Z5" s="36" t="s">
        <v>1</v>
      </c>
      <c r="AA5" s="271" t="s">
        <v>2</v>
      </c>
      <c r="AB5" s="693" t="s">
        <v>182</v>
      </c>
      <c r="AC5" s="35" t="s">
        <v>247</v>
      </c>
      <c r="AD5" s="36" t="s">
        <v>1</v>
      </c>
      <c r="AE5" s="271" t="s">
        <v>2</v>
      </c>
      <c r="AF5" s="693" t="s">
        <v>182</v>
      </c>
      <c r="AG5" s="35" t="s">
        <v>247</v>
      </c>
      <c r="AH5" s="36" t="s">
        <v>1</v>
      </c>
      <c r="AI5" s="271" t="s">
        <v>2</v>
      </c>
      <c r="AJ5" s="271" t="s">
        <v>182</v>
      </c>
      <c r="AK5" s="690" t="s">
        <v>196</v>
      </c>
      <c r="AL5" s="36" t="s">
        <v>1</v>
      </c>
      <c r="AM5" s="271" t="s">
        <v>2</v>
      </c>
      <c r="AN5" s="693" t="s">
        <v>182</v>
      </c>
      <c r="AO5" s="35" t="s">
        <v>247</v>
      </c>
      <c r="AP5" s="36" t="s">
        <v>1</v>
      </c>
      <c r="AQ5" s="271" t="s">
        <v>2</v>
      </c>
      <c r="AR5" s="693" t="s">
        <v>182</v>
      </c>
      <c r="AS5" s="35" t="s">
        <v>247</v>
      </c>
      <c r="AT5" s="36" t="s">
        <v>1</v>
      </c>
      <c r="AU5" s="271" t="s">
        <v>2</v>
      </c>
      <c r="AV5" s="693" t="s">
        <v>182</v>
      </c>
      <c r="AW5" s="35" t="s">
        <v>247</v>
      </c>
      <c r="AX5" s="36" t="s">
        <v>1</v>
      </c>
      <c r="AY5" s="271" t="s">
        <v>2</v>
      </c>
      <c r="AZ5" s="693" t="s">
        <v>182</v>
      </c>
      <c r="BA5" s="35" t="s">
        <v>247</v>
      </c>
      <c r="BB5" s="36" t="s">
        <v>1</v>
      </c>
      <c r="BC5" s="271" t="s">
        <v>2</v>
      </c>
      <c r="BD5" s="271" t="s">
        <v>182</v>
      </c>
      <c r="BE5" s="690" t="s">
        <v>196</v>
      </c>
      <c r="BF5" s="274" t="s">
        <v>1</v>
      </c>
      <c r="BG5" s="275" t="s">
        <v>2</v>
      </c>
      <c r="BH5" s="275" t="s">
        <v>182</v>
      </c>
      <c r="BI5" s="698" t="s">
        <v>196</v>
      </c>
    </row>
    <row r="6" spans="3:61" s="28" customFormat="1" ht="20.100000000000001" customHeight="1">
      <c r="C6" s="1879" t="s">
        <v>19</v>
      </c>
      <c r="D6" s="1017" t="s">
        <v>32</v>
      </c>
      <c r="E6" s="1017"/>
      <c r="F6" s="1018"/>
      <c r="H6" s="1886" t="s">
        <v>32</v>
      </c>
      <c r="I6" s="33" t="s">
        <v>32</v>
      </c>
      <c r="J6" s="462"/>
      <c r="K6" s="463"/>
      <c r="L6" s="463"/>
      <c r="M6" s="691"/>
      <c r="N6" s="462"/>
      <c r="O6" s="463"/>
      <c r="P6" s="463"/>
      <c r="Q6" s="691"/>
      <c r="R6" s="462"/>
      <c r="S6" s="463"/>
      <c r="T6" s="463"/>
      <c r="U6" s="691"/>
      <c r="V6" s="462"/>
      <c r="W6" s="463"/>
      <c r="X6" s="463"/>
      <c r="Y6" s="691"/>
      <c r="Z6" s="462"/>
      <c r="AA6" s="463"/>
      <c r="AB6" s="463"/>
      <c r="AC6" s="691"/>
      <c r="AD6" s="462"/>
      <c r="AE6" s="463"/>
      <c r="AF6" s="463"/>
      <c r="AG6" s="691"/>
      <c r="AH6" s="128">
        <f>J6+N6+R6+V6+Z6+AD6</f>
        <v>0</v>
      </c>
      <c r="AI6" s="273">
        <f>K6+O6+S6+W6+AA6+AE6</f>
        <v>0</v>
      </c>
      <c r="AJ6" s="273">
        <f>L6+P6+T6+X6+AB6+AF6</f>
        <v>0</v>
      </c>
      <c r="AK6" s="694">
        <f>M6+Q6+U6+Y6+AC6+AG6</f>
        <v>0</v>
      </c>
      <c r="AL6" s="462"/>
      <c r="AM6" s="463"/>
      <c r="AN6" s="463"/>
      <c r="AO6" s="691"/>
      <c r="AP6" s="462"/>
      <c r="AQ6" s="463"/>
      <c r="AR6" s="463"/>
      <c r="AS6" s="691"/>
      <c r="AT6" s="462"/>
      <c r="AU6" s="463"/>
      <c r="AV6" s="463"/>
      <c r="AW6" s="691"/>
      <c r="AX6" s="462"/>
      <c r="AY6" s="463"/>
      <c r="AZ6" s="463"/>
      <c r="BA6" s="691"/>
      <c r="BB6" s="128">
        <f>AL6+AP6+AT6+AX6</f>
        <v>0</v>
      </c>
      <c r="BC6" s="273">
        <f>AM6+AQ6+AU6+AY6</f>
        <v>0</v>
      </c>
      <c r="BD6" s="273">
        <f>AN6+AR6+AV6+AZ6</f>
        <v>0</v>
      </c>
      <c r="BE6" s="273">
        <f>AO6+AS6+AW6+BA6</f>
        <v>0</v>
      </c>
      <c r="BF6" s="276">
        <f>AH6+BB6</f>
        <v>0</v>
      </c>
      <c r="BG6" s="277">
        <f>AI6+BC6</f>
        <v>0</v>
      </c>
      <c r="BH6" s="701">
        <f>AJ6+BD6</f>
        <v>0</v>
      </c>
      <c r="BI6" s="699">
        <f>AK6+BE6</f>
        <v>0</v>
      </c>
    </row>
    <row r="7" spans="3:61" s="28" customFormat="1" ht="20.100000000000001" customHeight="1">
      <c r="C7" s="1879"/>
      <c r="D7" s="1017" t="s">
        <v>31</v>
      </c>
      <c r="E7" s="1017"/>
      <c r="F7" s="1018"/>
      <c r="H7" s="1887"/>
      <c r="I7" s="33" t="s">
        <v>31</v>
      </c>
      <c r="J7" s="462"/>
      <c r="K7" s="463"/>
      <c r="L7" s="463"/>
      <c r="M7" s="691"/>
      <c r="N7" s="462"/>
      <c r="O7" s="463"/>
      <c r="P7" s="463"/>
      <c r="Q7" s="691"/>
      <c r="R7" s="462"/>
      <c r="S7" s="463"/>
      <c r="T7" s="463"/>
      <c r="U7" s="691"/>
      <c r="V7" s="462"/>
      <c r="W7" s="463"/>
      <c r="X7" s="463"/>
      <c r="Y7" s="691"/>
      <c r="Z7" s="462"/>
      <c r="AA7" s="463"/>
      <c r="AB7" s="463"/>
      <c r="AC7" s="691"/>
      <c r="AD7" s="462"/>
      <c r="AE7" s="463"/>
      <c r="AF7" s="463"/>
      <c r="AG7" s="691"/>
      <c r="AH7" s="128">
        <f t="shared" ref="AH7:AK9" si="0">J7+N7+R7+V7+Z7+AD7</f>
        <v>0</v>
      </c>
      <c r="AI7" s="273">
        <f t="shared" si="0"/>
        <v>0</v>
      </c>
      <c r="AJ7" s="273">
        <f t="shared" si="0"/>
        <v>0</v>
      </c>
      <c r="AK7" s="694">
        <f t="shared" si="0"/>
        <v>0</v>
      </c>
      <c r="AL7" s="462"/>
      <c r="AM7" s="463"/>
      <c r="AN7" s="463"/>
      <c r="AO7" s="691"/>
      <c r="AP7" s="462"/>
      <c r="AQ7" s="463"/>
      <c r="AR7" s="463"/>
      <c r="AS7" s="691"/>
      <c r="AT7" s="462"/>
      <c r="AU7" s="463"/>
      <c r="AV7" s="463"/>
      <c r="AW7" s="691"/>
      <c r="AX7" s="462"/>
      <c r="AY7" s="463"/>
      <c r="AZ7" s="463"/>
      <c r="BA7" s="691"/>
      <c r="BB7" s="128">
        <f t="shared" ref="BB7:BE9" si="1">AL7+AP7+AT7+AX7</f>
        <v>0</v>
      </c>
      <c r="BC7" s="273">
        <f t="shared" si="1"/>
        <v>0</v>
      </c>
      <c r="BD7" s="273">
        <f t="shared" si="1"/>
        <v>0</v>
      </c>
      <c r="BE7" s="273">
        <f t="shared" si="1"/>
        <v>0</v>
      </c>
      <c r="BF7" s="276">
        <f t="shared" ref="BF7:BI9" si="2">AH7+BB7</f>
        <v>0</v>
      </c>
      <c r="BG7" s="277">
        <f t="shared" si="2"/>
        <v>0</v>
      </c>
      <c r="BH7" s="277">
        <f t="shared" si="2"/>
        <v>0</v>
      </c>
      <c r="BI7" s="699">
        <f t="shared" si="2"/>
        <v>0</v>
      </c>
    </row>
    <row r="8" spans="3:61" s="28" customFormat="1" ht="20.100000000000001" customHeight="1">
      <c r="C8" s="1879"/>
      <c r="D8" s="1017" t="s">
        <v>30</v>
      </c>
      <c r="E8" s="1017"/>
      <c r="F8" s="1018"/>
      <c r="H8" s="1887"/>
      <c r="I8" s="33" t="s">
        <v>30</v>
      </c>
      <c r="J8" s="462"/>
      <c r="K8" s="463"/>
      <c r="L8" s="463"/>
      <c r="M8" s="691"/>
      <c r="N8" s="462"/>
      <c r="O8" s="463"/>
      <c r="P8" s="463"/>
      <c r="Q8" s="691"/>
      <c r="R8" s="462"/>
      <c r="S8" s="463"/>
      <c r="T8" s="463"/>
      <c r="U8" s="691"/>
      <c r="V8" s="462"/>
      <c r="W8" s="463"/>
      <c r="X8" s="463"/>
      <c r="Y8" s="691"/>
      <c r="Z8" s="462"/>
      <c r="AA8" s="463"/>
      <c r="AB8" s="463"/>
      <c r="AC8" s="691"/>
      <c r="AD8" s="462"/>
      <c r="AE8" s="463"/>
      <c r="AF8" s="463"/>
      <c r="AG8" s="691"/>
      <c r="AH8" s="128">
        <f t="shared" si="0"/>
        <v>0</v>
      </c>
      <c r="AI8" s="273">
        <f t="shared" si="0"/>
        <v>0</v>
      </c>
      <c r="AJ8" s="273">
        <f t="shared" si="0"/>
        <v>0</v>
      </c>
      <c r="AK8" s="694">
        <f t="shared" si="0"/>
        <v>0</v>
      </c>
      <c r="AL8" s="462"/>
      <c r="AM8" s="463"/>
      <c r="AN8" s="463"/>
      <c r="AO8" s="691"/>
      <c r="AP8" s="462"/>
      <c r="AQ8" s="463"/>
      <c r="AR8" s="463"/>
      <c r="AS8" s="691"/>
      <c r="AT8" s="462"/>
      <c r="AU8" s="463"/>
      <c r="AV8" s="463"/>
      <c r="AW8" s="691"/>
      <c r="AX8" s="462"/>
      <c r="AY8" s="463"/>
      <c r="AZ8" s="463"/>
      <c r="BA8" s="691"/>
      <c r="BB8" s="128">
        <f t="shared" si="1"/>
        <v>0</v>
      </c>
      <c r="BC8" s="273">
        <f t="shared" si="1"/>
        <v>0</v>
      </c>
      <c r="BD8" s="273">
        <f t="shared" si="1"/>
        <v>0</v>
      </c>
      <c r="BE8" s="273">
        <f t="shared" si="1"/>
        <v>0</v>
      </c>
      <c r="BF8" s="276">
        <f t="shared" si="2"/>
        <v>0</v>
      </c>
      <c r="BG8" s="277">
        <f t="shared" si="2"/>
        <v>0</v>
      </c>
      <c r="BH8" s="277">
        <f t="shared" si="2"/>
        <v>0</v>
      </c>
      <c r="BI8" s="699">
        <f t="shared" si="2"/>
        <v>0</v>
      </c>
    </row>
    <row r="9" spans="3:61" s="28" customFormat="1" ht="20.100000000000001" customHeight="1">
      <c r="C9" s="1885"/>
      <c r="D9" s="1017" t="s">
        <v>29</v>
      </c>
      <c r="E9" s="1017"/>
      <c r="F9" s="1018"/>
      <c r="H9" s="1887"/>
      <c r="I9" s="33" t="s">
        <v>109</v>
      </c>
      <c r="J9" s="462"/>
      <c r="K9" s="463"/>
      <c r="L9" s="463"/>
      <c r="M9" s="691"/>
      <c r="N9" s="462"/>
      <c r="O9" s="463"/>
      <c r="P9" s="463"/>
      <c r="Q9" s="691"/>
      <c r="R9" s="462"/>
      <c r="S9" s="463"/>
      <c r="T9" s="463"/>
      <c r="U9" s="691"/>
      <c r="V9" s="462"/>
      <c r="W9" s="463"/>
      <c r="X9" s="463"/>
      <c r="Y9" s="691"/>
      <c r="Z9" s="462"/>
      <c r="AA9" s="463"/>
      <c r="AB9" s="463"/>
      <c r="AC9" s="691"/>
      <c r="AD9" s="462"/>
      <c r="AE9" s="463"/>
      <c r="AF9" s="463"/>
      <c r="AG9" s="691"/>
      <c r="AH9" s="128">
        <f t="shared" si="0"/>
        <v>0</v>
      </c>
      <c r="AI9" s="273">
        <f t="shared" si="0"/>
        <v>0</v>
      </c>
      <c r="AJ9" s="273">
        <f t="shared" si="0"/>
        <v>0</v>
      </c>
      <c r="AK9" s="694">
        <f t="shared" si="0"/>
        <v>0</v>
      </c>
      <c r="AL9" s="462"/>
      <c r="AM9" s="463"/>
      <c r="AN9" s="463"/>
      <c r="AO9" s="691"/>
      <c r="AP9" s="462"/>
      <c r="AQ9" s="463"/>
      <c r="AR9" s="463"/>
      <c r="AS9" s="691"/>
      <c r="AT9" s="462"/>
      <c r="AU9" s="463"/>
      <c r="AV9" s="463"/>
      <c r="AW9" s="691"/>
      <c r="AX9" s="462"/>
      <c r="AY9" s="463"/>
      <c r="AZ9" s="463"/>
      <c r="BA9" s="691"/>
      <c r="BB9" s="128">
        <f t="shared" si="1"/>
        <v>0</v>
      </c>
      <c r="BC9" s="273">
        <f t="shared" si="1"/>
        <v>0</v>
      </c>
      <c r="BD9" s="273">
        <f t="shared" si="1"/>
        <v>0</v>
      </c>
      <c r="BE9" s="273">
        <f t="shared" si="1"/>
        <v>0</v>
      </c>
      <c r="BF9" s="276">
        <f t="shared" si="2"/>
        <v>0</v>
      </c>
      <c r="BG9" s="277">
        <f t="shared" si="2"/>
        <v>0</v>
      </c>
      <c r="BH9" s="277">
        <f t="shared" si="2"/>
        <v>0</v>
      </c>
      <c r="BI9" s="699">
        <f t="shared" si="2"/>
        <v>0</v>
      </c>
    </row>
    <row r="10" spans="3:61" s="28" customFormat="1" ht="19.5" customHeight="1" thickBot="1">
      <c r="C10" s="32"/>
      <c r="D10" s="31" t="s">
        <v>18</v>
      </c>
      <c r="E10" s="31"/>
      <c r="F10" s="30"/>
      <c r="H10" s="1865" t="s">
        <v>47</v>
      </c>
      <c r="I10" s="1866"/>
      <c r="J10" s="118">
        <f t="shared" ref="J10:BG10" si="3">SUM(J6:J9)</f>
        <v>0</v>
      </c>
      <c r="K10" s="272">
        <f t="shared" si="3"/>
        <v>0</v>
      </c>
      <c r="L10" s="272">
        <f t="shared" si="3"/>
        <v>0</v>
      </c>
      <c r="M10" s="272">
        <f t="shared" si="3"/>
        <v>0</v>
      </c>
      <c r="N10" s="118">
        <f t="shared" si="3"/>
        <v>0</v>
      </c>
      <c r="O10" s="272">
        <f t="shared" si="3"/>
        <v>0</v>
      </c>
      <c r="P10" s="272">
        <f t="shared" si="3"/>
        <v>0</v>
      </c>
      <c r="Q10" s="272">
        <f t="shared" si="3"/>
        <v>0</v>
      </c>
      <c r="R10" s="118">
        <f t="shared" si="3"/>
        <v>0</v>
      </c>
      <c r="S10" s="272">
        <f t="shared" si="3"/>
        <v>0</v>
      </c>
      <c r="T10" s="272">
        <f t="shared" si="3"/>
        <v>0</v>
      </c>
      <c r="U10" s="272">
        <f t="shared" si="3"/>
        <v>0</v>
      </c>
      <c r="V10" s="118">
        <f t="shared" si="3"/>
        <v>0</v>
      </c>
      <c r="W10" s="272">
        <f t="shared" si="3"/>
        <v>0</v>
      </c>
      <c r="X10" s="272">
        <f t="shared" si="3"/>
        <v>0</v>
      </c>
      <c r="Y10" s="272">
        <f t="shared" si="3"/>
        <v>0</v>
      </c>
      <c r="Z10" s="118">
        <f t="shared" si="3"/>
        <v>0</v>
      </c>
      <c r="AA10" s="272">
        <f t="shared" si="3"/>
        <v>0</v>
      </c>
      <c r="AB10" s="272">
        <f t="shared" si="3"/>
        <v>0</v>
      </c>
      <c r="AC10" s="272">
        <f t="shared" si="3"/>
        <v>0</v>
      </c>
      <c r="AD10" s="118">
        <f t="shared" si="3"/>
        <v>0</v>
      </c>
      <c r="AE10" s="272">
        <f t="shared" si="3"/>
        <v>0</v>
      </c>
      <c r="AF10" s="272">
        <f t="shared" si="3"/>
        <v>0</v>
      </c>
      <c r="AG10" s="272">
        <f t="shared" si="3"/>
        <v>0</v>
      </c>
      <c r="AH10" s="118">
        <f t="shared" si="3"/>
        <v>0</v>
      </c>
      <c r="AI10" s="272">
        <f t="shared" si="3"/>
        <v>0</v>
      </c>
      <c r="AJ10" s="272">
        <f>SUM(AJ6:AJ9)</f>
        <v>0</v>
      </c>
      <c r="AK10" s="695">
        <f>SUM(AK6:AK9)</f>
        <v>0</v>
      </c>
      <c r="AL10" s="118">
        <f t="shared" si="3"/>
        <v>0</v>
      </c>
      <c r="AM10" s="272">
        <f t="shared" si="3"/>
        <v>0</v>
      </c>
      <c r="AN10" s="272">
        <f t="shared" si="3"/>
        <v>0</v>
      </c>
      <c r="AO10" s="272">
        <f t="shared" si="3"/>
        <v>0</v>
      </c>
      <c r="AP10" s="118">
        <f t="shared" si="3"/>
        <v>0</v>
      </c>
      <c r="AQ10" s="272">
        <f t="shared" si="3"/>
        <v>0</v>
      </c>
      <c r="AR10" s="272">
        <f t="shared" si="3"/>
        <v>0</v>
      </c>
      <c r="AS10" s="272">
        <f t="shared" si="3"/>
        <v>0</v>
      </c>
      <c r="AT10" s="118">
        <f t="shared" si="3"/>
        <v>0</v>
      </c>
      <c r="AU10" s="272">
        <f t="shared" si="3"/>
        <v>0</v>
      </c>
      <c r="AV10" s="272">
        <f t="shared" si="3"/>
        <v>0</v>
      </c>
      <c r="AW10" s="272">
        <f t="shared" si="3"/>
        <v>0</v>
      </c>
      <c r="AX10" s="118">
        <f t="shared" si="3"/>
        <v>0</v>
      </c>
      <c r="AY10" s="272">
        <f t="shared" si="3"/>
        <v>0</v>
      </c>
      <c r="AZ10" s="272">
        <f t="shared" si="3"/>
        <v>0</v>
      </c>
      <c r="BA10" s="272">
        <f t="shared" si="3"/>
        <v>0</v>
      </c>
      <c r="BB10" s="118">
        <f t="shared" si="3"/>
        <v>0</v>
      </c>
      <c r="BC10" s="272">
        <f t="shared" si="3"/>
        <v>0</v>
      </c>
      <c r="BD10" s="272">
        <f t="shared" si="3"/>
        <v>0</v>
      </c>
      <c r="BE10" s="272">
        <f t="shared" si="3"/>
        <v>0</v>
      </c>
      <c r="BF10" s="278">
        <f t="shared" si="3"/>
        <v>0</v>
      </c>
      <c r="BG10" s="279">
        <f t="shared" si="3"/>
        <v>0</v>
      </c>
      <c r="BH10" s="702">
        <f>AJ10+BD10</f>
        <v>0</v>
      </c>
      <c r="BI10" s="700">
        <f>AK10+BE10</f>
        <v>0</v>
      </c>
    </row>
    <row r="11" spans="3:61" s="119" customFormat="1" ht="5.25" customHeight="1">
      <c r="D11" s="120"/>
      <c r="E11" s="120"/>
      <c r="F11" s="120"/>
      <c r="H11" s="122"/>
      <c r="I11" s="122"/>
      <c r="J11" s="125"/>
      <c r="K11" s="126"/>
      <c r="L11" s="126"/>
      <c r="M11" s="126"/>
      <c r="N11" s="125"/>
      <c r="O11" s="126"/>
      <c r="P11" s="126"/>
      <c r="Q11" s="126"/>
      <c r="R11" s="125"/>
      <c r="S11" s="126"/>
      <c r="T11" s="126"/>
      <c r="U11" s="126"/>
      <c r="V11" s="125"/>
      <c r="W11" s="126"/>
      <c r="X11" s="126"/>
      <c r="Y11" s="126"/>
      <c r="Z11" s="125"/>
      <c r="AA11" s="126"/>
      <c r="AB11" s="126"/>
      <c r="AC11" s="126"/>
      <c r="AD11" s="125"/>
      <c r="AE11" s="126"/>
      <c r="AF11" s="126"/>
      <c r="AG11" s="126"/>
      <c r="AH11" s="125"/>
      <c r="AI11" s="126"/>
      <c r="AJ11" s="126"/>
      <c r="AK11" s="126"/>
      <c r="AL11" s="125"/>
      <c r="AM11" s="126"/>
      <c r="AN11" s="126"/>
      <c r="AO11" s="126"/>
      <c r="AP11" s="125"/>
      <c r="AQ11" s="126"/>
      <c r="AR11" s="126"/>
      <c r="AS11" s="126"/>
      <c r="AT11" s="125"/>
      <c r="AU11" s="126"/>
      <c r="AV11" s="126"/>
      <c r="AW11" s="126"/>
      <c r="AX11" s="125"/>
      <c r="AY11" s="126"/>
      <c r="AZ11" s="126"/>
      <c r="BA11" s="126"/>
      <c r="BB11" s="125"/>
      <c r="BC11" s="126"/>
      <c r="BD11" s="126"/>
      <c r="BE11" s="126"/>
      <c r="BF11" s="125"/>
      <c r="BG11" s="126"/>
    </row>
    <row r="12" spans="3:61" ht="19.5" thickBot="1">
      <c r="C12" s="1019"/>
      <c r="D12" s="1017"/>
      <c r="E12" s="1017"/>
      <c r="F12" s="1023"/>
      <c r="H12" s="1867" t="s">
        <v>114</v>
      </c>
      <c r="I12" s="1868"/>
      <c r="J12" s="1868"/>
      <c r="K12" s="1868"/>
      <c r="L12" s="1868"/>
      <c r="M12" s="1868"/>
      <c r="N12" s="1868"/>
      <c r="O12" s="1868"/>
      <c r="P12" s="1868"/>
      <c r="Q12" s="1868"/>
      <c r="R12" s="1868"/>
      <c r="S12" s="1868"/>
      <c r="T12" s="1868"/>
      <c r="U12" s="1868"/>
      <c r="V12" s="1868"/>
      <c r="W12" s="1868"/>
      <c r="X12" s="1868"/>
      <c r="Y12" s="1868"/>
      <c r="Z12" s="1868"/>
      <c r="AA12" s="1868"/>
      <c r="AB12" s="1868"/>
      <c r="AC12" s="1868"/>
      <c r="AD12" s="1868"/>
      <c r="AE12" s="1868"/>
      <c r="AF12" s="1868"/>
      <c r="AG12" s="1868"/>
      <c r="AH12" s="1868"/>
      <c r="AI12" s="1868"/>
      <c r="AJ12" s="1868"/>
      <c r="AK12" s="1868"/>
      <c r="AL12" s="1868"/>
      <c r="AM12" s="1868"/>
      <c r="AN12" s="1868"/>
      <c r="AO12" s="1868"/>
      <c r="AP12" s="1868"/>
      <c r="AQ12" s="1868"/>
      <c r="AR12" s="1868"/>
      <c r="AS12" s="1868"/>
      <c r="AT12" s="1868"/>
      <c r="AU12" s="1868"/>
      <c r="AV12" s="1868"/>
      <c r="AW12" s="1868"/>
      <c r="AX12" s="1868"/>
      <c r="AY12" s="1868"/>
      <c r="AZ12" s="1868"/>
      <c r="BA12" s="1868"/>
      <c r="BB12" s="1868"/>
      <c r="BC12" s="1868"/>
      <c r="BD12" s="1868"/>
      <c r="BE12" s="1868"/>
      <c r="BF12" s="1868"/>
      <c r="BG12" s="1868"/>
      <c r="BH12" s="1868"/>
      <c r="BI12" s="1868"/>
    </row>
    <row r="13" spans="3:61" ht="18.75" customHeight="1">
      <c r="C13" s="37" t="s">
        <v>44</v>
      </c>
      <c r="D13" s="1869"/>
      <c r="E13" s="1869"/>
      <c r="F13" s="1870"/>
      <c r="H13" s="1895" t="s">
        <v>117</v>
      </c>
      <c r="I13" s="1896"/>
      <c r="J13" s="1890" t="s">
        <v>43</v>
      </c>
      <c r="K13" s="1891"/>
      <c r="L13" s="1891"/>
      <c r="M13" s="1892"/>
      <c r="N13" s="1890" t="s">
        <v>42</v>
      </c>
      <c r="O13" s="1891"/>
      <c r="P13" s="1891"/>
      <c r="Q13" s="1892"/>
      <c r="R13" s="1890" t="s">
        <v>41</v>
      </c>
      <c r="S13" s="1891"/>
      <c r="T13" s="1891"/>
      <c r="U13" s="1892"/>
      <c r="V13" s="1890" t="s">
        <v>40</v>
      </c>
      <c r="W13" s="1891"/>
      <c r="X13" s="1891"/>
      <c r="Y13" s="1892"/>
      <c r="Z13" s="1890" t="s">
        <v>39</v>
      </c>
      <c r="AA13" s="1891"/>
      <c r="AB13" s="1891"/>
      <c r="AC13" s="1892"/>
      <c r="AD13" s="1890" t="s">
        <v>38</v>
      </c>
      <c r="AE13" s="1891"/>
      <c r="AF13" s="1891"/>
      <c r="AG13" s="1892"/>
      <c r="AH13" s="1882" t="s">
        <v>122</v>
      </c>
      <c r="AI13" s="1883"/>
      <c r="AJ13" s="1883"/>
      <c r="AK13" s="1884"/>
      <c r="AL13" s="1890" t="s">
        <v>37</v>
      </c>
      <c r="AM13" s="1891"/>
      <c r="AN13" s="1891"/>
      <c r="AO13" s="1892"/>
      <c r="AP13" s="1890" t="s">
        <v>36</v>
      </c>
      <c r="AQ13" s="1891"/>
      <c r="AR13" s="1891"/>
      <c r="AS13" s="1892"/>
      <c r="AT13" s="1890" t="s">
        <v>35</v>
      </c>
      <c r="AU13" s="1891"/>
      <c r="AV13" s="1891"/>
      <c r="AW13" s="1892"/>
      <c r="AX13" s="1890" t="s">
        <v>34</v>
      </c>
      <c r="AY13" s="1891"/>
      <c r="AZ13" s="1891"/>
      <c r="BA13" s="1892"/>
      <c r="BB13" s="1882" t="s">
        <v>123</v>
      </c>
      <c r="BC13" s="1883"/>
      <c r="BD13" s="1883"/>
      <c r="BE13" s="1884"/>
      <c r="BF13" s="1880" t="s">
        <v>17</v>
      </c>
      <c r="BG13" s="1881"/>
      <c r="BH13" s="1881"/>
      <c r="BI13" s="1881"/>
    </row>
    <row r="14" spans="3:61" ht="27" customHeight="1">
      <c r="C14" s="1879" t="s">
        <v>33</v>
      </c>
      <c r="D14" s="1869"/>
      <c r="E14" s="1017" t="s">
        <v>1</v>
      </c>
      <c r="F14" s="1023" t="s">
        <v>2</v>
      </c>
      <c r="H14" s="1897"/>
      <c r="I14" s="1898"/>
      <c r="J14" s="36" t="s">
        <v>1</v>
      </c>
      <c r="K14" s="271" t="s">
        <v>2</v>
      </c>
      <c r="L14" s="271" t="s">
        <v>182</v>
      </c>
      <c r="M14" s="35" t="s">
        <v>247</v>
      </c>
      <c r="N14" s="36" t="s">
        <v>1</v>
      </c>
      <c r="O14" s="271" t="s">
        <v>2</v>
      </c>
      <c r="P14" s="271" t="s">
        <v>182</v>
      </c>
      <c r="Q14" s="35" t="s">
        <v>247</v>
      </c>
      <c r="R14" s="36" t="s">
        <v>1</v>
      </c>
      <c r="S14" s="271" t="s">
        <v>2</v>
      </c>
      <c r="T14" s="271" t="s">
        <v>182</v>
      </c>
      <c r="U14" s="35" t="s">
        <v>247</v>
      </c>
      <c r="V14" s="36" t="s">
        <v>1</v>
      </c>
      <c r="W14" s="271" t="s">
        <v>2</v>
      </c>
      <c r="X14" s="271" t="s">
        <v>182</v>
      </c>
      <c r="Y14" s="35" t="s">
        <v>247</v>
      </c>
      <c r="Z14" s="36" t="s">
        <v>1</v>
      </c>
      <c r="AA14" s="271" t="s">
        <v>2</v>
      </c>
      <c r="AB14" s="271" t="s">
        <v>182</v>
      </c>
      <c r="AC14" s="35" t="s">
        <v>247</v>
      </c>
      <c r="AD14" s="36" t="s">
        <v>1</v>
      </c>
      <c r="AE14" s="271" t="s">
        <v>2</v>
      </c>
      <c r="AF14" s="271" t="s">
        <v>182</v>
      </c>
      <c r="AG14" s="35" t="s">
        <v>247</v>
      </c>
      <c r="AH14" s="36" t="s">
        <v>1</v>
      </c>
      <c r="AI14" s="271" t="s">
        <v>2</v>
      </c>
      <c r="AJ14" s="271" t="s">
        <v>182</v>
      </c>
      <c r="AK14" s="690" t="s">
        <v>196</v>
      </c>
      <c r="AL14" s="36" t="s">
        <v>1</v>
      </c>
      <c r="AM14" s="271" t="s">
        <v>2</v>
      </c>
      <c r="AN14" s="271" t="s">
        <v>182</v>
      </c>
      <c r="AO14" s="35" t="s">
        <v>247</v>
      </c>
      <c r="AP14" s="36" t="s">
        <v>1</v>
      </c>
      <c r="AQ14" s="271" t="s">
        <v>2</v>
      </c>
      <c r="AR14" s="271" t="s">
        <v>182</v>
      </c>
      <c r="AS14" s="35" t="s">
        <v>247</v>
      </c>
      <c r="AT14" s="36" t="s">
        <v>1</v>
      </c>
      <c r="AU14" s="271" t="s">
        <v>2</v>
      </c>
      <c r="AV14" s="271" t="s">
        <v>182</v>
      </c>
      <c r="AW14" s="35" t="s">
        <v>247</v>
      </c>
      <c r="AX14" s="36" t="s">
        <v>1</v>
      </c>
      <c r="AY14" s="271" t="s">
        <v>2</v>
      </c>
      <c r="AZ14" s="271" t="s">
        <v>182</v>
      </c>
      <c r="BA14" s="35" t="s">
        <v>247</v>
      </c>
      <c r="BB14" s="36" t="s">
        <v>1</v>
      </c>
      <c r="BC14" s="271" t="s">
        <v>2</v>
      </c>
      <c r="BD14" s="271" t="s">
        <v>182</v>
      </c>
      <c r="BE14" s="690" t="s">
        <v>196</v>
      </c>
      <c r="BF14" s="274" t="s">
        <v>1</v>
      </c>
      <c r="BG14" s="275" t="s">
        <v>2</v>
      </c>
      <c r="BH14" s="275" t="s">
        <v>182</v>
      </c>
      <c r="BI14" s="703" t="s">
        <v>196</v>
      </c>
    </row>
    <row r="15" spans="3:61" s="28" customFormat="1" ht="20.100000000000001" customHeight="1">
      <c r="C15" s="1879" t="s">
        <v>28</v>
      </c>
      <c r="D15" s="1017" t="s">
        <v>27</v>
      </c>
      <c r="E15" s="1021"/>
      <c r="F15" s="34"/>
      <c r="H15" s="1888" t="s">
        <v>112</v>
      </c>
      <c r="I15" s="33" t="s">
        <v>27</v>
      </c>
      <c r="J15" s="462"/>
      <c r="K15" s="463"/>
      <c r="L15" s="463"/>
      <c r="M15" s="692"/>
      <c r="N15" s="462"/>
      <c r="O15" s="463"/>
      <c r="P15" s="463"/>
      <c r="Q15" s="692"/>
      <c r="R15" s="462"/>
      <c r="S15" s="463"/>
      <c r="T15" s="463"/>
      <c r="U15" s="692"/>
      <c r="V15" s="462"/>
      <c r="W15" s="463"/>
      <c r="X15" s="463"/>
      <c r="Y15" s="692"/>
      <c r="Z15" s="462"/>
      <c r="AA15" s="463"/>
      <c r="AB15" s="463"/>
      <c r="AC15" s="692"/>
      <c r="AD15" s="462"/>
      <c r="AE15" s="463"/>
      <c r="AF15" s="463"/>
      <c r="AG15" s="692"/>
      <c r="AH15" s="128">
        <f>J15+N15+R15+V15+Z15+AD15</f>
        <v>0</v>
      </c>
      <c r="AI15" s="273">
        <f>K15+O15+S15+W15+AA15+AE15</f>
        <v>0</v>
      </c>
      <c r="AJ15" s="273">
        <f>L15+P15+T15+X15+AB15+AF15</f>
        <v>0</v>
      </c>
      <c r="AK15" s="694">
        <f>M15+Q15+U15+Y15+AC15+AG15</f>
        <v>0</v>
      </c>
      <c r="AL15" s="462"/>
      <c r="AM15" s="463"/>
      <c r="AN15" s="463"/>
      <c r="AO15" s="692"/>
      <c r="AP15" s="462"/>
      <c r="AQ15" s="463"/>
      <c r="AR15" s="463"/>
      <c r="AS15" s="692"/>
      <c r="AT15" s="462"/>
      <c r="AU15" s="463"/>
      <c r="AV15" s="463"/>
      <c r="AW15" s="692"/>
      <c r="AX15" s="462"/>
      <c r="AY15" s="463"/>
      <c r="AZ15" s="463"/>
      <c r="BA15" s="692"/>
      <c r="BB15" s="128">
        <f>AL15+AP15+AT15+AX15</f>
        <v>0</v>
      </c>
      <c r="BC15" s="273">
        <f>AM15+AQ15+AU15+AY15</f>
        <v>0</v>
      </c>
      <c r="BD15" s="273">
        <f>AN15+AR15+AV15+AZ15</f>
        <v>0</v>
      </c>
      <c r="BE15" s="273">
        <f>AO15+AS15+AW15+BA15</f>
        <v>0</v>
      </c>
      <c r="BF15" s="276">
        <f t="shared" ref="BF15:BI23" si="4">AH15+BB15</f>
        <v>0</v>
      </c>
      <c r="BG15" s="277">
        <f t="shared" si="4"/>
        <v>0</v>
      </c>
      <c r="BH15" s="277">
        <f t="shared" si="4"/>
        <v>0</v>
      </c>
      <c r="BI15" s="704">
        <f t="shared" si="4"/>
        <v>0</v>
      </c>
    </row>
    <row r="16" spans="3:61" s="28" customFormat="1" ht="20.100000000000001" customHeight="1">
      <c r="C16" s="1879"/>
      <c r="D16" s="1017" t="s">
        <v>26</v>
      </c>
      <c r="E16" s="1017"/>
      <c r="F16" s="1018"/>
      <c r="H16" s="1889"/>
      <c r="I16" s="33" t="s">
        <v>26</v>
      </c>
      <c r="J16" s="462"/>
      <c r="K16" s="463"/>
      <c r="L16" s="463"/>
      <c r="M16" s="692"/>
      <c r="N16" s="462"/>
      <c r="O16" s="463"/>
      <c r="P16" s="463"/>
      <c r="Q16" s="692"/>
      <c r="R16" s="462"/>
      <c r="S16" s="463"/>
      <c r="T16" s="463"/>
      <c r="U16" s="692"/>
      <c r="V16" s="462"/>
      <c r="W16" s="463"/>
      <c r="X16" s="463"/>
      <c r="Y16" s="692"/>
      <c r="Z16" s="462"/>
      <c r="AA16" s="463"/>
      <c r="AB16" s="463"/>
      <c r="AC16" s="692"/>
      <c r="AD16" s="462"/>
      <c r="AE16" s="463"/>
      <c r="AF16" s="463"/>
      <c r="AG16" s="692"/>
      <c r="AH16" s="128">
        <f t="shared" ref="AH16:AK23" si="5">J16+N16+R16+V16+Z16+AD16</f>
        <v>0</v>
      </c>
      <c r="AI16" s="273">
        <f t="shared" si="5"/>
        <v>0</v>
      </c>
      <c r="AJ16" s="273">
        <f t="shared" si="5"/>
        <v>0</v>
      </c>
      <c r="AK16" s="694">
        <f t="shared" si="5"/>
        <v>0</v>
      </c>
      <c r="AL16" s="462"/>
      <c r="AM16" s="463"/>
      <c r="AN16" s="463"/>
      <c r="AO16" s="692"/>
      <c r="AP16" s="462"/>
      <c r="AQ16" s="463"/>
      <c r="AR16" s="463"/>
      <c r="AS16" s="692"/>
      <c r="AT16" s="462"/>
      <c r="AU16" s="463"/>
      <c r="AV16" s="463"/>
      <c r="AW16" s="692"/>
      <c r="AX16" s="462"/>
      <c r="AY16" s="463"/>
      <c r="AZ16" s="463"/>
      <c r="BA16" s="692"/>
      <c r="BB16" s="128">
        <f t="shared" ref="BB16:BE23" si="6">AL16+AP16+AT16+AX16</f>
        <v>0</v>
      </c>
      <c r="BC16" s="273">
        <f t="shared" si="6"/>
        <v>0</v>
      </c>
      <c r="BD16" s="273">
        <f t="shared" si="6"/>
        <v>0</v>
      </c>
      <c r="BE16" s="273">
        <f t="shared" si="6"/>
        <v>0</v>
      </c>
      <c r="BF16" s="276">
        <f t="shared" si="4"/>
        <v>0</v>
      </c>
      <c r="BG16" s="277">
        <f t="shared" si="4"/>
        <v>0</v>
      </c>
      <c r="BH16" s="277">
        <f t="shared" si="4"/>
        <v>0</v>
      </c>
      <c r="BI16" s="704">
        <f t="shared" si="4"/>
        <v>0</v>
      </c>
    </row>
    <row r="17" spans="3:61" s="28" customFormat="1" ht="23.25" customHeight="1">
      <c r="C17" s="1879"/>
      <c r="D17" s="1017" t="s">
        <v>25</v>
      </c>
      <c r="E17" s="1017"/>
      <c r="F17" s="1018"/>
      <c r="H17" s="1889"/>
      <c r="I17" s="33" t="s">
        <v>25</v>
      </c>
      <c r="J17" s="462"/>
      <c r="K17" s="463"/>
      <c r="L17" s="463"/>
      <c r="M17" s="692"/>
      <c r="N17" s="462"/>
      <c r="O17" s="463"/>
      <c r="P17" s="463"/>
      <c r="Q17" s="692"/>
      <c r="R17" s="462"/>
      <c r="S17" s="463"/>
      <c r="T17" s="463"/>
      <c r="U17" s="692"/>
      <c r="V17" s="462"/>
      <c r="W17" s="463"/>
      <c r="X17" s="463"/>
      <c r="Y17" s="692"/>
      <c r="Z17" s="462"/>
      <c r="AA17" s="463"/>
      <c r="AB17" s="463"/>
      <c r="AC17" s="692"/>
      <c r="AD17" s="462"/>
      <c r="AE17" s="463"/>
      <c r="AF17" s="463"/>
      <c r="AG17" s="692"/>
      <c r="AH17" s="128">
        <f t="shared" si="5"/>
        <v>0</v>
      </c>
      <c r="AI17" s="273">
        <f t="shared" si="5"/>
        <v>0</v>
      </c>
      <c r="AJ17" s="273">
        <f t="shared" si="5"/>
        <v>0</v>
      </c>
      <c r="AK17" s="694">
        <f t="shared" si="5"/>
        <v>0</v>
      </c>
      <c r="AL17" s="462"/>
      <c r="AM17" s="463"/>
      <c r="AN17" s="463"/>
      <c r="AO17" s="692"/>
      <c r="AP17" s="462"/>
      <c r="AQ17" s="463"/>
      <c r="AR17" s="463"/>
      <c r="AS17" s="692"/>
      <c r="AT17" s="462"/>
      <c r="AU17" s="463"/>
      <c r="AV17" s="463"/>
      <c r="AW17" s="692"/>
      <c r="AX17" s="462"/>
      <c r="AY17" s="463"/>
      <c r="AZ17" s="463"/>
      <c r="BA17" s="692"/>
      <c r="BB17" s="128">
        <f t="shared" si="6"/>
        <v>0</v>
      </c>
      <c r="BC17" s="273">
        <f t="shared" si="6"/>
        <v>0</v>
      </c>
      <c r="BD17" s="273">
        <f t="shared" si="6"/>
        <v>0</v>
      </c>
      <c r="BE17" s="273">
        <f t="shared" si="6"/>
        <v>0</v>
      </c>
      <c r="BF17" s="276">
        <f t="shared" si="4"/>
        <v>0</v>
      </c>
      <c r="BG17" s="277">
        <f t="shared" si="4"/>
        <v>0</v>
      </c>
      <c r="BH17" s="277">
        <f t="shared" si="4"/>
        <v>0</v>
      </c>
      <c r="BI17" s="704">
        <f t="shared" si="4"/>
        <v>0</v>
      </c>
    </row>
    <row r="18" spans="3:61" s="28" customFormat="1" ht="21">
      <c r="C18" s="1879"/>
      <c r="D18" s="1017" t="s">
        <v>24</v>
      </c>
      <c r="E18" s="1017"/>
      <c r="F18" s="1018"/>
      <c r="H18" s="1889"/>
      <c r="I18" s="33" t="s">
        <v>24</v>
      </c>
      <c r="J18" s="462"/>
      <c r="K18" s="463"/>
      <c r="L18" s="463"/>
      <c r="M18" s="692"/>
      <c r="N18" s="462"/>
      <c r="O18" s="463"/>
      <c r="P18" s="463"/>
      <c r="Q18" s="692"/>
      <c r="R18" s="462"/>
      <c r="S18" s="463"/>
      <c r="T18" s="463"/>
      <c r="U18" s="692"/>
      <c r="V18" s="462"/>
      <c r="W18" s="463"/>
      <c r="X18" s="463"/>
      <c r="Y18" s="692"/>
      <c r="Z18" s="462"/>
      <c r="AA18" s="463"/>
      <c r="AB18" s="463"/>
      <c r="AC18" s="692"/>
      <c r="AD18" s="462"/>
      <c r="AE18" s="463"/>
      <c r="AF18" s="463"/>
      <c r="AG18" s="692"/>
      <c r="AH18" s="128">
        <f t="shared" si="5"/>
        <v>0</v>
      </c>
      <c r="AI18" s="273">
        <f t="shared" si="5"/>
        <v>0</v>
      </c>
      <c r="AJ18" s="273">
        <f t="shared" si="5"/>
        <v>0</v>
      </c>
      <c r="AK18" s="694">
        <f t="shared" si="5"/>
        <v>0</v>
      </c>
      <c r="AL18" s="462"/>
      <c r="AM18" s="463"/>
      <c r="AN18" s="463"/>
      <c r="AO18" s="692"/>
      <c r="AP18" s="462"/>
      <c r="AQ18" s="463"/>
      <c r="AR18" s="463"/>
      <c r="AS18" s="692"/>
      <c r="AT18" s="462"/>
      <c r="AU18" s="463"/>
      <c r="AV18" s="463"/>
      <c r="AW18" s="692"/>
      <c r="AX18" s="462"/>
      <c r="AY18" s="463"/>
      <c r="AZ18" s="463"/>
      <c r="BA18" s="692"/>
      <c r="BB18" s="128">
        <f t="shared" si="6"/>
        <v>0</v>
      </c>
      <c r="BC18" s="273">
        <f t="shared" si="6"/>
        <v>0</v>
      </c>
      <c r="BD18" s="273">
        <f t="shared" si="6"/>
        <v>0</v>
      </c>
      <c r="BE18" s="273">
        <f t="shared" si="6"/>
        <v>0</v>
      </c>
      <c r="BF18" s="276">
        <f t="shared" si="4"/>
        <v>0</v>
      </c>
      <c r="BG18" s="277">
        <f t="shared" si="4"/>
        <v>0</v>
      </c>
      <c r="BH18" s="277">
        <f t="shared" si="4"/>
        <v>0</v>
      </c>
      <c r="BI18" s="704">
        <f t="shared" si="4"/>
        <v>0</v>
      </c>
    </row>
    <row r="19" spans="3:61" s="28" customFormat="1" ht="20.100000000000001" customHeight="1">
      <c r="C19" s="1879"/>
      <c r="D19" s="1017" t="s">
        <v>23</v>
      </c>
      <c r="E19" s="1017"/>
      <c r="F19" s="1018"/>
      <c r="H19" s="1889"/>
      <c r="I19" s="33" t="s">
        <v>23</v>
      </c>
      <c r="J19" s="462"/>
      <c r="K19" s="463"/>
      <c r="L19" s="463"/>
      <c r="M19" s="692"/>
      <c r="N19" s="462"/>
      <c r="O19" s="463"/>
      <c r="P19" s="463"/>
      <c r="Q19" s="692"/>
      <c r="R19" s="462"/>
      <c r="S19" s="463"/>
      <c r="T19" s="463"/>
      <c r="U19" s="692"/>
      <c r="V19" s="462"/>
      <c r="W19" s="463"/>
      <c r="X19" s="463"/>
      <c r="Y19" s="692"/>
      <c r="Z19" s="462"/>
      <c r="AA19" s="463"/>
      <c r="AB19" s="463"/>
      <c r="AC19" s="692"/>
      <c r="AD19" s="462"/>
      <c r="AE19" s="463"/>
      <c r="AF19" s="463"/>
      <c r="AG19" s="692"/>
      <c r="AH19" s="128">
        <f t="shared" si="5"/>
        <v>0</v>
      </c>
      <c r="AI19" s="273">
        <f t="shared" si="5"/>
        <v>0</v>
      </c>
      <c r="AJ19" s="273">
        <f>L19+P19+T19+X19+AB19+AF19</f>
        <v>0</v>
      </c>
      <c r="AK19" s="694">
        <f t="shared" si="5"/>
        <v>0</v>
      </c>
      <c r="AL19" s="1012"/>
      <c r="AM19" s="463"/>
      <c r="AN19" s="463"/>
      <c r="AO19" s="692"/>
      <c r="AP19" s="462"/>
      <c r="AQ19" s="463"/>
      <c r="AR19" s="463"/>
      <c r="AS19" s="692"/>
      <c r="AT19" s="462"/>
      <c r="AU19" s="463"/>
      <c r="AV19" s="463"/>
      <c r="AW19" s="692"/>
      <c r="AX19" s="462"/>
      <c r="AY19" s="463"/>
      <c r="AZ19" s="463"/>
      <c r="BA19" s="692"/>
      <c r="BB19" s="128">
        <f t="shared" si="6"/>
        <v>0</v>
      </c>
      <c r="BC19" s="273">
        <f t="shared" si="6"/>
        <v>0</v>
      </c>
      <c r="BD19" s="273">
        <f t="shared" si="6"/>
        <v>0</v>
      </c>
      <c r="BE19" s="273">
        <f t="shared" si="6"/>
        <v>0</v>
      </c>
      <c r="BF19" s="276">
        <f t="shared" si="4"/>
        <v>0</v>
      </c>
      <c r="BG19" s="277">
        <f t="shared" si="4"/>
        <v>0</v>
      </c>
      <c r="BH19" s="277">
        <f t="shared" si="4"/>
        <v>0</v>
      </c>
      <c r="BI19" s="704">
        <f t="shared" si="4"/>
        <v>0</v>
      </c>
    </row>
    <row r="20" spans="3:61" s="28" customFormat="1" ht="19.5" customHeight="1">
      <c r="C20" s="1879"/>
      <c r="D20" s="1017" t="s">
        <v>22</v>
      </c>
      <c r="E20" s="1017"/>
      <c r="F20" s="1018"/>
      <c r="H20" s="1889"/>
      <c r="I20" s="33" t="s">
        <v>22</v>
      </c>
      <c r="J20" s="462"/>
      <c r="K20" s="463"/>
      <c r="L20" s="463"/>
      <c r="M20" s="692"/>
      <c r="N20" s="462"/>
      <c r="O20" s="463"/>
      <c r="P20" s="463"/>
      <c r="Q20" s="692"/>
      <c r="R20" s="462"/>
      <c r="S20" s="463"/>
      <c r="T20" s="463"/>
      <c r="U20" s="692"/>
      <c r="V20" s="462"/>
      <c r="W20" s="463"/>
      <c r="X20" s="463"/>
      <c r="Y20" s="692"/>
      <c r="Z20" s="462"/>
      <c r="AA20" s="463"/>
      <c r="AB20" s="463"/>
      <c r="AC20" s="692"/>
      <c r="AD20" s="462"/>
      <c r="AE20" s="463"/>
      <c r="AF20" s="463"/>
      <c r="AG20" s="692"/>
      <c r="AH20" s="128">
        <f t="shared" si="5"/>
        <v>0</v>
      </c>
      <c r="AI20" s="273">
        <f t="shared" si="5"/>
        <v>0</v>
      </c>
      <c r="AJ20" s="273">
        <f>L20+P20+T20+X20+AB20+AF20</f>
        <v>0</v>
      </c>
      <c r="AK20" s="694">
        <f t="shared" si="5"/>
        <v>0</v>
      </c>
      <c r="AL20" s="462"/>
      <c r="AM20" s="463"/>
      <c r="AN20" s="463"/>
      <c r="AO20" s="692"/>
      <c r="AP20" s="462"/>
      <c r="AQ20" s="463"/>
      <c r="AR20" s="463"/>
      <c r="AS20" s="692"/>
      <c r="AT20" s="462"/>
      <c r="AU20" s="463"/>
      <c r="AV20" s="463"/>
      <c r="AW20" s="692"/>
      <c r="AX20" s="462"/>
      <c r="AY20" s="463"/>
      <c r="AZ20" s="463"/>
      <c r="BA20" s="692"/>
      <c r="BB20" s="128">
        <f t="shared" si="6"/>
        <v>0</v>
      </c>
      <c r="BC20" s="273">
        <f t="shared" si="6"/>
        <v>0</v>
      </c>
      <c r="BD20" s="273">
        <f t="shared" si="6"/>
        <v>0</v>
      </c>
      <c r="BE20" s="273">
        <f t="shared" si="6"/>
        <v>0</v>
      </c>
      <c r="BF20" s="276">
        <f t="shared" si="4"/>
        <v>0</v>
      </c>
      <c r="BG20" s="277">
        <f t="shared" si="4"/>
        <v>0</v>
      </c>
      <c r="BH20" s="277">
        <f t="shared" si="4"/>
        <v>0</v>
      </c>
      <c r="BI20" s="704">
        <f t="shared" si="4"/>
        <v>0</v>
      </c>
    </row>
    <row r="21" spans="3:61" s="28" customFormat="1" ht="20.100000000000001" customHeight="1">
      <c r="C21" s="1885"/>
      <c r="D21" s="1017"/>
      <c r="E21" s="1017"/>
      <c r="F21" s="1018"/>
      <c r="H21" s="1889"/>
      <c r="I21" s="33" t="s">
        <v>21</v>
      </c>
      <c r="J21" s="462"/>
      <c r="K21" s="463"/>
      <c r="L21" s="463"/>
      <c r="M21" s="692"/>
      <c r="N21" s="462"/>
      <c r="O21" s="463"/>
      <c r="P21" s="463"/>
      <c r="Q21" s="692"/>
      <c r="R21" s="462"/>
      <c r="S21" s="463"/>
      <c r="T21" s="463"/>
      <c r="U21" s="692"/>
      <c r="V21" s="462"/>
      <c r="W21" s="463"/>
      <c r="X21" s="463"/>
      <c r="Y21" s="692"/>
      <c r="Z21" s="462"/>
      <c r="AA21" s="463"/>
      <c r="AB21" s="463"/>
      <c r="AC21" s="692"/>
      <c r="AD21" s="462"/>
      <c r="AE21" s="463"/>
      <c r="AF21" s="463"/>
      <c r="AG21" s="692"/>
      <c r="AH21" s="128">
        <f t="shared" si="5"/>
        <v>0</v>
      </c>
      <c r="AI21" s="273">
        <f t="shared" si="5"/>
        <v>0</v>
      </c>
      <c r="AJ21" s="273">
        <f t="shared" si="5"/>
        <v>0</v>
      </c>
      <c r="AK21" s="694">
        <f t="shared" si="5"/>
        <v>0</v>
      </c>
      <c r="AL21" s="462"/>
      <c r="AM21" s="463"/>
      <c r="AN21" s="463"/>
      <c r="AO21" s="692"/>
      <c r="AP21" s="462"/>
      <c r="AQ21" s="463"/>
      <c r="AR21" s="463"/>
      <c r="AS21" s="692"/>
      <c r="AT21" s="462"/>
      <c r="AU21" s="463"/>
      <c r="AV21" s="463"/>
      <c r="AW21" s="692"/>
      <c r="AX21" s="462"/>
      <c r="AY21" s="463"/>
      <c r="AZ21" s="463"/>
      <c r="BA21" s="692"/>
      <c r="BB21" s="128">
        <f t="shared" si="6"/>
        <v>0</v>
      </c>
      <c r="BC21" s="273">
        <f t="shared" si="6"/>
        <v>0</v>
      </c>
      <c r="BD21" s="273">
        <f t="shared" si="6"/>
        <v>0</v>
      </c>
      <c r="BE21" s="273">
        <f t="shared" si="6"/>
        <v>0</v>
      </c>
      <c r="BF21" s="276">
        <f t="shared" si="4"/>
        <v>0</v>
      </c>
      <c r="BG21" s="277">
        <f t="shared" si="4"/>
        <v>0</v>
      </c>
      <c r="BH21" s="277">
        <f t="shared" si="4"/>
        <v>0</v>
      </c>
      <c r="BI21" s="704">
        <f t="shared" si="4"/>
        <v>0</v>
      </c>
    </row>
    <row r="22" spans="3:61" s="28" customFormat="1" ht="20.100000000000001" customHeight="1">
      <c r="C22" s="1885"/>
      <c r="D22" s="1017"/>
      <c r="E22" s="1017"/>
      <c r="F22" s="1018"/>
      <c r="H22" s="1889"/>
      <c r="I22" s="33" t="s">
        <v>20</v>
      </c>
      <c r="J22" s="462"/>
      <c r="K22" s="463"/>
      <c r="L22" s="463"/>
      <c r="M22" s="692"/>
      <c r="N22" s="462"/>
      <c r="O22" s="463"/>
      <c r="P22" s="463"/>
      <c r="Q22" s="692"/>
      <c r="R22" s="462"/>
      <c r="S22" s="463"/>
      <c r="T22" s="463"/>
      <c r="U22" s="692"/>
      <c r="V22" s="462"/>
      <c r="W22" s="463"/>
      <c r="X22" s="463"/>
      <c r="Y22" s="692"/>
      <c r="Z22" s="462"/>
      <c r="AA22" s="463"/>
      <c r="AB22" s="463"/>
      <c r="AC22" s="692"/>
      <c r="AD22" s="462"/>
      <c r="AE22" s="463"/>
      <c r="AF22" s="463"/>
      <c r="AG22" s="692"/>
      <c r="AH22" s="128">
        <f t="shared" si="5"/>
        <v>0</v>
      </c>
      <c r="AI22" s="273">
        <f t="shared" si="5"/>
        <v>0</v>
      </c>
      <c r="AJ22" s="273">
        <f t="shared" si="5"/>
        <v>0</v>
      </c>
      <c r="AK22" s="694">
        <f t="shared" si="5"/>
        <v>0</v>
      </c>
      <c r="AL22" s="462"/>
      <c r="AM22" s="463"/>
      <c r="AN22" s="463"/>
      <c r="AO22" s="692"/>
      <c r="AP22" s="462"/>
      <c r="AQ22" s="463"/>
      <c r="AR22" s="463"/>
      <c r="AS22" s="692"/>
      <c r="AT22" s="462"/>
      <c r="AU22" s="463"/>
      <c r="AV22" s="463"/>
      <c r="AW22" s="692"/>
      <c r="AX22" s="462"/>
      <c r="AY22" s="463"/>
      <c r="AZ22" s="463"/>
      <c r="BA22" s="692"/>
      <c r="BB22" s="128">
        <f t="shared" si="6"/>
        <v>0</v>
      </c>
      <c r="BC22" s="273">
        <f t="shared" si="6"/>
        <v>0</v>
      </c>
      <c r="BD22" s="273">
        <f t="shared" si="6"/>
        <v>0</v>
      </c>
      <c r="BE22" s="273">
        <f t="shared" si="6"/>
        <v>0</v>
      </c>
      <c r="BF22" s="276">
        <f t="shared" si="4"/>
        <v>0</v>
      </c>
      <c r="BG22" s="277">
        <f t="shared" si="4"/>
        <v>0</v>
      </c>
      <c r="BH22" s="277">
        <f t="shared" si="4"/>
        <v>0</v>
      </c>
      <c r="BI22" s="704">
        <f t="shared" si="4"/>
        <v>0</v>
      </c>
    </row>
    <row r="23" spans="3:61" s="28" customFormat="1" ht="20.100000000000001" customHeight="1">
      <c r="C23" s="1885"/>
      <c r="D23" s="1017"/>
      <c r="E23" s="1017"/>
      <c r="F23" s="1018"/>
      <c r="H23" s="1889"/>
      <c r="I23" s="33" t="s">
        <v>19</v>
      </c>
      <c r="J23" s="462"/>
      <c r="K23" s="463"/>
      <c r="L23" s="463"/>
      <c r="M23" s="692"/>
      <c r="N23" s="462"/>
      <c r="O23" s="463"/>
      <c r="P23" s="463"/>
      <c r="Q23" s="692"/>
      <c r="R23" s="462"/>
      <c r="S23" s="463"/>
      <c r="T23" s="463"/>
      <c r="U23" s="692"/>
      <c r="V23" s="462"/>
      <c r="W23" s="463"/>
      <c r="X23" s="463"/>
      <c r="Y23" s="692"/>
      <c r="Z23" s="462"/>
      <c r="AA23" s="463"/>
      <c r="AB23" s="463"/>
      <c r="AC23" s="692"/>
      <c r="AD23" s="462"/>
      <c r="AE23" s="463"/>
      <c r="AF23" s="463"/>
      <c r="AG23" s="692"/>
      <c r="AH23" s="128">
        <f t="shared" si="5"/>
        <v>0</v>
      </c>
      <c r="AI23" s="273">
        <f t="shared" si="5"/>
        <v>0</v>
      </c>
      <c r="AJ23" s="273">
        <f t="shared" si="5"/>
        <v>0</v>
      </c>
      <c r="AK23" s="694">
        <f t="shared" si="5"/>
        <v>0</v>
      </c>
      <c r="AL23" s="462"/>
      <c r="AM23" s="463"/>
      <c r="AN23" s="463"/>
      <c r="AO23" s="692"/>
      <c r="AP23" s="462"/>
      <c r="AQ23" s="463"/>
      <c r="AR23" s="463"/>
      <c r="AS23" s="692"/>
      <c r="AT23" s="462"/>
      <c r="AU23" s="463"/>
      <c r="AV23" s="463"/>
      <c r="AW23" s="692"/>
      <c r="AX23" s="462"/>
      <c r="AY23" s="463"/>
      <c r="AZ23" s="463"/>
      <c r="BA23" s="692"/>
      <c r="BB23" s="128">
        <f t="shared" si="6"/>
        <v>0</v>
      </c>
      <c r="BC23" s="273">
        <f t="shared" si="6"/>
        <v>0</v>
      </c>
      <c r="BD23" s="273">
        <f t="shared" si="6"/>
        <v>0</v>
      </c>
      <c r="BE23" s="273">
        <f t="shared" si="6"/>
        <v>0</v>
      </c>
      <c r="BF23" s="276">
        <f t="shared" si="4"/>
        <v>0</v>
      </c>
      <c r="BG23" s="277">
        <f t="shared" si="4"/>
        <v>0</v>
      </c>
      <c r="BH23" s="277">
        <f t="shared" si="4"/>
        <v>0</v>
      </c>
      <c r="BI23" s="704">
        <f t="shared" si="4"/>
        <v>0</v>
      </c>
    </row>
    <row r="24" spans="3:61" s="28" customFormat="1" ht="20.100000000000001" customHeight="1" thickBot="1">
      <c r="C24" s="1885"/>
      <c r="D24" s="1017"/>
      <c r="E24" s="1017"/>
      <c r="F24" s="1018"/>
      <c r="H24" s="1865" t="s">
        <v>116</v>
      </c>
      <c r="I24" s="1866"/>
      <c r="J24" s="118">
        <f t="shared" ref="J24:BI24" si="7">SUM(J15:J23)</f>
        <v>0</v>
      </c>
      <c r="K24" s="272">
        <f t="shared" si="7"/>
        <v>0</v>
      </c>
      <c r="L24" s="272">
        <f>SUM(L15:L23)</f>
        <v>0</v>
      </c>
      <c r="M24" s="272">
        <f>SUM(M15:M23)</f>
        <v>0</v>
      </c>
      <c r="N24" s="118">
        <f t="shared" ref="N24:AI24" si="8">SUM(N15:N23)</f>
        <v>0</v>
      </c>
      <c r="O24" s="272">
        <f t="shared" si="8"/>
        <v>0</v>
      </c>
      <c r="P24" s="272">
        <f t="shared" si="8"/>
        <v>0</v>
      </c>
      <c r="Q24" s="272">
        <f t="shared" si="8"/>
        <v>0</v>
      </c>
      <c r="R24" s="118">
        <f t="shared" si="8"/>
        <v>0</v>
      </c>
      <c r="S24" s="272">
        <f t="shared" si="8"/>
        <v>0</v>
      </c>
      <c r="T24" s="272">
        <f t="shared" si="8"/>
        <v>0</v>
      </c>
      <c r="U24" s="272">
        <f t="shared" si="8"/>
        <v>0</v>
      </c>
      <c r="V24" s="118">
        <f t="shared" si="8"/>
        <v>0</v>
      </c>
      <c r="W24" s="272">
        <f t="shared" si="8"/>
        <v>0</v>
      </c>
      <c r="X24" s="272">
        <f t="shared" si="8"/>
        <v>0</v>
      </c>
      <c r="Y24" s="272">
        <f t="shared" si="8"/>
        <v>0</v>
      </c>
      <c r="Z24" s="118">
        <f t="shared" si="8"/>
        <v>0</v>
      </c>
      <c r="AA24" s="272">
        <f t="shared" si="8"/>
        <v>0</v>
      </c>
      <c r="AB24" s="272">
        <f t="shared" si="8"/>
        <v>0</v>
      </c>
      <c r="AC24" s="272">
        <f t="shared" si="8"/>
        <v>0</v>
      </c>
      <c r="AD24" s="118">
        <f t="shared" si="8"/>
        <v>0</v>
      </c>
      <c r="AE24" s="272">
        <f t="shared" si="8"/>
        <v>0</v>
      </c>
      <c r="AF24" s="272">
        <f t="shared" si="8"/>
        <v>0</v>
      </c>
      <c r="AG24" s="272">
        <f t="shared" si="8"/>
        <v>0</v>
      </c>
      <c r="AH24" s="118">
        <f t="shared" si="8"/>
        <v>0</v>
      </c>
      <c r="AI24" s="272">
        <f t="shared" si="8"/>
        <v>0</v>
      </c>
      <c r="AJ24" s="272">
        <f>SUM(AJ15:AJ23)</f>
        <v>0</v>
      </c>
      <c r="AK24" s="695">
        <f>SUM(AK15:AK23)</f>
        <v>0</v>
      </c>
      <c r="AL24" s="118">
        <f t="shared" ref="AL24:BC24" si="9">SUM(AL15:AL23)</f>
        <v>0</v>
      </c>
      <c r="AM24" s="272">
        <f t="shared" si="9"/>
        <v>0</v>
      </c>
      <c r="AN24" s="272">
        <f t="shared" si="9"/>
        <v>0</v>
      </c>
      <c r="AO24" s="272">
        <f t="shared" si="9"/>
        <v>0</v>
      </c>
      <c r="AP24" s="118">
        <f t="shared" si="9"/>
        <v>0</v>
      </c>
      <c r="AQ24" s="272">
        <f t="shared" si="9"/>
        <v>0</v>
      </c>
      <c r="AR24" s="272">
        <f t="shared" si="9"/>
        <v>0</v>
      </c>
      <c r="AS24" s="272">
        <f t="shared" si="9"/>
        <v>0</v>
      </c>
      <c r="AT24" s="118">
        <f t="shared" si="9"/>
        <v>0</v>
      </c>
      <c r="AU24" s="272">
        <f t="shared" si="9"/>
        <v>0</v>
      </c>
      <c r="AV24" s="272">
        <f t="shared" si="9"/>
        <v>0</v>
      </c>
      <c r="AW24" s="272">
        <f t="shared" si="9"/>
        <v>0</v>
      </c>
      <c r="AX24" s="118">
        <f t="shared" si="9"/>
        <v>0</v>
      </c>
      <c r="AY24" s="272">
        <f t="shared" si="9"/>
        <v>0</v>
      </c>
      <c r="AZ24" s="272">
        <f t="shared" si="9"/>
        <v>0</v>
      </c>
      <c r="BA24" s="272">
        <f t="shared" si="9"/>
        <v>0</v>
      </c>
      <c r="BB24" s="118">
        <f t="shared" si="9"/>
        <v>0</v>
      </c>
      <c r="BC24" s="272">
        <f t="shared" si="9"/>
        <v>0</v>
      </c>
      <c r="BD24" s="272">
        <f>SUM(BD15:BD23)</f>
        <v>0</v>
      </c>
      <c r="BE24" s="272">
        <f>SUM(BE15:BE23)</f>
        <v>0</v>
      </c>
      <c r="BF24" s="278">
        <f t="shared" si="7"/>
        <v>0</v>
      </c>
      <c r="BG24" s="279">
        <f t="shared" si="7"/>
        <v>0</v>
      </c>
      <c r="BH24" s="279">
        <f t="shared" si="7"/>
        <v>0</v>
      </c>
      <c r="BI24" s="705">
        <f t="shared" si="7"/>
        <v>0</v>
      </c>
    </row>
    <row r="25" spans="3:61" s="119" customFormat="1" ht="9" customHeight="1" thickBot="1">
      <c r="C25" s="121"/>
      <c r="D25" s="121"/>
      <c r="E25" s="121"/>
      <c r="F25" s="121"/>
      <c r="H25" s="122"/>
      <c r="I25" s="122"/>
      <c r="J25" s="125"/>
      <c r="K25" s="126"/>
      <c r="L25" s="126"/>
      <c r="M25" s="126"/>
      <c r="N25" s="125"/>
      <c r="O25" s="126"/>
      <c r="P25" s="126"/>
      <c r="Q25" s="126"/>
      <c r="R25" s="125"/>
      <c r="S25" s="126"/>
      <c r="T25" s="126"/>
      <c r="U25" s="126"/>
      <c r="V25" s="125"/>
      <c r="W25" s="126"/>
      <c r="X25" s="126"/>
      <c r="Y25" s="126"/>
      <c r="Z25" s="125"/>
      <c r="AA25" s="126"/>
      <c r="AB25" s="126"/>
      <c r="AC25" s="126"/>
      <c r="AD25" s="125"/>
      <c r="AE25" s="126"/>
      <c r="AF25" s="126"/>
      <c r="AG25" s="126"/>
      <c r="AH25" s="125"/>
      <c r="AI25" s="126"/>
      <c r="AJ25" s="126"/>
      <c r="AK25" s="126"/>
      <c r="AL25" s="125"/>
      <c r="AM25" s="126"/>
      <c r="AN25" s="126"/>
      <c r="AO25" s="126"/>
      <c r="AP25" s="125"/>
      <c r="AQ25" s="126"/>
      <c r="AR25" s="126"/>
      <c r="AS25" s="126"/>
      <c r="AT25" s="125"/>
      <c r="AU25" s="126"/>
      <c r="AV25" s="126"/>
      <c r="AW25" s="126"/>
      <c r="AX25" s="125"/>
      <c r="AY25" s="126"/>
      <c r="AZ25" s="126"/>
      <c r="BA25" s="126"/>
      <c r="BB25" s="125"/>
      <c r="BC25" s="126"/>
      <c r="BD25" s="126"/>
      <c r="BE25" s="126"/>
      <c r="BF25" s="125"/>
      <c r="BG25" s="126"/>
    </row>
    <row r="26" spans="3:61" s="28" customFormat="1" ht="26.25" customHeight="1" thickBot="1">
      <c r="D26" s="29"/>
      <c r="E26" s="29"/>
      <c r="F26" s="29"/>
      <c r="H26" s="1893" t="s">
        <v>49</v>
      </c>
      <c r="I26" s="1894"/>
      <c r="J26" s="123">
        <f t="shared" ref="J26:BI26" si="10">J10+J24</f>
        <v>0</v>
      </c>
      <c r="K26" s="280">
        <f t="shared" si="10"/>
        <v>0</v>
      </c>
      <c r="L26" s="280">
        <f>L10+L24</f>
        <v>0</v>
      </c>
      <c r="M26" s="280">
        <f>M10+M24</f>
        <v>0</v>
      </c>
      <c r="N26" s="123">
        <f t="shared" ref="N26:O26" si="11">N10+N24</f>
        <v>0</v>
      </c>
      <c r="O26" s="280">
        <f t="shared" si="11"/>
        <v>0</v>
      </c>
      <c r="P26" s="280">
        <f>P10+P24</f>
        <v>0</v>
      </c>
      <c r="Q26" s="280">
        <f>Q10+Q24</f>
        <v>0</v>
      </c>
      <c r="R26" s="123">
        <f t="shared" ref="R26:S26" si="12">R10+R24</f>
        <v>0</v>
      </c>
      <c r="S26" s="280">
        <f t="shared" si="12"/>
        <v>0</v>
      </c>
      <c r="T26" s="280">
        <f>T10+T24</f>
        <v>0</v>
      </c>
      <c r="U26" s="280">
        <f>U10+U24</f>
        <v>0</v>
      </c>
      <c r="V26" s="123">
        <f t="shared" ref="V26:W26" si="13">V10+V24</f>
        <v>0</v>
      </c>
      <c r="W26" s="280">
        <f t="shared" si="13"/>
        <v>0</v>
      </c>
      <c r="X26" s="280">
        <f>X10+X24</f>
        <v>0</v>
      </c>
      <c r="Y26" s="280">
        <f>Y10+Y24</f>
        <v>0</v>
      </c>
      <c r="Z26" s="123">
        <f t="shared" ref="Z26:AA26" si="14">Z10+Z24</f>
        <v>0</v>
      </c>
      <c r="AA26" s="280">
        <f t="shared" si="14"/>
        <v>0</v>
      </c>
      <c r="AB26" s="280">
        <f>AB10+AB24</f>
        <v>0</v>
      </c>
      <c r="AC26" s="280">
        <f>AC10+AC24</f>
        <v>0</v>
      </c>
      <c r="AD26" s="123">
        <f t="shared" ref="AD26:AE26" si="15">AD10+AD24</f>
        <v>0</v>
      </c>
      <c r="AE26" s="280">
        <f t="shared" si="15"/>
        <v>0</v>
      </c>
      <c r="AF26" s="280">
        <f>AF10+AF24</f>
        <v>0</v>
      </c>
      <c r="AG26" s="280">
        <f>AG10+AG24</f>
        <v>0</v>
      </c>
      <c r="AH26" s="127">
        <f t="shared" ref="AH26:AI26" si="16">AH10+AH24</f>
        <v>0</v>
      </c>
      <c r="AI26" s="280">
        <f t="shared" si="16"/>
        <v>0</v>
      </c>
      <c r="AJ26" s="697">
        <f>AJ10+AJ24</f>
        <v>0</v>
      </c>
      <c r="AK26" s="696">
        <f>AK10+AK24</f>
        <v>0</v>
      </c>
      <c r="AL26" s="123">
        <f t="shared" ref="AL26:AM26" si="17">AL10+AL24</f>
        <v>0</v>
      </c>
      <c r="AM26" s="280">
        <f t="shared" si="17"/>
        <v>0</v>
      </c>
      <c r="AN26" s="280">
        <f>AN10+AN24</f>
        <v>0</v>
      </c>
      <c r="AO26" s="280">
        <f>AO10+AO24</f>
        <v>0</v>
      </c>
      <c r="AP26" s="123">
        <f t="shared" ref="AP26:AQ26" si="18">AP10+AP24</f>
        <v>0</v>
      </c>
      <c r="AQ26" s="280">
        <f t="shared" si="18"/>
        <v>0</v>
      </c>
      <c r="AR26" s="280">
        <f>AR10+AR24</f>
        <v>0</v>
      </c>
      <c r="AS26" s="280">
        <f>AS10+AS24</f>
        <v>0</v>
      </c>
      <c r="AT26" s="123">
        <f t="shared" ref="AT26:AU26" si="19">AT10+AT24</f>
        <v>0</v>
      </c>
      <c r="AU26" s="280">
        <f t="shared" si="19"/>
        <v>0</v>
      </c>
      <c r="AV26" s="280">
        <f>AV10+AV24</f>
        <v>0</v>
      </c>
      <c r="AW26" s="280">
        <f>AW10+AW24</f>
        <v>0</v>
      </c>
      <c r="AX26" s="123">
        <f t="shared" ref="AX26:AY26" si="20">AX10+AX24</f>
        <v>0</v>
      </c>
      <c r="AY26" s="280">
        <f t="shared" si="20"/>
        <v>0</v>
      </c>
      <c r="AZ26" s="280">
        <f>AZ10+AZ24</f>
        <v>0</v>
      </c>
      <c r="BA26" s="280">
        <f>BA10+BA24</f>
        <v>0</v>
      </c>
      <c r="BB26" s="127">
        <f t="shared" ref="BB26:BC26" si="21">BB10+BB24</f>
        <v>0</v>
      </c>
      <c r="BC26" s="280">
        <f t="shared" si="21"/>
        <v>0</v>
      </c>
      <c r="BD26" s="697">
        <f>BD10+BD24</f>
        <v>0</v>
      </c>
      <c r="BE26" s="697">
        <f>BE10+BE24</f>
        <v>0</v>
      </c>
      <c r="BF26" s="124">
        <f>BF10+BF24</f>
        <v>0</v>
      </c>
      <c r="BG26" s="707">
        <f t="shared" si="10"/>
        <v>0</v>
      </c>
      <c r="BH26" s="706">
        <f t="shared" si="10"/>
        <v>0</v>
      </c>
      <c r="BI26" s="284">
        <f t="shared" si="10"/>
        <v>0</v>
      </c>
    </row>
    <row r="27" spans="3:61" ht="21" customHeight="1">
      <c r="H27" s="320"/>
      <c r="I27" s="320"/>
      <c r="J27" s="321"/>
      <c r="K27" s="321"/>
      <c r="L27" s="321"/>
      <c r="M27" s="321"/>
      <c r="N27" s="321"/>
      <c r="O27" s="321"/>
      <c r="P27" s="321"/>
      <c r="Q27" s="321"/>
      <c r="R27" s="321"/>
      <c r="S27" s="321"/>
      <c r="T27" s="321"/>
      <c r="U27" s="321"/>
      <c r="V27" s="321"/>
      <c r="W27" s="321"/>
      <c r="X27" s="323"/>
      <c r="Y27" s="323"/>
      <c r="Z27" s="321"/>
      <c r="AA27" s="321"/>
      <c r="AB27" s="323"/>
      <c r="AC27" s="323"/>
      <c r="AD27" s="321"/>
      <c r="AE27" s="321"/>
      <c r="AF27" s="321"/>
      <c r="AG27" s="321"/>
      <c r="AH27" s="321"/>
      <c r="AI27" s="321"/>
      <c r="AJ27" s="321"/>
      <c r="AK27" s="321"/>
      <c r="AL27" s="321"/>
      <c r="AM27" s="321"/>
      <c r="AN27" s="321"/>
      <c r="AO27" s="321"/>
      <c r="AP27" s="321"/>
      <c r="AQ27" s="321"/>
      <c r="AR27" s="321"/>
      <c r="AS27" s="321"/>
      <c r="AT27" s="321"/>
      <c r="AU27" s="321"/>
      <c r="AV27" s="321"/>
      <c r="AW27" s="321"/>
      <c r="AX27" s="321"/>
      <c r="AY27" s="321"/>
      <c r="AZ27" s="321"/>
      <c r="BA27" s="321"/>
      <c r="BB27" s="335"/>
      <c r="BC27" s="1918">
        <f>SUM(I27:AZ29)</f>
        <v>0</v>
      </c>
      <c r="BD27" s="335"/>
      <c r="BE27" s="335"/>
      <c r="BF27" s="335"/>
      <c r="BG27" s="335"/>
      <c r="BH27" s="1917">
        <f>BH26+BI26</f>
        <v>0</v>
      </c>
      <c r="BI27" s="1917"/>
    </row>
    <row r="28" spans="3:61" ht="21" customHeight="1">
      <c r="H28" s="320"/>
      <c r="I28" s="320"/>
      <c r="J28" s="322"/>
      <c r="K28" s="323"/>
      <c r="L28" s="323"/>
      <c r="M28" s="323"/>
      <c r="N28" s="322"/>
      <c r="O28" s="323"/>
      <c r="P28" s="323"/>
      <c r="Q28" s="323"/>
      <c r="R28" s="322"/>
      <c r="S28" s="323"/>
      <c r="T28" s="323"/>
      <c r="U28" s="323"/>
      <c r="V28" s="321"/>
      <c r="W28" s="323"/>
      <c r="X28" s="323"/>
      <c r="Y28" s="323"/>
      <c r="Z28" s="322"/>
      <c r="AA28" s="323"/>
      <c r="AB28" s="323"/>
      <c r="AC28" s="323"/>
      <c r="AD28" s="322"/>
      <c r="AE28" s="323"/>
      <c r="AF28" s="323"/>
      <c r="AG28" s="322"/>
      <c r="AH28" s="322"/>
      <c r="AI28" s="323"/>
      <c r="AJ28" s="323"/>
      <c r="AK28" s="323"/>
      <c r="AL28" s="321"/>
      <c r="AM28" s="323"/>
      <c r="AN28" s="622"/>
      <c r="AO28" s="622"/>
      <c r="AP28" s="321"/>
      <c r="AQ28" s="323"/>
      <c r="AR28" s="323"/>
      <c r="AS28" s="323"/>
      <c r="AT28" s="322"/>
      <c r="AU28" s="323"/>
      <c r="AV28" s="323"/>
      <c r="AW28" s="323"/>
      <c r="AX28" s="322"/>
      <c r="AY28" s="468"/>
      <c r="AZ28" s="468"/>
      <c r="BA28" s="468"/>
      <c r="BB28" s="392"/>
      <c r="BC28" s="1919"/>
      <c r="BD28" s="434"/>
      <c r="BE28" s="434"/>
      <c r="BF28" s="435"/>
      <c r="BG28" s="434"/>
      <c r="BH28" s="726"/>
      <c r="BI28" s="434"/>
    </row>
    <row r="29" spans="3:61" ht="23.25">
      <c r="H29" s="320"/>
      <c r="I29" s="320"/>
      <c r="J29" s="322"/>
      <c r="K29" s="323"/>
      <c r="L29" s="323"/>
      <c r="M29" s="323"/>
      <c r="N29" s="322"/>
      <c r="O29" s="323"/>
      <c r="P29" s="323"/>
      <c r="Q29" s="323"/>
      <c r="R29" s="322"/>
      <c r="S29" s="323"/>
      <c r="T29" s="323"/>
      <c r="U29" s="323"/>
      <c r="V29" s="322"/>
      <c r="W29" s="323"/>
      <c r="X29" s="323"/>
      <c r="Y29" s="323"/>
      <c r="Z29" s="322"/>
      <c r="AA29" s="323"/>
      <c r="AB29" s="323"/>
      <c r="AC29" s="323"/>
      <c r="AD29" s="322"/>
      <c r="AE29" s="323"/>
      <c r="AF29" s="688"/>
      <c r="AG29" s="688"/>
      <c r="AH29" s="322"/>
      <c r="AI29" s="322"/>
      <c r="AJ29" s="323"/>
      <c r="AK29" s="323"/>
      <c r="AL29" s="321"/>
      <c r="AM29" s="323"/>
      <c r="AN29" s="321"/>
      <c r="AO29" s="321"/>
      <c r="AP29" s="322"/>
      <c r="AQ29" s="323"/>
      <c r="AR29" s="323"/>
      <c r="AS29" s="323"/>
      <c r="AT29" s="322"/>
      <c r="AU29" s="323"/>
      <c r="AV29" s="323"/>
      <c r="AW29" s="323"/>
      <c r="AX29" s="322"/>
      <c r="AY29" s="468"/>
      <c r="AZ29" s="468"/>
      <c r="BA29" s="468"/>
      <c r="BB29" s="392"/>
      <c r="BC29" s="434"/>
      <c r="BD29" s="434"/>
      <c r="BE29" s="434"/>
      <c r="BF29" s="435"/>
      <c r="BG29" s="434"/>
      <c r="BH29" s="682"/>
      <c r="BI29" s="434"/>
    </row>
    <row r="30" spans="3:61" s="464" customFormat="1" ht="21.75" thickBot="1">
      <c r="D30" s="576"/>
      <c r="E30" s="576"/>
      <c r="F30" s="576"/>
      <c r="I30" s="577"/>
      <c r="J30" s="578"/>
      <c r="K30" s="579"/>
      <c r="L30" s="579"/>
      <c r="M30" s="579"/>
      <c r="N30" s="578"/>
      <c r="O30" s="579"/>
      <c r="P30" s="579"/>
      <c r="Q30" s="579"/>
      <c r="R30" s="578"/>
      <c r="S30" s="579"/>
      <c r="T30" s="579"/>
      <c r="U30" s="579"/>
      <c r="V30" s="578"/>
      <c r="W30" s="578"/>
      <c r="X30" s="579"/>
      <c r="Y30" s="579"/>
      <c r="Z30" s="579"/>
      <c r="AA30" s="578"/>
      <c r="AB30" s="579"/>
      <c r="AC30" s="579"/>
      <c r="AD30" s="579"/>
      <c r="AE30" s="578"/>
      <c r="AF30" s="579"/>
      <c r="AG30" s="579"/>
      <c r="AH30" s="621"/>
      <c r="AI30" s="578"/>
      <c r="AJ30" s="579"/>
      <c r="AK30" s="579"/>
      <c r="AM30" s="580"/>
      <c r="AN30" s="579"/>
      <c r="AO30" s="579"/>
      <c r="AP30" s="579"/>
      <c r="AQ30" s="578"/>
      <c r="AR30" s="579"/>
      <c r="AS30" s="579"/>
      <c r="AT30" s="579"/>
      <c r="AU30" s="578"/>
      <c r="AV30" s="579"/>
      <c r="AW30" s="579"/>
      <c r="AZ30" s="581"/>
      <c r="BA30" s="581"/>
      <c r="BB30" s="581"/>
      <c r="BC30" s="582"/>
      <c r="BD30" s="583"/>
      <c r="BE30" s="583"/>
      <c r="BF30" s="583"/>
      <c r="BG30" s="584"/>
      <c r="BH30" s="1053"/>
      <c r="BI30" s="585"/>
    </row>
    <row r="31" spans="3:61" ht="35.25" customHeight="1" thickBot="1">
      <c r="L31" s="1951" t="s">
        <v>354</v>
      </c>
      <c r="M31" s="1952"/>
      <c r="N31" s="1952"/>
      <c r="O31" s="1952"/>
      <c r="P31" s="1952"/>
      <c r="Q31" s="1952"/>
      <c r="R31" s="1952"/>
      <c r="S31" s="1953"/>
      <c r="T31" s="579"/>
      <c r="U31" s="579"/>
      <c r="V31" s="1929" t="s">
        <v>204</v>
      </c>
      <c r="W31" s="1930"/>
      <c r="X31" s="1930"/>
      <c r="Y31" s="1930"/>
      <c r="Z31" s="1930"/>
      <c r="AA31" s="1930"/>
      <c r="AB31" s="1930"/>
      <c r="AC31" s="1935"/>
      <c r="AD31" s="1936"/>
      <c r="AE31" s="579"/>
      <c r="AF31" s="579"/>
      <c r="AG31" s="26"/>
      <c r="AH31" s="621"/>
      <c r="AI31" s="578"/>
      <c r="AJ31" s="579"/>
      <c r="AK31" s="579"/>
      <c r="AL31" s="24"/>
      <c r="AM31" s="599"/>
      <c r="AN31" s="1014"/>
      <c r="AP31" s="24"/>
      <c r="AS31" s="26"/>
      <c r="AT31" s="24"/>
      <c r="AX31" s="24"/>
      <c r="AY31" s="25"/>
      <c r="AZ31" s="25"/>
      <c r="BA31" s="24"/>
      <c r="BB31" s="24"/>
      <c r="BE31" s="23"/>
      <c r="BF31" s="23"/>
      <c r="BG31" s="23"/>
    </row>
    <row r="32" spans="3:61" s="24" customFormat="1" ht="28.5" customHeight="1" thickBot="1">
      <c r="C32" s="23"/>
      <c r="D32" s="27"/>
      <c r="E32" s="27"/>
      <c r="F32" s="27"/>
      <c r="G32" s="23"/>
      <c r="H32" s="23"/>
      <c r="I32" s="27"/>
      <c r="L32" s="450" t="s">
        <v>0</v>
      </c>
      <c r="M32" s="439" t="s">
        <v>200</v>
      </c>
      <c r="N32" s="454" t="s">
        <v>205</v>
      </c>
      <c r="O32" s="439" t="s">
        <v>31</v>
      </c>
      <c r="P32" s="448" t="s">
        <v>201</v>
      </c>
      <c r="Q32" s="455" t="s">
        <v>206</v>
      </c>
      <c r="R32" s="436" t="s">
        <v>22</v>
      </c>
      <c r="S32" s="438" t="s">
        <v>191</v>
      </c>
      <c r="T32" s="579"/>
      <c r="U32" s="579"/>
      <c r="V32" s="571" t="s">
        <v>0</v>
      </c>
      <c r="W32" s="572" t="s">
        <v>200</v>
      </c>
      <c r="X32" s="623" t="s">
        <v>205</v>
      </c>
      <c r="Y32" s="572" t="s">
        <v>31</v>
      </c>
      <c r="Z32" s="573" t="s">
        <v>201</v>
      </c>
      <c r="AA32" s="574" t="s">
        <v>206</v>
      </c>
      <c r="AB32" s="717" t="s">
        <v>22</v>
      </c>
      <c r="AC32" s="721" t="s">
        <v>191</v>
      </c>
      <c r="AD32" s="722" t="s">
        <v>226</v>
      </c>
      <c r="AE32" s="579"/>
      <c r="AF32" s="579"/>
      <c r="AG32" s="599"/>
      <c r="AH32" s="621"/>
      <c r="AI32" s="578"/>
      <c r="AJ32" s="579"/>
      <c r="AK32" s="579"/>
      <c r="AT32" s="25"/>
      <c r="AU32" s="25"/>
      <c r="AW32" s="23"/>
      <c r="AX32" s="23"/>
    </row>
    <row r="33" spans="1:59" ht="23.25">
      <c r="L33" s="441" t="s">
        <v>189</v>
      </c>
      <c r="M33" s="470">
        <f>$J$6</f>
        <v>0</v>
      </c>
      <c r="N33" s="430">
        <f>$J9</f>
        <v>0</v>
      </c>
      <c r="O33" s="430">
        <f>$J7</f>
        <v>0</v>
      </c>
      <c r="P33" s="430">
        <f>$J8</f>
        <v>0</v>
      </c>
      <c r="Q33" s="430">
        <f>J15+J16+J17+J18+J19+J21+J22+J23</f>
        <v>0</v>
      </c>
      <c r="R33" s="430">
        <f>$J20</f>
        <v>0</v>
      </c>
      <c r="S33" s="446">
        <f t="shared" ref="S33:S42" si="22">SUM(M33:R33)</f>
        <v>0</v>
      </c>
      <c r="T33" s="579"/>
      <c r="U33" s="579"/>
      <c r="V33" s="447" t="s">
        <v>189</v>
      </c>
      <c r="W33" s="569">
        <f>L$6</f>
        <v>0</v>
      </c>
      <c r="X33" s="570">
        <f>$L9</f>
        <v>0</v>
      </c>
      <c r="Y33" s="570">
        <f>$L7</f>
        <v>0</v>
      </c>
      <c r="Z33" s="570">
        <f>$L8</f>
        <v>0</v>
      </c>
      <c r="AA33" s="570">
        <f>L$15+L$16+L$17+L$18+L$19+L$21+L$22+L$23</f>
        <v>0</v>
      </c>
      <c r="AB33" s="718">
        <f>$L20</f>
        <v>0</v>
      </c>
      <c r="AC33" s="723">
        <f t="shared" ref="AC33:AC42" si="23">SUM(W33:AB33)</f>
        <v>0</v>
      </c>
      <c r="AD33" s="587">
        <f>M6+M7+M8++M9+M15+M16+M17+M18+M19+M21+M20+M22+M23</f>
        <v>0</v>
      </c>
      <c r="AE33" s="579">
        <f>AC33+AD33</f>
        <v>0</v>
      </c>
      <c r="AF33" s="579"/>
      <c r="AG33" s="599"/>
      <c r="AH33" s="621"/>
      <c r="AI33" s="578"/>
      <c r="AJ33" s="579"/>
      <c r="AK33" s="579"/>
      <c r="AL33" s="24"/>
      <c r="AN33" s="26"/>
      <c r="AP33" s="24"/>
      <c r="AT33" s="25"/>
      <c r="AU33" s="25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</row>
    <row r="34" spans="1:59" s="24" customFormat="1" ht="23.25">
      <c r="A34" s="23"/>
      <c r="B34" s="23"/>
      <c r="C34" s="23"/>
      <c r="D34" s="27"/>
      <c r="E34" s="27"/>
      <c r="F34" s="27"/>
      <c r="G34" s="23"/>
      <c r="H34" s="23"/>
      <c r="I34" s="27"/>
      <c r="L34" s="441" t="s">
        <v>183</v>
      </c>
      <c r="M34" s="470">
        <f>$N$6</f>
        <v>0</v>
      </c>
      <c r="N34" s="430">
        <f>$N9</f>
        <v>0</v>
      </c>
      <c r="O34" s="430">
        <f>$N7</f>
        <v>0</v>
      </c>
      <c r="P34" s="430">
        <f>$N8</f>
        <v>0</v>
      </c>
      <c r="Q34" s="430">
        <f>N15+N16+N17+N18+N19+N21+N22+N23</f>
        <v>0</v>
      </c>
      <c r="R34" s="430">
        <f>$N20</f>
        <v>0</v>
      </c>
      <c r="S34" s="446">
        <f t="shared" si="22"/>
        <v>0</v>
      </c>
      <c r="T34" s="686"/>
      <c r="U34" s="26"/>
      <c r="V34" s="441" t="s">
        <v>183</v>
      </c>
      <c r="W34" s="440">
        <f>P$6</f>
        <v>0</v>
      </c>
      <c r="X34" s="430">
        <f>$P9</f>
        <v>0</v>
      </c>
      <c r="Y34" s="430">
        <f>$P7</f>
        <v>0</v>
      </c>
      <c r="Z34" s="430">
        <f>$P8</f>
        <v>0</v>
      </c>
      <c r="AA34" s="430">
        <f>P$15+P$16+P$17+P$18+P$19+P$21+P$22+P$23</f>
        <v>0</v>
      </c>
      <c r="AB34" s="719">
        <f>$P20</f>
        <v>0</v>
      </c>
      <c r="AC34" s="723">
        <f t="shared" si="23"/>
        <v>0</v>
      </c>
      <c r="AD34" s="587">
        <f>Q6+Q7+Q8+Q9+Q15+Q16+Q17+Q18+Q19+Q20+Q21+Q22+Q23</f>
        <v>0</v>
      </c>
      <c r="AE34" s="579">
        <f t="shared" ref="AE34:AE43" si="24">AC34+AD34</f>
        <v>0</v>
      </c>
      <c r="AG34" s="599"/>
      <c r="AH34" s="599"/>
      <c r="AI34" s="599"/>
      <c r="AN34" s="26"/>
      <c r="AT34" s="25"/>
      <c r="AU34" s="25"/>
    </row>
    <row r="35" spans="1:59" ht="23.25">
      <c r="L35" s="441" t="s">
        <v>184</v>
      </c>
      <c r="M35" s="470">
        <f>$R$6</f>
        <v>0</v>
      </c>
      <c r="N35" s="430">
        <f>$R9</f>
        <v>0</v>
      </c>
      <c r="O35" s="430">
        <f>$R7</f>
        <v>0</v>
      </c>
      <c r="P35" s="430">
        <f>$R8</f>
        <v>0</v>
      </c>
      <c r="Q35" s="430">
        <f>R15+R16+R17+R18+R19+R21+R22+R23</f>
        <v>0</v>
      </c>
      <c r="R35" s="430">
        <f>$R20</f>
        <v>0</v>
      </c>
      <c r="S35" s="446">
        <f t="shared" si="22"/>
        <v>0</v>
      </c>
      <c r="T35" s="686"/>
      <c r="U35" s="26"/>
      <c r="V35" s="441" t="s">
        <v>184</v>
      </c>
      <c r="W35" s="440">
        <f>T$6</f>
        <v>0</v>
      </c>
      <c r="X35" s="430">
        <f>$T9</f>
        <v>0</v>
      </c>
      <c r="Y35" s="430">
        <f>$T7</f>
        <v>0</v>
      </c>
      <c r="Z35" s="430">
        <f>$T8</f>
        <v>0</v>
      </c>
      <c r="AA35" s="430">
        <f>T$15+T$16+T$17+T$18+T$19+T$21+T$22+T$23</f>
        <v>0</v>
      </c>
      <c r="AB35" s="719">
        <f>$T20</f>
        <v>0</v>
      </c>
      <c r="AC35" s="723">
        <f t="shared" si="23"/>
        <v>0</v>
      </c>
      <c r="AD35" s="587">
        <f>U6+U7+U8+U9+U15+U16+U17+U18+U19+U20+U21+U22+U23</f>
        <v>0</v>
      </c>
      <c r="AE35" s="579">
        <f t="shared" si="24"/>
        <v>0</v>
      </c>
      <c r="AF35" s="26"/>
      <c r="AG35" s="599"/>
      <c r="AH35" s="599"/>
      <c r="AI35" s="599"/>
      <c r="AL35" s="24"/>
      <c r="AN35" s="26"/>
      <c r="AP35" s="24"/>
      <c r="AT35" s="25"/>
      <c r="AU35" s="25"/>
      <c r="AX35" s="23"/>
      <c r="AY35" s="23"/>
      <c r="AZ35" s="23"/>
      <c r="BA35" s="23"/>
      <c r="BB35" s="23"/>
      <c r="BC35" s="23"/>
      <c r="BD35" s="23"/>
      <c r="BE35" s="23"/>
      <c r="BF35" s="23"/>
      <c r="BG35" s="23"/>
    </row>
    <row r="36" spans="1:59" ht="23.25">
      <c r="L36" s="441" t="s">
        <v>192</v>
      </c>
      <c r="M36" s="470">
        <f>$V$6</f>
        <v>0</v>
      </c>
      <c r="N36" s="430">
        <f>$V9</f>
        <v>0</v>
      </c>
      <c r="O36" s="430">
        <f>$V7</f>
        <v>0</v>
      </c>
      <c r="P36" s="430">
        <f>$V8</f>
        <v>0</v>
      </c>
      <c r="Q36" s="430">
        <f>V15+V16+V17+V18+V19+V21++V22+V23</f>
        <v>0</v>
      </c>
      <c r="R36" s="430">
        <f>$V20</f>
        <v>0</v>
      </c>
      <c r="S36" s="446">
        <f t="shared" si="22"/>
        <v>0</v>
      </c>
      <c r="T36" s="686"/>
      <c r="U36" s="26"/>
      <c r="V36" s="441" t="s">
        <v>192</v>
      </c>
      <c r="W36" s="440">
        <f>X$6</f>
        <v>0</v>
      </c>
      <c r="X36" s="430">
        <f>$X9</f>
        <v>0</v>
      </c>
      <c r="Y36" s="430">
        <f>$X7</f>
        <v>0</v>
      </c>
      <c r="Z36" s="430">
        <f>$X8</f>
        <v>0</v>
      </c>
      <c r="AA36" s="430">
        <f>X$15+X$16+X$17+X$18+X$19+X$21+X$22+X$23</f>
        <v>0</v>
      </c>
      <c r="AB36" s="719">
        <f>$X20</f>
        <v>0</v>
      </c>
      <c r="AC36" s="723">
        <f t="shared" si="23"/>
        <v>0</v>
      </c>
      <c r="AD36" s="587">
        <f>Y6+Y7+Y8+Y9+Y15+Y16+Y17+Y18+Y19+Y20+Y21+Y22+Y23</f>
        <v>0</v>
      </c>
      <c r="AE36" s="579">
        <f t="shared" si="24"/>
        <v>0</v>
      </c>
      <c r="AF36" s="26"/>
      <c r="AG36" s="599"/>
      <c r="AH36" s="599"/>
      <c r="AI36" s="599"/>
      <c r="AL36" s="24"/>
      <c r="AN36" s="26"/>
      <c r="AP36" s="24"/>
      <c r="AT36" s="25"/>
      <c r="AU36" s="25"/>
      <c r="AX36" s="23"/>
      <c r="AY36" s="23"/>
      <c r="AZ36" s="23"/>
      <c r="BA36" s="23"/>
      <c r="BB36" s="23"/>
      <c r="BC36" s="23"/>
      <c r="BD36" s="23"/>
      <c r="BE36" s="23"/>
      <c r="BF36" s="23"/>
      <c r="BG36" s="23"/>
    </row>
    <row r="37" spans="1:59" ht="23.25">
      <c r="L37" s="441" t="s">
        <v>171</v>
      </c>
      <c r="M37" s="470">
        <f>$Z$6</f>
        <v>0</v>
      </c>
      <c r="N37" s="430">
        <f>$Z9</f>
        <v>0</v>
      </c>
      <c r="O37" s="430">
        <f>$Z7</f>
        <v>0</v>
      </c>
      <c r="P37" s="430">
        <f>$Z8</f>
        <v>0</v>
      </c>
      <c r="Q37" s="430">
        <f>Z15+Z16+Z17+Z18+Z19+Z21+Z22+Z23</f>
        <v>0</v>
      </c>
      <c r="R37" s="430">
        <f>$Z20</f>
        <v>0</v>
      </c>
      <c r="S37" s="446">
        <f t="shared" si="22"/>
        <v>0</v>
      </c>
      <c r="T37" s="686"/>
      <c r="U37" s="26"/>
      <c r="V37" s="441" t="s">
        <v>171</v>
      </c>
      <c r="W37" s="440">
        <f>AB$6</f>
        <v>0</v>
      </c>
      <c r="X37" s="430">
        <f>$AB9</f>
        <v>0</v>
      </c>
      <c r="Y37" s="430">
        <f>$AB7</f>
        <v>0</v>
      </c>
      <c r="Z37" s="430">
        <f>$AB8</f>
        <v>0</v>
      </c>
      <c r="AA37" s="430">
        <f>AB$15+AB$16+AB$17+AB$18+AB$19+AB$21+AB$22+AB$23</f>
        <v>0</v>
      </c>
      <c r="AB37" s="719">
        <f>$AB20</f>
        <v>0</v>
      </c>
      <c r="AC37" s="723">
        <f t="shared" si="23"/>
        <v>0</v>
      </c>
      <c r="AD37" s="587">
        <f>AC6+AC7+AC8+AC9+AC15+AC17+AC16+AC18+AC19+AC20+AC21+AC22+AC23</f>
        <v>0</v>
      </c>
      <c r="AE37" s="579">
        <f t="shared" si="24"/>
        <v>0</v>
      </c>
      <c r="AF37" s="26"/>
      <c r="AG37" s="26"/>
      <c r="AI37" s="26"/>
      <c r="AJ37" s="26"/>
      <c r="AK37" s="26"/>
      <c r="AL37" s="24"/>
      <c r="AN37" s="26"/>
      <c r="AP37" s="24"/>
      <c r="AT37" s="24"/>
      <c r="AX37" s="23"/>
      <c r="AY37" s="23">
        <f>166-91</f>
        <v>75</v>
      </c>
      <c r="AZ37" s="23"/>
      <c r="BA37" s="23"/>
      <c r="BB37" s="23"/>
      <c r="BC37" s="23"/>
      <c r="BD37" s="23"/>
      <c r="BE37" s="23"/>
      <c r="BF37" s="23"/>
      <c r="BG37" s="23"/>
    </row>
    <row r="38" spans="1:59" ht="23.25">
      <c r="L38" s="441" t="s">
        <v>190</v>
      </c>
      <c r="M38" s="492">
        <f>$AD$6</f>
        <v>0</v>
      </c>
      <c r="N38" s="471">
        <f>$AD9</f>
        <v>0</v>
      </c>
      <c r="O38" s="471">
        <f>$AD7</f>
        <v>0</v>
      </c>
      <c r="P38" s="471">
        <f>$AD8</f>
        <v>0</v>
      </c>
      <c r="Q38" s="430">
        <f>AD15+AD16+AD17+AD18+AD19+AD21+AD22+AD23</f>
        <v>0</v>
      </c>
      <c r="R38" s="471">
        <f>$AD20</f>
        <v>0</v>
      </c>
      <c r="S38" s="446">
        <f t="shared" si="22"/>
        <v>0</v>
      </c>
      <c r="T38" s="686"/>
      <c r="U38" s="26"/>
      <c r="V38" s="441" t="s">
        <v>190</v>
      </c>
      <c r="W38" s="440">
        <f>AF$6</f>
        <v>0</v>
      </c>
      <c r="X38" s="430">
        <f>$AF9</f>
        <v>0</v>
      </c>
      <c r="Y38" s="430">
        <f>$AF7</f>
        <v>0</v>
      </c>
      <c r="Z38" s="430">
        <f>$AF8</f>
        <v>0</v>
      </c>
      <c r="AA38" s="430">
        <f>AF$15+AF$16+AF$17+AF$18+AF$19+AF$21+AF$22+AF$23</f>
        <v>0</v>
      </c>
      <c r="AB38" s="719">
        <f>$AF20</f>
        <v>0</v>
      </c>
      <c r="AC38" s="723">
        <f t="shared" si="23"/>
        <v>0</v>
      </c>
      <c r="AD38" s="587">
        <f>AG6+AG7+AG8+AG9+AG15+AG16+AG17+AG18+AG19+AG20+AG21+AG22+AG23</f>
        <v>0</v>
      </c>
      <c r="AE38" s="579">
        <f t="shared" si="24"/>
        <v>0</v>
      </c>
      <c r="AF38" s="26"/>
      <c r="AG38" s="26"/>
      <c r="AI38" s="26"/>
      <c r="AJ38" s="26"/>
      <c r="AK38" s="26"/>
      <c r="AL38" s="24"/>
      <c r="AN38" s="26"/>
      <c r="AP38" s="24"/>
      <c r="AT38" s="24"/>
      <c r="AX38" s="23"/>
      <c r="AY38" s="23">
        <f>AY37-50</f>
        <v>25</v>
      </c>
      <c r="AZ38" s="23"/>
      <c r="BA38" s="23"/>
      <c r="BB38" s="23"/>
      <c r="BC38" s="23"/>
      <c r="BD38" s="23"/>
      <c r="BE38" s="23"/>
      <c r="BF38" s="23"/>
      <c r="BG38" s="23"/>
    </row>
    <row r="39" spans="1:59" ht="23.25">
      <c r="L39" s="441" t="s">
        <v>185</v>
      </c>
      <c r="M39" s="470">
        <f>$AL$6</f>
        <v>0</v>
      </c>
      <c r="N39" s="430">
        <f>$AL9</f>
        <v>0</v>
      </c>
      <c r="O39" s="430">
        <f>$AL7</f>
        <v>0</v>
      </c>
      <c r="P39" s="430">
        <f>$AL8</f>
        <v>0</v>
      </c>
      <c r="Q39" s="430">
        <f>AL15+AL16+AL17+AL18+AL19+AL21+AL22+AL23</f>
        <v>0</v>
      </c>
      <c r="R39" s="430">
        <f>$AL20</f>
        <v>0</v>
      </c>
      <c r="S39" s="446">
        <f t="shared" si="22"/>
        <v>0</v>
      </c>
      <c r="T39" s="686"/>
      <c r="U39" s="26"/>
      <c r="V39" s="441" t="s">
        <v>185</v>
      </c>
      <c r="W39" s="469">
        <f>AN$6</f>
        <v>0</v>
      </c>
      <c r="X39" s="430">
        <f>$AN9</f>
        <v>0</v>
      </c>
      <c r="Y39" s="430">
        <f>$AN7</f>
        <v>0</v>
      </c>
      <c r="Z39" s="430">
        <f>$AN8</f>
        <v>0</v>
      </c>
      <c r="AA39" s="430">
        <f>AN$15+AN$16+AN$17+AN$18+AN$19+AN$21+AN$22+AN$23</f>
        <v>0</v>
      </c>
      <c r="AB39" s="719">
        <f>$AN20</f>
        <v>0</v>
      </c>
      <c r="AC39" s="723">
        <f t="shared" si="23"/>
        <v>0</v>
      </c>
      <c r="AD39" s="587">
        <f>AO6+AO7+AO8+AO9+AO15+AO16+AO17+AO18+AO19+AO20+AO21+AO22+AO23</f>
        <v>0</v>
      </c>
      <c r="AE39" s="579">
        <f t="shared" si="24"/>
        <v>0</v>
      </c>
      <c r="AF39" s="23"/>
      <c r="AG39" s="26"/>
      <c r="AI39" s="26"/>
      <c r="AJ39" s="26"/>
      <c r="AK39" s="26"/>
      <c r="AL39" s="24"/>
      <c r="AN39" s="26"/>
      <c r="AP39" s="24"/>
      <c r="AT39" s="24"/>
      <c r="AX39" s="23"/>
      <c r="AY39" s="23">
        <f>AY38-16</f>
        <v>9</v>
      </c>
      <c r="AZ39" s="23"/>
      <c r="BA39" s="23"/>
      <c r="BB39" s="23"/>
      <c r="BC39" s="23"/>
      <c r="BD39" s="23"/>
      <c r="BE39" s="23"/>
      <c r="BF39" s="23"/>
      <c r="BG39" s="23"/>
    </row>
    <row r="40" spans="1:59" ht="23.25">
      <c r="L40" s="441" t="s">
        <v>202</v>
      </c>
      <c r="M40" s="470">
        <f>$AP$6</f>
        <v>0</v>
      </c>
      <c r="N40" s="430">
        <f>$AP9</f>
        <v>0</v>
      </c>
      <c r="O40" s="430">
        <f>$AP7</f>
        <v>0</v>
      </c>
      <c r="P40" s="430">
        <f>$AP8</f>
        <v>0</v>
      </c>
      <c r="Q40" s="430">
        <f>AP15+AP16+AP17+AP18+AP19+AP21+AP22+AP23</f>
        <v>0</v>
      </c>
      <c r="R40" s="430">
        <f>$AP20</f>
        <v>0</v>
      </c>
      <c r="S40" s="446">
        <f t="shared" si="22"/>
        <v>0</v>
      </c>
      <c r="T40" s="686"/>
      <c r="U40" s="26"/>
      <c r="V40" s="441" t="s">
        <v>202</v>
      </c>
      <c r="W40" s="440">
        <f>AR$6</f>
        <v>0</v>
      </c>
      <c r="X40" s="430">
        <f>$AR9</f>
        <v>0</v>
      </c>
      <c r="Y40" s="430">
        <f>$AR7</f>
        <v>0</v>
      </c>
      <c r="Z40" s="430">
        <f>$AR8</f>
        <v>0</v>
      </c>
      <c r="AA40" s="430">
        <f>AR$15+AR$16+AR$17+AR$18+AR$19+AR$21+AR$22+AR$23</f>
        <v>0</v>
      </c>
      <c r="AB40" s="719">
        <f>$AR20</f>
        <v>0</v>
      </c>
      <c r="AC40" s="723">
        <f t="shared" si="23"/>
        <v>0</v>
      </c>
      <c r="AD40" s="587">
        <f>AS6+AS7+AS8+AS9+AS15+AS16+AS17+AS18+AS19+AS20+AS21+AS22+AS23</f>
        <v>0</v>
      </c>
      <c r="AE40" s="579">
        <f t="shared" si="24"/>
        <v>0</v>
      </c>
      <c r="AF40" s="28"/>
      <c r="AG40" s="26"/>
      <c r="AI40" s="26"/>
      <c r="AJ40" s="26"/>
      <c r="AK40" s="26"/>
      <c r="AL40" s="24"/>
      <c r="AN40" s="26"/>
      <c r="AP40" s="24"/>
      <c r="AS40" s="23"/>
      <c r="AT40" s="24"/>
      <c r="AX40" s="23"/>
      <c r="AY40" s="23"/>
      <c r="AZ40" s="23"/>
      <c r="BA40" s="23"/>
      <c r="BB40" s="23"/>
      <c r="BC40" s="23"/>
      <c r="BD40" s="23"/>
      <c r="BE40" s="23"/>
      <c r="BF40" s="23"/>
      <c r="BG40" s="23"/>
    </row>
    <row r="41" spans="1:59" ht="23.25">
      <c r="L41" s="441" t="s">
        <v>186</v>
      </c>
      <c r="M41" s="470">
        <f>$AT$6</f>
        <v>0</v>
      </c>
      <c r="N41" s="430">
        <f>$AT9</f>
        <v>0</v>
      </c>
      <c r="O41" s="430">
        <f>$AT7</f>
        <v>0</v>
      </c>
      <c r="P41" s="430">
        <f>$AT8</f>
        <v>0</v>
      </c>
      <c r="Q41" s="430">
        <f>AT15+AT16+AT17+AT18+AT19+AT21+AT22+AT23</f>
        <v>0</v>
      </c>
      <c r="R41" s="430">
        <f>$AT20</f>
        <v>0</v>
      </c>
      <c r="S41" s="446">
        <f t="shared" si="22"/>
        <v>0</v>
      </c>
      <c r="T41" s="686"/>
      <c r="U41" s="26"/>
      <c r="V41" s="441" t="s">
        <v>186</v>
      </c>
      <c r="W41" s="440">
        <f>AV$6</f>
        <v>0</v>
      </c>
      <c r="X41" s="430">
        <f>$AV9</f>
        <v>0</v>
      </c>
      <c r="Y41" s="430">
        <f>$AV7</f>
        <v>0</v>
      </c>
      <c r="Z41" s="430">
        <f>$AV8</f>
        <v>0</v>
      </c>
      <c r="AA41" s="430">
        <f>AV$15+AV$16+AV$17+AV$18+AV$19+AV$21+AV$22+AV$23</f>
        <v>0</v>
      </c>
      <c r="AB41" s="719">
        <f>$AV20</f>
        <v>0</v>
      </c>
      <c r="AC41" s="723">
        <f t="shared" si="23"/>
        <v>0</v>
      </c>
      <c r="AD41" s="587">
        <f>AW6+AW7+AW8+AW9+AW15+AW16+AW17+AW18+AW20+AW19+AW21+AW22+AW23</f>
        <v>0</v>
      </c>
      <c r="AE41" s="579">
        <f t="shared" si="24"/>
        <v>0</v>
      </c>
      <c r="AH41" s="24"/>
      <c r="AJ41" s="25"/>
      <c r="AL41" s="24"/>
      <c r="AN41" s="25"/>
      <c r="AP41" s="24"/>
      <c r="AR41" s="25"/>
      <c r="AT41" s="24"/>
      <c r="AX41" s="23"/>
      <c r="AY41" s="23"/>
      <c r="AZ41" s="23"/>
      <c r="BA41" s="23"/>
      <c r="BB41" s="23"/>
      <c r="BC41" s="23"/>
      <c r="BD41" s="23"/>
      <c r="BE41" s="23"/>
      <c r="BF41" s="23"/>
      <c r="BG41" s="23"/>
    </row>
    <row r="42" spans="1:59" ht="23.25">
      <c r="L42" s="441" t="s">
        <v>203</v>
      </c>
      <c r="M42" s="470">
        <f>$AX$6</f>
        <v>0</v>
      </c>
      <c r="N42" s="430">
        <f>$AX9</f>
        <v>0</v>
      </c>
      <c r="O42" s="430">
        <f>$AX7</f>
        <v>0</v>
      </c>
      <c r="P42" s="430">
        <f>$AX8</f>
        <v>0</v>
      </c>
      <c r="Q42" s="430">
        <f>AX15+AX16+AX17+AX18+AX19+AX21+AX22+AX23</f>
        <v>0</v>
      </c>
      <c r="R42" s="430">
        <f>$AX20</f>
        <v>0</v>
      </c>
      <c r="S42" s="446">
        <f t="shared" si="22"/>
        <v>0</v>
      </c>
      <c r="T42" s="686"/>
      <c r="U42" s="26"/>
      <c r="V42" s="441" t="s">
        <v>203</v>
      </c>
      <c r="W42" s="440">
        <f>AZ$6</f>
        <v>0</v>
      </c>
      <c r="X42" s="430">
        <f>$AZ9</f>
        <v>0</v>
      </c>
      <c r="Y42" s="430">
        <f>$AZ7</f>
        <v>0</v>
      </c>
      <c r="Z42" s="430">
        <f>$AZ8</f>
        <v>0</v>
      </c>
      <c r="AA42" s="430">
        <f>AZ$15+AZ$16+AZ$17+AZ$18+AZ$19+AZ$21+AZ$22+AZ$23</f>
        <v>0</v>
      </c>
      <c r="AB42" s="719">
        <f>$AZ20</f>
        <v>0</v>
      </c>
      <c r="AC42" s="723">
        <f t="shared" si="23"/>
        <v>0</v>
      </c>
      <c r="AD42" s="587">
        <f>BA6+BA7+BA8+BA9+BA15+BA16+BA17+BA18+BA19+BA20+BA21+BA22+BA23</f>
        <v>0</v>
      </c>
      <c r="AE42" s="579">
        <f t="shared" si="24"/>
        <v>0</v>
      </c>
      <c r="AH42" s="24"/>
      <c r="AJ42" s="25"/>
      <c r="AL42" s="24"/>
      <c r="AN42" s="25"/>
      <c r="AP42" s="24"/>
      <c r="AR42" s="25"/>
      <c r="AT42" s="24"/>
      <c r="AV42" s="25"/>
      <c r="AX42" s="23"/>
      <c r="AY42" s="23"/>
      <c r="AZ42" s="23"/>
      <c r="BA42" s="23"/>
      <c r="BB42" s="23"/>
      <c r="BC42" s="23"/>
      <c r="BD42" s="23"/>
      <c r="BE42" s="23"/>
      <c r="BF42" s="23"/>
      <c r="BG42" s="23"/>
    </row>
    <row r="43" spans="1:59" ht="24" thickBot="1">
      <c r="L43" s="442" t="s">
        <v>191</v>
      </c>
      <c r="M43" s="443">
        <f t="shared" ref="M43" si="25">SUM(M33:M42)</f>
        <v>0</v>
      </c>
      <c r="N43" s="444">
        <f>SUM(N33:N42)</f>
        <v>0</v>
      </c>
      <c r="O43" s="443">
        <f t="shared" ref="O43" si="26">SUM(O33:O42)</f>
        <v>0</v>
      </c>
      <c r="P43" s="444">
        <f>SUM(P33:P42)</f>
        <v>0</v>
      </c>
      <c r="Q43" s="444">
        <f>SUM(Q33:Q42)</f>
        <v>0</v>
      </c>
      <c r="R43" s="445">
        <f>SUM(R33:R42)</f>
        <v>0</v>
      </c>
      <c r="S43" s="451">
        <f>SUM(S33:S42)</f>
        <v>0</v>
      </c>
      <c r="T43" s="687"/>
      <c r="U43" s="26"/>
      <c r="V43" s="442" t="s">
        <v>191</v>
      </c>
      <c r="W43" s="443">
        <f t="shared" ref="W43:Y43" si="27">SUM(W33:W42)</f>
        <v>0</v>
      </c>
      <c r="X43" s="444">
        <f>SUM(X33:X42)</f>
        <v>0</v>
      </c>
      <c r="Y43" s="443">
        <f t="shared" si="27"/>
        <v>0</v>
      </c>
      <c r="Z43" s="444">
        <f>SUM(Z33:Z42)</f>
        <v>0</v>
      </c>
      <c r="AA43" s="444">
        <f>SUM(AA33:AA42)</f>
        <v>0</v>
      </c>
      <c r="AB43" s="720">
        <f>SUM(AB33:AB42)</f>
        <v>0</v>
      </c>
      <c r="AC43" s="724">
        <f>SUM(AC33:AC42)</f>
        <v>0</v>
      </c>
      <c r="AD43" s="725">
        <f>SUM(AD33:AD42)</f>
        <v>0</v>
      </c>
      <c r="AE43" s="579">
        <f t="shared" si="24"/>
        <v>0</v>
      </c>
      <c r="AH43" s="24"/>
      <c r="AJ43" s="25"/>
      <c r="AL43" s="24"/>
      <c r="AN43" s="25"/>
      <c r="AP43" s="24"/>
      <c r="AR43" s="25"/>
      <c r="AT43" s="24"/>
      <c r="AV43" s="25"/>
      <c r="AX43" s="23"/>
      <c r="AY43" s="23"/>
      <c r="AZ43" s="23"/>
      <c r="BA43" s="23"/>
      <c r="BB43" s="23"/>
      <c r="BC43" s="23"/>
      <c r="BD43" s="23"/>
      <c r="BE43" s="23"/>
      <c r="BF43" s="23"/>
      <c r="BG43" s="23"/>
    </row>
    <row r="44" spans="1:59" ht="15" customHeight="1" thickBot="1">
      <c r="L44" s="26"/>
      <c r="M44" s="26"/>
      <c r="N44" s="24"/>
      <c r="P44" s="26"/>
      <c r="Q44" s="26"/>
      <c r="R44" s="24"/>
      <c r="T44" s="26"/>
      <c r="U44" s="26"/>
      <c r="V44" s="24"/>
      <c r="Z44" s="24"/>
      <c r="AD44" s="24"/>
      <c r="AE44" s="26"/>
      <c r="AF44" s="466"/>
      <c r="AG44" s="466"/>
      <c r="AH44" s="466"/>
      <c r="AI44" s="467"/>
      <c r="AL44" s="24"/>
      <c r="AM44" s="25"/>
      <c r="AP44" s="24"/>
      <c r="AQ44" s="25"/>
      <c r="AT44" s="24"/>
      <c r="AU44" s="25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</row>
    <row r="45" spans="1:59" ht="27.75" customHeight="1" thickBot="1">
      <c r="L45" s="1929" t="str">
        <f>L31</f>
        <v>Mode wise Collection Plan-16-12-2021</v>
      </c>
      <c r="M45" s="1930"/>
      <c r="N45" s="1930"/>
      <c r="O45" s="1930"/>
      <c r="P45" s="1930"/>
      <c r="Q45" s="1930"/>
      <c r="R45" s="1930"/>
      <c r="S45" s="1930"/>
      <c r="T45" s="1931"/>
      <c r="U45" s="26"/>
      <c r="V45" s="1923" t="s">
        <v>305</v>
      </c>
      <c r="W45" s="1937"/>
      <c r="X45" s="1937"/>
      <c r="Y45" s="1937"/>
      <c r="Z45" s="1937"/>
      <c r="AA45" s="1937"/>
      <c r="AB45" s="1937"/>
      <c r="AC45" s="1937"/>
      <c r="AD45" s="1937"/>
      <c r="AE45" s="1938"/>
      <c r="AF45" s="466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</row>
    <row r="46" spans="1:59" s="28" customFormat="1" ht="31.5">
      <c r="D46" s="29"/>
      <c r="E46" s="29"/>
      <c r="F46" s="29"/>
      <c r="I46" s="29"/>
      <c r="J46" s="1011" t="s">
        <v>270</v>
      </c>
      <c r="K46" s="1011" t="s">
        <v>196</v>
      </c>
      <c r="L46" s="450" t="s">
        <v>0</v>
      </c>
      <c r="M46" s="439" t="s">
        <v>200</v>
      </c>
      <c r="N46" s="454" t="s">
        <v>205</v>
      </c>
      <c r="O46" s="439" t="s">
        <v>31</v>
      </c>
      <c r="P46" s="448" t="s">
        <v>201</v>
      </c>
      <c r="Q46" s="455" t="s">
        <v>206</v>
      </c>
      <c r="R46" s="436" t="s">
        <v>22</v>
      </c>
      <c r="S46" s="438" t="s">
        <v>191</v>
      </c>
      <c r="T46" s="438" t="s">
        <v>244</v>
      </c>
      <c r="U46" s="26"/>
      <c r="V46" s="596" t="s">
        <v>0</v>
      </c>
      <c r="W46" s="436" t="s">
        <v>200</v>
      </c>
      <c r="X46" s="454" t="s">
        <v>205</v>
      </c>
      <c r="Y46" s="436" t="s">
        <v>31</v>
      </c>
      <c r="Z46" s="448" t="s">
        <v>201</v>
      </c>
      <c r="AA46" s="453" t="s">
        <v>206</v>
      </c>
      <c r="AB46" s="453" t="s">
        <v>210</v>
      </c>
      <c r="AC46" s="436" t="s">
        <v>22</v>
      </c>
      <c r="AD46" s="437" t="s">
        <v>191</v>
      </c>
      <c r="AE46" s="438" t="s">
        <v>244</v>
      </c>
      <c r="AF46" s="1071" t="s">
        <v>32</v>
      </c>
      <c r="AG46" s="1072" t="s">
        <v>25</v>
      </c>
      <c r="AH46" s="1072" t="s">
        <v>23</v>
      </c>
      <c r="AI46" s="1072" t="s">
        <v>271</v>
      </c>
      <c r="AJ46" s="1072" t="s">
        <v>280</v>
      </c>
      <c r="AK46" s="23"/>
      <c r="AL46" s="23"/>
      <c r="AM46" s="23"/>
      <c r="AN46" s="23"/>
      <c r="AO46" s="23"/>
      <c r="AP46" s="23"/>
      <c r="AQ46" s="23"/>
      <c r="AR46" s="23"/>
    </row>
    <row r="47" spans="1:59" ht="23.25">
      <c r="J47" s="441">
        <v>14.92</v>
      </c>
      <c r="K47" s="441"/>
      <c r="L47" s="441" t="s">
        <v>189</v>
      </c>
      <c r="M47" s="470">
        <v>25</v>
      </c>
      <c r="N47" s="430">
        <v>5</v>
      </c>
      <c r="O47" s="430">
        <v>0</v>
      </c>
      <c r="P47" s="430">
        <v>0</v>
      </c>
      <c r="Q47" s="430">
        <v>26</v>
      </c>
      <c r="R47" s="430">
        <v>0</v>
      </c>
      <c r="S47" s="446">
        <f t="shared" ref="S47:S56" si="28">SUM(M47:R47)</f>
        <v>56</v>
      </c>
      <c r="T47" s="446">
        <v>26</v>
      </c>
      <c r="U47" s="26"/>
      <c r="V47" s="586" t="s">
        <v>189</v>
      </c>
      <c r="W47" s="430">
        <v>7</v>
      </c>
      <c r="X47" s="430">
        <v>0</v>
      </c>
      <c r="Y47" s="430">
        <v>0</v>
      </c>
      <c r="Z47" s="430">
        <v>0</v>
      </c>
      <c r="AA47" s="430">
        <v>0</v>
      </c>
      <c r="AB47" s="655">
        <v>0</v>
      </c>
      <c r="AC47" s="430"/>
      <c r="AD47" s="568">
        <f t="shared" ref="AD47:AD56" si="29">SUM(W47:AC47)</f>
        <v>7</v>
      </c>
      <c r="AE47" s="587">
        <f>L27+L28+L29</f>
        <v>0</v>
      </c>
      <c r="AF47" s="1073"/>
      <c r="AG47" s="1074"/>
      <c r="AH47" s="1074">
        <v>15</v>
      </c>
      <c r="AI47" s="1074"/>
      <c r="AJ47" s="1074">
        <v>36.39</v>
      </c>
      <c r="AK47" s="28"/>
      <c r="AL47" s="28"/>
      <c r="AM47" s="28"/>
      <c r="AN47" s="28"/>
      <c r="AO47" s="28"/>
      <c r="AP47" s="28"/>
      <c r="AQ47" s="28"/>
      <c r="AR47" s="28"/>
      <c r="AT47" s="24"/>
      <c r="AU47" s="25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</row>
    <row r="48" spans="1:59" ht="23.25">
      <c r="J48" s="441"/>
      <c r="K48" s="441"/>
      <c r="L48" s="441" t="s">
        <v>183</v>
      </c>
      <c r="M48" s="470">
        <v>20</v>
      </c>
      <c r="N48" s="430">
        <v>0</v>
      </c>
      <c r="O48" s="430">
        <v>0</v>
      </c>
      <c r="P48" s="430">
        <v>0</v>
      </c>
      <c r="Q48" s="430">
        <v>20</v>
      </c>
      <c r="R48" s="430">
        <v>0</v>
      </c>
      <c r="S48" s="446">
        <f t="shared" si="28"/>
        <v>40</v>
      </c>
      <c r="T48" s="446"/>
      <c r="U48" s="466"/>
      <c r="V48" s="586" t="s">
        <v>183</v>
      </c>
      <c r="W48" s="430">
        <v>0</v>
      </c>
      <c r="X48" s="430">
        <v>0</v>
      </c>
      <c r="Y48" s="430">
        <v>0</v>
      </c>
      <c r="Z48" s="430">
        <v>0</v>
      </c>
      <c r="AA48" s="430">
        <v>0</v>
      </c>
      <c r="AB48" s="655">
        <v>15</v>
      </c>
      <c r="AC48" s="430"/>
      <c r="AD48" s="568">
        <f t="shared" si="29"/>
        <v>15</v>
      </c>
      <c r="AE48" s="587">
        <f>P27+P28+P29</f>
        <v>0</v>
      </c>
      <c r="AF48" s="1073"/>
      <c r="AG48" s="1070"/>
      <c r="AH48" s="1070"/>
      <c r="AI48" s="1075"/>
      <c r="AJ48" s="1075"/>
      <c r="AL48" s="24"/>
      <c r="AM48" s="25"/>
      <c r="AP48" s="24"/>
      <c r="AQ48" s="25"/>
      <c r="AT48" s="24"/>
      <c r="AU48" s="25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</row>
    <row r="49" spans="10:59" ht="23.25">
      <c r="J49" s="441"/>
      <c r="K49" s="441"/>
      <c r="L49" s="441" t="s">
        <v>184</v>
      </c>
      <c r="M49" s="470">
        <v>0</v>
      </c>
      <c r="N49" s="430">
        <v>0</v>
      </c>
      <c r="O49" s="430">
        <v>0</v>
      </c>
      <c r="P49" s="430">
        <v>0</v>
      </c>
      <c r="Q49" s="430">
        <v>20</v>
      </c>
      <c r="R49" s="430">
        <v>0</v>
      </c>
      <c r="S49" s="446">
        <f t="shared" si="28"/>
        <v>20</v>
      </c>
      <c r="T49" s="446">
        <v>20</v>
      </c>
      <c r="U49" s="466"/>
      <c r="V49" s="586" t="s">
        <v>184</v>
      </c>
      <c r="W49" s="430">
        <v>0</v>
      </c>
      <c r="X49" s="430">
        <v>0</v>
      </c>
      <c r="Y49" s="430">
        <v>0</v>
      </c>
      <c r="Z49" s="430">
        <v>0</v>
      </c>
      <c r="AA49" s="430">
        <v>0</v>
      </c>
      <c r="AB49" s="655">
        <v>0</v>
      </c>
      <c r="AC49" s="430"/>
      <c r="AD49" s="568">
        <f t="shared" si="29"/>
        <v>0</v>
      </c>
      <c r="AE49" s="587">
        <f>T27+T28+T29</f>
        <v>0</v>
      </c>
      <c r="AF49" s="1073"/>
      <c r="AG49" s="1070"/>
      <c r="AH49" s="1070"/>
      <c r="AI49" s="1075"/>
      <c r="AJ49" s="1075"/>
      <c r="AL49" s="24"/>
      <c r="AM49" s="25"/>
      <c r="AP49" s="24"/>
      <c r="AQ49" s="25"/>
      <c r="AT49" s="24"/>
      <c r="AU49" s="25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</row>
    <row r="50" spans="10:59" ht="23.25">
      <c r="J50" s="441"/>
      <c r="K50" s="441"/>
      <c r="L50" s="441" t="s">
        <v>192</v>
      </c>
      <c r="M50" s="470">
        <v>8</v>
      </c>
      <c r="N50" s="430">
        <v>2</v>
      </c>
      <c r="O50" s="430">
        <v>0</v>
      </c>
      <c r="P50" s="430">
        <v>0</v>
      </c>
      <c r="Q50" s="430">
        <v>10</v>
      </c>
      <c r="R50" s="430">
        <v>0</v>
      </c>
      <c r="S50" s="446">
        <f t="shared" si="28"/>
        <v>20</v>
      </c>
      <c r="T50" s="446"/>
      <c r="U50" s="466"/>
      <c r="V50" s="586" t="s">
        <v>192</v>
      </c>
      <c r="W50" s="430">
        <v>1</v>
      </c>
      <c r="X50" s="430">
        <v>0.9</v>
      </c>
      <c r="Y50" s="430">
        <v>0</v>
      </c>
      <c r="Z50" s="430">
        <v>0</v>
      </c>
      <c r="AA50" s="430">
        <v>0</v>
      </c>
      <c r="AB50" s="655">
        <v>0</v>
      </c>
      <c r="AC50" s="430"/>
      <c r="AD50" s="568">
        <f t="shared" si="29"/>
        <v>1.9</v>
      </c>
      <c r="AE50" s="587">
        <f>X27+X28+X29</f>
        <v>0</v>
      </c>
      <c r="AF50" s="1073"/>
      <c r="AG50" s="1070"/>
      <c r="AH50" s="1070"/>
      <c r="AI50" s="1075"/>
      <c r="AJ50" s="1075"/>
      <c r="AL50" s="24"/>
      <c r="AM50" s="25"/>
      <c r="AP50" s="24"/>
      <c r="AQ50" s="25"/>
      <c r="AT50" s="24"/>
      <c r="AU50" s="25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</row>
    <row r="51" spans="10:59" ht="23.25">
      <c r="J51" s="441"/>
      <c r="K51" s="441"/>
      <c r="L51" s="441" t="s">
        <v>171</v>
      </c>
      <c r="M51" s="470">
        <v>0</v>
      </c>
      <c r="N51" s="430">
        <v>0</v>
      </c>
      <c r="O51" s="430">
        <v>0</v>
      </c>
      <c r="P51" s="430">
        <v>0</v>
      </c>
      <c r="Q51" s="430">
        <v>0</v>
      </c>
      <c r="R51" s="430">
        <v>5</v>
      </c>
      <c r="S51" s="446">
        <f t="shared" si="28"/>
        <v>5</v>
      </c>
      <c r="T51" s="446"/>
      <c r="U51" s="466"/>
      <c r="V51" s="586" t="s">
        <v>171</v>
      </c>
      <c r="W51" s="430">
        <v>0</v>
      </c>
      <c r="X51" s="430">
        <v>0</v>
      </c>
      <c r="Y51" s="430">
        <v>0</v>
      </c>
      <c r="Z51" s="430">
        <v>0</v>
      </c>
      <c r="AA51" s="430">
        <v>0</v>
      </c>
      <c r="AB51" s="655">
        <v>0</v>
      </c>
      <c r="AC51" s="430"/>
      <c r="AD51" s="568">
        <f t="shared" si="29"/>
        <v>0</v>
      </c>
      <c r="AE51" s="587">
        <f>AB27+AB28+AB29</f>
        <v>0</v>
      </c>
      <c r="AF51" s="1073"/>
      <c r="AG51" s="1070">
        <v>34.83</v>
      </c>
      <c r="AH51" s="1070"/>
      <c r="AI51" s="1075"/>
      <c r="AJ51" s="1075"/>
      <c r="AL51" s="24"/>
      <c r="AM51" s="25"/>
      <c r="AP51" s="24"/>
      <c r="AQ51" s="25"/>
      <c r="AT51" s="24"/>
      <c r="AU51" s="25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</row>
    <row r="52" spans="10:59" ht="23.25">
      <c r="J52" s="441"/>
      <c r="K52" s="441">
        <f>25+14+18</f>
        <v>57</v>
      </c>
      <c r="L52" s="441" t="s">
        <v>190</v>
      </c>
      <c r="M52" s="492">
        <v>15</v>
      </c>
      <c r="N52" s="471">
        <v>0</v>
      </c>
      <c r="O52" s="471">
        <v>0</v>
      </c>
      <c r="P52" s="471">
        <v>0</v>
      </c>
      <c r="Q52" s="430">
        <v>25</v>
      </c>
      <c r="R52" s="471">
        <v>0</v>
      </c>
      <c r="S52" s="446">
        <f t="shared" si="28"/>
        <v>40</v>
      </c>
      <c r="T52" s="446"/>
      <c r="U52" s="466"/>
      <c r="V52" s="586" t="s">
        <v>190</v>
      </c>
      <c r="W52" s="430">
        <v>0</v>
      </c>
      <c r="X52" s="430">
        <v>0</v>
      </c>
      <c r="Y52" s="430">
        <v>0</v>
      </c>
      <c r="Z52" s="430">
        <v>0</v>
      </c>
      <c r="AA52" s="430">
        <v>0</v>
      </c>
      <c r="AB52" s="655">
        <v>0</v>
      </c>
      <c r="AC52" s="430"/>
      <c r="AD52" s="568">
        <f t="shared" si="29"/>
        <v>0</v>
      </c>
      <c r="AE52" s="587">
        <f>AF27+AF28+AF29</f>
        <v>0</v>
      </c>
      <c r="AF52" s="1076"/>
      <c r="AG52" s="1070">
        <v>15</v>
      </c>
      <c r="AH52" s="1070"/>
      <c r="AI52" s="1075"/>
      <c r="AJ52" s="1075">
        <v>18</v>
      </c>
      <c r="AL52" s="24"/>
      <c r="AM52" s="25"/>
      <c r="AP52" s="24"/>
      <c r="AQ52" s="25"/>
      <c r="AT52" s="24"/>
      <c r="AU52" s="25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</row>
    <row r="53" spans="10:59" ht="23.25">
      <c r="J53" s="441">
        <v>30</v>
      </c>
      <c r="K53" s="441">
        <f>24.89</f>
        <v>24.89</v>
      </c>
      <c r="L53" s="441" t="s">
        <v>185</v>
      </c>
      <c r="M53" s="470">
        <v>10</v>
      </c>
      <c r="N53" s="430">
        <v>0</v>
      </c>
      <c r="O53" s="430">
        <v>0</v>
      </c>
      <c r="P53" s="430">
        <v>0</v>
      </c>
      <c r="Q53" s="430">
        <v>0</v>
      </c>
      <c r="R53" s="430">
        <v>0</v>
      </c>
      <c r="S53" s="446">
        <f t="shared" si="28"/>
        <v>10</v>
      </c>
      <c r="T53" s="446">
        <v>32</v>
      </c>
      <c r="U53" s="466"/>
      <c r="V53" s="586" t="s">
        <v>185</v>
      </c>
      <c r="W53" s="430">
        <v>11</v>
      </c>
      <c r="X53" s="430">
        <v>0</v>
      </c>
      <c r="Y53" s="430">
        <v>0</v>
      </c>
      <c r="Z53" s="430">
        <v>0</v>
      </c>
      <c r="AA53" s="430">
        <v>0</v>
      </c>
      <c r="AB53" s="655">
        <v>0</v>
      </c>
      <c r="AC53" s="430"/>
      <c r="AD53" s="568">
        <f t="shared" si="29"/>
        <v>11</v>
      </c>
      <c r="AE53" s="587">
        <f>AN27+AN28+AN29</f>
        <v>0</v>
      </c>
      <c r="AF53" s="1076"/>
      <c r="AG53" s="1070"/>
      <c r="AH53" s="1070"/>
      <c r="AI53" s="1075"/>
      <c r="AJ53" s="1075"/>
      <c r="AL53" s="24"/>
      <c r="AM53" s="25"/>
      <c r="AP53" s="24"/>
      <c r="AQ53" s="25"/>
      <c r="AT53" s="24"/>
      <c r="AU53" s="25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</row>
    <row r="54" spans="10:59" ht="23.25">
      <c r="J54" s="441"/>
      <c r="K54" s="441"/>
      <c r="L54" s="441" t="s">
        <v>202</v>
      </c>
      <c r="M54" s="470">
        <v>5</v>
      </c>
      <c r="N54" s="430">
        <v>0</v>
      </c>
      <c r="O54" s="430">
        <v>0</v>
      </c>
      <c r="P54" s="430">
        <v>0</v>
      </c>
      <c r="Q54" s="430">
        <v>0</v>
      </c>
      <c r="R54" s="430">
        <v>15</v>
      </c>
      <c r="S54" s="446">
        <f t="shared" si="28"/>
        <v>20</v>
      </c>
      <c r="T54" s="446"/>
      <c r="U54" s="466"/>
      <c r="V54" s="586" t="s">
        <v>202</v>
      </c>
      <c r="W54" s="430">
        <v>5</v>
      </c>
      <c r="X54" s="430">
        <v>0</v>
      </c>
      <c r="Y54" s="430">
        <v>0</v>
      </c>
      <c r="Z54" s="430">
        <v>0</v>
      </c>
      <c r="AA54" s="430">
        <v>0</v>
      </c>
      <c r="AB54" s="655">
        <v>0</v>
      </c>
      <c r="AC54" s="430"/>
      <c r="AD54" s="568">
        <f t="shared" si="29"/>
        <v>5</v>
      </c>
      <c r="AE54" s="587">
        <f>AR27+AR28+AR29</f>
        <v>0</v>
      </c>
      <c r="AF54" s="1071"/>
      <c r="AG54" s="1070"/>
      <c r="AH54" s="1070"/>
      <c r="AI54" s="1075"/>
      <c r="AJ54" s="1075"/>
      <c r="AL54" s="24"/>
      <c r="AM54" s="25"/>
      <c r="AP54" s="24"/>
      <c r="AQ54" s="25"/>
      <c r="AT54" s="24"/>
      <c r="AU54" s="25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</row>
    <row r="55" spans="10:59" ht="23.25">
      <c r="J55" s="441">
        <f>25.54</f>
        <v>25.54</v>
      </c>
      <c r="K55" s="441"/>
      <c r="L55" s="441" t="s">
        <v>186</v>
      </c>
      <c r="M55" s="470">
        <v>20</v>
      </c>
      <c r="N55" s="430">
        <v>0</v>
      </c>
      <c r="O55" s="430">
        <v>0</v>
      </c>
      <c r="P55" s="430">
        <v>0</v>
      </c>
      <c r="Q55" s="430">
        <v>30</v>
      </c>
      <c r="R55" s="430">
        <v>0</v>
      </c>
      <c r="S55" s="446">
        <f t="shared" si="28"/>
        <v>50</v>
      </c>
      <c r="T55" s="446"/>
      <c r="U55" s="466"/>
      <c r="V55" s="586" t="s">
        <v>186</v>
      </c>
      <c r="W55" s="430">
        <v>0</v>
      </c>
      <c r="X55" s="430">
        <v>0</v>
      </c>
      <c r="Y55" s="430">
        <v>0</v>
      </c>
      <c r="Z55" s="430">
        <v>0</v>
      </c>
      <c r="AA55" s="430">
        <v>0</v>
      </c>
      <c r="AB55" s="655">
        <v>0</v>
      </c>
      <c r="AC55" s="430"/>
      <c r="AD55" s="568">
        <f t="shared" si="29"/>
        <v>0</v>
      </c>
      <c r="AE55" s="587">
        <f>AV27+AV28+AV29</f>
        <v>0</v>
      </c>
      <c r="AF55" s="1071"/>
      <c r="AG55" s="1070"/>
      <c r="AH55" s="1070">
        <v>19</v>
      </c>
      <c r="AI55" s="1075">
        <v>25</v>
      </c>
      <c r="AJ55" s="1075"/>
      <c r="AL55" s="24"/>
      <c r="AM55" s="25"/>
      <c r="AP55" s="24"/>
      <c r="AQ55" s="25"/>
      <c r="AT55" s="24"/>
      <c r="AU55" s="25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</row>
    <row r="56" spans="10:59" ht="23.25">
      <c r="J56" s="441"/>
      <c r="K56" s="441"/>
      <c r="L56" s="441" t="s">
        <v>203</v>
      </c>
      <c r="M56" s="470">
        <v>10</v>
      </c>
      <c r="N56" s="430">
        <v>0</v>
      </c>
      <c r="O56" s="430">
        <v>0</v>
      </c>
      <c r="P56" s="430">
        <v>0</v>
      </c>
      <c r="Q56" s="430">
        <v>8.4</v>
      </c>
      <c r="R56" s="430">
        <v>0</v>
      </c>
      <c r="S56" s="446">
        <f t="shared" si="28"/>
        <v>18.399999999999999</v>
      </c>
      <c r="T56" s="446"/>
      <c r="U56" s="466"/>
      <c r="V56" s="586" t="s">
        <v>203</v>
      </c>
      <c r="W56" s="430">
        <v>0</v>
      </c>
      <c r="X56" s="430">
        <v>0</v>
      </c>
      <c r="Y56" s="430">
        <v>0</v>
      </c>
      <c r="Z56" s="430">
        <v>0</v>
      </c>
      <c r="AA56" s="430">
        <v>0</v>
      </c>
      <c r="AB56" s="655">
        <v>0</v>
      </c>
      <c r="AC56" s="430"/>
      <c r="AD56" s="568">
        <f t="shared" si="29"/>
        <v>0</v>
      </c>
      <c r="AE56" s="587">
        <f>AZ27+AZ28+AZ29</f>
        <v>0</v>
      </c>
      <c r="AF56" s="1071"/>
      <c r="AG56" s="1070"/>
      <c r="AH56" s="1070"/>
      <c r="AI56" s="1075"/>
      <c r="AJ56" s="1075"/>
      <c r="AL56" s="24"/>
      <c r="AM56" s="25"/>
      <c r="AP56" s="24"/>
      <c r="AQ56" s="25"/>
      <c r="AT56" s="24"/>
      <c r="AU56" s="25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</row>
    <row r="57" spans="10:59" ht="24" thickBot="1">
      <c r="J57" s="442">
        <f t="shared" ref="J57:K57" si="30">SUM(J47:J56)</f>
        <v>70.460000000000008</v>
      </c>
      <c r="K57" s="442">
        <f t="shared" si="30"/>
        <v>81.89</v>
      </c>
      <c r="L57" s="442" t="s">
        <v>191</v>
      </c>
      <c r="M57" s="443">
        <f t="shared" ref="M57" si="31">SUM(M47:M56)</f>
        <v>113</v>
      </c>
      <c r="N57" s="444">
        <f>SUM(N47:N56)</f>
        <v>7</v>
      </c>
      <c r="O57" s="443">
        <f t="shared" ref="O57" si="32">SUM(O47:O56)</f>
        <v>0</v>
      </c>
      <c r="P57" s="444">
        <f>SUM(P47:P56)</f>
        <v>0</v>
      </c>
      <c r="Q57" s="444">
        <f>SUM(Q47:Q56)</f>
        <v>139.4</v>
      </c>
      <c r="R57" s="445">
        <f>SUM(R47:R56)</f>
        <v>20</v>
      </c>
      <c r="S57" s="451">
        <f>SUM(S47:S56)</f>
        <v>279.39999999999998</v>
      </c>
      <c r="T57" s="451">
        <f>SUM(T47:T56)</f>
        <v>78</v>
      </c>
      <c r="U57" s="466"/>
      <c r="V57" s="588" t="s">
        <v>191</v>
      </c>
      <c r="W57" s="589">
        <f>SUM(W47:W56)</f>
        <v>24</v>
      </c>
      <c r="X57" s="589">
        <f t="shared" ref="X57:AC57" si="33">SUM(X47:X56)</f>
        <v>0.9</v>
      </c>
      <c r="Y57" s="589">
        <f t="shared" si="33"/>
        <v>0</v>
      </c>
      <c r="Z57" s="589">
        <f t="shared" si="33"/>
        <v>0</v>
      </c>
      <c r="AA57" s="589">
        <f t="shared" si="33"/>
        <v>0</v>
      </c>
      <c r="AB57" s="589">
        <f t="shared" si="33"/>
        <v>15</v>
      </c>
      <c r="AC57" s="589">
        <f t="shared" si="33"/>
        <v>0</v>
      </c>
      <c r="AD57" s="630">
        <f>SUM(AD47:AD56)</f>
        <v>39.9</v>
      </c>
      <c r="AE57" s="631">
        <f>SUM(AE47:AE56)</f>
        <v>0</v>
      </c>
      <c r="AF57" s="1077">
        <f t="shared" ref="AF57:AJ57" si="34">SUM(AF47:AF56)</f>
        <v>0</v>
      </c>
      <c r="AG57" s="1078">
        <f t="shared" si="34"/>
        <v>49.83</v>
      </c>
      <c r="AH57" s="1078">
        <f t="shared" si="34"/>
        <v>34</v>
      </c>
      <c r="AI57" s="1078">
        <f t="shared" si="34"/>
        <v>25</v>
      </c>
      <c r="AJ57" s="1078">
        <f t="shared" si="34"/>
        <v>54.39</v>
      </c>
      <c r="AL57" s="24"/>
      <c r="AM57" s="25"/>
      <c r="AP57" s="24"/>
      <c r="AQ57" s="25"/>
      <c r="AT57" s="24"/>
      <c r="AU57" s="25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</row>
    <row r="58" spans="10:59" ht="24" customHeight="1" thickBot="1">
      <c r="N58" s="24"/>
      <c r="O58" s="1924" t="s">
        <v>254</v>
      </c>
      <c r="P58" s="1925"/>
      <c r="Q58" s="1925"/>
      <c r="R58" s="1926"/>
      <c r="S58" s="1927">
        <f>S57+T57</f>
        <v>357.4</v>
      </c>
      <c r="T58" s="1928"/>
      <c r="U58" s="466"/>
      <c r="V58" s="1932" t="s">
        <v>221</v>
      </c>
      <c r="W58" s="1932"/>
      <c r="X58" s="1932"/>
      <c r="Y58" s="1932"/>
      <c r="Z58" s="1932"/>
      <c r="AA58" s="1932"/>
      <c r="AB58" s="1932"/>
      <c r="AC58" s="1932"/>
      <c r="AD58" s="1933">
        <f>AD57+AE57</f>
        <v>39.9</v>
      </c>
      <c r="AE58" s="1934"/>
      <c r="AF58" s="466"/>
      <c r="AH58" s="24"/>
      <c r="AI58" s="25"/>
      <c r="AL58" s="24"/>
      <c r="AM58" s="25"/>
      <c r="AP58" s="24"/>
      <c r="AQ58" s="25"/>
      <c r="AT58" s="24"/>
      <c r="AU58" s="25"/>
      <c r="AX58" s="24"/>
      <c r="AY58" s="24"/>
      <c r="AZ58" s="25"/>
      <c r="BA58" s="24"/>
      <c r="BB58" s="24"/>
      <c r="BC58" s="23"/>
      <c r="BD58" s="23"/>
      <c r="BE58" s="23"/>
      <c r="BF58" s="23"/>
      <c r="BG58" s="23"/>
    </row>
    <row r="59" spans="10:59" ht="27" thickBot="1">
      <c r="J59" s="24"/>
      <c r="N59" s="24"/>
      <c r="R59" s="24"/>
      <c r="T59" s="26"/>
      <c r="U59" s="26"/>
      <c r="V59" s="966"/>
      <c r="W59" s="966"/>
      <c r="X59" s="966"/>
      <c r="Y59" s="1922" t="s">
        <v>235</v>
      </c>
      <c r="Z59" s="1922"/>
      <c r="AA59" s="1922"/>
      <c r="AB59" s="1922"/>
      <c r="AC59" s="1922"/>
      <c r="AD59" s="1939">
        <f>BH6+BI6+BD20+BE20+AE49</f>
        <v>0</v>
      </c>
      <c r="AE59" s="1939"/>
      <c r="AF59" s="466"/>
      <c r="AH59" s="24"/>
      <c r="AI59" s="25"/>
      <c r="AL59" s="24"/>
      <c r="AP59" s="25"/>
      <c r="AT59" s="25"/>
      <c r="AX59" s="25"/>
      <c r="AY59" s="24"/>
      <c r="AZ59" s="24"/>
      <c r="BA59" s="24"/>
      <c r="BB59" s="25"/>
      <c r="BE59" s="23"/>
      <c r="BF59" s="23"/>
      <c r="BG59" s="23"/>
    </row>
    <row r="60" spans="10:59" ht="28.5" customHeight="1" thickBot="1">
      <c r="J60" s="24"/>
      <c r="L60" s="1923" t="s">
        <v>344</v>
      </c>
      <c r="M60" s="1937"/>
      <c r="N60" s="1937"/>
      <c r="O60" s="1937"/>
      <c r="P60" s="1937"/>
      <c r="Q60" s="1937"/>
      <c r="R60" s="1937"/>
      <c r="S60" s="1937"/>
      <c r="T60" s="1937"/>
      <c r="U60" s="1938"/>
      <c r="V60" s="466"/>
      <c r="W60" s="466"/>
      <c r="X60" s="466"/>
      <c r="Y60" s="465"/>
      <c r="Z60" s="466"/>
      <c r="AA60" s="466"/>
      <c r="AB60" s="466"/>
      <c r="AC60" s="465"/>
      <c r="AD60" s="466"/>
      <c r="AF60" s="466"/>
      <c r="AH60" s="24"/>
      <c r="AI60" s="25"/>
      <c r="AL60" s="24"/>
      <c r="AM60" s="26"/>
      <c r="AN60" s="26"/>
      <c r="AP60" s="24"/>
      <c r="AQ60" s="26"/>
      <c r="AR60" s="26"/>
      <c r="AT60" s="24"/>
      <c r="AU60" s="26"/>
      <c r="AV60" s="26"/>
      <c r="AX60" s="24"/>
      <c r="AY60" s="26"/>
      <c r="AZ60" s="26"/>
      <c r="BA60" s="24"/>
      <c r="BB60" s="24"/>
      <c r="BC60" s="25"/>
      <c r="BD60" s="25"/>
      <c r="BF60" s="23"/>
      <c r="BG60" s="23"/>
    </row>
    <row r="61" spans="10:59" ht="42.75" customHeight="1">
      <c r="J61" s="24"/>
      <c r="L61" s="596" t="s">
        <v>0</v>
      </c>
      <c r="M61" s="436" t="s">
        <v>200</v>
      </c>
      <c r="N61" s="454" t="s">
        <v>205</v>
      </c>
      <c r="O61" s="436" t="s">
        <v>31</v>
      </c>
      <c r="P61" s="448" t="s">
        <v>201</v>
      </c>
      <c r="Q61" s="453" t="s">
        <v>206</v>
      </c>
      <c r="R61" s="453" t="s">
        <v>210</v>
      </c>
      <c r="S61" s="436" t="s">
        <v>22</v>
      </c>
      <c r="T61" s="437" t="s">
        <v>191</v>
      </c>
      <c r="U61" s="438" t="s">
        <v>244</v>
      </c>
      <c r="V61" s="466"/>
      <c r="W61" s="466"/>
      <c r="X61" s="466"/>
      <c r="Y61" s="465"/>
      <c r="Z61" s="466"/>
      <c r="AA61" s="466"/>
      <c r="AB61" s="466"/>
      <c r="AC61" s="465"/>
      <c r="AD61" s="466"/>
      <c r="AF61" s="466"/>
      <c r="AH61" s="24"/>
      <c r="AI61" s="25"/>
      <c r="AL61" s="24"/>
      <c r="AM61" s="26"/>
      <c r="AN61" s="26"/>
      <c r="AP61" s="24"/>
      <c r="AQ61" s="26"/>
      <c r="AR61" s="26"/>
      <c r="AT61" s="24"/>
      <c r="AU61" s="26"/>
      <c r="AV61" s="26"/>
      <c r="AX61" s="24"/>
      <c r="AY61" s="26"/>
      <c r="AZ61" s="26"/>
      <c r="BA61" s="24"/>
      <c r="BB61" s="24"/>
      <c r="BC61" s="25"/>
      <c r="BD61" s="25"/>
      <c r="BF61" s="23"/>
      <c r="BG61" s="23"/>
    </row>
    <row r="62" spans="10:59" ht="23.25">
      <c r="J62" s="24"/>
      <c r="L62" s="586" t="s">
        <v>189</v>
      </c>
      <c r="M62" s="430">
        <v>28</v>
      </c>
      <c r="N62" s="430">
        <v>1</v>
      </c>
      <c r="O62" s="430">
        <v>0</v>
      </c>
      <c r="P62" s="430">
        <v>0</v>
      </c>
      <c r="Q62" s="430"/>
      <c r="R62" s="655"/>
      <c r="S62" s="430"/>
      <c r="T62" s="568">
        <f t="shared" ref="T62:T71" si="35">SUM(M62:S62)</f>
        <v>29</v>
      </c>
      <c r="U62" s="587">
        <v>26</v>
      </c>
      <c r="V62" s="466"/>
      <c r="W62" s="466"/>
      <c r="X62" s="466"/>
      <c r="Y62" s="465"/>
      <c r="Z62" s="466"/>
      <c r="AA62" s="466"/>
      <c r="AB62" s="466"/>
      <c r="AC62" s="465"/>
      <c r="AD62" s="466"/>
      <c r="AG62" s="26"/>
      <c r="AH62" s="24"/>
      <c r="AK62" s="49"/>
      <c r="AL62" s="24"/>
      <c r="AM62" s="26"/>
      <c r="AN62" s="26"/>
      <c r="AP62" s="24"/>
      <c r="AQ62" s="26"/>
      <c r="AR62" s="26"/>
      <c r="AT62" s="24"/>
      <c r="AU62" s="26"/>
      <c r="AV62" s="26"/>
      <c r="AX62" s="24"/>
      <c r="AY62" s="26"/>
      <c r="AZ62" s="26"/>
      <c r="BA62" s="24"/>
      <c r="BB62" s="24"/>
      <c r="BC62" s="25"/>
      <c r="BD62" s="25"/>
      <c r="BF62" s="23"/>
      <c r="BG62" s="23"/>
    </row>
    <row r="63" spans="10:59" ht="23.25">
      <c r="J63" s="24"/>
      <c r="L63" s="586" t="s">
        <v>183</v>
      </c>
      <c r="M63" s="430">
        <v>21</v>
      </c>
      <c r="N63" s="430">
        <v>1.9</v>
      </c>
      <c r="O63" s="430">
        <v>0</v>
      </c>
      <c r="P63" s="430">
        <v>0</v>
      </c>
      <c r="Q63" s="430"/>
      <c r="R63" s="655"/>
      <c r="S63" s="430">
        <v>3.4</v>
      </c>
      <c r="T63" s="568">
        <f t="shared" si="35"/>
        <v>26.299999999999997</v>
      </c>
      <c r="U63" s="587"/>
      <c r="V63" s="466"/>
      <c r="W63" s="466"/>
      <c r="X63" s="466"/>
      <c r="Y63" s="465"/>
      <c r="Z63" s="466"/>
      <c r="AA63" s="466"/>
      <c r="AB63" s="466"/>
      <c r="AC63" s="465"/>
      <c r="AD63" s="466"/>
      <c r="AG63" s="26"/>
      <c r="AH63" s="24"/>
      <c r="AK63" s="49"/>
      <c r="AL63" s="24"/>
      <c r="AO63" s="26"/>
      <c r="AP63" s="24"/>
      <c r="AQ63" s="26"/>
      <c r="AR63" s="26"/>
      <c r="AT63" s="24"/>
      <c r="AU63" s="26"/>
      <c r="AV63" s="26"/>
      <c r="AX63" s="24"/>
      <c r="AY63" s="26"/>
      <c r="AZ63" s="26"/>
      <c r="BA63" s="24"/>
      <c r="BB63" s="24"/>
      <c r="BE63" s="25"/>
      <c r="BF63" s="24"/>
      <c r="BG63" s="23"/>
    </row>
    <row r="64" spans="10:59" ht="23.25">
      <c r="J64" s="24"/>
      <c r="L64" s="586" t="s">
        <v>184</v>
      </c>
      <c r="M64" s="430">
        <v>0</v>
      </c>
      <c r="N64" s="430">
        <v>0</v>
      </c>
      <c r="O64" s="430">
        <v>0</v>
      </c>
      <c r="P64" s="430">
        <v>0</v>
      </c>
      <c r="Q64" s="430"/>
      <c r="R64" s="655"/>
      <c r="S64" s="430"/>
      <c r="T64" s="568">
        <f t="shared" si="35"/>
        <v>0</v>
      </c>
      <c r="U64" s="587"/>
      <c r="V64" s="466"/>
      <c r="W64" s="466"/>
      <c r="X64" s="466"/>
      <c r="Y64" s="465"/>
      <c r="Z64" s="466"/>
      <c r="AA64" s="466"/>
      <c r="AB64" s="466"/>
      <c r="AC64" s="465"/>
      <c r="AD64" s="466"/>
      <c r="AG64" s="26"/>
      <c r="AH64" s="24"/>
      <c r="AK64" s="49"/>
      <c r="AL64" s="24"/>
      <c r="AO64" s="26"/>
      <c r="AP64" s="24"/>
      <c r="AQ64" s="26"/>
      <c r="AR64" s="26"/>
      <c r="AT64" s="24"/>
      <c r="AU64" s="26"/>
      <c r="AV64" s="26"/>
      <c r="AX64" s="24"/>
      <c r="AY64" s="26"/>
      <c r="AZ64" s="26"/>
      <c r="BA64" s="24"/>
      <c r="BB64" s="24"/>
      <c r="BE64" s="25"/>
      <c r="BF64" s="24"/>
      <c r="BG64" s="23"/>
    </row>
    <row r="65" spans="10:59" ht="23.25">
      <c r="J65" s="24"/>
      <c r="L65" s="586" t="s">
        <v>192</v>
      </c>
      <c r="M65" s="430">
        <v>5</v>
      </c>
      <c r="N65" s="430">
        <v>2</v>
      </c>
      <c r="O65" s="430">
        <v>0</v>
      </c>
      <c r="P65" s="430">
        <v>0</v>
      </c>
      <c r="Q65" s="430"/>
      <c r="R65" s="655"/>
      <c r="S65" s="430"/>
      <c r="T65" s="568">
        <f t="shared" si="35"/>
        <v>7</v>
      </c>
      <c r="U65" s="587">
        <v>9</v>
      </c>
      <c r="V65" s="466"/>
      <c r="W65" s="466"/>
      <c r="X65" s="466"/>
      <c r="Y65" s="465"/>
      <c r="Z65" s="466"/>
      <c r="AA65" s="466"/>
      <c r="AB65" s="466"/>
      <c r="AC65" s="465"/>
      <c r="AD65" s="466"/>
      <c r="AG65" s="26"/>
      <c r="AH65" s="24"/>
      <c r="AK65" s="49"/>
      <c r="AL65" s="24"/>
      <c r="AO65" s="26"/>
      <c r="AP65" s="24"/>
      <c r="AQ65" s="26"/>
      <c r="AR65" s="26"/>
      <c r="AT65" s="24"/>
      <c r="AU65" s="26"/>
      <c r="AV65" s="26"/>
      <c r="AX65" s="24"/>
      <c r="AY65" s="26"/>
      <c r="AZ65" s="26"/>
      <c r="BA65" s="24"/>
      <c r="BB65" s="24"/>
      <c r="BE65" s="25"/>
      <c r="BF65" s="24"/>
      <c r="BG65" s="23"/>
    </row>
    <row r="66" spans="10:59" ht="23.25">
      <c r="J66" s="24"/>
      <c r="L66" s="586" t="s">
        <v>171</v>
      </c>
      <c r="M66" s="430">
        <v>0</v>
      </c>
      <c r="N66" s="430">
        <v>0</v>
      </c>
      <c r="O66" s="430">
        <v>0</v>
      </c>
      <c r="P66" s="430">
        <v>0</v>
      </c>
      <c r="Q66" s="430"/>
      <c r="R66" s="655"/>
      <c r="S66" s="430">
        <v>5.9</v>
      </c>
      <c r="T66" s="568">
        <f t="shared" si="35"/>
        <v>5.9</v>
      </c>
      <c r="U66" s="587"/>
      <c r="V66" s="466"/>
      <c r="W66" s="466"/>
      <c r="X66" s="466"/>
      <c r="Y66" s="465"/>
      <c r="Z66" s="466"/>
      <c r="AA66" s="466"/>
      <c r="AB66" s="466"/>
      <c r="AC66" s="465"/>
      <c r="AD66" s="466"/>
      <c r="AG66" s="26"/>
      <c r="AH66" s="24"/>
      <c r="AK66" s="49"/>
      <c r="AL66" s="24"/>
      <c r="AO66" s="26"/>
      <c r="AP66" s="24"/>
      <c r="AQ66" s="26"/>
      <c r="AR66" s="26"/>
      <c r="AT66" s="24"/>
      <c r="AU66" s="26"/>
      <c r="AV66" s="26"/>
      <c r="AX66" s="24"/>
      <c r="AY66" s="26"/>
      <c r="AZ66" s="26"/>
      <c r="BA66" s="24"/>
      <c r="BB66" s="24"/>
      <c r="BE66" s="25"/>
      <c r="BF66" s="24"/>
      <c r="BG66" s="23"/>
    </row>
    <row r="67" spans="10:59" ht="23.25">
      <c r="J67" s="24"/>
      <c r="L67" s="586" t="s">
        <v>190</v>
      </c>
      <c r="M67" s="430">
        <v>0</v>
      </c>
      <c r="N67" s="430">
        <v>0</v>
      </c>
      <c r="O67" s="430">
        <v>0</v>
      </c>
      <c r="P67" s="430">
        <v>0</v>
      </c>
      <c r="Q67" s="430"/>
      <c r="R67" s="655"/>
      <c r="S67" s="430"/>
      <c r="T67" s="568">
        <f t="shared" si="35"/>
        <v>0</v>
      </c>
      <c r="U67" s="587">
        <v>30</v>
      </c>
      <c r="V67" s="466"/>
      <c r="W67" s="466"/>
      <c r="X67" s="466"/>
      <c r="Y67" s="465"/>
      <c r="Z67" s="466"/>
      <c r="AA67" s="466"/>
      <c r="AB67" s="466"/>
      <c r="AC67" s="465"/>
      <c r="AD67" s="466"/>
      <c r="AG67" s="26"/>
      <c r="AH67" s="24"/>
      <c r="AK67" s="49"/>
      <c r="AL67" s="24"/>
      <c r="AO67" s="26"/>
      <c r="AP67" s="24"/>
      <c r="AQ67" s="26"/>
      <c r="AR67" s="26"/>
      <c r="AT67" s="24"/>
      <c r="AU67" s="26"/>
      <c r="AV67" s="26"/>
      <c r="AX67" s="24"/>
      <c r="AY67" s="26"/>
      <c r="AZ67" s="26"/>
      <c r="BA67" s="24"/>
      <c r="BB67" s="24"/>
      <c r="BE67" s="25"/>
      <c r="BF67" s="24"/>
      <c r="BG67" s="23"/>
    </row>
    <row r="68" spans="10:59" ht="23.25">
      <c r="L68" s="586" t="s">
        <v>185</v>
      </c>
      <c r="M68" s="430">
        <v>0</v>
      </c>
      <c r="N68" s="430">
        <v>0</v>
      </c>
      <c r="O68" s="430">
        <v>0</v>
      </c>
      <c r="P68" s="430">
        <v>0</v>
      </c>
      <c r="Q68" s="430"/>
      <c r="R68" s="655"/>
      <c r="S68" s="430"/>
      <c r="T68" s="568">
        <f t="shared" si="35"/>
        <v>0</v>
      </c>
      <c r="U68" s="587"/>
      <c r="V68" s="466"/>
      <c r="W68" s="466"/>
      <c r="X68" s="466"/>
      <c r="Y68" s="465"/>
      <c r="Z68" s="466"/>
      <c r="AA68" s="466"/>
      <c r="AB68" s="466"/>
      <c r="AC68" s="465"/>
      <c r="AD68" s="466"/>
      <c r="AG68" s="26"/>
      <c r="AH68" s="24"/>
      <c r="AK68" s="49"/>
      <c r="AL68" s="24"/>
      <c r="AO68" s="26"/>
      <c r="AP68" s="24"/>
      <c r="AQ68" s="26"/>
      <c r="AR68" s="26"/>
      <c r="AT68" s="24"/>
      <c r="AU68" s="26"/>
      <c r="AV68" s="26"/>
      <c r="AX68" s="24"/>
      <c r="AY68" s="26"/>
      <c r="AZ68" s="26"/>
      <c r="BA68" s="24"/>
      <c r="BB68" s="24"/>
      <c r="BE68" s="25"/>
      <c r="BF68" s="24"/>
      <c r="BG68" s="23"/>
    </row>
    <row r="69" spans="10:59" ht="23.25">
      <c r="L69" s="586" t="s">
        <v>202</v>
      </c>
      <c r="M69" s="430">
        <v>0</v>
      </c>
      <c r="N69" s="430">
        <v>0</v>
      </c>
      <c r="O69" s="430">
        <v>0</v>
      </c>
      <c r="P69" s="430">
        <v>0</v>
      </c>
      <c r="Q69" s="430"/>
      <c r="R69" s="655"/>
      <c r="S69" s="430"/>
      <c r="T69" s="568">
        <f t="shared" si="35"/>
        <v>0</v>
      </c>
      <c r="U69" s="587"/>
      <c r="V69" s="466"/>
      <c r="W69" s="466"/>
      <c r="X69" s="466"/>
      <c r="Y69" s="465"/>
      <c r="Z69" s="466"/>
      <c r="AA69" s="466"/>
      <c r="AB69" s="466"/>
      <c r="AC69" s="465"/>
      <c r="AD69" s="466"/>
      <c r="AG69" s="26"/>
      <c r="AH69" s="24"/>
      <c r="AK69" s="49"/>
      <c r="AL69" s="24"/>
      <c r="AM69" s="26"/>
      <c r="AN69" s="26"/>
      <c r="AY69" s="24"/>
      <c r="AZ69" s="24"/>
      <c r="BA69" s="24"/>
      <c r="BB69" s="24"/>
      <c r="BC69" s="25"/>
      <c r="BD69" s="25"/>
      <c r="BF69" s="23"/>
      <c r="BG69" s="23"/>
    </row>
    <row r="70" spans="10:59" ht="23.25">
      <c r="L70" s="586" t="s">
        <v>186</v>
      </c>
      <c r="M70" s="430">
        <v>9.6999999999999993</v>
      </c>
      <c r="N70" s="430">
        <v>1</v>
      </c>
      <c r="O70" s="430">
        <v>0</v>
      </c>
      <c r="P70" s="430">
        <v>0</v>
      </c>
      <c r="Q70" s="430"/>
      <c r="R70" s="655"/>
      <c r="S70" s="430"/>
      <c r="T70" s="568">
        <f t="shared" si="35"/>
        <v>10.7</v>
      </c>
      <c r="U70" s="587"/>
      <c r="V70" s="466"/>
      <c r="W70" s="466"/>
      <c r="X70" s="466"/>
      <c r="Y70" s="465"/>
      <c r="Z70" s="466"/>
      <c r="AA70" s="466"/>
      <c r="AB70" s="466"/>
      <c r="AC70" s="465"/>
      <c r="AD70" s="466"/>
      <c r="AG70" s="26"/>
      <c r="AH70" s="24"/>
      <c r="AK70" s="49"/>
      <c r="AL70" s="24"/>
      <c r="AM70" s="26"/>
      <c r="AN70" s="26"/>
      <c r="AY70" s="24"/>
      <c r="AZ70" s="24"/>
      <c r="BA70" s="24"/>
      <c r="BB70" s="24"/>
      <c r="BC70" s="25"/>
      <c r="BD70" s="25"/>
      <c r="BF70" s="23"/>
      <c r="BG70" s="23"/>
    </row>
    <row r="71" spans="10:59" ht="23.25">
      <c r="L71" s="586" t="s">
        <v>203</v>
      </c>
      <c r="M71" s="430">
        <v>8.67</v>
      </c>
      <c r="N71" s="430">
        <v>0</v>
      </c>
      <c r="O71" s="430">
        <v>0</v>
      </c>
      <c r="P71" s="430">
        <v>0</v>
      </c>
      <c r="Q71" s="430"/>
      <c r="R71" s="655"/>
      <c r="S71" s="430"/>
      <c r="T71" s="568">
        <f t="shared" si="35"/>
        <v>8.67</v>
      </c>
      <c r="U71" s="587"/>
      <c r="V71" s="466"/>
      <c r="W71" s="466"/>
      <c r="X71" s="466"/>
      <c r="Y71" s="465"/>
      <c r="Z71" s="466"/>
      <c r="AA71" s="466"/>
      <c r="AB71" s="466"/>
      <c r="AC71" s="465"/>
      <c r="AD71" s="466"/>
      <c r="AG71" s="26"/>
      <c r="AH71" s="24"/>
      <c r="AK71" s="49"/>
      <c r="AL71" s="24"/>
      <c r="AM71" s="26"/>
      <c r="AN71" s="26"/>
      <c r="AY71" s="24"/>
      <c r="AZ71" s="24"/>
      <c r="BA71" s="24"/>
      <c r="BB71" s="24"/>
      <c r="BC71" s="25"/>
      <c r="BD71" s="25"/>
      <c r="BF71" s="23"/>
      <c r="BG71" s="23"/>
    </row>
    <row r="72" spans="10:59" ht="33.75" customHeight="1" thickBot="1">
      <c r="L72" s="588" t="s">
        <v>191</v>
      </c>
      <c r="M72" s="589">
        <f>SUM(M62:M71)</f>
        <v>72.37</v>
      </c>
      <c r="N72" s="589">
        <f t="shared" ref="N72:U72" si="36">SUM(N62:N71)</f>
        <v>5.9</v>
      </c>
      <c r="O72" s="589">
        <f t="shared" si="36"/>
        <v>0</v>
      </c>
      <c r="P72" s="589">
        <f t="shared" si="36"/>
        <v>0</v>
      </c>
      <c r="Q72" s="589">
        <f t="shared" si="36"/>
        <v>0</v>
      </c>
      <c r="R72" s="589">
        <f t="shared" si="36"/>
        <v>0</v>
      </c>
      <c r="S72" s="589">
        <f t="shared" si="36"/>
        <v>9.3000000000000007</v>
      </c>
      <c r="T72" s="589">
        <f t="shared" si="36"/>
        <v>87.570000000000007</v>
      </c>
      <c r="U72" s="631">
        <f t="shared" si="36"/>
        <v>65</v>
      </c>
      <c r="V72" s="466"/>
      <c r="W72" s="466"/>
      <c r="X72" s="466"/>
      <c r="Y72" s="465"/>
      <c r="Z72" s="466"/>
      <c r="AA72" s="466"/>
      <c r="AB72" s="466"/>
      <c r="AC72" s="465"/>
      <c r="AD72" s="466"/>
      <c r="AG72" s="26"/>
      <c r="AH72" s="24"/>
      <c r="AK72" s="49"/>
      <c r="AL72" s="24"/>
      <c r="AM72" s="26"/>
      <c r="AN72" s="26"/>
      <c r="AY72" s="24"/>
      <c r="AZ72" s="24"/>
      <c r="BA72" s="24"/>
      <c r="BB72" s="24"/>
      <c r="BC72" s="25"/>
      <c r="BD72" s="25"/>
      <c r="BF72" s="23"/>
      <c r="BG72" s="23"/>
    </row>
    <row r="73" spans="10:59" ht="27" customHeight="1" thickBot="1">
      <c r="L73" s="1932" t="s">
        <v>221</v>
      </c>
      <c r="M73" s="1932"/>
      <c r="N73" s="1932"/>
      <c r="O73" s="1932"/>
      <c r="P73" s="1932"/>
      <c r="Q73" s="1932"/>
      <c r="R73" s="1932"/>
      <c r="S73" s="1932"/>
      <c r="T73" s="1933">
        <f>T72+U72</f>
        <v>152.57</v>
      </c>
      <c r="U73" s="1934"/>
      <c r="V73" s="466"/>
      <c r="W73" s="466"/>
      <c r="X73" s="466"/>
      <c r="Y73" s="465"/>
      <c r="Z73" s="466"/>
      <c r="AA73" s="466"/>
      <c r="AB73" s="466"/>
      <c r="AC73" s="465"/>
      <c r="AD73" s="466"/>
      <c r="AG73" s="26"/>
      <c r="AH73" s="24"/>
      <c r="AK73" s="49"/>
      <c r="AL73" s="24"/>
      <c r="AM73" s="26"/>
      <c r="AN73" s="26"/>
      <c r="AP73" s="24"/>
      <c r="AQ73" s="26"/>
      <c r="AR73" s="26"/>
      <c r="AT73" s="24"/>
      <c r="AU73" s="26"/>
      <c r="AV73" s="26"/>
      <c r="AW73" s="50"/>
      <c r="AX73" s="50"/>
      <c r="AY73" s="26"/>
      <c r="AZ73" s="26"/>
      <c r="BA73" s="24"/>
      <c r="BB73" s="24"/>
      <c r="BC73" s="25"/>
      <c r="BD73" s="25"/>
      <c r="BF73" s="23"/>
      <c r="BG73" s="23"/>
    </row>
    <row r="74" spans="10:59" ht="26.25">
      <c r="L74" s="966"/>
      <c r="M74" s="966"/>
      <c r="N74" s="966"/>
      <c r="O74" s="1922" t="s">
        <v>235</v>
      </c>
      <c r="P74" s="1922"/>
      <c r="Q74" s="1922"/>
      <c r="R74" s="1922"/>
      <c r="S74" s="1922"/>
      <c r="T74" s="1939">
        <f>M72+26</f>
        <v>98.37</v>
      </c>
      <c r="U74" s="1939"/>
      <c r="V74" s="24"/>
      <c r="W74" s="466"/>
      <c r="X74" s="466"/>
      <c r="Y74" s="466"/>
      <c r="Z74" s="465"/>
      <c r="AA74" s="466"/>
      <c r="AB74" s="466"/>
      <c r="AC74" s="466"/>
      <c r="AD74" s="465"/>
      <c r="AE74" s="466"/>
      <c r="AN74" s="26"/>
      <c r="AO74" s="26"/>
      <c r="AP74" s="24"/>
      <c r="AR74" s="26"/>
      <c r="AS74" s="26"/>
      <c r="AT74" s="24"/>
      <c r="AV74" s="26"/>
      <c r="AW74" s="26"/>
      <c r="AX74" s="50"/>
      <c r="AZ74" s="26"/>
      <c r="BA74" s="26"/>
      <c r="BB74" s="24"/>
      <c r="BD74" s="25"/>
      <c r="BE74" s="25"/>
      <c r="BF74" s="24"/>
      <c r="BG74" s="23"/>
    </row>
    <row r="75" spans="10:59">
      <c r="L75" s="26"/>
      <c r="M75" s="26"/>
      <c r="N75" s="24"/>
      <c r="P75" s="26"/>
      <c r="Q75" s="26"/>
      <c r="R75" s="24"/>
      <c r="T75" s="26"/>
      <c r="U75" s="26"/>
      <c r="V75" s="24"/>
      <c r="W75" s="466"/>
      <c r="X75" s="466"/>
      <c r="Y75" s="466"/>
      <c r="Z75" s="465"/>
      <c r="AA75" s="466"/>
      <c r="AB75" s="466"/>
      <c r="AC75" s="466"/>
      <c r="AD75" s="465"/>
      <c r="AE75" s="466"/>
      <c r="AN75" s="26"/>
      <c r="AO75" s="26"/>
      <c r="AP75" s="24"/>
      <c r="AR75" s="26"/>
      <c r="AS75" s="26"/>
      <c r="AT75" s="24"/>
      <c r="AV75" s="26"/>
      <c r="AW75" s="26"/>
      <c r="AX75" s="50"/>
      <c r="AZ75" s="26"/>
      <c r="BA75" s="26"/>
      <c r="BB75" s="24"/>
      <c r="BD75" s="25"/>
      <c r="BE75" s="25"/>
      <c r="BF75" s="24"/>
      <c r="BG75" s="23"/>
    </row>
    <row r="76" spans="10:59">
      <c r="L76" s="26"/>
      <c r="M76" s="26"/>
      <c r="N76" s="24"/>
      <c r="P76" s="26"/>
      <c r="Q76" s="26"/>
      <c r="R76" s="24"/>
      <c r="T76" s="26"/>
      <c r="U76" s="26"/>
      <c r="V76" s="24"/>
      <c r="W76" s="466"/>
      <c r="X76" s="466"/>
      <c r="Y76" s="466"/>
      <c r="Z76" s="465"/>
      <c r="AA76" s="466"/>
      <c r="AB76" s="466"/>
      <c r="AC76" s="466"/>
      <c r="AD76" s="465"/>
      <c r="AE76" s="466"/>
      <c r="AN76" s="26"/>
      <c r="AO76" s="26"/>
      <c r="AP76" s="24"/>
      <c r="AR76" s="26"/>
      <c r="AS76" s="26"/>
      <c r="AT76" s="24"/>
      <c r="AV76" s="26"/>
      <c r="AW76" s="26"/>
      <c r="AX76" s="50"/>
      <c r="AZ76" s="26"/>
      <c r="BA76" s="26"/>
      <c r="BB76" s="24"/>
      <c r="BD76" s="25"/>
      <c r="BE76" s="25"/>
      <c r="BF76" s="24"/>
      <c r="BG76" s="23"/>
    </row>
    <row r="77" spans="10:59">
      <c r="L77" s="26"/>
      <c r="M77" s="26"/>
      <c r="N77" s="24"/>
      <c r="P77" s="26"/>
      <c r="Q77" s="26"/>
      <c r="R77" s="24"/>
      <c r="T77" s="26"/>
      <c r="U77" s="26"/>
      <c r="V77" s="24"/>
      <c r="W77" s="466"/>
      <c r="X77" s="466"/>
      <c r="Y77" s="466"/>
      <c r="Z77" s="465"/>
      <c r="AA77" s="466"/>
      <c r="AB77" s="466"/>
      <c r="AC77" s="466"/>
      <c r="AD77" s="465"/>
      <c r="AE77" s="466"/>
      <c r="AN77" s="26"/>
      <c r="AO77" s="26"/>
      <c r="AP77" s="24"/>
      <c r="AR77" s="26"/>
      <c r="AS77" s="26"/>
      <c r="AT77" s="24"/>
      <c r="AV77" s="26"/>
      <c r="AW77" s="26"/>
      <c r="AX77" s="50"/>
      <c r="AZ77" s="26"/>
      <c r="BA77" s="26"/>
      <c r="BB77" s="24"/>
      <c r="BD77" s="25"/>
      <c r="BE77" s="25"/>
      <c r="BF77" s="24"/>
      <c r="BG77" s="23"/>
    </row>
    <row r="78" spans="10:59">
      <c r="L78" s="26"/>
      <c r="M78" s="26"/>
      <c r="N78" s="24"/>
      <c r="P78" s="26"/>
      <c r="Q78" s="26"/>
      <c r="R78" s="24"/>
      <c r="T78" s="26"/>
      <c r="U78" s="26"/>
      <c r="V78" s="24"/>
      <c r="X78" s="26"/>
      <c r="Y78" s="26"/>
      <c r="Z78" s="24"/>
      <c r="AB78" s="26"/>
      <c r="AC78" s="26"/>
      <c r="AD78" s="24"/>
      <c r="AF78" s="26"/>
      <c r="AG78" s="26"/>
      <c r="AH78" s="24"/>
      <c r="AJ78" s="49"/>
      <c r="AK78" s="49"/>
      <c r="AL78" s="24"/>
      <c r="AN78" s="26"/>
      <c r="AO78" s="26"/>
      <c r="AP78" s="24"/>
      <c r="AR78" s="26"/>
      <c r="AS78" s="26"/>
      <c r="AT78" s="24"/>
      <c r="AV78" s="26"/>
      <c r="AW78" s="26"/>
      <c r="AX78" s="50"/>
      <c r="AZ78" s="26"/>
      <c r="BA78" s="26"/>
      <c r="BB78" s="24"/>
      <c r="BD78" s="25"/>
      <c r="BE78" s="25"/>
      <c r="BF78" s="24"/>
      <c r="BG78" s="23"/>
    </row>
    <row r="79" spans="10:59">
      <c r="L79" s="26"/>
      <c r="M79" s="26"/>
      <c r="N79" s="24"/>
      <c r="P79" s="26"/>
      <c r="Q79" s="26"/>
      <c r="R79" s="24"/>
      <c r="T79" s="26"/>
      <c r="U79" s="26"/>
      <c r="V79" s="24"/>
      <c r="X79" s="26"/>
      <c r="Y79" s="26"/>
      <c r="Z79" s="24"/>
      <c r="AB79" s="26"/>
      <c r="AC79" s="26"/>
      <c r="AD79" s="24"/>
      <c r="AF79" s="26"/>
      <c r="AG79" s="26"/>
      <c r="AH79" s="24"/>
      <c r="AJ79" s="49"/>
      <c r="AK79" s="49"/>
      <c r="AL79" s="24"/>
      <c r="AN79" s="26"/>
      <c r="AO79" s="26"/>
      <c r="AP79" s="24"/>
      <c r="AR79" s="26"/>
      <c r="AS79" s="26"/>
      <c r="AT79" s="24"/>
      <c r="AV79" s="26"/>
      <c r="AW79" s="26"/>
      <c r="AX79" s="50"/>
      <c r="AZ79" s="26"/>
      <c r="BA79" s="26"/>
      <c r="BB79" s="24"/>
      <c r="BD79" s="25"/>
      <c r="BE79" s="25"/>
      <c r="BF79" s="24"/>
      <c r="BG79" s="23"/>
    </row>
  </sheetData>
  <mergeCells count="62">
    <mergeCell ref="L60:U60"/>
    <mergeCell ref="L73:S73"/>
    <mergeCell ref="T73:U73"/>
    <mergeCell ref="O74:S74"/>
    <mergeCell ref="T74:U74"/>
    <mergeCell ref="AD59:AE59"/>
    <mergeCell ref="V58:AC58"/>
    <mergeCell ref="AD58:AE58"/>
    <mergeCell ref="Y59:AC59"/>
    <mergeCell ref="C15:C24"/>
    <mergeCell ref="H15:H23"/>
    <mergeCell ref="H24:I24"/>
    <mergeCell ref="H26:I26"/>
    <mergeCell ref="L31:S31"/>
    <mergeCell ref="L45:T45"/>
    <mergeCell ref="V45:AE45"/>
    <mergeCell ref="V31:AD31"/>
    <mergeCell ref="O58:R58"/>
    <mergeCell ref="S58:T58"/>
    <mergeCell ref="H10:I10"/>
    <mergeCell ref="H13:I14"/>
    <mergeCell ref="C14:D14"/>
    <mergeCell ref="D13:F13"/>
    <mergeCell ref="C2:F2"/>
    <mergeCell ref="H2:K2"/>
    <mergeCell ref="C6:C9"/>
    <mergeCell ref="H6:H9"/>
    <mergeCell ref="D4:F4"/>
    <mergeCell ref="H4:I5"/>
    <mergeCell ref="C5:D5"/>
    <mergeCell ref="H12:BI12"/>
    <mergeCell ref="J13:M13"/>
    <mergeCell ref="N13:Q13"/>
    <mergeCell ref="R13:U13"/>
    <mergeCell ref="V13:Y13"/>
    <mergeCell ref="BB2:BI2"/>
    <mergeCell ref="H3:BI3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N2:AZ2"/>
    <mergeCell ref="Z13:AC13"/>
    <mergeCell ref="AD13:AG13"/>
    <mergeCell ref="AH13:AK13"/>
    <mergeCell ref="AL13:AO13"/>
    <mergeCell ref="AP13:AS13"/>
    <mergeCell ref="AT13:AW13"/>
    <mergeCell ref="AX13:BA13"/>
    <mergeCell ref="BB13:BE13"/>
    <mergeCell ref="BF13:BI13"/>
    <mergeCell ref="BC27:BC28"/>
    <mergeCell ref="BH27:BI27"/>
  </mergeCells>
  <conditionalFormatting sqref="M47:R56">
    <cfRule type="cellIs" dxfId="38" priority="2" operator="equal">
      <formula>0</formula>
    </cfRule>
  </conditionalFormatting>
  <conditionalFormatting sqref="M62:P71">
    <cfRule type="cellIs" dxfId="37" priority="1" operator="equal">
      <formula>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3">
    <pageSetUpPr fitToPage="1"/>
  </sheetPr>
  <dimension ref="A1:BI80"/>
  <sheetViews>
    <sheetView showGridLines="0" topLeftCell="I1" zoomScale="55" zoomScaleNormal="55" workbookViewId="0">
      <pane xSplit="1" topLeftCell="AF1" activePane="topRight" state="frozen"/>
      <selection activeCell="I1" sqref="I1"/>
      <selection pane="topRight" activeCell="BG33" sqref="BG33"/>
    </sheetView>
  </sheetViews>
  <sheetFormatPr defaultColWidth="9.140625" defaultRowHeight="15"/>
  <cols>
    <col min="1" max="2" width="9.140625" style="23" hidden="1" customWidth="1"/>
    <col min="3" max="3" width="14.5703125" style="23" hidden="1" customWidth="1"/>
    <col min="4" max="4" width="11.42578125" style="27" hidden="1" customWidth="1"/>
    <col min="5" max="5" width="6.85546875" style="27" hidden="1" customWidth="1"/>
    <col min="6" max="6" width="9.140625" style="27" hidden="1" customWidth="1"/>
    <col min="7" max="7" width="3.42578125" style="23" hidden="1" customWidth="1"/>
    <col min="8" max="8" width="6.140625" style="23" customWidth="1"/>
    <col min="9" max="9" width="20.140625" style="27" bestFit="1" customWidth="1"/>
    <col min="10" max="10" width="11.5703125" style="26" customWidth="1"/>
    <col min="11" max="11" width="11" style="24" bestFit="1" customWidth="1"/>
    <col min="12" max="12" width="15" style="24" bestFit="1" customWidth="1"/>
    <col min="13" max="13" width="12.85546875" style="24" customWidth="1"/>
    <col min="14" max="14" width="10.5703125" style="26" customWidth="1"/>
    <col min="15" max="15" width="10.28515625" style="24" customWidth="1"/>
    <col min="16" max="16" width="10.5703125" style="24" customWidth="1"/>
    <col min="17" max="17" width="12.85546875" style="24" customWidth="1"/>
    <col min="18" max="18" width="9.7109375" style="26" bestFit="1" customWidth="1"/>
    <col min="19" max="19" width="11.5703125" style="24" customWidth="1"/>
    <col min="20" max="20" width="14" style="24" bestFit="1" customWidth="1"/>
    <col min="21" max="21" width="10" style="24" customWidth="1"/>
    <col min="22" max="22" width="13.7109375" style="26" bestFit="1" customWidth="1"/>
    <col min="23" max="23" width="11.5703125" style="24" bestFit="1" customWidth="1"/>
    <col min="24" max="25" width="9.7109375" style="24" customWidth="1"/>
    <col min="26" max="26" width="9.7109375" style="26" customWidth="1"/>
    <col min="27" max="29" width="9.7109375" style="24" customWidth="1"/>
    <col min="30" max="30" width="11.5703125" style="26" bestFit="1" customWidth="1"/>
    <col min="31" max="31" width="11.7109375" style="24" bestFit="1" customWidth="1"/>
    <col min="32" max="32" width="10.5703125" style="24" bestFit="1" customWidth="1"/>
    <col min="33" max="33" width="10.5703125" style="24" customWidth="1"/>
    <col min="34" max="34" width="11.5703125" style="26" bestFit="1" customWidth="1"/>
    <col min="35" max="35" width="13.5703125" style="24" customWidth="1"/>
    <col min="36" max="37" width="11.5703125" style="24" customWidth="1"/>
    <col min="38" max="38" width="10.5703125" style="49" customWidth="1"/>
    <col min="39" max="39" width="11" style="24" bestFit="1" customWidth="1"/>
    <col min="40" max="40" width="12" style="24" bestFit="1" customWidth="1"/>
    <col min="41" max="41" width="12" style="24" customWidth="1"/>
    <col min="42" max="42" width="11" style="26" customWidth="1"/>
    <col min="43" max="43" width="10" style="24" bestFit="1" customWidth="1"/>
    <col min="44" max="44" width="11.28515625" style="24" customWidth="1"/>
    <col min="45" max="45" width="13.85546875" style="24" customWidth="1"/>
    <col min="46" max="46" width="11.7109375" style="26" customWidth="1"/>
    <col min="47" max="47" width="11.7109375" style="24" customWidth="1"/>
    <col min="48" max="48" width="10.5703125" style="24" bestFit="1" customWidth="1"/>
    <col min="49" max="49" width="10.5703125" style="24" customWidth="1"/>
    <col min="50" max="50" width="9.140625" style="26" bestFit="1" customWidth="1"/>
    <col min="51" max="51" width="13.140625" style="50" bestFit="1" customWidth="1"/>
    <col min="52" max="52" width="10.5703125" style="50" bestFit="1" customWidth="1"/>
    <col min="53" max="53" width="10.5703125" style="50" customWidth="1"/>
    <col min="54" max="54" width="10.7109375" style="26" bestFit="1" customWidth="1"/>
    <col min="55" max="55" width="12.85546875" style="24" bestFit="1" customWidth="1"/>
    <col min="56" max="56" width="10.5703125" style="24" bestFit="1" customWidth="1"/>
    <col min="57" max="57" width="10.5703125" style="24" customWidth="1"/>
    <col min="58" max="58" width="16" style="25" bestFit="1" customWidth="1"/>
    <col min="59" max="59" width="10.7109375" style="24" bestFit="1" customWidth="1"/>
    <col min="60" max="60" width="13" style="23" bestFit="1" customWidth="1"/>
    <col min="61" max="16384" width="9.140625" style="23"/>
  </cols>
  <sheetData>
    <row r="1" spans="3:61" ht="15" customHeight="1" thickBot="1"/>
    <row r="2" spans="3:61" ht="21.75" thickBot="1">
      <c r="C2" s="1899" t="s">
        <v>45</v>
      </c>
      <c r="D2" s="1900"/>
      <c r="E2" s="1900"/>
      <c r="F2" s="1901"/>
      <c r="H2" s="1915"/>
      <c r="I2" s="1567"/>
      <c r="J2" s="1567"/>
      <c r="K2" s="1567"/>
      <c r="L2" s="1020"/>
      <c r="M2" s="1020"/>
      <c r="N2" s="1916" t="s">
        <v>249</v>
      </c>
      <c r="O2" s="1916"/>
      <c r="P2" s="1916"/>
      <c r="Q2" s="1916"/>
      <c r="R2" s="1916"/>
      <c r="S2" s="1916"/>
      <c r="T2" s="1916"/>
      <c r="U2" s="1916"/>
      <c r="V2" s="1916"/>
      <c r="W2" s="1916"/>
      <c r="X2" s="1916"/>
      <c r="Y2" s="1916"/>
      <c r="Z2" s="1916"/>
      <c r="AA2" s="1916"/>
      <c r="AB2" s="1916"/>
      <c r="AC2" s="1916"/>
      <c r="AD2" s="1916"/>
      <c r="AE2" s="1916"/>
      <c r="AF2" s="1916"/>
      <c r="AG2" s="1916"/>
      <c r="AH2" s="1916"/>
      <c r="AI2" s="1916"/>
      <c r="AJ2" s="1916"/>
      <c r="AK2" s="1916"/>
      <c r="AL2" s="1916"/>
      <c r="AM2" s="1916"/>
      <c r="AN2" s="1916"/>
      <c r="AO2" s="1916"/>
      <c r="AP2" s="1916"/>
      <c r="AQ2" s="1916"/>
      <c r="AR2" s="1916"/>
      <c r="AS2" s="1916"/>
      <c r="AT2" s="1916"/>
      <c r="AU2" s="1916"/>
      <c r="AV2" s="1916"/>
      <c r="AW2" s="1916"/>
      <c r="AX2" s="1916"/>
      <c r="AY2" s="1916"/>
      <c r="AZ2" s="1916"/>
      <c r="BA2" s="1020"/>
      <c r="BB2" s="1902" t="s">
        <v>118</v>
      </c>
      <c r="BC2" s="1903"/>
      <c r="BD2" s="1903"/>
      <c r="BE2" s="1903"/>
      <c r="BF2" s="1903"/>
      <c r="BG2" s="1903"/>
      <c r="BH2" s="1903"/>
      <c r="BI2" s="1904"/>
    </row>
    <row r="3" spans="3:61" ht="19.5" thickBot="1">
      <c r="C3" s="1019"/>
      <c r="D3" s="1017"/>
      <c r="E3" s="1017"/>
      <c r="F3" s="1023"/>
      <c r="H3" s="1905" t="s">
        <v>115</v>
      </c>
      <c r="I3" s="1906"/>
      <c r="J3" s="1906"/>
      <c r="K3" s="1906"/>
      <c r="L3" s="1906"/>
      <c r="M3" s="1906"/>
      <c r="N3" s="1906"/>
      <c r="O3" s="1906"/>
      <c r="P3" s="1906"/>
      <c r="Q3" s="1906"/>
      <c r="R3" s="1906"/>
      <c r="S3" s="1906"/>
      <c r="T3" s="1906"/>
      <c r="U3" s="1906"/>
      <c r="V3" s="1906"/>
      <c r="W3" s="1906"/>
      <c r="X3" s="1906"/>
      <c r="Y3" s="1906"/>
      <c r="Z3" s="1906"/>
      <c r="AA3" s="1906"/>
      <c r="AB3" s="1906"/>
      <c r="AC3" s="1906"/>
      <c r="AD3" s="1906"/>
      <c r="AE3" s="1906"/>
      <c r="AF3" s="1906"/>
      <c r="AG3" s="1906"/>
      <c r="AH3" s="1906"/>
      <c r="AI3" s="1906"/>
      <c r="AJ3" s="1906"/>
      <c r="AK3" s="1906"/>
      <c r="AL3" s="1906"/>
      <c r="AM3" s="1906"/>
      <c r="AN3" s="1906"/>
      <c r="AO3" s="1906"/>
      <c r="AP3" s="1906"/>
      <c r="AQ3" s="1906"/>
      <c r="AR3" s="1906"/>
      <c r="AS3" s="1906"/>
      <c r="AT3" s="1906"/>
      <c r="AU3" s="1906"/>
      <c r="AV3" s="1906"/>
      <c r="AW3" s="1906"/>
      <c r="AX3" s="1906"/>
      <c r="AY3" s="1906"/>
      <c r="AZ3" s="1906"/>
      <c r="BA3" s="1906"/>
      <c r="BB3" s="1906"/>
      <c r="BC3" s="1906"/>
      <c r="BD3" s="1906"/>
      <c r="BE3" s="1906"/>
      <c r="BF3" s="1906"/>
      <c r="BG3" s="1906"/>
      <c r="BH3" s="1906"/>
      <c r="BI3" s="1907"/>
    </row>
    <row r="4" spans="3:61" ht="18.75">
      <c r="C4" s="37" t="s">
        <v>44</v>
      </c>
      <c r="D4" s="1869"/>
      <c r="E4" s="1869"/>
      <c r="F4" s="1870"/>
      <c r="H4" s="1908" t="s">
        <v>33</v>
      </c>
      <c r="I4" s="1909"/>
      <c r="J4" s="1871" t="s">
        <v>43</v>
      </c>
      <c r="K4" s="1872"/>
      <c r="L4" s="1872"/>
      <c r="M4" s="1873"/>
      <c r="N4" s="1871" t="s">
        <v>42</v>
      </c>
      <c r="O4" s="1872"/>
      <c r="P4" s="1872"/>
      <c r="Q4" s="1873"/>
      <c r="R4" s="1871" t="s">
        <v>41</v>
      </c>
      <c r="S4" s="1872"/>
      <c r="T4" s="1872"/>
      <c r="U4" s="1873"/>
      <c r="V4" s="1871" t="s">
        <v>40</v>
      </c>
      <c r="W4" s="1872"/>
      <c r="X4" s="1872"/>
      <c r="Y4" s="1873"/>
      <c r="Z4" s="1871" t="s">
        <v>39</v>
      </c>
      <c r="AA4" s="1872"/>
      <c r="AB4" s="1872"/>
      <c r="AC4" s="1873"/>
      <c r="AD4" s="1871" t="s">
        <v>38</v>
      </c>
      <c r="AE4" s="1872"/>
      <c r="AF4" s="1872"/>
      <c r="AG4" s="1873"/>
      <c r="AH4" s="1874" t="s">
        <v>122</v>
      </c>
      <c r="AI4" s="1875"/>
      <c r="AJ4" s="1875"/>
      <c r="AK4" s="1875"/>
      <c r="AL4" s="1890" t="s">
        <v>37</v>
      </c>
      <c r="AM4" s="1891"/>
      <c r="AN4" s="1891"/>
      <c r="AO4" s="1892"/>
      <c r="AP4" s="1872" t="s">
        <v>36</v>
      </c>
      <c r="AQ4" s="1872"/>
      <c r="AR4" s="1872"/>
      <c r="AS4" s="1873"/>
      <c r="AT4" s="1871" t="s">
        <v>35</v>
      </c>
      <c r="AU4" s="1872"/>
      <c r="AV4" s="1872"/>
      <c r="AW4" s="1873"/>
      <c r="AX4" s="1871" t="s">
        <v>34</v>
      </c>
      <c r="AY4" s="1872"/>
      <c r="AZ4" s="1872"/>
      <c r="BA4" s="1873"/>
      <c r="BB4" s="1874" t="s">
        <v>123</v>
      </c>
      <c r="BC4" s="1875"/>
      <c r="BD4" s="1875"/>
      <c r="BE4" s="1876"/>
      <c r="BF4" s="1877" t="s">
        <v>17</v>
      </c>
      <c r="BG4" s="1878"/>
      <c r="BH4" s="1878"/>
      <c r="BI4" s="1878"/>
    </row>
    <row r="5" spans="3:61" ht="15.75" customHeight="1">
      <c r="C5" s="1879" t="s">
        <v>33</v>
      </c>
      <c r="D5" s="1869"/>
      <c r="E5" s="1017" t="s">
        <v>1</v>
      </c>
      <c r="F5" s="1023" t="s">
        <v>2</v>
      </c>
      <c r="H5" s="1910"/>
      <c r="I5" s="1911"/>
      <c r="J5" s="36" t="s">
        <v>1</v>
      </c>
      <c r="K5" s="271" t="s">
        <v>2</v>
      </c>
      <c r="L5" s="693" t="s">
        <v>182</v>
      </c>
      <c r="M5" s="35" t="s">
        <v>247</v>
      </c>
      <c r="N5" s="36" t="s">
        <v>1</v>
      </c>
      <c r="O5" s="271" t="s">
        <v>2</v>
      </c>
      <c r="P5" s="693" t="s">
        <v>182</v>
      </c>
      <c r="Q5" s="35" t="s">
        <v>247</v>
      </c>
      <c r="R5" s="36" t="s">
        <v>1</v>
      </c>
      <c r="S5" s="271" t="s">
        <v>2</v>
      </c>
      <c r="T5" s="693" t="s">
        <v>182</v>
      </c>
      <c r="U5" s="35" t="s">
        <v>247</v>
      </c>
      <c r="V5" s="36" t="s">
        <v>1</v>
      </c>
      <c r="W5" s="271" t="s">
        <v>2</v>
      </c>
      <c r="X5" s="693" t="s">
        <v>182</v>
      </c>
      <c r="Y5" s="35" t="s">
        <v>247</v>
      </c>
      <c r="Z5" s="36" t="s">
        <v>1</v>
      </c>
      <c r="AA5" s="271" t="s">
        <v>2</v>
      </c>
      <c r="AB5" s="693" t="s">
        <v>182</v>
      </c>
      <c r="AC5" s="35" t="s">
        <v>247</v>
      </c>
      <c r="AD5" s="36" t="s">
        <v>1</v>
      </c>
      <c r="AE5" s="271" t="s">
        <v>2</v>
      </c>
      <c r="AF5" s="693" t="s">
        <v>182</v>
      </c>
      <c r="AG5" s="35" t="s">
        <v>247</v>
      </c>
      <c r="AH5" s="36" t="s">
        <v>1</v>
      </c>
      <c r="AI5" s="271" t="s">
        <v>2</v>
      </c>
      <c r="AJ5" s="271" t="s">
        <v>182</v>
      </c>
      <c r="AK5" s="690" t="s">
        <v>196</v>
      </c>
      <c r="AL5" s="36" t="s">
        <v>1</v>
      </c>
      <c r="AM5" s="271" t="s">
        <v>2</v>
      </c>
      <c r="AN5" s="693" t="s">
        <v>182</v>
      </c>
      <c r="AO5" s="35" t="s">
        <v>247</v>
      </c>
      <c r="AP5" s="1269" t="s">
        <v>1</v>
      </c>
      <c r="AQ5" s="271" t="s">
        <v>2</v>
      </c>
      <c r="AR5" s="693" t="s">
        <v>182</v>
      </c>
      <c r="AS5" s="35" t="s">
        <v>247</v>
      </c>
      <c r="AT5" s="36" t="s">
        <v>1</v>
      </c>
      <c r="AU5" s="271" t="s">
        <v>2</v>
      </c>
      <c r="AV5" s="693" t="s">
        <v>182</v>
      </c>
      <c r="AW5" s="35" t="s">
        <v>247</v>
      </c>
      <c r="AX5" s="36" t="s">
        <v>1</v>
      </c>
      <c r="AY5" s="271" t="s">
        <v>2</v>
      </c>
      <c r="AZ5" s="693" t="s">
        <v>182</v>
      </c>
      <c r="BA5" s="35" t="s">
        <v>247</v>
      </c>
      <c r="BB5" s="36" t="s">
        <v>1</v>
      </c>
      <c r="BC5" s="271" t="s">
        <v>2</v>
      </c>
      <c r="BD5" s="271" t="s">
        <v>182</v>
      </c>
      <c r="BE5" s="690" t="s">
        <v>196</v>
      </c>
      <c r="BF5" s="274" t="s">
        <v>1</v>
      </c>
      <c r="BG5" s="275" t="s">
        <v>2</v>
      </c>
      <c r="BH5" s="275" t="s">
        <v>182</v>
      </c>
      <c r="BI5" s="698" t="s">
        <v>196</v>
      </c>
    </row>
    <row r="6" spans="3:61" s="28" customFormat="1" ht="20.100000000000001" customHeight="1">
      <c r="C6" s="1879" t="s">
        <v>19</v>
      </c>
      <c r="D6" s="1017" t="s">
        <v>32</v>
      </c>
      <c r="E6" s="1017"/>
      <c r="F6" s="1018"/>
      <c r="H6" s="1886" t="s">
        <v>32</v>
      </c>
      <c r="I6" s="33" t="s">
        <v>32</v>
      </c>
      <c r="J6" s="462"/>
      <c r="K6" s="463">
        <v>7</v>
      </c>
      <c r="L6" s="463">
        <v>7</v>
      </c>
      <c r="M6" s="691"/>
      <c r="N6" s="462">
        <v>8</v>
      </c>
      <c r="O6" s="463">
        <v>6</v>
      </c>
      <c r="P6" s="463">
        <v>6</v>
      </c>
      <c r="Q6" s="691"/>
      <c r="R6" s="462"/>
      <c r="S6" s="463"/>
      <c r="T6" s="463"/>
      <c r="U6" s="691"/>
      <c r="V6" s="462">
        <v>3</v>
      </c>
      <c r="W6" s="463">
        <v>1</v>
      </c>
      <c r="X6" s="463">
        <v>1</v>
      </c>
      <c r="Y6" s="691"/>
      <c r="Z6" s="462"/>
      <c r="AA6" s="463"/>
      <c r="AB6" s="463"/>
      <c r="AC6" s="691"/>
      <c r="AD6" s="462">
        <v>10</v>
      </c>
      <c r="AE6" s="463"/>
      <c r="AF6" s="463"/>
      <c r="AG6" s="691"/>
      <c r="AH6" s="128">
        <f>J6+N6+R6+V6+Z6+AD6</f>
        <v>21</v>
      </c>
      <c r="AI6" s="273">
        <f>K6+O6+S6+W6+AA6+AE6</f>
        <v>14</v>
      </c>
      <c r="AJ6" s="273">
        <f>L6+P6+T6+X6+AB6+AF6</f>
        <v>14</v>
      </c>
      <c r="AK6" s="1266">
        <f>M6+Q6+U6+Y6+AC6+AG6</f>
        <v>0</v>
      </c>
      <c r="AL6" s="462">
        <v>5</v>
      </c>
      <c r="AM6" s="463">
        <v>7.5</v>
      </c>
      <c r="AN6" s="1094">
        <v>7.5</v>
      </c>
      <c r="AO6" s="1271"/>
      <c r="AP6" s="1267"/>
      <c r="AQ6" s="463"/>
      <c r="AR6" s="463"/>
      <c r="AS6" s="691"/>
      <c r="AT6" s="462">
        <v>12</v>
      </c>
      <c r="AU6" s="463">
        <v>2</v>
      </c>
      <c r="AV6" s="463">
        <v>2</v>
      </c>
      <c r="AW6" s="691"/>
      <c r="AX6" s="462">
        <v>15</v>
      </c>
      <c r="AY6" s="463">
        <v>13</v>
      </c>
      <c r="AZ6" s="463">
        <v>13</v>
      </c>
      <c r="BA6" s="691"/>
      <c r="BB6" s="128">
        <f>AL6+AP6+AT6+AX6</f>
        <v>32</v>
      </c>
      <c r="BC6" s="273">
        <f>AM6+AQ6+AU6+AY6</f>
        <v>22.5</v>
      </c>
      <c r="BD6" s="273">
        <f>AN6+AR6+AV6+AZ6</f>
        <v>22.5</v>
      </c>
      <c r="BE6" s="273">
        <f>AO6+AS6+AW6+BA6</f>
        <v>0</v>
      </c>
      <c r="BF6" s="276">
        <f>AH6+BB6</f>
        <v>53</v>
      </c>
      <c r="BG6" s="277">
        <f>AI6+BC6</f>
        <v>36.5</v>
      </c>
      <c r="BH6" s="701">
        <f>AJ6+BD6</f>
        <v>36.5</v>
      </c>
      <c r="BI6" s="699">
        <f>AK6+BE6</f>
        <v>0</v>
      </c>
    </row>
    <row r="7" spans="3:61" s="28" customFormat="1" ht="20.100000000000001" customHeight="1">
      <c r="C7" s="1879"/>
      <c r="D7" s="1017" t="s">
        <v>31</v>
      </c>
      <c r="E7" s="1017"/>
      <c r="F7" s="1018"/>
      <c r="H7" s="1887"/>
      <c r="I7" s="33" t="s">
        <v>31</v>
      </c>
      <c r="J7" s="462"/>
      <c r="K7" s="463"/>
      <c r="L7" s="463"/>
      <c r="M7" s="691"/>
      <c r="N7" s="462"/>
      <c r="O7" s="463"/>
      <c r="P7" s="463"/>
      <c r="Q7" s="691"/>
      <c r="R7" s="462"/>
      <c r="S7" s="463"/>
      <c r="T7" s="463"/>
      <c r="U7" s="691"/>
      <c r="V7" s="462"/>
      <c r="W7" s="463"/>
      <c r="X7" s="463"/>
      <c r="Y7" s="691"/>
      <c r="Z7" s="462"/>
      <c r="AA7" s="463"/>
      <c r="AB7" s="463"/>
      <c r="AC7" s="691"/>
      <c r="AD7" s="462"/>
      <c r="AE7" s="463"/>
      <c r="AF7" s="463"/>
      <c r="AG7" s="691"/>
      <c r="AH7" s="128">
        <f t="shared" ref="AH7:AK9" si="0">J7+N7+R7+V7+Z7+AD7</f>
        <v>0</v>
      </c>
      <c r="AI7" s="273">
        <f t="shared" si="0"/>
        <v>0</v>
      </c>
      <c r="AJ7" s="273">
        <f t="shared" si="0"/>
        <v>0</v>
      </c>
      <c r="AK7" s="1266">
        <f t="shared" si="0"/>
        <v>0</v>
      </c>
      <c r="AL7" s="462"/>
      <c r="AM7" s="463"/>
      <c r="AN7" s="463"/>
      <c r="AO7" s="1271"/>
      <c r="AP7" s="1267"/>
      <c r="AQ7" s="463"/>
      <c r="AR7" s="463"/>
      <c r="AS7" s="691"/>
      <c r="AT7" s="462"/>
      <c r="AU7" s="463"/>
      <c r="AV7" s="463"/>
      <c r="AW7" s="691"/>
      <c r="AX7" s="462"/>
      <c r="AY7" s="463"/>
      <c r="AZ7" s="463"/>
      <c r="BA7" s="691"/>
      <c r="BB7" s="128">
        <f t="shared" ref="BB7:BE9" si="1">AL7+AP7+AT7+AX7</f>
        <v>0</v>
      </c>
      <c r="BC7" s="273">
        <f t="shared" si="1"/>
        <v>0</v>
      </c>
      <c r="BD7" s="273">
        <f t="shared" si="1"/>
        <v>0</v>
      </c>
      <c r="BE7" s="273">
        <f t="shared" si="1"/>
        <v>0</v>
      </c>
      <c r="BF7" s="276">
        <f t="shared" ref="BF7:BI9" si="2">AH7+BB7</f>
        <v>0</v>
      </c>
      <c r="BG7" s="277">
        <f t="shared" si="2"/>
        <v>0</v>
      </c>
      <c r="BH7" s="277">
        <f t="shared" si="2"/>
        <v>0</v>
      </c>
      <c r="BI7" s="699">
        <f t="shared" si="2"/>
        <v>0</v>
      </c>
    </row>
    <row r="8" spans="3:61" s="28" customFormat="1" ht="20.100000000000001" customHeight="1">
      <c r="C8" s="1879"/>
      <c r="D8" s="1017" t="s">
        <v>30</v>
      </c>
      <c r="E8" s="1017"/>
      <c r="F8" s="1018"/>
      <c r="H8" s="1887"/>
      <c r="I8" s="33" t="s">
        <v>30</v>
      </c>
      <c r="J8" s="462"/>
      <c r="K8" s="463">
        <v>1</v>
      </c>
      <c r="L8" s="463">
        <v>1</v>
      </c>
      <c r="M8" s="691"/>
      <c r="N8" s="462"/>
      <c r="O8" s="463"/>
      <c r="P8" s="463"/>
      <c r="Q8" s="691"/>
      <c r="R8" s="462"/>
      <c r="S8" s="463"/>
      <c r="T8" s="463"/>
      <c r="U8" s="691"/>
      <c r="V8" s="462">
        <v>2</v>
      </c>
      <c r="W8" s="463"/>
      <c r="X8" s="463"/>
      <c r="Y8" s="691"/>
      <c r="Z8" s="462"/>
      <c r="AA8" s="463"/>
      <c r="AB8" s="463"/>
      <c r="AC8" s="691"/>
      <c r="AD8" s="462"/>
      <c r="AE8" s="463"/>
      <c r="AF8" s="463"/>
      <c r="AG8" s="691"/>
      <c r="AH8" s="128">
        <f t="shared" si="0"/>
        <v>2</v>
      </c>
      <c r="AI8" s="273">
        <f t="shared" si="0"/>
        <v>1</v>
      </c>
      <c r="AJ8" s="273">
        <f t="shared" si="0"/>
        <v>1</v>
      </c>
      <c r="AK8" s="1266">
        <f t="shared" si="0"/>
        <v>0</v>
      </c>
      <c r="AL8" s="462"/>
      <c r="AM8" s="463"/>
      <c r="AN8" s="463"/>
      <c r="AO8" s="1271"/>
      <c r="AP8" s="1267"/>
      <c r="AQ8" s="463"/>
      <c r="AR8" s="463"/>
      <c r="AS8" s="691"/>
      <c r="AT8" s="462"/>
      <c r="AU8" s="463">
        <v>2</v>
      </c>
      <c r="AV8" s="463">
        <v>2</v>
      </c>
      <c r="AW8" s="691"/>
      <c r="AX8" s="462"/>
      <c r="AY8" s="463"/>
      <c r="AZ8" s="463"/>
      <c r="BA8" s="691"/>
      <c r="BB8" s="128">
        <f t="shared" si="1"/>
        <v>0</v>
      </c>
      <c r="BC8" s="273">
        <f t="shared" si="1"/>
        <v>2</v>
      </c>
      <c r="BD8" s="273">
        <f t="shared" si="1"/>
        <v>2</v>
      </c>
      <c r="BE8" s="273">
        <f t="shared" si="1"/>
        <v>0</v>
      </c>
      <c r="BF8" s="276">
        <f t="shared" si="2"/>
        <v>2</v>
      </c>
      <c r="BG8" s="277">
        <f t="shared" si="2"/>
        <v>3</v>
      </c>
      <c r="BH8" s="277">
        <f t="shared" si="2"/>
        <v>3</v>
      </c>
      <c r="BI8" s="699">
        <f t="shared" si="2"/>
        <v>0</v>
      </c>
    </row>
    <row r="9" spans="3:61" s="28" customFormat="1" ht="20.100000000000001" customHeight="1">
      <c r="C9" s="1885"/>
      <c r="D9" s="1017" t="s">
        <v>29</v>
      </c>
      <c r="E9" s="1017"/>
      <c r="F9" s="1018"/>
      <c r="H9" s="1887"/>
      <c r="I9" s="33" t="s">
        <v>109</v>
      </c>
      <c r="J9" s="462">
        <v>3</v>
      </c>
      <c r="K9" s="463">
        <v>1</v>
      </c>
      <c r="L9" s="463">
        <v>1</v>
      </c>
      <c r="M9" s="691"/>
      <c r="N9" s="462"/>
      <c r="O9" s="463"/>
      <c r="P9" s="463"/>
      <c r="Q9" s="691"/>
      <c r="R9" s="462">
        <v>5</v>
      </c>
      <c r="S9" s="463"/>
      <c r="T9" s="463"/>
      <c r="U9" s="691"/>
      <c r="V9" s="462">
        <v>5</v>
      </c>
      <c r="W9" s="463">
        <v>1</v>
      </c>
      <c r="X9" s="463">
        <v>1</v>
      </c>
      <c r="Y9" s="691"/>
      <c r="Z9" s="462">
        <v>1</v>
      </c>
      <c r="AA9" s="463"/>
      <c r="AB9" s="463"/>
      <c r="AC9" s="691"/>
      <c r="AD9" s="462"/>
      <c r="AE9" s="463"/>
      <c r="AF9" s="463"/>
      <c r="AG9" s="691"/>
      <c r="AH9" s="128">
        <f t="shared" si="0"/>
        <v>14</v>
      </c>
      <c r="AI9" s="273">
        <f t="shared" si="0"/>
        <v>2</v>
      </c>
      <c r="AJ9" s="273">
        <f t="shared" si="0"/>
        <v>2</v>
      </c>
      <c r="AK9" s="1266">
        <f t="shared" si="0"/>
        <v>0</v>
      </c>
      <c r="AL9" s="462"/>
      <c r="AM9" s="463"/>
      <c r="AN9" s="463"/>
      <c r="AO9" s="1271"/>
      <c r="AP9" s="1267"/>
      <c r="AQ9" s="463">
        <v>1</v>
      </c>
      <c r="AR9" s="463">
        <v>1</v>
      </c>
      <c r="AS9" s="691"/>
      <c r="AT9" s="462"/>
      <c r="AU9" s="463"/>
      <c r="AV9" s="463"/>
      <c r="AW9" s="691"/>
      <c r="AX9" s="462"/>
      <c r="AY9" s="463"/>
      <c r="AZ9" s="463"/>
      <c r="BA9" s="691"/>
      <c r="BB9" s="128">
        <f t="shared" si="1"/>
        <v>0</v>
      </c>
      <c r="BC9" s="273">
        <f t="shared" si="1"/>
        <v>1</v>
      </c>
      <c r="BD9" s="273">
        <f t="shared" si="1"/>
        <v>1</v>
      </c>
      <c r="BE9" s="273">
        <f t="shared" si="1"/>
        <v>0</v>
      </c>
      <c r="BF9" s="276">
        <f t="shared" si="2"/>
        <v>14</v>
      </c>
      <c r="BG9" s="277">
        <f t="shared" si="2"/>
        <v>3</v>
      </c>
      <c r="BH9" s="277">
        <f t="shared" si="2"/>
        <v>3</v>
      </c>
      <c r="BI9" s="699">
        <f t="shared" si="2"/>
        <v>0</v>
      </c>
    </row>
    <row r="10" spans="3:61" s="28" customFormat="1" ht="19.5" customHeight="1" thickBot="1">
      <c r="C10" s="32"/>
      <c r="D10" s="31" t="s">
        <v>18</v>
      </c>
      <c r="E10" s="31"/>
      <c r="F10" s="30"/>
      <c r="H10" s="1865" t="s">
        <v>47</v>
      </c>
      <c r="I10" s="1866"/>
      <c r="J10" s="118">
        <f t="shared" ref="J10:BG10" si="3">SUM(J6:J9)</f>
        <v>3</v>
      </c>
      <c r="K10" s="272">
        <f t="shared" si="3"/>
        <v>9</v>
      </c>
      <c r="L10" s="272">
        <f t="shared" si="3"/>
        <v>9</v>
      </c>
      <c r="M10" s="272">
        <f t="shared" si="3"/>
        <v>0</v>
      </c>
      <c r="N10" s="118">
        <f t="shared" si="3"/>
        <v>8</v>
      </c>
      <c r="O10" s="272">
        <f t="shared" si="3"/>
        <v>6</v>
      </c>
      <c r="P10" s="272">
        <f t="shared" si="3"/>
        <v>6</v>
      </c>
      <c r="Q10" s="272">
        <f t="shared" si="3"/>
        <v>0</v>
      </c>
      <c r="R10" s="118">
        <f t="shared" si="3"/>
        <v>5</v>
      </c>
      <c r="S10" s="272">
        <f t="shared" si="3"/>
        <v>0</v>
      </c>
      <c r="T10" s="272">
        <f t="shared" si="3"/>
        <v>0</v>
      </c>
      <c r="U10" s="272">
        <f t="shared" si="3"/>
        <v>0</v>
      </c>
      <c r="V10" s="118">
        <f t="shared" si="3"/>
        <v>10</v>
      </c>
      <c r="W10" s="272">
        <f t="shared" si="3"/>
        <v>2</v>
      </c>
      <c r="X10" s="272">
        <f t="shared" si="3"/>
        <v>2</v>
      </c>
      <c r="Y10" s="272">
        <f t="shared" si="3"/>
        <v>0</v>
      </c>
      <c r="Z10" s="118">
        <f t="shared" si="3"/>
        <v>1</v>
      </c>
      <c r="AA10" s="272">
        <f t="shared" si="3"/>
        <v>0</v>
      </c>
      <c r="AB10" s="272">
        <f t="shared" si="3"/>
        <v>0</v>
      </c>
      <c r="AC10" s="272">
        <f t="shared" si="3"/>
        <v>0</v>
      </c>
      <c r="AD10" s="118">
        <f t="shared" si="3"/>
        <v>10</v>
      </c>
      <c r="AE10" s="272">
        <f t="shared" si="3"/>
        <v>0</v>
      </c>
      <c r="AF10" s="272">
        <f t="shared" si="3"/>
        <v>0</v>
      </c>
      <c r="AG10" s="272">
        <f t="shared" si="3"/>
        <v>0</v>
      </c>
      <c r="AH10" s="118">
        <f t="shared" si="3"/>
        <v>37</v>
      </c>
      <c r="AI10" s="272">
        <f t="shared" si="3"/>
        <v>17</v>
      </c>
      <c r="AJ10" s="272">
        <f>SUM(AJ6:AJ9)</f>
        <v>17</v>
      </c>
      <c r="AK10" s="1268">
        <f>SUM(AK6:AK9)</f>
        <v>0</v>
      </c>
      <c r="AL10" s="118">
        <f t="shared" si="3"/>
        <v>5</v>
      </c>
      <c r="AM10" s="272">
        <f t="shared" si="3"/>
        <v>7.5</v>
      </c>
      <c r="AN10" s="272">
        <f t="shared" si="3"/>
        <v>7.5</v>
      </c>
      <c r="AO10" s="1272">
        <f t="shared" si="3"/>
        <v>0</v>
      </c>
      <c r="AP10" s="1270">
        <f t="shared" si="3"/>
        <v>0</v>
      </c>
      <c r="AQ10" s="272">
        <f t="shared" si="3"/>
        <v>1</v>
      </c>
      <c r="AR10" s="272">
        <f t="shared" si="3"/>
        <v>1</v>
      </c>
      <c r="AS10" s="272">
        <f t="shared" si="3"/>
        <v>0</v>
      </c>
      <c r="AT10" s="118">
        <f t="shared" si="3"/>
        <v>12</v>
      </c>
      <c r="AU10" s="272">
        <f t="shared" si="3"/>
        <v>4</v>
      </c>
      <c r="AV10" s="272">
        <f t="shared" si="3"/>
        <v>4</v>
      </c>
      <c r="AW10" s="272">
        <f t="shared" si="3"/>
        <v>0</v>
      </c>
      <c r="AX10" s="118">
        <f t="shared" si="3"/>
        <v>15</v>
      </c>
      <c r="AY10" s="272">
        <f t="shared" si="3"/>
        <v>13</v>
      </c>
      <c r="AZ10" s="272">
        <f t="shared" si="3"/>
        <v>13</v>
      </c>
      <c r="BA10" s="272">
        <f t="shared" si="3"/>
        <v>0</v>
      </c>
      <c r="BB10" s="118">
        <f t="shared" si="3"/>
        <v>32</v>
      </c>
      <c r="BC10" s="272">
        <f t="shared" si="3"/>
        <v>25.5</v>
      </c>
      <c r="BD10" s="272">
        <f t="shared" si="3"/>
        <v>25.5</v>
      </c>
      <c r="BE10" s="272">
        <f t="shared" si="3"/>
        <v>0</v>
      </c>
      <c r="BF10" s="278">
        <f t="shared" si="3"/>
        <v>69</v>
      </c>
      <c r="BG10" s="279">
        <f t="shared" si="3"/>
        <v>42.5</v>
      </c>
      <c r="BH10" s="702">
        <f>AJ10+BD10</f>
        <v>42.5</v>
      </c>
      <c r="BI10" s="700">
        <f>AK10+BE10</f>
        <v>0</v>
      </c>
    </row>
    <row r="11" spans="3:61" s="119" customFormat="1" ht="5.25" customHeight="1">
      <c r="D11" s="120"/>
      <c r="E11" s="120"/>
      <c r="F11" s="120"/>
      <c r="H11" s="122"/>
      <c r="I11" s="122"/>
      <c r="J11" s="125"/>
      <c r="K11" s="126"/>
      <c r="L11" s="126"/>
      <c r="M11" s="126"/>
      <c r="N11" s="125"/>
      <c r="O11" s="126"/>
      <c r="P11" s="126"/>
      <c r="Q11" s="126"/>
      <c r="R11" s="125"/>
      <c r="S11" s="126"/>
      <c r="T11" s="126"/>
      <c r="U11" s="126"/>
      <c r="V11" s="125"/>
      <c r="W11" s="126"/>
      <c r="X11" s="126"/>
      <c r="Y11" s="126"/>
      <c r="Z11" s="125"/>
      <c r="AA11" s="126"/>
      <c r="AB11" s="126"/>
      <c r="AC11" s="126"/>
      <c r="AD11" s="125"/>
      <c r="AE11" s="126"/>
      <c r="AF11" s="126"/>
      <c r="AG11" s="126"/>
      <c r="AH11" s="125"/>
      <c r="AI11" s="126"/>
      <c r="AJ11" s="126"/>
      <c r="AK11" s="126"/>
      <c r="AL11" s="125"/>
      <c r="AM11" s="126"/>
      <c r="AN11" s="126"/>
      <c r="AO11" s="126"/>
      <c r="AP11" s="125"/>
      <c r="AQ11" s="126"/>
      <c r="AR11" s="126"/>
      <c r="AS11" s="126"/>
      <c r="AT11" s="125"/>
      <c r="AU11" s="126"/>
      <c r="AV11" s="126"/>
      <c r="AW11" s="126"/>
      <c r="AX11" s="125"/>
      <c r="AY11" s="126"/>
      <c r="AZ11" s="126"/>
      <c r="BA11" s="126"/>
      <c r="BB11" s="125"/>
      <c r="BC11" s="126"/>
      <c r="BD11" s="126"/>
      <c r="BE11" s="126"/>
      <c r="BF11" s="125"/>
      <c r="BG11" s="126"/>
    </row>
    <row r="12" spans="3:61" ht="19.5" thickBot="1">
      <c r="C12" s="1019"/>
      <c r="D12" s="1017"/>
      <c r="E12" s="1017"/>
      <c r="F12" s="1023"/>
      <c r="H12" s="1867" t="s">
        <v>114</v>
      </c>
      <c r="I12" s="1868"/>
      <c r="J12" s="1868"/>
      <c r="K12" s="1868"/>
      <c r="L12" s="1868"/>
      <c r="M12" s="1868"/>
      <c r="N12" s="1868"/>
      <c r="O12" s="1868"/>
      <c r="P12" s="1868"/>
      <c r="Q12" s="1868"/>
      <c r="R12" s="1868"/>
      <c r="S12" s="1868"/>
      <c r="T12" s="1868"/>
      <c r="U12" s="1868"/>
      <c r="V12" s="1868"/>
      <c r="W12" s="1868"/>
      <c r="X12" s="1868"/>
      <c r="Y12" s="1868"/>
      <c r="Z12" s="1868"/>
      <c r="AA12" s="1868"/>
      <c r="AB12" s="1868"/>
      <c r="AC12" s="1868"/>
      <c r="AD12" s="1868"/>
      <c r="AE12" s="1868"/>
      <c r="AF12" s="1868"/>
      <c r="AG12" s="1868"/>
      <c r="AH12" s="1868"/>
      <c r="AI12" s="1868"/>
      <c r="AJ12" s="1868"/>
      <c r="AK12" s="1868"/>
      <c r="AL12" s="1868"/>
      <c r="AM12" s="1868"/>
      <c r="AN12" s="1868"/>
      <c r="AO12" s="1868"/>
      <c r="AP12" s="1868"/>
      <c r="AQ12" s="1868"/>
      <c r="AR12" s="1868"/>
      <c r="AS12" s="1868"/>
      <c r="AT12" s="1868"/>
      <c r="AU12" s="1868"/>
      <c r="AV12" s="1868"/>
      <c r="AW12" s="1868"/>
      <c r="AX12" s="1868"/>
      <c r="AY12" s="1868"/>
      <c r="AZ12" s="1868"/>
      <c r="BA12" s="1868"/>
      <c r="BB12" s="1868"/>
      <c r="BC12" s="1868"/>
      <c r="BD12" s="1868"/>
      <c r="BE12" s="1868"/>
      <c r="BF12" s="1868"/>
      <c r="BG12" s="1868"/>
      <c r="BH12" s="1868"/>
      <c r="BI12" s="1868"/>
    </row>
    <row r="13" spans="3:61" ht="18.75" customHeight="1">
      <c r="C13" s="37" t="s">
        <v>44</v>
      </c>
      <c r="D13" s="1869"/>
      <c r="E13" s="1869"/>
      <c r="F13" s="1870"/>
      <c r="H13" s="1895" t="s">
        <v>117</v>
      </c>
      <c r="I13" s="1896"/>
      <c r="J13" s="1890" t="s">
        <v>43</v>
      </c>
      <c r="K13" s="1891"/>
      <c r="L13" s="1891"/>
      <c r="M13" s="1892"/>
      <c r="N13" s="1890" t="s">
        <v>42</v>
      </c>
      <c r="O13" s="1891"/>
      <c r="P13" s="1891"/>
      <c r="Q13" s="1892"/>
      <c r="R13" s="1890" t="s">
        <v>41</v>
      </c>
      <c r="S13" s="1891"/>
      <c r="T13" s="1891"/>
      <c r="U13" s="1892"/>
      <c r="V13" s="1890" t="s">
        <v>40</v>
      </c>
      <c r="W13" s="1891"/>
      <c r="X13" s="1891"/>
      <c r="Y13" s="1892"/>
      <c r="Z13" s="1890" t="s">
        <v>39</v>
      </c>
      <c r="AA13" s="1891"/>
      <c r="AB13" s="1891"/>
      <c r="AC13" s="1892"/>
      <c r="AD13" s="1890" t="s">
        <v>38</v>
      </c>
      <c r="AE13" s="1891"/>
      <c r="AF13" s="1891"/>
      <c r="AG13" s="1892"/>
      <c r="AH13" s="1882" t="s">
        <v>122</v>
      </c>
      <c r="AI13" s="1883"/>
      <c r="AJ13" s="1883"/>
      <c r="AK13" s="1884"/>
      <c r="AL13" s="1890" t="s">
        <v>37</v>
      </c>
      <c r="AM13" s="1891"/>
      <c r="AN13" s="1891"/>
      <c r="AO13" s="1892"/>
      <c r="AP13" s="1890" t="s">
        <v>36</v>
      </c>
      <c r="AQ13" s="1891"/>
      <c r="AR13" s="1891"/>
      <c r="AS13" s="1892"/>
      <c r="AT13" s="1890" t="s">
        <v>35</v>
      </c>
      <c r="AU13" s="1891"/>
      <c r="AV13" s="1891"/>
      <c r="AW13" s="1892"/>
      <c r="AX13" s="1890" t="s">
        <v>34</v>
      </c>
      <c r="AY13" s="1891"/>
      <c r="AZ13" s="1891"/>
      <c r="BA13" s="1892"/>
      <c r="BB13" s="1882" t="s">
        <v>123</v>
      </c>
      <c r="BC13" s="1883"/>
      <c r="BD13" s="1883"/>
      <c r="BE13" s="1884"/>
      <c r="BF13" s="1880" t="s">
        <v>17</v>
      </c>
      <c r="BG13" s="1881"/>
      <c r="BH13" s="1881"/>
      <c r="BI13" s="1881"/>
    </row>
    <row r="14" spans="3:61" ht="27" customHeight="1">
      <c r="C14" s="1879" t="s">
        <v>33</v>
      </c>
      <c r="D14" s="1869"/>
      <c r="E14" s="1017" t="s">
        <v>1</v>
      </c>
      <c r="F14" s="1023" t="s">
        <v>2</v>
      </c>
      <c r="H14" s="1897"/>
      <c r="I14" s="1898"/>
      <c r="J14" s="36" t="s">
        <v>1</v>
      </c>
      <c r="K14" s="271" t="s">
        <v>2</v>
      </c>
      <c r="L14" s="271" t="s">
        <v>182</v>
      </c>
      <c r="M14" s="35" t="s">
        <v>247</v>
      </c>
      <c r="N14" s="36" t="s">
        <v>1</v>
      </c>
      <c r="O14" s="271" t="s">
        <v>2</v>
      </c>
      <c r="P14" s="271" t="s">
        <v>182</v>
      </c>
      <c r="Q14" s="35" t="s">
        <v>247</v>
      </c>
      <c r="R14" s="36" t="s">
        <v>1</v>
      </c>
      <c r="S14" s="271" t="s">
        <v>2</v>
      </c>
      <c r="T14" s="271" t="s">
        <v>182</v>
      </c>
      <c r="U14" s="35" t="s">
        <v>247</v>
      </c>
      <c r="V14" s="36" t="s">
        <v>1</v>
      </c>
      <c r="W14" s="271" t="s">
        <v>2</v>
      </c>
      <c r="X14" s="271" t="s">
        <v>182</v>
      </c>
      <c r="Y14" s="35" t="s">
        <v>247</v>
      </c>
      <c r="Z14" s="36" t="s">
        <v>1</v>
      </c>
      <c r="AA14" s="271" t="s">
        <v>2</v>
      </c>
      <c r="AB14" s="271" t="s">
        <v>182</v>
      </c>
      <c r="AC14" s="35" t="s">
        <v>247</v>
      </c>
      <c r="AD14" s="36" t="s">
        <v>1</v>
      </c>
      <c r="AE14" s="271" t="s">
        <v>2</v>
      </c>
      <c r="AF14" s="271" t="s">
        <v>182</v>
      </c>
      <c r="AG14" s="35" t="s">
        <v>247</v>
      </c>
      <c r="AH14" s="36" t="s">
        <v>1</v>
      </c>
      <c r="AI14" s="271" t="s">
        <v>2</v>
      </c>
      <c r="AJ14" s="271" t="s">
        <v>182</v>
      </c>
      <c r="AK14" s="690" t="s">
        <v>196</v>
      </c>
      <c r="AL14" s="36" t="s">
        <v>1</v>
      </c>
      <c r="AM14" s="271" t="s">
        <v>2</v>
      </c>
      <c r="AN14" s="271" t="s">
        <v>182</v>
      </c>
      <c r="AO14" s="35" t="s">
        <v>247</v>
      </c>
      <c r="AP14" s="36" t="s">
        <v>1</v>
      </c>
      <c r="AQ14" s="271" t="s">
        <v>2</v>
      </c>
      <c r="AR14" s="271" t="s">
        <v>182</v>
      </c>
      <c r="AS14" s="35" t="s">
        <v>247</v>
      </c>
      <c r="AT14" s="36" t="s">
        <v>1</v>
      </c>
      <c r="AU14" s="271" t="s">
        <v>2</v>
      </c>
      <c r="AV14" s="271" t="s">
        <v>182</v>
      </c>
      <c r="AW14" s="35" t="s">
        <v>247</v>
      </c>
      <c r="AX14" s="36" t="s">
        <v>1</v>
      </c>
      <c r="AY14" s="271" t="s">
        <v>2</v>
      </c>
      <c r="AZ14" s="271" t="s">
        <v>182</v>
      </c>
      <c r="BA14" s="35" t="s">
        <v>247</v>
      </c>
      <c r="BB14" s="36" t="s">
        <v>1</v>
      </c>
      <c r="BC14" s="271" t="s">
        <v>2</v>
      </c>
      <c r="BD14" s="271" t="s">
        <v>182</v>
      </c>
      <c r="BE14" s="690" t="s">
        <v>196</v>
      </c>
      <c r="BF14" s="274" t="s">
        <v>1</v>
      </c>
      <c r="BG14" s="275" t="s">
        <v>2</v>
      </c>
      <c r="BH14" s="275" t="s">
        <v>182</v>
      </c>
      <c r="BI14" s="703" t="s">
        <v>196</v>
      </c>
    </row>
    <row r="15" spans="3:61" s="28" customFormat="1" ht="20.100000000000001" customHeight="1">
      <c r="C15" s="1879" t="s">
        <v>28</v>
      </c>
      <c r="D15" s="1017" t="s">
        <v>27</v>
      </c>
      <c r="E15" s="1021"/>
      <c r="F15" s="34"/>
      <c r="H15" s="1888" t="s">
        <v>112</v>
      </c>
      <c r="I15" s="33" t="s">
        <v>27</v>
      </c>
      <c r="J15" s="462"/>
      <c r="K15" s="463"/>
      <c r="L15" s="463"/>
      <c r="M15" s="692"/>
      <c r="N15" s="462"/>
      <c r="O15" s="463"/>
      <c r="P15" s="463"/>
      <c r="Q15" s="692"/>
      <c r="R15" s="462"/>
      <c r="S15" s="463"/>
      <c r="T15" s="463"/>
      <c r="U15" s="692"/>
      <c r="V15" s="462"/>
      <c r="W15" s="463"/>
      <c r="X15" s="463"/>
      <c r="Y15" s="692"/>
      <c r="Z15" s="462"/>
      <c r="AA15" s="463"/>
      <c r="AB15" s="463"/>
      <c r="AC15" s="692"/>
      <c r="AD15" s="462"/>
      <c r="AE15" s="463"/>
      <c r="AF15" s="463"/>
      <c r="AG15" s="692"/>
      <c r="AH15" s="128">
        <f>J15+N15+R15+V15+Z15+AD15</f>
        <v>0</v>
      </c>
      <c r="AI15" s="273">
        <f>K15+O15+S15+W15+AA15+AE15</f>
        <v>0</v>
      </c>
      <c r="AJ15" s="273">
        <f>L15+P15+T15+X15+AB15+AF15</f>
        <v>0</v>
      </c>
      <c r="AK15" s="694">
        <f>M15+Q15+U15+Y15+AC15+AG15</f>
        <v>0</v>
      </c>
      <c r="AL15" s="462"/>
      <c r="AM15" s="463"/>
      <c r="AN15" s="463"/>
      <c r="AO15" s="692"/>
      <c r="AP15" s="462"/>
      <c r="AQ15" s="463"/>
      <c r="AR15" s="463"/>
      <c r="AS15" s="692"/>
      <c r="AT15" s="462"/>
      <c r="AU15" s="463"/>
      <c r="AV15" s="463"/>
      <c r="AW15" s="692"/>
      <c r="AX15" s="462"/>
      <c r="AY15" s="463"/>
      <c r="AZ15" s="463"/>
      <c r="BA15" s="692"/>
      <c r="BB15" s="128">
        <f>AL15+AP15+AT15+AX15</f>
        <v>0</v>
      </c>
      <c r="BC15" s="273">
        <f>AM15+AQ15+AU15+AY15</f>
        <v>0</v>
      </c>
      <c r="BD15" s="273">
        <f>AN15+AR15+AV15+AZ15</f>
        <v>0</v>
      </c>
      <c r="BE15" s="273">
        <f>AO15+AS15+AW15+BA15</f>
        <v>0</v>
      </c>
      <c r="BF15" s="276">
        <f t="shared" ref="BF15:BI23" si="4">AH15+BB15</f>
        <v>0</v>
      </c>
      <c r="BG15" s="277">
        <f t="shared" si="4"/>
        <v>0</v>
      </c>
      <c r="BH15" s="277">
        <f>AJ15+BD15</f>
        <v>0</v>
      </c>
      <c r="BI15" s="704">
        <f t="shared" si="4"/>
        <v>0</v>
      </c>
    </row>
    <row r="16" spans="3:61" s="28" customFormat="1" ht="20.100000000000001" customHeight="1">
      <c r="C16" s="1879"/>
      <c r="D16" s="1017" t="s">
        <v>26</v>
      </c>
      <c r="E16" s="1017"/>
      <c r="F16" s="1018"/>
      <c r="H16" s="1889"/>
      <c r="I16" s="33" t="s">
        <v>26</v>
      </c>
      <c r="J16" s="462"/>
      <c r="K16" s="463"/>
      <c r="L16" s="463"/>
      <c r="M16" s="692"/>
      <c r="N16" s="462"/>
      <c r="O16" s="463"/>
      <c r="P16" s="463"/>
      <c r="Q16" s="692"/>
      <c r="R16" s="462"/>
      <c r="S16" s="463"/>
      <c r="T16" s="463"/>
      <c r="U16" s="692"/>
      <c r="V16" s="462"/>
      <c r="W16" s="463"/>
      <c r="X16" s="463"/>
      <c r="Y16" s="692"/>
      <c r="Z16" s="462"/>
      <c r="AA16" s="463"/>
      <c r="AB16" s="463"/>
      <c r="AC16" s="692"/>
      <c r="AD16" s="462"/>
      <c r="AE16" s="463"/>
      <c r="AF16" s="463"/>
      <c r="AG16" s="692"/>
      <c r="AH16" s="128">
        <f t="shared" ref="AH16:AK23" si="5">J16+N16+R16+V16+Z16+AD16</f>
        <v>0</v>
      </c>
      <c r="AI16" s="273">
        <f t="shared" si="5"/>
        <v>0</v>
      </c>
      <c r="AJ16" s="273">
        <f t="shared" si="5"/>
        <v>0</v>
      </c>
      <c r="AK16" s="694">
        <f t="shared" si="5"/>
        <v>0</v>
      </c>
      <c r="AL16" s="462"/>
      <c r="AM16" s="463"/>
      <c r="AN16" s="463"/>
      <c r="AO16" s="692"/>
      <c r="AP16" s="462"/>
      <c r="AQ16" s="463"/>
      <c r="AR16" s="463"/>
      <c r="AS16" s="692"/>
      <c r="AT16" s="462"/>
      <c r="AU16" s="463"/>
      <c r="AV16" s="463"/>
      <c r="AW16" s="692"/>
      <c r="AX16" s="462"/>
      <c r="AY16" s="463"/>
      <c r="AZ16" s="463"/>
      <c r="BA16" s="692"/>
      <c r="BB16" s="128">
        <f t="shared" ref="BB16:BE23" si="6">AL16+AP16+AT16+AX16</f>
        <v>0</v>
      </c>
      <c r="BC16" s="273">
        <f t="shared" si="6"/>
        <v>0</v>
      </c>
      <c r="BD16" s="273">
        <f t="shared" si="6"/>
        <v>0</v>
      </c>
      <c r="BE16" s="273">
        <f t="shared" si="6"/>
        <v>0</v>
      </c>
      <c r="BF16" s="276">
        <f t="shared" si="4"/>
        <v>0</v>
      </c>
      <c r="BG16" s="277">
        <f t="shared" si="4"/>
        <v>0</v>
      </c>
      <c r="BH16" s="277">
        <f t="shared" si="4"/>
        <v>0</v>
      </c>
      <c r="BI16" s="704">
        <f t="shared" si="4"/>
        <v>0</v>
      </c>
    </row>
    <row r="17" spans="3:61" s="28" customFormat="1" ht="23.25" customHeight="1">
      <c r="C17" s="1879"/>
      <c r="D17" s="1017" t="s">
        <v>25</v>
      </c>
      <c r="E17" s="1017"/>
      <c r="F17" s="1018"/>
      <c r="H17" s="1889"/>
      <c r="I17" s="33" t="s">
        <v>25</v>
      </c>
      <c r="J17" s="462"/>
      <c r="K17" s="463"/>
      <c r="L17" s="463"/>
      <c r="M17" s="692"/>
      <c r="N17" s="462"/>
      <c r="O17" s="463"/>
      <c r="P17" s="463"/>
      <c r="Q17" s="692"/>
      <c r="R17" s="462"/>
      <c r="S17" s="463"/>
      <c r="T17" s="463"/>
      <c r="U17" s="692"/>
      <c r="V17" s="462"/>
      <c r="W17" s="463"/>
      <c r="X17" s="463"/>
      <c r="Y17" s="692"/>
      <c r="Z17" s="462"/>
      <c r="AA17" s="463"/>
      <c r="AB17" s="463"/>
      <c r="AC17" s="692"/>
      <c r="AD17" s="462"/>
      <c r="AE17" s="463"/>
      <c r="AF17" s="463"/>
      <c r="AG17" s="692"/>
      <c r="AH17" s="128">
        <f t="shared" si="5"/>
        <v>0</v>
      </c>
      <c r="AI17" s="273">
        <f t="shared" si="5"/>
        <v>0</v>
      </c>
      <c r="AJ17" s="273">
        <f t="shared" si="5"/>
        <v>0</v>
      </c>
      <c r="AK17" s="694">
        <f t="shared" si="5"/>
        <v>0</v>
      </c>
      <c r="AL17" s="462"/>
      <c r="AM17" s="463"/>
      <c r="AN17" s="463"/>
      <c r="AO17" s="692"/>
      <c r="AP17" s="462"/>
      <c r="AQ17" s="463"/>
      <c r="AR17" s="463"/>
      <c r="AS17" s="692"/>
      <c r="AT17" s="462"/>
      <c r="AU17" s="463"/>
      <c r="AV17" s="463"/>
      <c r="AW17" s="692"/>
      <c r="AX17" s="462"/>
      <c r="AY17" s="463"/>
      <c r="AZ17" s="463"/>
      <c r="BA17" s="692"/>
      <c r="BB17" s="128">
        <f t="shared" si="6"/>
        <v>0</v>
      </c>
      <c r="BC17" s="273">
        <f t="shared" si="6"/>
        <v>0</v>
      </c>
      <c r="BD17" s="273">
        <f t="shared" si="6"/>
        <v>0</v>
      </c>
      <c r="BE17" s="273">
        <f t="shared" si="6"/>
        <v>0</v>
      </c>
      <c r="BF17" s="276">
        <f t="shared" si="4"/>
        <v>0</v>
      </c>
      <c r="BG17" s="277">
        <f t="shared" si="4"/>
        <v>0</v>
      </c>
      <c r="BH17" s="277">
        <f t="shared" si="4"/>
        <v>0</v>
      </c>
      <c r="BI17" s="704">
        <f t="shared" si="4"/>
        <v>0</v>
      </c>
    </row>
    <row r="18" spans="3:61" s="28" customFormat="1" ht="21">
      <c r="C18" s="1879"/>
      <c r="D18" s="1017" t="s">
        <v>24</v>
      </c>
      <c r="E18" s="1017"/>
      <c r="F18" s="1018"/>
      <c r="H18" s="1889"/>
      <c r="I18" s="33" t="s">
        <v>24</v>
      </c>
      <c r="J18" s="462"/>
      <c r="K18" s="463"/>
      <c r="L18" s="463"/>
      <c r="M18" s="692"/>
      <c r="N18" s="462"/>
      <c r="O18" s="463"/>
      <c r="P18" s="463"/>
      <c r="Q18" s="692"/>
      <c r="R18" s="462"/>
      <c r="S18" s="463"/>
      <c r="T18" s="463"/>
      <c r="U18" s="692"/>
      <c r="V18" s="462"/>
      <c r="W18" s="463"/>
      <c r="X18" s="463"/>
      <c r="Y18" s="692"/>
      <c r="Z18" s="462"/>
      <c r="AA18" s="463"/>
      <c r="AB18" s="463"/>
      <c r="AC18" s="692"/>
      <c r="AD18" s="462"/>
      <c r="AE18" s="463"/>
      <c r="AF18" s="463"/>
      <c r="AG18" s="692"/>
      <c r="AH18" s="128">
        <f t="shared" si="5"/>
        <v>0</v>
      </c>
      <c r="AI18" s="273">
        <f t="shared" si="5"/>
        <v>0</v>
      </c>
      <c r="AJ18" s="273">
        <f t="shared" si="5"/>
        <v>0</v>
      </c>
      <c r="AK18" s="694">
        <f t="shared" si="5"/>
        <v>0</v>
      </c>
      <c r="AL18" s="462"/>
      <c r="AM18" s="463"/>
      <c r="AN18" s="463"/>
      <c r="AO18" s="692"/>
      <c r="AP18" s="462"/>
      <c r="AQ18" s="463"/>
      <c r="AR18" s="463"/>
      <c r="AS18" s="692"/>
      <c r="AT18" s="462"/>
      <c r="AU18" s="463"/>
      <c r="AV18" s="463"/>
      <c r="AW18" s="692"/>
      <c r="AX18" s="462"/>
      <c r="AY18" s="463"/>
      <c r="AZ18" s="463"/>
      <c r="BA18" s="692"/>
      <c r="BB18" s="128">
        <f t="shared" si="6"/>
        <v>0</v>
      </c>
      <c r="BC18" s="273">
        <f t="shared" si="6"/>
        <v>0</v>
      </c>
      <c r="BD18" s="273">
        <f t="shared" si="6"/>
        <v>0</v>
      </c>
      <c r="BE18" s="273">
        <f t="shared" si="6"/>
        <v>0</v>
      </c>
      <c r="BF18" s="276">
        <f t="shared" si="4"/>
        <v>0</v>
      </c>
      <c r="BG18" s="277">
        <f t="shared" si="4"/>
        <v>0</v>
      </c>
      <c r="BH18" s="277">
        <f t="shared" si="4"/>
        <v>0</v>
      </c>
      <c r="BI18" s="704">
        <f t="shared" si="4"/>
        <v>0</v>
      </c>
    </row>
    <row r="19" spans="3:61" s="28" customFormat="1" ht="20.100000000000001" customHeight="1">
      <c r="C19" s="1879"/>
      <c r="D19" s="1017" t="s">
        <v>23</v>
      </c>
      <c r="E19" s="1017"/>
      <c r="F19" s="1018"/>
      <c r="H19" s="1889"/>
      <c r="I19" s="33" t="s">
        <v>23</v>
      </c>
      <c r="J19" s="462">
        <v>7</v>
      </c>
      <c r="K19" s="463"/>
      <c r="L19" s="463"/>
      <c r="M19" s="692"/>
      <c r="N19" s="462"/>
      <c r="O19" s="463"/>
      <c r="P19" s="463"/>
      <c r="Q19" s="692"/>
      <c r="R19" s="462"/>
      <c r="S19" s="463"/>
      <c r="T19" s="463"/>
      <c r="U19" s="692"/>
      <c r="V19" s="462"/>
      <c r="W19" s="463"/>
      <c r="X19" s="463"/>
      <c r="Y19" s="692"/>
      <c r="Z19" s="462"/>
      <c r="AA19" s="463"/>
      <c r="AB19" s="463"/>
      <c r="AC19" s="692"/>
      <c r="AD19" s="462"/>
      <c r="AE19" s="463"/>
      <c r="AF19" s="463"/>
      <c r="AG19" s="692"/>
      <c r="AH19" s="128">
        <f t="shared" si="5"/>
        <v>7</v>
      </c>
      <c r="AI19" s="273">
        <f t="shared" si="5"/>
        <v>0</v>
      </c>
      <c r="AJ19" s="273">
        <f t="shared" si="5"/>
        <v>0</v>
      </c>
      <c r="AK19" s="694">
        <f t="shared" si="5"/>
        <v>0</v>
      </c>
      <c r="AL19" s="1012"/>
      <c r="AM19" s="463"/>
      <c r="AN19" s="463"/>
      <c r="AO19" s="692"/>
      <c r="AP19" s="462">
        <v>10</v>
      </c>
      <c r="AQ19" s="463"/>
      <c r="AR19" s="463"/>
      <c r="AS19" s="692">
        <v>4</v>
      </c>
      <c r="AT19" s="462">
        <v>8</v>
      </c>
      <c r="AU19" s="463">
        <v>8</v>
      </c>
      <c r="AV19" s="463">
        <v>8</v>
      </c>
      <c r="AW19" s="692"/>
      <c r="AX19" s="462"/>
      <c r="AY19" s="463"/>
      <c r="AZ19" s="463"/>
      <c r="BA19" s="692"/>
      <c r="BB19" s="128">
        <f t="shared" si="6"/>
        <v>18</v>
      </c>
      <c r="BC19" s="273">
        <f t="shared" si="6"/>
        <v>8</v>
      </c>
      <c r="BD19" s="273">
        <f t="shared" si="6"/>
        <v>8</v>
      </c>
      <c r="BE19" s="273">
        <f t="shared" si="6"/>
        <v>4</v>
      </c>
      <c r="BF19" s="276">
        <f t="shared" si="4"/>
        <v>25</v>
      </c>
      <c r="BG19" s="277">
        <f t="shared" si="4"/>
        <v>8</v>
      </c>
      <c r="BH19" s="277">
        <f t="shared" si="4"/>
        <v>8</v>
      </c>
      <c r="BI19" s="704">
        <f t="shared" si="4"/>
        <v>4</v>
      </c>
    </row>
    <row r="20" spans="3:61" s="28" customFormat="1" ht="20.100000000000001" customHeight="1">
      <c r="C20" s="1879"/>
      <c r="D20" s="1017" t="s">
        <v>22</v>
      </c>
      <c r="E20" s="1017"/>
      <c r="F20" s="1018"/>
      <c r="H20" s="1889"/>
      <c r="I20" s="33" t="s">
        <v>22</v>
      </c>
      <c r="J20" s="462"/>
      <c r="K20" s="463"/>
      <c r="L20" s="463"/>
      <c r="M20" s="692"/>
      <c r="N20" s="462"/>
      <c r="O20" s="463"/>
      <c r="P20" s="463"/>
      <c r="Q20" s="692"/>
      <c r="R20" s="462"/>
      <c r="S20" s="463"/>
      <c r="T20" s="463"/>
      <c r="U20" s="692"/>
      <c r="V20" s="462"/>
      <c r="W20" s="463"/>
      <c r="X20" s="463"/>
      <c r="Y20" s="692"/>
      <c r="Z20" s="462"/>
      <c r="AA20" s="463"/>
      <c r="AB20" s="463"/>
      <c r="AC20" s="692"/>
      <c r="AD20" s="462"/>
      <c r="AE20" s="463"/>
      <c r="AF20" s="463"/>
      <c r="AG20" s="692"/>
      <c r="AH20" s="128">
        <f t="shared" si="5"/>
        <v>0</v>
      </c>
      <c r="AI20" s="273">
        <f t="shared" si="5"/>
        <v>0</v>
      </c>
      <c r="AJ20" s="273">
        <f t="shared" si="5"/>
        <v>0</v>
      </c>
      <c r="AK20" s="694">
        <f t="shared" si="5"/>
        <v>0</v>
      </c>
      <c r="AL20" s="462"/>
      <c r="AM20" s="463"/>
      <c r="AN20" s="463"/>
      <c r="AO20" s="692"/>
      <c r="AP20" s="462"/>
      <c r="AQ20" s="463"/>
      <c r="AR20" s="463"/>
      <c r="AS20" s="692"/>
      <c r="AT20" s="462"/>
      <c r="AU20" s="463"/>
      <c r="AV20" s="463"/>
      <c r="AW20" s="692"/>
      <c r="AX20" s="462"/>
      <c r="AY20" s="463"/>
      <c r="AZ20" s="463"/>
      <c r="BA20" s="692"/>
      <c r="BB20" s="128">
        <f t="shared" si="6"/>
        <v>0</v>
      </c>
      <c r="BC20" s="273">
        <f t="shared" si="6"/>
        <v>0</v>
      </c>
      <c r="BD20" s="273">
        <f t="shared" si="6"/>
        <v>0</v>
      </c>
      <c r="BE20" s="273">
        <f t="shared" si="6"/>
        <v>0</v>
      </c>
      <c r="BF20" s="276">
        <f t="shared" si="4"/>
        <v>0</v>
      </c>
      <c r="BG20" s="277">
        <f t="shared" si="4"/>
        <v>0</v>
      </c>
      <c r="BH20" s="277">
        <f t="shared" si="4"/>
        <v>0</v>
      </c>
      <c r="BI20" s="704">
        <f t="shared" si="4"/>
        <v>0</v>
      </c>
    </row>
    <row r="21" spans="3:61" s="28" customFormat="1" ht="20.100000000000001" customHeight="1">
      <c r="C21" s="1885"/>
      <c r="D21" s="1017"/>
      <c r="E21" s="1017"/>
      <c r="F21" s="1018"/>
      <c r="H21" s="1889"/>
      <c r="I21" s="33" t="s">
        <v>21</v>
      </c>
      <c r="J21" s="462"/>
      <c r="K21" s="463"/>
      <c r="L21" s="463"/>
      <c r="M21" s="692"/>
      <c r="N21" s="462"/>
      <c r="O21" s="463"/>
      <c r="P21" s="463"/>
      <c r="Q21" s="692"/>
      <c r="R21" s="462"/>
      <c r="S21" s="463"/>
      <c r="T21" s="463"/>
      <c r="U21" s="692"/>
      <c r="V21" s="462"/>
      <c r="W21" s="463"/>
      <c r="X21" s="463"/>
      <c r="Y21" s="692"/>
      <c r="Z21" s="462"/>
      <c r="AA21" s="463"/>
      <c r="AB21" s="463"/>
      <c r="AC21" s="692"/>
      <c r="AD21" s="462"/>
      <c r="AE21" s="463"/>
      <c r="AF21" s="463"/>
      <c r="AG21" s="692"/>
      <c r="AH21" s="128">
        <f t="shared" si="5"/>
        <v>0</v>
      </c>
      <c r="AI21" s="273">
        <f t="shared" si="5"/>
        <v>0</v>
      </c>
      <c r="AJ21" s="273">
        <f t="shared" si="5"/>
        <v>0</v>
      </c>
      <c r="AK21" s="694">
        <f t="shared" si="5"/>
        <v>0</v>
      </c>
      <c r="AL21" s="462"/>
      <c r="AM21" s="463"/>
      <c r="AN21" s="463"/>
      <c r="AO21" s="692"/>
      <c r="AP21" s="462"/>
      <c r="AQ21" s="463"/>
      <c r="AR21" s="463"/>
      <c r="AS21" s="692"/>
      <c r="AT21" s="462"/>
      <c r="AU21" s="463"/>
      <c r="AV21" s="463"/>
      <c r="AW21" s="692"/>
      <c r="AX21" s="462"/>
      <c r="AY21" s="463"/>
      <c r="AZ21" s="463"/>
      <c r="BA21" s="692"/>
      <c r="BB21" s="128">
        <f t="shared" si="6"/>
        <v>0</v>
      </c>
      <c r="BC21" s="273">
        <f t="shared" si="6"/>
        <v>0</v>
      </c>
      <c r="BD21" s="273">
        <f t="shared" si="6"/>
        <v>0</v>
      </c>
      <c r="BE21" s="273">
        <f t="shared" si="6"/>
        <v>0</v>
      </c>
      <c r="BF21" s="276">
        <f t="shared" si="4"/>
        <v>0</v>
      </c>
      <c r="BG21" s="277">
        <f t="shared" si="4"/>
        <v>0</v>
      </c>
      <c r="BH21" s="277">
        <f t="shared" si="4"/>
        <v>0</v>
      </c>
      <c r="BI21" s="704">
        <f t="shared" si="4"/>
        <v>0</v>
      </c>
    </row>
    <row r="22" spans="3:61" s="28" customFormat="1" ht="20.100000000000001" customHeight="1">
      <c r="C22" s="1885"/>
      <c r="D22" s="1017"/>
      <c r="E22" s="1017"/>
      <c r="F22" s="1018"/>
      <c r="H22" s="1889"/>
      <c r="I22" s="33" t="s">
        <v>20</v>
      </c>
      <c r="J22" s="462"/>
      <c r="K22" s="463"/>
      <c r="L22" s="463"/>
      <c r="M22" s="692"/>
      <c r="N22" s="462"/>
      <c r="O22" s="463"/>
      <c r="P22" s="463"/>
      <c r="Q22" s="692"/>
      <c r="R22" s="462"/>
      <c r="S22" s="463"/>
      <c r="T22" s="463"/>
      <c r="U22" s="692"/>
      <c r="V22" s="462"/>
      <c r="W22" s="463"/>
      <c r="X22" s="463"/>
      <c r="Y22" s="692"/>
      <c r="Z22" s="462"/>
      <c r="AA22" s="463"/>
      <c r="AB22" s="463"/>
      <c r="AC22" s="692"/>
      <c r="AD22" s="462"/>
      <c r="AE22" s="463"/>
      <c r="AF22" s="463"/>
      <c r="AG22" s="692"/>
      <c r="AH22" s="128">
        <f t="shared" si="5"/>
        <v>0</v>
      </c>
      <c r="AI22" s="273">
        <f t="shared" si="5"/>
        <v>0</v>
      </c>
      <c r="AJ22" s="273">
        <f t="shared" si="5"/>
        <v>0</v>
      </c>
      <c r="AK22" s="694">
        <f t="shared" si="5"/>
        <v>0</v>
      </c>
      <c r="AL22" s="462"/>
      <c r="AM22" s="463"/>
      <c r="AN22" s="463"/>
      <c r="AO22" s="692"/>
      <c r="AP22" s="462"/>
      <c r="AQ22" s="463"/>
      <c r="AR22" s="463"/>
      <c r="AS22" s="692"/>
      <c r="AT22" s="462"/>
      <c r="AU22" s="463"/>
      <c r="AV22" s="463"/>
      <c r="AW22" s="692"/>
      <c r="AX22" s="462"/>
      <c r="AY22" s="463"/>
      <c r="AZ22" s="463"/>
      <c r="BA22" s="692"/>
      <c r="BB22" s="128">
        <f t="shared" si="6"/>
        <v>0</v>
      </c>
      <c r="BC22" s="273">
        <f t="shared" si="6"/>
        <v>0</v>
      </c>
      <c r="BD22" s="273">
        <f t="shared" si="6"/>
        <v>0</v>
      </c>
      <c r="BE22" s="273">
        <f t="shared" si="6"/>
        <v>0</v>
      </c>
      <c r="BF22" s="276">
        <f t="shared" si="4"/>
        <v>0</v>
      </c>
      <c r="BG22" s="277">
        <f t="shared" si="4"/>
        <v>0</v>
      </c>
      <c r="BH22" s="277">
        <f t="shared" si="4"/>
        <v>0</v>
      </c>
      <c r="BI22" s="704">
        <f t="shared" si="4"/>
        <v>0</v>
      </c>
    </row>
    <row r="23" spans="3:61" s="28" customFormat="1" ht="20.100000000000001" customHeight="1">
      <c r="C23" s="1885"/>
      <c r="D23" s="1017"/>
      <c r="E23" s="1017"/>
      <c r="F23" s="1018"/>
      <c r="H23" s="1889"/>
      <c r="I23" s="33" t="s">
        <v>19</v>
      </c>
      <c r="J23" s="462"/>
      <c r="K23" s="463"/>
      <c r="L23" s="463"/>
      <c r="M23" s="692"/>
      <c r="N23" s="462"/>
      <c r="O23" s="463"/>
      <c r="P23" s="463"/>
      <c r="Q23" s="692"/>
      <c r="R23" s="462"/>
      <c r="S23" s="463"/>
      <c r="T23" s="463"/>
      <c r="U23" s="692"/>
      <c r="V23" s="462"/>
      <c r="W23" s="463"/>
      <c r="X23" s="463"/>
      <c r="Y23" s="692"/>
      <c r="Z23" s="462"/>
      <c r="AA23" s="463"/>
      <c r="AB23" s="463"/>
      <c r="AC23" s="692"/>
      <c r="AD23" s="462"/>
      <c r="AE23" s="463"/>
      <c r="AF23" s="463"/>
      <c r="AG23" s="692"/>
      <c r="AH23" s="128">
        <f t="shared" si="5"/>
        <v>0</v>
      </c>
      <c r="AI23" s="273">
        <f t="shared" si="5"/>
        <v>0</v>
      </c>
      <c r="AJ23" s="273">
        <f t="shared" si="5"/>
        <v>0</v>
      </c>
      <c r="AK23" s="694">
        <f t="shared" si="5"/>
        <v>0</v>
      </c>
      <c r="AL23" s="462">
        <v>9</v>
      </c>
      <c r="AM23" s="463"/>
      <c r="AN23" s="463"/>
      <c r="AO23" s="692"/>
      <c r="AP23" s="462"/>
      <c r="AQ23" s="463"/>
      <c r="AR23" s="463"/>
      <c r="AS23" s="692"/>
      <c r="AT23" s="462"/>
      <c r="AU23" s="463">
        <v>12</v>
      </c>
      <c r="AV23" s="463"/>
      <c r="AW23" s="692"/>
      <c r="AX23" s="462"/>
      <c r="AY23" s="463"/>
      <c r="AZ23" s="463"/>
      <c r="BA23" s="692"/>
      <c r="BB23" s="128">
        <f t="shared" si="6"/>
        <v>9</v>
      </c>
      <c r="BC23" s="273">
        <f t="shared" si="6"/>
        <v>12</v>
      </c>
      <c r="BD23" s="273">
        <f t="shared" si="6"/>
        <v>0</v>
      </c>
      <c r="BE23" s="273">
        <f t="shared" si="6"/>
        <v>0</v>
      </c>
      <c r="BF23" s="276">
        <f t="shared" si="4"/>
        <v>9</v>
      </c>
      <c r="BG23" s="277">
        <f t="shared" si="4"/>
        <v>12</v>
      </c>
      <c r="BH23" s="277">
        <f t="shared" si="4"/>
        <v>0</v>
      </c>
      <c r="BI23" s="704">
        <f t="shared" si="4"/>
        <v>0</v>
      </c>
    </row>
    <row r="24" spans="3:61" s="28" customFormat="1" ht="20.100000000000001" customHeight="1" thickBot="1">
      <c r="C24" s="1885"/>
      <c r="D24" s="1017"/>
      <c r="E24" s="1017"/>
      <c r="F24" s="1018"/>
      <c r="H24" s="1865" t="s">
        <v>116</v>
      </c>
      <c r="I24" s="1866"/>
      <c r="J24" s="118">
        <f t="shared" ref="J24:BH24" si="7">SUM(J15:J23)</f>
        <v>7</v>
      </c>
      <c r="K24" s="272">
        <f t="shared" si="7"/>
        <v>0</v>
      </c>
      <c r="L24" s="272">
        <f>SUM(L15:L23)</f>
        <v>0</v>
      </c>
      <c r="M24" s="272">
        <f>SUM(M15:M23)</f>
        <v>0</v>
      </c>
      <c r="N24" s="118">
        <f t="shared" ref="N24:AI24" si="8">SUM(N15:N23)</f>
        <v>0</v>
      </c>
      <c r="O24" s="272">
        <f t="shared" si="8"/>
        <v>0</v>
      </c>
      <c r="P24" s="272">
        <f t="shared" si="8"/>
        <v>0</v>
      </c>
      <c r="Q24" s="272">
        <f t="shared" si="8"/>
        <v>0</v>
      </c>
      <c r="R24" s="118">
        <f t="shared" si="8"/>
        <v>0</v>
      </c>
      <c r="S24" s="272">
        <f t="shared" si="8"/>
        <v>0</v>
      </c>
      <c r="T24" s="272">
        <f t="shared" si="8"/>
        <v>0</v>
      </c>
      <c r="U24" s="272">
        <f t="shared" si="8"/>
        <v>0</v>
      </c>
      <c r="V24" s="118">
        <f t="shared" si="8"/>
        <v>0</v>
      </c>
      <c r="W24" s="272">
        <f t="shared" si="8"/>
        <v>0</v>
      </c>
      <c r="X24" s="272">
        <f t="shared" si="8"/>
        <v>0</v>
      </c>
      <c r="Y24" s="272">
        <f t="shared" si="8"/>
        <v>0</v>
      </c>
      <c r="Z24" s="118">
        <f t="shared" si="8"/>
        <v>0</v>
      </c>
      <c r="AA24" s="272">
        <f t="shared" si="8"/>
        <v>0</v>
      </c>
      <c r="AB24" s="272">
        <f t="shared" si="8"/>
        <v>0</v>
      </c>
      <c r="AC24" s="272">
        <f t="shared" si="8"/>
        <v>0</v>
      </c>
      <c r="AD24" s="118">
        <f t="shared" si="8"/>
        <v>0</v>
      </c>
      <c r="AE24" s="272">
        <f t="shared" si="8"/>
        <v>0</v>
      </c>
      <c r="AF24" s="272">
        <f t="shared" si="8"/>
        <v>0</v>
      </c>
      <c r="AG24" s="272">
        <f t="shared" si="8"/>
        <v>0</v>
      </c>
      <c r="AH24" s="118">
        <f t="shared" si="8"/>
        <v>7</v>
      </c>
      <c r="AI24" s="272">
        <f t="shared" si="8"/>
        <v>0</v>
      </c>
      <c r="AJ24" s="272">
        <f>SUM(AJ15:AJ23)</f>
        <v>0</v>
      </c>
      <c r="AK24" s="695">
        <f>SUM(AK15:AK23)</f>
        <v>0</v>
      </c>
      <c r="AL24" s="118">
        <f t="shared" ref="AL24:BC24" si="9">SUM(AL15:AL23)</f>
        <v>9</v>
      </c>
      <c r="AM24" s="272">
        <f t="shared" si="9"/>
        <v>0</v>
      </c>
      <c r="AN24" s="272">
        <f t="shared" si="9"/>
        <v>0</v>
      </c>
      <c r="AO24" s="272">
        <f t="shared" si="9"/>
        <v>0</v>
      </c>
      <c r="AP24" s="118">
        <f t="shared" si="9"/>
        <v>10</v>
      </c>
      <c r="AQ24" s="272">
        <f t="shared" si="9"/>
        <v>0</v>
      </c>
      <c r="AR24" s="272">
        <f t="shared" si="9"/>
        <v>0</v>
      </c>
      <c r="AS24" s="272">
        <f t="shared" si="9"/>
        <v>4</v>
      </c>
      <c r="AT24" s="118">
        <f t="shared" si="9"/>
        <v>8</v>
      </c>
      <c r="AU24" s="272">
        <f t="shared" si="9"/>
        <v>20</v>
      </c>
      <c r="AV24" s="272">
        <f t="shared" si="9"/>
        <v>8</v>
      </c>
      <c r="AW24" s="272">
        <f t="shared" si="9"/>
        <v>0</v>
      </c>
      <c r="AX24" s="118">
        <f t="shared" si="9"/>
        <v>0</v>
      </c>
      <c r="AY24" s="272">
        <f t="shared" si="9"/>
        <v>0</v>
      </c>
      <c r="AZ24" s="272">
        <f t="shared" si="9"/>
        <v>0</v>
      </c>
      <c r="BA24" s="272">
        <f t="shared" si="9"/>
        <v>0</v>
      </c>
      <c r="BB24" s="118">
        <f t="shared" si="9"/>
        <v>27</v>
      </c>
      <c r="BC24" s="272">
        <f t="shared" si="9"/>
        <v>20</v>
      </c>
      <c r="BD24" s="272">
        <f>SUM(BD15:BD23)</f>
        <v>8</v>
      </c>
      <c r="BE24" s="272">
        <f>SUM(BE15:BE23)</f>
        <v>4</v>
      </c>
      <c r="BF24" s="278">
        <f t="shared" si="7"/>
        <v>34</v>
      </c>
      <c r="BG24" s="279">
        <f t="shared" si="7"/>
        <v>20</v>
      </c>
      <c r="BH24" s="279">
        <f t="shared" si="7"/>
        <v>8</v>
      </c>
      <c r="BI24" s="705">
        <f>SUM(BI15:BI23)</f>
        <v>4</v>
      </c>
    </row>
    <row r="25" spans="3:61" s="119" customFormat="1" ht="9" customHeight="1" thickBot="1">
      <c r="C25" s="121"/>
      <c r="D25" s="121"/>
      <c r="E25" s="121"/>
      <c r="F25" s="121"/>
      <c r="H25" s="122"/>
      <c r="I25" s="122"/>
      <c r="J25" s="125"/>
      <c r="K25" s="126"/>
      <c r="L25" s="126"/>
      <c r="M25" s="126"/>
      <c r="N25" s="125"/>
      <c r="O25" s="126"/>
      <c r="P25" s="126"/>
      <c r="Q25" s="126"/>
      <c r="R25" s="125"/>
      <c r="S25" s="126"/>
      <c r="T25" s="126"/>
      <c r="U25" s="126"/>
      <c r="V25" s="125"/>
      <c r="W25" s="126"/>
      <c r="X25" s="126"/>
      <c r="Y25" s="126"/>
      <c r="Z25" s="125"/>
      <c r="AA25" s="126"/>
      <c r="AB25" s="126"/>
      <c r="AC25" s="126"/>
      <c r="AD25" s="125"/>
      <c r="AE25" s="126"/>
      <c r="AF25" s="126"/>
      <c r="AG25" s="126"/>
      <c r="AH25" s="125"/>
      <c r="AI25" s="126"/>
      <c r="AJ25" s="126"/>
      <c r="AK25" s="126"/>
      <c r="AL25" s="125"/>
      <c r="AM25" s="126"/>
      <c r="AN25" s="126"/>
      <c r="AO25" s="126"/>
      <c r="AP25" s="125"/>
      <c r="AQ25" s="126"/>
      <c r="AR25" s="126"/>
      <c r="AS25" s="126"/>
      <c r="AT25" s="125"/>
      <c r="AU25" s="126"/>
      <c r="AV25" s="126"/>
      <c r="AW25" s="126"/>
      <c r="AX25" s="125"/>
      <c r="AY25" s="126"/>
      <c r="AZ25" s="126"/>
      <c r="BA25" s="126"/>
      <c r="BB25" s="125"/>
      <c r="BC25" s="126"/>
      <c r="BD25" s="126"/>
      <c r="BE25" s="126"/>
      <c r="BF25" s="125"/>
      <c r="BG25" s="126"/>
    </row>
    <row r="26" spans="3:61" s="28" customFormat="1" ht="26.25" customHeight="1" thickBot="1">
      <c r="D26" s="29"/>
      <c r="E26" s="29"/>
      <c r="F26" s="29"/>
      <c r="H26" s="1893" t="s">
        <v>49</v>
      </c>
      <c r="I26" s="1894"/>
      <c r="J26" s="123">
        <f t="shared" ref="J26:BI26" si="10">J10+J24</f>
        <v>10</v>
      </c>
      <c r="K26" s="280">
        <f t="shared" si="10"/>
        <v>9</v>
      </c>
      <c r="L26" s="280">
        <f>L10+L24</f>
        <v>9</v>
      </c>
      <c r="M26" s="280">
        <f>M10+M24</f>
        <v>0</v>
      </c>
      <c r="N26" s="123">
        <f>N10+N24</f>
        <v>8</v>
      </c>
      <c r="O26" s="280">
        <f t="shared" ref="O26" si="11">O10+O24</f>
        <v>6</v>
      </c>
      <c r="P26" s="280">
        <f>P10+P24</f>
        <v>6</v>
      </c>
      <c r="Q26" s="280">
        <f>Q10+Q24</f>
        <v>0</v>
      </c>
      <c r="R26" s="123">
        <f t="shared" ref="R26:S26" si="12">R10+R24</f>
        <v>5</v>
      </c>
      <c r="S26" s="280">
        <f t="shared" si="12"/>
        <v>0</v>
      </c>
      <c r="T26" s="280">
        <f>T10+T24</f>
        <v>0</v>
      </c>
      <c r="U26" s="280">
        <f>U10+U24</f>
        <v>0</v>
      </c>
      <c r="V26" s="123">
        <f t="shared" ref="V26:W26" si="13">V10+V24</f>
        <v>10</v>
      </c>
      <c r="W26" s="280">
        <f t="shared" si="13"/>
        <v>2</v>
      </c>
      <c r="X26" s="280">
        <f>X10+X24</f>
        <v>2</v>
      </c>
      <c r="Y26" s="280">
        <f>Y10+Y24</f>
        <v>0</v>
      </c>
      <c r="Z26" s="123">
        <f t="shared" ref="Z26:AA26" si="14">Z10+Z24</f>
        <v>1</v>
      </c>
      <c r="AA26" s="280">
        <f t="shared" si="14"/>
        <v>0</v>
      </c>
      <c r="AB26" s="280">
        <f>AB10+AB24</f>
        <v>0</v>
      </c>
      <c r="AC26" s="280">
        <f>AC10+AC24</f>
        <v>0</v>
      </c>
      <c r="AD26" s="123">
        <f t="shared" ref="AD26:AE26" si="15">AD10+AD24</f>
        <v>10</v>
      </c>
      <c r="AE26" s="280">
        <f t="shared" si="15"/>
        <v>0</v>
      </c>
      <c r="AF26" s="280">
        <f>AF10+AF24</f>
        <v>0</v>
      </c>
      <c r="AG26" s="280">
        <f>AG10+AG24</f>
        <v>0</v>
      </c>
      <c r="AH26" s="127">
        <f t="shared" ref="AH26:AI26" si="16">AH10+AH24</f>
        <v>44</v>
      </c>
      <c r="AI26" s="280">
        <f t="shared" si="16"/>
        <v>17</v>
      </c>
      <c r="AJ26" s="697">
        <f>AJ10+AJ24</f>
        <v>17</v>
      </c>
      <c r="AK26" s="696">
        <f>AK10+AK24</f>
        <v>0</v>
      </c>
      <c r="AL26" s="123">
        <f t="shared" ref="AL26:AM26" si="17">AL10+AL24</f>
        <v>14</v>
      </c>
      <c r="AM26" s="280">
        <f t="shared" si="17"/>
        <v>7.5</v>
      </c>
      <c r="AN26" s="280">
        <f>AN10+AN24</f>
        <v>7.5</v>
      </c>
      <c r="AO26" s="280">
        <f>AO10+AO24</f>
        <v>0</v>
      </c>
      <c r="AP26" s="123">
        <f t="shared" ref="AP26:AQ26" si="18">AP10+AP24</f>
        <v>10</v>
      </c>
      <c r="AQ26" s="280">
        <f t="shared" si="18"/>
        <v>1</v>
      </c>
      <c r="AR26" s="280">
        <f>AR10+AR24</f>
        <v>1</v>
      </c>
      <c r="AS26" s="280">
        <f>AS10+AS24</f>
        <v>4</v>
      </c>
      <c r="AT26" s="123">
        <f t="shared" ref="AT26:AU26" si="19">AT10+AT24</f>
        <v>20</v>
      </c>
      <c r="AU26" s="280">
        <f t="shared" si="19"/>
        <v>24</v>
      </c>
      <c r="AV26" s="280">
        <f>AV10+AV24</f>
        <v>12</v>
      </c>
      <c r="AW26" s="280">
        <f>AW10+AW24</f>
        <v>0</v>
      </c>
      <c r="AX26" s="123">
        <f t="shared" ref="AX26:AY26" si="20">AX10+AX24</f>
        <v>15</v>
      </c>
      <c r="AY26" s="280">
        <f t="shared" si="20"/>
        <v>13</v>
      </c>
      <c r="AZ26" s="280">
        <f>AZ10+AZ24</f>
        <v>13</v>
      </c>
      <c r="BA26" s="280">
        <f>BA10+BA24</f>
        <v>0</v>
      </c>
      <c r="BB26" s="127">
        <f t="shared" ref="BB26:BC26" si="21">BB10+BB24</f>
        <v>59</v>
      </c>
      <c r="BC26" s="280">
        <f t="shared" si="21"/>
        <v>45.5</v>
      </c>
      <c r="BD26" s="697">
        <f>BD10+BD24</f>
        <v>33.5</v>
      </c>
      <c r="BE26" s="697">
        <f>BE10+BE24</f>
        <v>4</v>
      </c>
      <c r="BF26" s="124">
        <f>BF10+BF24</f>
        <v>103</v>
      </c>
      <c r="BG26" s="707">
        <f t="shared" si="10"/>
        <v>62.5</v>
      </c>
      <c r="BH26" s="706">
        <f t="shared" si="10"/>
        <v>50.5</v>
      </c>
      <c r="BI26" s="284">
        <f t="shared" si="10"/>
        <v>4</v>
      </c>
    </row>
    <row r="27" spans="3:61" ht="21" customHeight="1">
      <c r="H27" s="320"/>
      <c r="I27" s="320"/>
      <c r="J27" s="321"/>
      <c r="K27" s="321"/>
      <c r="L27" s="321"/>
      <c r="M27" s="321"/>
      <c r="N27" s="321"/>
      <c r="O27" s="321"/>
      <c r="P27" s="321"/>
      <c r="Q27" s="321"/>
      <c r="R27" s="321"/>
      <c r="S27" s="321"/>
      <c r="T27" s="321"/>
      <c r="U27" s="321"/>
      <c r="V27" s="321"/>
      <c r="W27" s="321"/>
      <c r="X27" s="323"/>
      <c r="Y27" s="323"/>
      <c r="Z27" s="321"/>
      <c r="AA27" s="321"/>
      <c r="AB27" s="323"/>
      <c r="AC27" s="323"/>
      <c r="AD27" s="321"/>
      <c r="AE27" s="321"/>
      <c r="AF27" s="321"/>
      <c r="AG27" s="321"/>
      <c r="AH27" s="321"/>
      <c r="AI27" s="321"/>
      <c r="AJ27" s="321"/>
      <c r="AK27" s="321"/>
      <c r="AL27" s="321"/>
      <c r="AM27" s="321"/>
      <c r="AN27" s="321"/>
      <c r="AO27" s="321"/>
      <c r="AP27" s="321"/>
      <c r="AQ27" s="321"/>
      <c r="AR27" s="321">
        <v>4</v>
      </c>
      <c r="AS27" s="321" t="s">
        <v>337</v>
      </c>
      <c r="AT27" s="321"/>
      <c r="AU27" s="321"/>
      <c r="AV27" s="321"/>
      <c r="AW27" s="321"/>
      <c r="AX27" s="321"/>
      <c r="AY27" s="321"/>
      <c r="AZ27" s="321"/>
      <c r="BA27" s="321"/>
      <c r="BB27" s="335"/>
      <c r="BC27" s="1918">
        <f>SUM(I27:AZ29)</f>
        <v>4</v>
      </c>
      <c r="BD27" s="335"/>
      <c r="BE27" s="335"/>
      <c r="BF27" s="335"/>
      <c r="BG27" s="335"/>
      <c r="BH27" s="1917">
        <f>BH26+BI26</f>
        <v>54.5</v>
      </c>
      <c r="BI27" s="1917"/>
    </row>
    <row r="28" spans="3:61" ht="21" customHeight="1">
      <c r="H28" s="320"/>
      <c r="I28" s="320"/>
      <c r="J28" s="322"/>
      <c r="K28" s="323"/>
      <c r="L28" s="323"/>
      <c r="M28" s="323"/>
      <c r="N28" s="322"/>
      <c r="O28" s="323"/>
      <c r="P28" s="323"/>
      <c r="Q28" s="323"/>
      <c r="R28" s="322"/>
      <c r="S28" s="323"/>
      <c r="T28" s="323"/>
      <c r="U28" s="323"/>
      <c r="V28" s="321"/>
      <c r="W28" s="323"/>
      <c r="X28" s="323"/>
      <c r="Y28" s="323"/>
      <c r="Z28" s="322"/>
      <c r="AA28" s="323"/>
      <c r="AB28" s="323"/>
      <c r="AC28" s="323"/>
      <c r="AD28" s="322"/>
      <c r="AE28" s="323"/>
      <c r="AF28" s="323"/>
      <c r="AG28" s="322"/>
      <c r="AH28" s="322"/>
      <c r="AI28" s="323"/>
      <c r="AJ28" s="323"/>
      <c r="AK28" s="323"/>
      <c r="AL28" s="321"/>
      <c r="AM28" s="323"/>
      <c r="AN28" s="622"/>
      <c r="AO28" s="622"/>
      <c r="AP28" s="321"/>
      <c r="AQ28" s="323"/>
      <c r="AR28" s="323"/>
      <c r="AS28" s="323"/>
      <c r="AT28" s="322"/>
      <c r="AU28" s="323"/>
      <c r="AV28" s="323"/>
      <c r="AW28" s="323"/>
      <c r="AX28" s="322"/>
      <c r="AY28" s="468"/>
      <c r="AZ28" s="468"/>
      <c r="BA28" s="468"/>
      <c r="BB28" s="392"/>
      <c r="BC28" s="1919"/>
      <c r="BD28" s="434"/>
      <c r="BE28" s="434"/>
      <c r="BF28" s="435"/>
      <c r="BG28" s="434"/>
      <c r="BH28" s="726"/>
      <c r="BI28" s="434"/>
    </row>
    <row r="29" spans="3:61" ht="23.25">
      <c r="H29" s="320"/>
      <c r="I29" s="320"/>
      <c r="J29" s="322"/>
      <c r="K29" s="323"/>
      <c r="L29" s="323"/>
      <c r="M29" s="323"/>
      <c r="N29" s="322"/>
      <c r="O29" s="323"/>
      <c r="P29" s="323"/>
      <c r="Q29" s="323"/>
      <c r="R29" s="322"/>
      <c r="S29" s="323"/>
      <c r="T29" s="323"/>
      <c r="U29" s="323"/>
      <c r="V29" s="322"/>
      <c r="W29" s="323"/>
      <c r="X29" s="323"/>
      <c r="Y29" s="323"/>
      <c r="Z29" s="322"/>
      <c r="AA29" s="323"/>
      <c r="AB29" s="323"/>
      <c r="AC29" s="323"/>
      <c r="AD29" s="322"/>
      <c r="AE29" s="323"/>
      <c r="AF29" s="688"/>
      <c r="AG29" s="688"/>
      <c r="AH29" s="322"/>
      <c r="AI29" s="322"/>
      <c r="AJ29" s="323"/>
      <c r="AK29" s="323"/>
      <c r="AL29" s="321"/>
      <c r="AM29" s="323"/>
      <c r="AN29" s="321"/>
      <c r="AO29" s="321"/>
      <c r="AP29" s="322"/>
      <c r="AQ29" s="323"/>
      <c r="AR29" s="323"/>
      <c r="AS29" s="323"/>
      <c r="AT29" s="322"/>
      <c r="AU29" s="323"/>
      <c r="AV29" s="323"/>
      <c r="AW29" s="323"/>
      <c r="AX29" s="322"/>
      <c r="AY29" s="468"/>
      <c r="AZ29" s="468"/>
      <c r="BA29" s="468"/>
      <c r="BB29" s="392"/>
      <c r="BC29" s="434"/>
      <c r="BD29" s="434"/>
      <c r="BE29" s="434"/>
      <c r="BF29" s="435"/>
      <c r="BG29" s="434"/>
      <c r="BH29" s="682"/>
      <c r="BI29" s="434"/>
    </row>
    <row r="30" spans="3:61" s="464" customFormat="1" ht="21.75" thickBot="1">
      <c r="D30" s="576"/>
      <c r="E30" s="576"/>
      <c r="F30" s="576"/>
      <c r="I30" s="577"/>
      <c r="J30" s="578"/>
      <c r="K30" s="579"/>
      <c r="L30" s="579"/>
      <c r="M30" s="579"/>
      <c r="N30" s="578"/>
      <c r="O30" s="579"/>
      <c r="P30" s="579"/>
      <c r="Q30" s="579"/>
      <c r="R30" s="578"/>
      <c r="S30" s="579"/>
      <c r="T30" s="579"/>
      <c r="U30" s="579"/>
      <c r="V30" s="578"/>
      <c r="W30" s="578"/>
      <c r="X30" s="579"/>
      <c r="Y30" s="579"/>
      <c r="Z30" s="579"/>
      <c r="AA30" s="578"/>
      <c r="AB30" s="579"/>
      <c r="AC30" s="579"/>
      <c r="AD30" s="579"/>
      <c r="AE30" s="578"/>
      <c r="AF30" s="579"/>
      <c r="AG30" s="579"/>
      <c r="AH30" s="621"/>
      <c r="AI30" s="578"/>
      <c r="AJ30" s="579"/>
      <c r="AK30" s="579"/>
      <c r="AM30" s="580"/>
      <c r="AN30" s="579"/>
      <c r="AO30" s="579"/>
      <c r="AP30" s="579"/>
      <c r="AQ30" s="578"/>
      <c r="AR30" s="579"/>
      <c r="AS30" s="579"/>
      <c r="AT30" s="579"/>
      <c r="AU30" s="578"/>
      <c r="AV30" s="579"/>
      <c r="AW30" s="579"/>
      <c r="AZ30" s="581"/>
      <c r="BA30" s="581"/>
      <c r="BB30" s="581"/>
      <c r="BC30" s="582"/>
      <c r="BD30" s="583"/>
      <c r="BE30" s="583"/>
      <c r="BF30" s="583"/>
      <c r="BG30" s="584"/>
      <c r="BH30" s="583"/>
      <c r="BI30" s="585"/>
    </row>
    <row r="31" spans="3:61" ht="35.25" customHeight="1" thickBot="1">
      <c r="L31" s="1951" t="s">
        <v>393</v>
      </c>
      <c r="M31" s="1952"/>
      <c r="N31" s="1952"/>
      <c r="O31" s="1952"/>
      <c r="P31" s="1952"/>
      <c r="Q31" s="1952"/>
      <c r="R31" s="1952"/>
      <c r="S31" s="1953"/>
      <c r="T31" s="579"/>
      <c r="U31" s="579"/>
      <c r="V31" s="1929" t="s">
        <v>204</v>
      </c>
      <c r="W31" s="1930"/>
      <c r="X31" s="1930"/>
      <c r="Y31" s="1930"/>
      <c r="Z31" s="1930"/>
      <c r="AA31" s="1930"/>
      <c r="AB31" s="1930"/>
      <c r="AC31" s="1935"/>
      <c r="AD31" s="1936"/>
      <c r="AE31" s="579"/>
      <c r="AF31" s="579"/>
      <c r="AG31" s="26"/>
      <c r="AH31" s="24"/>
      <c r="AJ31" s="685"/>
      <c r="AL31" s="24"/>
      <c r="AM31" s="599"/>
      <c r="AN31" s="1014"/>
      <c r="AP31" s="24"/>
      <c r="AS31" s="26"/>
      <c r="AT31" s="24"/>
      <c r="AX31" s="24"/>
      <c r="AY31" s="25"/>
      <c r="AZ31" s="25"/>
      <c r="BA31" s="24"/>
      <c r="BB31" s="24"/>
      <c r="BE31" s="23"/>
      <c r="BF31" s="23"/>
      <c r="BG31" s="23"/>
    </row>
    <row r="32" spans="3:61" s="24" customFormat="1" ht="40.5" customHeight="1" thickBot="1">
      <c r="C32" s="23"/>
      <c r="D32" s="27"/>
      <c r="E32" s="27"/>
      <c r="F32" s="27"/>
      <c r="G32" s="23"/>
      <c r="H32" s="23"/>
      <c r="I32" s="27"/>
      <c r="L32" s="450" t="s">
        <v>0</v>
      </c>
      <c r="M32" s="439" t="s">
        <v>200</v>
      </c>
      <c r="N32" s="454" t="s">
        <v>205</v>
      </c>
      <c r="O32" s="439" t="s">
        <v>31</v>
      </c>
      <c r="P32" s="448" t="s">
        <v>201</v>
      </c>
      <c r="Q32" s="455" t="s">
        <v>206</v>
      </c>
      <c r="R32" s="436" t="s">
        <v>22</v>
      </c>
      <c r="S32" s="438" t="s">
        <v>191</v>
      </c>
      <c r="T32" s="579"/>
      <c r="U32" s="579"/>
      <c r="V32" s="571" t="s">
        <v>0</v>
      </c>
      <c r="W32" s="572" t="s">
        <v>200</v>
      </c>
      <c r="X32" s="623" t="s">
        <v>205</v>
      </c>
      <c r="Y32" s="572" t="s">
        <v>31</v>
      </c>
      <c r="Z32" s="573" t="s">
        <v>201</v>
      </c>
      <c r="AA32" s="574" t="s">
        <v>206</v>
      </c>
      <c r="AB32" s="717" t="s">
        <v>22</v>
      </c>
      <c r="AC32" s="721" t="s">
        <v>191</v>
      </c>
      <c r="AD32" s="722" t="s">
        <v>226</v>
      </c>
      <c r="AE32" s="579"/>
      <c r="AF32" s="579"/>
      <c r="AG32" s="599"/>
      <c r="AH32" s="599"/>
      <c r="AI32" s="599"/>
      <c r="AN32" s="26"/>
      <c r="AT32" s="25"/>
      <c r="AU32" s="25"/>
      <c r="AW32" s="23"/>
      <c r="AX32" s="23"/>
    </row>
    <row r="33" spans="1:59" ht="23.25">
      <c r="L33" s="441" t="s">
        <v>189</v>
      </c>
      <c r="M33" s="470">
        <f>$J$6</f>
        <v>0</v>
      </c>
      <c r="N33" s="430">
        <f>$J9</f>
        <v>3</v>
      </c>
      <c r="O33" s="430">
        <f>$J7</f>
        <v>0</v>
      </c>
      <c r="P33" s="430">
        <f>$J8</f>
        <v>0</v>
      </c>
      <c r="Q33" s="430">
        <f>J15+J16+J17+J18+J19+J21+J22+J23</f>
        <v>7</v>
      </c>
      <c r="R33" s="430">
        <f>$J20</f>
        <v>0</v>
      </c>
      <c r="S33" s="446">
        <f t="shared" ref="S33:S42" si="22">SUM(M33:R33)</f>
        <v>10</v>
      </c>
      <c r="T33" s="579"/>
      <c r="U33" s="579"/>
      <c r="V33" s="447" t="s">
        <v>189</v>
      </c>
      <c r="W33" s="569">
        <f>L$6</f>
        <v>7</v>
      </c>
      <c r="X33" s="570">
        <f>$L9</f>
        <v>1</v>
      </c>
      <c r="Y33" s="570">
        <f>$L7</f>
        <v>0</v>
      </c>
      <c r="Z33" s="570">
        <f>$L8</f>
        <v>1</v>
      </c>
      <c r="AA33" s="570">
        <f>L$15+L$16+L$17+L$18+L$19+L$21+L$22+L$23</f>
        <v>0</v>
      </c>
      <c r="AB33" s="718">
        <f>$L20</f>
        <v>0</v>
      </c>
      <c r="AC33" s="723">
        <f t="shared" ref="AC33:AC42" si="23">SUM(W33:AB33)</f>
        <v>9</v>
      </c>
      <c r="AD33" s="587">
        <f>M6+M7+M8++M9+M15+M16+M17+M18+M19+M21+M20+M22+M23</f>
        <v>0</v>
      </c>
      <c r="AE33" s="579">
        <f>AC33+AD33</f>
        <v>9</v>
      </c>
      <c r="AF33" s="579"/>
      <c r="AG33" s="599"/>
      <c r="AH33" s="599"/>
      <c r="AI33" s="599"/>
      <c r="AL33" s="24"/>
      <c r="AN33" s="26"/>
      <c r="AP33" s="24"/>
      <c r="AT33" s="25"/>
      <c r="AU33" s="25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</row>
    <row r="34" spans="1:59" s="24" customFormat="1" ht="23.25">
      <c r="A34" s="23"/>
      <c r="B34" s="23"/>
      <c r="C34" s="23"/>
      <c r="D34" s="27"/>
      <c r="E34" s="27"/>
      <c r="F34" s="27"/>
      <c r="G34" s="23"/>
      <c r="H34" s="23"/>
      <c r="I34" s="27"/>
      <c r="L34" s="441" t="s">
        <v>183</v>
      </c>
      <c r="M34" s="470">
        <f>$N$6</f>
        <v>8</v>
      </c>
      <c r="N34" s="430">
        <f>$N9</f>
        <v>0</v>
      </c>
      <c r="O34" s="430">
        <f>$N7</f>
        <v>0</v>
      </c>
      <c r="P34" s="430">
        <f>$N8</f>
        <v>0</v>
      </c>
      <c r="Q34" s="430">
        <f>N15+N16+N17+N18+N19+N21+N22+N23</f>
        <v>0</v>
      </c>
      <c r="R34" s="430">
        <f>$N20</f>
        <v>0</v>
      </c>
      <c r="S34" s="446">
        <f t="shared" si="22"/>
        <v>8</v>
      </c>
      <c r="T34" s="686"/>
      <c r="U34" s="26"/>
      <c r="V34" s="441" t="s">
        <v>183</v>
      </c>
      <c r="W34" s="440">
        <f>P$6</f>
        <v>6</v>
      </c>
      <c r="X34" s="430">
        <f>$P9</f>
        <v>0</v>
      </c>
      <c r="Y34" s="430">
        <f>$P7</f>
        <v>0</v>
      </c>
      <c r="Z34" s="430">
        <f>$P8</f>
        <v>0</v>
      </c>
      <c r="AA34" s="430">
        <f>P$15+P$16+P$17+P$18+P$19+P$21+P$22+P$23</f>
        <v>0</v>
      </c>
      <c r="AB34" s="719">
        <f>$P20</f>
        <v>0</v>
      </c>
      <c r="AC34" s="723">
        <f t="shared" si="23"/>
        <v>6</v>
      </c>
      <c r="AD34" s="587">
        <f>Q6+Q7+Q8+Q9+Q15+Q16+Q17+Q18+Q19+Q20+Q21+Q22+Q23</f>
        <v>0</v>
      </c>
      <c r="AE34" s="579">
        <f t="shared" ref="AE34:AE43" si="24">AC34+AD34</f>
        <v>6</v>
      </c>
      <c r="AG34" s="599"/>
      <c r="AH34" s="599"/>
      <c r="AI34" s="599"/>
      <c r="AN34" s="26"/>
      <c r="AT34" s="25"/>
      <c r="AU34" s="25"/>
    </row>
    <row r="35" spans="1:59" ht="23.25">
      <c r="L35" s="441" t="s">
        <v>184</v>
      </c>
      <c r="M35" s="470">
        <f>$R$6</f>
        <v>0</v>
      </c>
      <c r="N35" s="430">
        <f>$R9</f>
        <v>5</v>
      </c>
      <c r="O35" s="430">
        <f>$R7</f>
        <v>0</v>
      </c>
      <c r="P35" s="430">
        <f>$R8</f>
        <v>0</v>
      </c>
      <c r="Q35" s="430">
        <f>R15+R16+R17+R18+R19+R21+R22+R23</f>
        <v>0</v>
      </c>
      <c r="R35" s="430">
        <f>$R20</f>
        <v>0</v>
      </c>
      <c r="S35" s="446">
        <f t="shared" si="22"/>
        <v>5</v>
      </c>
      <c r="T35" s="686"/>
      <c r="U35" s="26"/>
      <c r="V35" s="441" t="s">
        <v>184</v>
      </c>
      <c r="W35" s="440">
        <f>T$6</f>
        <v>0</v>
      </c>
      <c r="X35" s="430">
        <f>$T9</f>
        <v>0</v>
      </c>
      <c r="Y35" s="430">
        <f>$T7</f>
        <v>0</v>
      </c>
      <c r="Z35" s="430">
        <f>$T8</f>
        <v>0</v>
      </c>
      <c r="AA35" s="430">
        <f>T$15+T$16+T$17+T$18+T$19+T$21+T$22+T$23</f>
        <v>0</v>
      </c>
      <c r="AB35" s="719">
        <f>$T20</f>
        <v>0</v>
      </c>
      <c r="AC35" s="723">
        <f t="shared" si="23"/>
        <v>0</v>
      </c>
      <c r="AD35" s="587">
        <f>U6+U7+U8+U9+U15+U16+U17+U18+U19+U20+U21+U22+U23</f>
        <v>0</v>
      </c>
      <c r="AE35" s="579">
        <f t="shared" si="24"/>
        <v>0</v>
      </c>
      <c r="AF35" s="26"/>
      <c r="AG35" s="599"/>
      <c r="AH35" s="599"/>
      <c r="AI35" s="599"/>
      <c r="AL35" s="24"/>
      <c r="AN35" s="26"/>
      <c r="AP35" s="24"/>
      <c r="AT35" s="25"/>
      <c r="AU35" s="25"/>
      <c r="AX35" s="23"/>
      <c r="AY35" s="23"/>
      <c r="AZ35" s="23"/>
      <c r="BA35" s="23"/>
      <c r="BB35" s="23"/>
      <c r="BC35" s="23"/>
      <c r="BD35" s="23"/>
      <c r="BE35" s="23"/>
      <c r="BF35" s="23"/>
      <c r="BG35" s="23"/>
    </row>
    <row r="36" spans="1:59" ht="23.25">
      <c r="L36" s="441" t="s">
        <v>170</v>
      </c>
      <c r="M36" s="470">
        <f>$V$6</f>
        <v>3</v>
      </c>
      <c r="N36" s="430">
        <f>$V9</f>
        <v>5</v>
      </c>
      <c r="O36" s="430">
        <f>$V7</f>
        <v>0</v>
      </c>
      <c r="P36" s="430">
        <f>$V8</f>
        <v>2</v>
      </c>
      <c r="Q36" s="430">
        <f>V15+V16+V17+V18+V19+V21++V22+V23</f>
        <v>0</v>
      </c>
      <c r="R36" s="430">
        <f>$V20</f>
        <v>0</v>
      </c>
      <c r="S36" s="446">
        <f t="shared" si="22"/>
        <v>10</v>
      </c>
      <c r="T36" s="686"/>
      <c r="U36" s="26"/>
      <c r="V36" s="441" t="s">
        <v>170</v>
      </c>
      <c r="W36" s="440">
        <f>X$6</f>
        <v>1</v>
      </c>
      <c r="X36" s="430">
        <f>$X9</f>
        <v>1</v>
      </c>
      <c r="Y36" s="430">
        <f>$X7</f>
        <v>0</v>
      </c>
      <c r="Z36" s="430">
        <f>$X8</f>
        <v>0</v>
      </c>
      <c r="AA36" s="430">
        <f>X$15+X$16+X$17+X$18+X$19+X$21+X$22+X$23</f>
        <v>0</v>
      </c>
      <c r="AB36" s="719">
        <f>$X20</f>
        <v>0</v>
      </c>
      <c r="AC36" s="723">
        <f t="shared" si="23"/>
        <v>2</v>
      </c>
      <c r="AD36" s="587">
        <f>Y6+Y7+Y8+Y9+Y15+Y16+Y17+Y18+Y19+Y20+Y21+Y22+Y23</f>
        <v>0</v>
      </c>
      <c r="AE36" s="579">
        <f t="shared" si="24"/>
        <v>2</v>
      </c>
      <c r="AF36" s="26"/>
      <c r="AG36" s="599"/>
      <c r="AH36" s="599"/>
      <c r="AI36" s="599"/>
      <c r="AL36" s="24"/>
      <c r="AN36" s="26"/>
      <c r="AP36" s="24"/>
      <c r="AT36" s="25"/>
      <c r="AU36" s="25"/>
      <c r="AX36" s="23"/>
      <c r="AY36" s="23"/>
      <c r="AZ36" s="23"/>
      <c r="BA36" s="23"/>
      <c r="BB36" s="23"/>
      <c r="BC36" s="23"/>
      <c r="BD36" s="23"/>
      <c r="BE36" s="23"/>
      <c r="BF36" s="23"/>
      <c r="BG36" s="23"/>
    </row>
    <row r="37" spans="1:59" ht="23.25">
      <c r="L37" s="441" t="s">
        <v>171</v>
      </c>
      <c r="M37" s="470">
        <f>$Z$6</f>
        <v>0</v>
      </c>
      <c r="N37" s="430">
        <f>$Z9</f>
        <v>1</v>
      </c>
      <c r="O37" s="430">
        <f>$Z7</f>
        <v>0</v>
      </c>
      <c r="P37" s="430">
        <f>$Z8</f>
        <v>0</v>
      </c>
      <c r="Q37" s="430">
        <f>Z15+Z16+Z17+Z18+Z19+Z21+Z22+Z23</f>
        <v>0</v>
      </c>
      <c r="R37" s="430">
        <f>$Z20</f>
        <v>0</v>
      </c>
      <c r="S37" s="446">
        <f t="shared" si="22"/>
        <v>1</v>
      </c>
      <c r="T37" s="686"/>
      <c r="U37" s="26"/>
      <c r="V37" s="441" t="s">
        <v>171</v>
      </c>
      <c r="W37" s="440">
        <f>AB$6</f>
        <v>0</v>
      </c>
      <c r="X37" s="430">
        <f>$AB9</f>
        <v>0</v>
      </c>
      <c r="Y37" s="430">
        <f>$AB7</f>
        <v>0</v>
      </c>
      <c r="Z37" s="430">
        <f>$AB8</f>
        <v>0</v>
      </c>
      <c r="AA37" s="430">
        <f>AB$15+AB$16+AB$17+AB$18+AB$19+AB$21+AB$22+AB$23</f>
        <v>0</v>
      </c>
      <c r="AB37" s="719">
        <f>$AB20</f>
        <v>0</v>
      </c>
      <c r="AC37" s="723">
        <f t="shared" si="23"/>
        <v>0</v>
      </c>
      <c r="AD37" s="587">
        <f>AC6+AC7+AC8+AC9+AC15+AC17+AC16+AC18+AC19+AC20+AC21+AC22+AC23</f>
        <v>0</v>
      </c>
      <c r="AE37" s="579">
        <f t="shared" si="24"/>
        <v>0</v>
      </c>
      <c r="AF37" s="26"/>
      <c r="AG37" s="26"/>
      <c r="AI37" s="26"/>
      <c r="AJ37" s="26"/>
      <c r="AK37" s="26"/>
      <c r="AL37" s="24"/>
      <c r="AN37" s="26"/>
      <c r="AP37" s="24"/>
      <c r="AT37" s="24"/>
      <c r="AX37" s="23"/>
      <c r="AY37" s="23"/>
      <c r="AZ37" s="23"/>
      <c r="BA37" s="23"/>
      <c r="BB37" s="23"/>
      <c r="BC37" s="23"/>
      <c r="BD37" s="23"/>
      <c r="BE37" s="23"/>
      <c r="BF37" s="23"/>
      <c r="BG37" s="23"/>
    </row>
    <row r="38" spans="1:59" ht="23.25">
      <c r="L38" s="441" t="s">
        <v>190</v>
      </c>
      <c r="M38" s="492">
        <f>$AD$6</f>
        <v>10</v>
      </c>
      <c r="N38" s="471">
        <f>$AD9</f>
        <v>0</v>
      </c>
      <c r="O38" s="471">
        <f>$AD7</f>
        <v>0</v>
      </c>
      <c r="P38" s="471">
        <f>$AD8</f>
        <v>0</v>
      </c>
      <c r="Q38" s="430">
        <f>AD15+AD16+AD17+AD18+AD19+AD21+AD22+AD23</f>
        <v>0</v>
      </c>
      <c r="R38" s="471">
        <f>$AD20</f>
        <v>0</v>
      </c>
      <c r="S38" s="446">
        <f t="shared" si="22"/>
        <v>10</v>
      </c>
      <c r="T38" s="686"/>
      <c r="U38" s="26"/>
      <c r="V38" s="441" t="s">
        <v>190</v>
      </c>
      <c r="W38" s="440">
        <f>AF$6</f>
        <v>0</v>
      </c>
      <c r="X38" s="430">
        <f>$AF9</f>
        <v>0</v>
      </c>
      <c r="Y38" s="430">
        <f>$AF7</f>
        <v>0</v>
      </c>
      <c r="Z38" s="430">
        <f>$AF8</f>
        <v>0</v>
      </c>
      <c r="AA38" s="430">
        <f>AF$15+AF$16+AF$17+AF$18+AF$19+AF$21+AF$22+AF$23</f>
        <v>0</v>
      </c>
      <c r="AB38" s="719">
        <f>$AF20</f>
        <v>0</v>
      </c>
      <c r="AC38" s="723">
        <f t="shared" si="23"/>
        <v>0</v>
      </c>
      <c r="AD38" s="587">
        <f>AG6+AG7+AG8+AG9+AG15+AG16+AG17+AG18+AG19+AG20+AG21+AG22+AG23</f>
        <v>0</v>
      </c>
      <c r="AE38" s="579">
        <f t="shared" si="24"/>
        <v>0</v>
      </c>
      <c r="AF38" s="26"/>
      <c r="AG38" s="26"/>
      <c r="AI38" s="26"/>
      <c r="AJ38" s="26"/>
      <c r="AK38" s="26"/>
      <c r="AL38" s="24"/>
      <c r="AN38" s="26"/>
      <c r="AP38" s="24"/>
      <c r="AT38" s="24"/>
      <c r="AX38" s="23"/>
      <c r="AY38" s="23"/>
      <c r="AZ38" s="23"/>
      <c r="BA38" s="23"/>
      <c r="BB38" s="23"/>
      <c r="BC38" s="23"/>
      <c r="BD38" s="23"/>
      <c r="BE38" s="23"/>
      <c r="BF38" s="23"/>
      <c r="BG38" s="23"/>
    </row>
    <row r="39" spans="1:59" ht="23.25">
      <c r="L39" s="441" t="s">
        <v>185</v>
      </c>
      <c r="M39" s="470">
        <f>$AL$6</f>
        <v>5</v>
      </c>
      <c r="N39" s="430">
        <f>$AL9</f>
        <v>0</v>
      </c>
      <c r="O39" s="430">
        <f>$AL7</f>
        <v>0</v>
      </c>
      <c r="P39" s="430">
        <f>$AL8</f>
        <v>0</v>
      </c>
      <c r="Q39" s="430">
        <f>AL15+AL16+AL17+AL18+AL19+AL21+AL22+AL23</f>
        <v>9</v>
      </c>
      <c r="R39" s="430">
        <f>$AL20</f>
        <v>0</v>
      </c>
      <c r="S39" s="446">
        <f t="shared" si="22"/>
        <v>14</v>
      </c>
      <c r="T39" s="686"/>
      <c r="U39" s="26"/>
      <c r="V39" s="441" t="s">
        <v>185</v>
      </c>
      <c r="W39" s="469">
        <f>AN$6</f>
        <v>7.5</v>
      </c>
      <c r="X39" s="430">
        <f>$AN9</f>
        <v>0</v>
      </c>
      <c r="Y39" s="430">
        <f>$AN7</f>
        <v>0</v>
      </c>
      <c r="Z39" s="430">
        <f>$AN8</f>
        <v>0</v>
      </c>
      <c r="AA39" s="430">
        <f>AN$15+AN$16+AN$17+AN$18+AN$19+AN$21+AN$22+AN$23</f>
        <v>0</v>
      </c>
      <c r="AB39" s="719">
        <f>$AN20</f>
        <v>0</v>
      </c>
      <c r="AC39" s="723">
        <f t="shared" si="23"/>
        <v>7.5</v>
      </c>
      <c r="AD39" s="587">
        <f>AO6+AO7+AO8+AO9+AO15+AO16+AO17+AO18+AO19+AO20+AO21+AO22+AO23</f>
        <v>0</v>
      </c>
      <c r="AE39" s="579">
        <f t="shared" si="24"/>
        <v>7.5</v>
      </c>
      <c r="AF39" s="23"/>
      <c r="AG39" s="26"/>
      <c r="AI39" s="26"/>
      <c r="AJ39" s="26"/>
      <c r="AK39" s="26"/>
      <c r="AL39" s="24"/>
      <c r="AN39" s="26"/>
      <c r="AP39" s="24"/>
      <c r="AT39" s="24"/>
      <c r="AX39" s="23"/>
      <c r="AY39" s="23"/>
      <c r="AZ39" s="23"/>
      <c r="BA39" s="23"/>
      <c r="BB39" s="23"/>
      <c r="BC39" s="23"/>
      <c r="BD39" s="23"/>
      <c r="BE39" s="23"/>
      <c r="BF39" s="23"/>
      <c r="BG39" s="23"/>
    </row>
    <row r="40" spans="1:59" ht="23.25">
      <c r="L40" s="441" t="s">
        <v>202</v>
      </c>
      <c r="M40" s="470">
        <f>$AP$6</f>
        <v>0</v>
      </c>
      <c r="N40" s="430">
        <f>$AP9</f>
        <v>0</v>
      </c>
      <c r="O40" s="430">
        <f>$AP7</f>
        <v>0</v>
      </c>
      <c r="P40" s="430">
        <f>$AP8</f>
        <v>0</v>
      </c>
      <c r="Q40" s="430">
        <f>AP15+AP16+AP17+AP18+AP19+AP21+AP22+AP23</f>
        <v>10</v>
      </c>
      <c r="R40" s="430">
        <f>$AP20</f>
        <v>0</v>
      </c>
      <c r="S40" s="446">
        <f t="shared" si="22"/>
        <v>10</v>
      </c>
      <c r="T40" s="686"/>
      <c r="U40" s="26"/>
      <c r="V40" s="441" t="s">
        <v>202</v>
      </c>
      <c r="W40" s="440">
        <f>AR$6</f>
        <v>0</v>
      </c>
      <c r="X40" s="430">
        <f>$AR9</f>
        <v>1</v>
      </c>
      <c r="Y40" s="430">
        <f>$AR7</f>
        <v>0</v>
      </c>
      <c r="Z40" s="430">
        <f>$AR8</f>
        <v>0</v>
      </c>
      <c r="AA40" s="430">
        <f>AR$15+AR$16+AR$17+AR$18+AR$19+AR$21+AR$22+AR$23</f>
        <v>0</v>
      </c>
      <c r="AB40" s="719">
        <f>$AR20</f>
        <v>0</v>
      </c>
      <c r="AC40" s="723">
        <f t="shared" si="23"/>
        <v>1</v>
      </c>
      <c r="AD40" s="587">
        <f>AS6+AS7+AS8+AS9+AS15+AS16+AS17+AS18+AS19+AS20+AS21+AS22+AS23</f>
        <v>4</v>
      </c>
      <c r="AE40" s="579">
        <f t="shared" si="24"/>
        <v>5</v>
      </c>
      <c r="AF40" s="28"/>
      <c r="AG40" s="26"/>
      <c r="AI40" s="26"/>
      <c r="AJ40" s="26"/>
      <c r="AK40" s="26"/>
      <c r="AL40" s="24"/>
      <c r="AN40" s="26"/>
      <c r="AP40" s="24"/>
      <c r="AS40" s="23"/>
      <c r="AT40" s="24"/>
      <c r="AX40" s="23"/>
      <c r="AY40" s="23"/>
      <c r="AZ40" s="23"/>
      <c r="BA40" s="23"/>
      <c r="BB40" s="23"/>
      <c r="BC40" s="23"/>
      <c r="BD40" s="23"/>
      <c r="BE40" s="23"/>
      <c r="BF40" s="23"/>
      <c r="BG40" s="23"/>
    </row>
    <row r="41" spans="1:59" ht="23.25">
      <c r="L41" s="441" t="s">
        <v>186</v>
      </c>
      <c r="M41" s="470">
        <f>$AT$6</f>
        <v>12</v>
      </c>
      <c r="N41" s="430">
        <f>$AT9</f>
        <v>0</v>
      </c>
      <c r="O41" s="430">
        <f>$AT7</f>
        <v>0</v>
      </c>
      <c r="P41" s="430">
        <f>$AT8</f>
        <v>0</v>
      </c>
      <c r="Q41" s="430">
        <f>AT15+AT16+AT17+AT18+AT19+AT21+AT22+AT23</f>
        <v>8</v>
      </c>
      <c r="R41" s="430">
        <f>$AT20</f>
        <v>0</v>
      </c>
      <c r="S41" s="446">
        <f t="shared" si="22"/>
        <v>20</v>
      </c>
      <c r="T41" s="686"/>
      <c r="U41" s="26"/>
      <c r="V41" s="441" t="s">
        <v>186</v>
      </c>
      <c r="W41" s="440">
        <f>AV$6</f>
        <v>2</v>
      </c>
      <c r="X41" s="430">
        <f>$AV9</f>
        <v>0</v>
      </c>
      <c r="Y41" s="430">
        <f>$AV7</f>
        <v>0</v>
      </c>
      <c r="Z41" s="430">
        <f>$AV8</f>
        <v>2</v>
      </c>
      <c r="AA41" s="430">
        <f>AV$15+AV$16+AV$17+AV$18+AV$19+AV$21+AV$22+AV$23</f>
        <v>8</v>
      </c>
      <c r="AB41" s="719">
        <f>$AV20</f>
        <v>0</v>
      </c>
      <c r="AC41" s="723">
        <f t="shared" si="23"/>
        <v>12</v>
      </c>
      <c r="AD41" s="587">
        <f>AW6+AW7+AW8+AW9+AW15+AW16+AW17+AW18+AW20+AW19+AW21+AW22+AW23</f>
        <v>0</v>
      </c>
      <c r="AE41" s="579">
        <f t="shared" si="24"/>
        <v>12</v>
      </c>
      <c r="AH41" s="24"/>
      <c r="AJ41" s="25"/>
      <c r="AL41" s="24"/>
      <c r="AN41" s="25"/>
      <c r="AP41" s="24"/>
      <c r="AR41" s="25"/>
      <c r="AT41" s="24"/>
      <c r="AX41" s="23"/>
      <c r="AY41" s="23"/>
      <c r="AZ41" s="23"/>
      <c r="BA41" s="23"/>
      <c r="BB41" s="23"/>
      <c r="BC41" s="23"/>
      <c r="BD41" s="23"/>
      <c r="BE41" s="23"/>
      <c r="BF41" s="23"/>
      <c r="BG41" s="23"/>
    </row>
    <row r="42" spans="1:59" ht="23.25">
      <c r="L42" s="441" t="s">
        <v>203</v>
      </c>
      <c r="M42" s="470">
        <f>$AX$6</f>
        <v>15</v>
      </c>
      <c r="N42" s="430">
        <f>$AX9</f>
        <v>0</v>
      </c>
      <c r="O42" s="430">
        <f>$AX7</f>
        <v>0</v>
      </c>
      <c r="P42" s="430">
        <f>$AX8</f>
        <v>0</v>
      </c>
      <c r="Q42" s="430">
        <f>AX15+AX16+AX17+AX18+AX19+AX21+AX22+AX23</f>
        <v>0</v>
      </c>
      <c r="R42" s="430">
        <f>$AX20</f>
        <v>0</v>
      </c>
      <c r="S42" s="446">
        <f t="shared" si="22"/>
        <v>15</v>
      </c>
      <c r="T42" s="686"/>
      <c r="U42" s="26"/>
      <c r="V42" s="441" t="s">
        <v>203</v>
      </c>
      <c r="W42" s="440">
        <f>AZ$6</f>
        <v>13</v>
      </c>
      <c r="X42" s="430">
        <f>$AZ9</f>
        <v>0</v>
      </c>
      <c r="Y42" s="430">
        <f>$AZ7</f>
        <v>0</v>
      </c>
      <c r="Z42" s="430">
        <f>$AZ8</f>
        <v>0</v>
      </c>
      <c r="AA42" s="430">
        <f>AZ$15+AZ$16+AZ$17+AZ$18+AZ$19+AZ$21+AZ$22+AZ$23</f>
        <v>0</v>
      </c>
      <c r="AB42" s="719">
        <f>$AZ20</f>
        <v>0</v>
      </c>
      <c r="AC42" s="723">
        <f t="shared" si="23"/>
        <v>13</v>
      </c>
      <c r="AD42" s="587">
        <f>BA6+BA7+BA8+BA9+BA15+BA16+BA17+BA18+BA19+BA20+BA21+BA22+BA23</f>
        <v>0</v>
      </c>
      <c r="AE42" s="579">
        <f t="shared" si="24"/>
        <v>13</v>
      </c>
      <c r="AH42" s="24"/>
      <c r="AJ42" s="25"/>
      <c r="AL42" s="24"/>
      <c r="AN42" s="25"/>
      <c r="AP42" s="24"/>
      <c r="AR42" s="25"/>
      <c r="AT42" s="24"/>
      <c r="AV42" s="25"/>
      <c r="AX42" s="23"/>
      <c r="AY42" s="23"/>
      <c r="AZ42" s="23"/>
      <c r="BA42" s="23"/>
      <c r="BB42" s="23"/>
      <c r="BC42" s="23"/>
      <c r="BD42" s="23"/>
      <c r="BE42" s="23"/>
      <c r="BF42" s="23"/>
      <c r="BG42" s="23"/>
    </row>
    <row r="43" spans="1:59" ht="24" thickBot="1">
      <c r="L43" s="442" t="s">
        <v>191</v>
      </c>
      <c r="M43" s="443">
        <f t="shared" ref="M43" si="25">SUM(M33:M42)</f>
        <v>53</v>
      </c>
      <c r="N43" s="444">
        <f>SUM(N33:N42)</f>
        <v>14</v>
      </c>
      <c r="O43" s="443">
        <f t="shared" ref="O43" si="26">SUM(O33:O42)</f>
        <v>0</v>
      </c>
      <c r="P43" s="444">
        <f>SUM(P33:P42)</f>
        <v>2</v>
      </c>
      <c r="Q43" s="444">
        <f>SUM(Q33:Q42)</f>
        <v>34</v>
      </c>
      <c r="R43" s="445">
        <f>SUM(R33:R42)</f>
        <v>0</v>
      </c>
      <c r="S43" s="451">
        <f>SUM(S33:S42)</f>
        <v>103</v>
      </c>
      <c r="T43" s="687"/>
      <c r="U43" s="26"/>
      <c r="V43" s="442" t="s">
        <v>191</v>
      </c>
      <c r="W43" s="443">
        <f t="shared" ref="W43:Y43" si="27">SUM(W33:W42)</f>
        <v>36.5</v>
      </c>
      <c r="X43" s="444">
        <f>SUM(X33:X42)</f>
        <v>3</v>
      </c>
      <c r="Y43" s="443">
        <f t="shared" si="27"/>
        <v>0</v>
      </c>
      <c r="Z43" s="444">
        <f>SUM(Z33:Z42)</f>
        <v>3</v>
      </c>
      <c r="AA43" s="444">
        <f>SUM(AA33:AA42)</f>
        <v>8</v>
      </c>
      <c r="AB43" s="720">
        <f>SUM(AB33:AB42)</f>
        <v>0</v>
      </c>
      <c r="AC43" s="724">
        <f>SUM(AC33:AC42)</f>
        <v>50.5</v>
      </c>
      <c r="AD43" s="725">
        <f>SUM(AD33:AD42)</f>
        <v>4</v>
      </c>
      <c r="AE43" s="579">
        <f t="shared" si="24"/>
        <v>54.5</v>
      </c>
      <c r="AH43" s="24"/>
      <c r="AJ43" s="25"/>
      <c r="AL43" s="24"/>
      <c r="AN43" s="25"/>
      <c r="AP43" s="24"/>
      <c r="AR43" s="25"/>
      <c r="AT43" s="24"/>
      <c r="AV43" s="25"/>
      <c r="AX43" s="23"/>
      <c r="AY43" s="23"/>
      <c r="AZ43" s="23"/>
      <c r="BA43" s="23"/>
      <c r="BB43" s="23"/>
      <c r="BC43" s="23"/>
      <c r="BD43" s="23"/>
      <c r="BE43" s="23"/>
      <c r="BF43" s="23"/>
      <c r="BG43" s="23"/>
    </row>
    <row r="44" spans="1:59" ht="15" customHeight="1" thickBot="1">
      <c r="L44" s="26"/>
      <c r="M44" s="26"/>
      <c r="N44" s="24"/>
      <c r="P44" s="26"/>
      <c r="Q44" s="26"/>
      <c r="R44" s="24"/>
      <c r="T44" s="26"/>
      <c r="U44" s="26"/>
      <c r="V44" s="24"/>
      <c r="Z44" s="24"/>
      <c r="AD44" s="24"/>
      <c r="AE44" s="26"/>
      <c r="AF44" s="466"/>
      <c r="AG44" s="466"/>
      <c r="AH44" s="466"/>
      <c r="AI44" s="467"/>
      <c r="AL44" s="24"/>
      <c r="AM44" s="25"/>
      <c r="AP44" s="24"/>
      <c r="AQ44" s="25"/>
      <c r="AT44" s="24"/>
      <c r="AU44" s="25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</row>
    <row r="45" spans="1:59" ht="30.75" customHeight="1" thickBot="1">
      <c r="L45" s="1929" t="str">
        <f>L31</f>
        <v>Mode wise Collection Plan-17-01-2022</v>
      </c>
      <c r="M45" s="1930"/>
      <c r="N45" s="1930"/>
      <c r="O45" s="1930"/>
      <c r="P45" s="1930"/>
      <c r="Q45" s="1930"/>
      <c r="R45" s="1930"/>
      <c r="S45" s="1930"/>
      <c r="T45" s="1931"/>
      <c r="U45" s="26"/>
      <c r="V45" s="1923" t="s">
        <v>281</v>
      </c>
      <c r="W45" s="1937"/>
      <c r="X45" s="1937"/>
      <c r="Y45" s="1937"/>
      <c r="Z45" s="1937"/>
      <c r="AA45" s="1937"/>
      <c r="AB45" s="1937"/>
      <c r="AC45" s="1937"/>
      <c r="AD45" s="1937"/>
      <c r="AE45" s="1938"/>
      <c r="AF45" s="466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</row>
    <row r="46" spans="1:59" s="28" customFormat="1" ht="31.5">
      <c r="D46" s="29"/>
      <c r="E46" s="29"/>
      <c r="F46" s="29"/>
      <c r="I46" s="29"/>
      <c r="J46" s="1011" t="s">
        <v>270</v>
      </c>
      <c r="K46" s="1011" t="s">
        <v>196</v>
      </c>
      <c r="L46" s="450" t="s">
        <v>0</v>
      </c>
      <c r="M46" s="439" t="s">
        <v>200</v>
      </c>
      <c r="N46" s="454" t="s">
        <v>205</v>
      </c>
      <c r="O46" s="439" t="s">
        <v>31</v>
      </c>
      <c r="P46" s="448" t="s">
        <v>201</v>
      </c>
      <c r="Q46" s="455" t="s">
        <v>206</v>
      </c>
      <c r="R46" s="436" t="s">
        <v>22</v>
      </c>
      <c r="S46" s="438" t="s">
        <v>191</v>
      </c>
      <c r="T46" s="438" t="s">
        <v>244</v>
      </c>
      <c r="U46" s="26"/>
      <c r="V46" s="596" t="s">
        <v>0</v>
      </c>
      <c r="W46" s="436" t="s">
        <v>200</v>
      </c>
      <c r="X46" s="454" t="s">
        <v>205</v>
      </c>
      <c r="Y46" s="436" t="s">
        <v>31</v>
      </c>
      <c r="Z46" s="448" t="s">
        <v>201</v>
      </c>
      <c r="AA46" s="453" t="s">
        <v>206</v>
      </c>
      <c r="AB46" s="453" t="s">
        <v>210</v>
      </c>
      <c r="AC46" s="436" t="s">
        <v>22</v>
      </c>
      <c r="AD46" s="437" t="s">
        <v>191</v>
      </c>
      <c r="AE46" s="438" t="s">
        <v>244</v>
      </c>
      <c r="AF46" s="952" t="s">
        <v>32</v>
      </c>
      <c r="AG46" s="1022" t="s">
        <v>25</v>
      </c>
      <c r="AH46" s="1022" t="s">
        <v>23</v>
      </c>
      <c r="AI46" s="1022" t="s">
        <v>271</v>
      </c>
      <c r="AJ46" s="23"/>
      <c r="AK46" s="23"/>
      <c r="AL46" s="23"/>
      <c r="AM46" s="23"/>
      <c r="AN46" s="23"/>
      <c r="AO46" s="23"/>
      <c r="AP46" s="23"/>
      <c r="AQ46" s="23"/>
      <c r="AR46" s="23"/>
    </row>
    <row r="47" spans="1:59" ht="23.25">
      <c r="J47" s="441"/>
      <c r="K47" s="441">
        <v>50</v>
      </c>
      <c r="L47" s="441" t="s">
        <v>189</v>
      </c>
      <c r="M47" s="470">
        <v>0</v>
      </c>
      <c r="N47" s="430">
        <v>3</v>
      </c>
      <c r="O47" s="430">
        <v>0</v>
      </c>
      <c r="P47" s="430">
        <v>0</v>
      </c>
      <c r="Q47" s="430">
        <v>7</v>
      </c>
      <c r="R47" s="430">
        <v>0</v>
      </c>
      <c r="S47" s="446">
        <f t="shared" ref="S47:S56" si="28">SUM(M47:R47)</f>
        <v>10</v>
      </c>
      <c r="T47" s="446">
        <v>48</v>
      </c>
      <c r="U47" s="26"/>
      <c r="V47" s="586" t="s">
        <v>189</v>
      </c>
      <c r="W47" s="430">
        <v>1</v>
      </c>
      <c r="X47" s="430">
        <v>0</v>
      </c>
      <c r="Y47" s="430">
        <v>0</v>
      </c>
      <c r="Z47" s="430">
        <v>2</v>
      </c>
      <c r="AA47" s="430">
        <v>0</v>
      </c>
      <c r="AB47" s="655">
        <v>13</v>
      </c>
      <c r="AC47" s="430"/>
      <c r="AD47" s="568">
        <f t="shared" ref="AD47:AD56" si="29">SUM(W47:AC47)</f>
        <v>16</v>
      </c>
      <c r="AE47" s="587">
        <v>0</v>
      </c>
      <c r="AF47" s="953"/>
      <c r="AG47" s="1017"/>
      <c r="AH47" s="1017"/>
      <c r="AI47" s="1017"/>
      <c r="AJ47" s="28"/>
      <c r="AK47" s="28"/>
      <c r="AL47" s="28">
        <f>485+160</f>
        <v>645</v>
      </c>
      <c r="AM47" s="28"/>
      <c r="AN47" s="28"/>
      <c r="AO47" s="28"/>
      <c r="AP47" s="28"/>
      <c r="AQ47" s="28"/>
      <c r="AR47" s="28"/>
      <c r="AT47" s="24"/>
      <c r="AU47" s="25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</row>
    <row r="48" spans="1:59" ht="23.25">
      <c r="J48" s="441"/>
      <c r="K48" s="441">
        <v>28</v>
      </c>
      <c r="L48" s="441" t="s">
        <v>183</v>
      </c>
      <c r="M48" s="470">
        <v>8</v>
      </c>
      <c r="N48" s="430">
        <v>0</v>
      </c>
      <c r="O48" s="430">
        <v>0</v>
      </c>
      <c r="P48" s="430">
        <v>0</v>
      </c>
      <c r="Q48" s="430">
        <v>0</v>
      </c>
      <c r="R48" s="430">
        <v>0</v>
      </c>
      <c r="S48" s="446">
        <f t="shared" si="28"/>
        <v>8</v>
      </c>
      <c r="T48" s="446"/>
      <c r="U48" s="466"/>
      <c r="V48" s="586" t="s">
        <v>183</v>
      </c>
      <c r="W48" s="430">
        <v>0</v>
      </c>
      <c r="X48" s="430">
        <v>1.6</v>
      </c>
      <c r="Y48" s="430">
        <v>0</v>
      </c>
      <c r="Z48" s="430">
        <v>0</v>
      </c>
      <c r="AA48" s="430">
        <v>0</v>
      </c>
      <c r="AB48" s="655">
        <v>0</v>
      </c>
      <c r="AC48" s="430"/>
      <c r="AD48" s="568">
        <f t="shared" si="29"/>
        <v>1.6</v>
      </c>
      <c r="AE48" s="587">
        <v>22</v>
      </c>
      <c r="AF48" s="953"/>
      <c r="AG48" s="951"/>
      <c r="AH48" s="951"/>
      <c r="AI48" s="655"/>
      <c r="AL48" s="24"/>
      <c r="AM48" s="25"/>
      <c r="AP48" s="24"/>
      <c r="AQ48" s="25"/>
      <c r="AT48" s="24"/>
      <c r="AU48" s="25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</row>
    <row r="49" spans="4:59" ht="23.25">
      <c r="J49" s="441"/>
      <c r="K49" s="441">
        <v>15</v>
      </c>
      <c r="L49" s="441" t="s">
        <v>184</v>
      </c>
      <c r="M49" s="470">
        <v>0</v>
      </c>
      <c r="N49" s="430">
        <v>5</v>
      </c>
      <c r="O49" s="430">
        <v>0</v>
      </c>
      <c r="P49" s="430">
        <v>0</v>
      </c>
      <c r="Q49" s="430">
        <v>0</v>
      </c>
      <c r="R49" s="430">
        <v>0</v>
      </c>
      <c r="S49" s="446">
        <f t="shared" si="28"/>
        <v>5</v>
      </c>
      <c r="T49" s="446"/>
      <c r="U49" s="466"/>
      <c r="V49" s="586" t="s">
        <v>184</v>
      </c>
      <c r="W49" s="430">
        <v>0</v>
      </c>
      <c r="X49" s="430">
        <v>0</v>
      </c>
      <c r="Y49" s="430">
        <v>0</v>
      </c>
      <c r="Z49" s="430">
        <v>0</v>
      </c>
      <c r="AA49" s="430">
        <v>0</v>
      </c>
      <c r="AB49" s="655">
        <v>0</v>
      </c>
      <c r="AC49" s="430"/>
      <c r="AD49" s="568">
        <f t="shared" si="29"/>
        <v>0</v>
      </c>
      <c r="AE49" s="587">
        <v>0</v>
      </c>
      <c r="AF49" s="953"/>
      <c r="AG49" s="951"/>
      <c r="AH49" s="951"/>
      <c r="AI49" s="655"/>
      <c r="AL49" s="24"/>
      <c r="AM49" s="25"/>
      <c r="AP49" s="24"/>
      <c r="AQ49" s="25"/>
      <c r="AT49" s="24"/>
      <c r="AU49" s="25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</row>
    <row r="50" spans="4:59" ht="23.25">
      <c r="J50" s="441"/>
      <c r="K50" s="441">
        <v>25</v>
      </c>
      <c r="L50" s="441" t="s">
        <v>170</v>
      </c>
      <c r="M50" s="470">
        <v>3</v>
      </c>
      <c r="N50" s="430">
        <v>5</v>
      </c>
      <c r="O50" s="430">
        <v>0</v>
      </c>
      <c r="P50" s="430">
        <v>2</v>
      </c>
      <c r="Q50" s="430">
        <v>0</v>
      </c>
      <c r="R50" s="430">
        <v>0</v>
      </c>
      <c r="S50" s="446">
        <f t="shared" si="28"/>
        <v>10</v>
      </c>
      <c r="T50" s="446"/>
      <c r="U50" s="466"/>
      <c r="V50" s="586" t="s">
        <v>170</v>
      </c>
      <c r="W50" s="430">
        <v>0</v>
      </c>
      <c r="X50" s="430">
        <v>0</v>
      </c>
      <c r="Y50" s="430">
        <v>0</v>
      </c>
      <c r="Z50" s="430">
        <v>0</v>
      </c>
      <c r="AA50" s="430">
        <v>0</v>
      </c>
      <c r="AB50" s="655">
        <v>0</v>
      </c>
      <c r="AC50" s="430"/>
      <c r="AD50" s="568">
        <f t="shared" si="29"/>
        <v>0</v>
      </c>
      <c r="AE50" s="587">
        <v>0</v>
      </c>
      <c r="AF50" s="953"/>
      <c r="AG50" s="951"/>
      <c r="AH50" s="951"/>
      <c r="AI50" s="655"/>
      <c r="AL50" s="24"/>
      <c r="AM50" s="25"/>
      <c r="AP50" s="24"/>
      <c r="AQ50" s="25"/>
      <c r="AT50" s="24"/>
      <c r="AU50" s="25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</row>
    <row r="51" spans="4:59" ht="23.25">
      <c r="J51" s="441"/>
      <c r="K51" s="441">
        <v>18</v>
      </c>
      <c r="L51" s="441" t="s">
        <v>171</v>
      </c>
      <c r="M51" s="470">
        <v>0</v>
      </c>
      <c r="N51" s="430">
        <v>1</v>
      </c>
      <c r="O51" s="430">
        <v>0</v>
      </c>
      <c r="P51" s="430">
        <v>0</v>
      </c>
      <c r="Q51" s="430">
        <v>0</v>
      </c>
      <c r="R51" s="430">
        <v>0</v>
      </c>
      <c r="S51" s="446">
        <f t="shared" si="28"/>
        <v>1</v>
      </c>
      <c r="T51" s="446"/>
      <c r="U51" s="466"/>
      <c r="V51" s="586" t="s">
        <v>171</v>
      </c>
      <c r="W51" s="430">
        <v>0</v>
      </c>
      <c r="X51" s="430">
        <v>0</v>
      </c>
      <c r="Y51" s="430">
        <v>0</v>
      </c>
      <c r="Z51" s="430">
        <v>0</v>
      </c>
      <c r="AA51" s="430">
        <v>0</v>
      </c>
      <c r="AB51" s="655">
        <v>0</v>
      </c>
      <c r="AC51" s="430"/>
      <c r="AD51" s="568">
        <f t="shared" si="29"/>
        <v>0</v>
      </c>
      <c r="AE51" s="587">
        <v>0</v>
      </c>
      <c r="AF51" s="953"/>
      <c r="AG51" s="951"/>
      <c r="AH51" s="951"/>
      <c r="AI51" s="655"/>
      <c r="AL51" s="24"/>
      <c r="AM51" s="25"/>
      <c r="AP51" s="24"/>
      <c r="AQ51" s="25"/>
      <c r="AT51" s="24"/>
      <c r="AU51" s="25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</row>
    <row r="52" spans="4:59" ht="23.25">
      <c r="J52" s="441"/>
      <c r="K52" s="441">
        <v>30</v>
      </c>
      <c r="L52" s="441" t="s">
        <v>190</v>
      </c>
      <c r="M52" s="492">
        <v>10</v>
      </c>
      <c r="N52" s="471">
        <v>0</v>
      </c>
      <c r="O52" s="471">
        <v>0</v>
      </c>
      <c r="P52" s="471">
        <v>0</v>
      </c>
      <c r="Q52" s="430">
        <v>0</v>
      </c>
      <c r="R52" s="471">
        <v>0</v>
      </c>
      <c r="S52" s="446">
        <f t="shared" si="28"/>
        <v>10</v>
      </c>
      <c r="T52" s="446"/>
      <c r="U52" s="466"/>
      <c r="V52" s="586" t="s">
        <v>190</v>
      </c>
      <c r="W52" s="430">
        <v>0</v>
      </c>
      <c r="X52" s="430">
        <v>0</v>
      </c>
      <c r="Y52" s="430">
        <v>0</v>
      </c>
      <c r="Z52" s="430">
        <v>0</v>
      </c>
      <c r="AA52" s="430">
        <v>0</v>
      </c>
      <c r="AB52" s="655">
        <v>0</v>
      </c>
      <c r="AC52" s="430"/>
      <c r="AD52" s="568">
        <f t="shared" si="29"/>
        <v>0</v>
      </c>
      <c r="AE52" s="587">
        <v>0</v>
      </c>
      <c r="AF52" s="954"/>
      <c r="AG52" s="951">
        <v>24.93</v>
      </c>
      <c r="AH52" s="951"/>
      <c r="AI52" s="655"/>
      <c r="AL52" s="24"/>
      <c r="AM52" s="25"/>
      <c r="AP52" s="24"/>
      <c r="AQ52" s="25"/>
      <c r="AT52" s="24"/>
      <c r="AU52" s="25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</row>
    <row r="53" spans="4:59" ht="23.25">
      <c r="J53" s="441"/>
      <c r="K53" s="441">
        <v>10</v>
      </c>
      <c r="L53" s="441" t="s">
        <v>185</v>
      </c>
      <c r="M53" s="470">
        <v>5</v>
      </c>
      <c r="N53" s="430">
        <v>0</v>
      </c>
      <c r="O53" s="430">
        <v>0</v>
      </c>
      <c r="P53" s="430">
        <v>0</v>
      </c>
      <c r="Q53" s="430">
        <v>9</v>
      </c>
      <c r="R53" s="430">
        <v>0</v>
      </c>
      <c r="S53" s="446">
        <f t="shared" si="28"/>
        <v>14</v>
      </c>
      <c r="T53" s="446"/>
      <c r="U53" s="466"/>
      <c r="V53" s="586" t="s">
        <v>185</v>
      </c>
      <c r="W53" s="430">
        <v>2.9</v>
      </c>
      <c r="X53" s="430">
        <v>0</v>
      </c>
      <c r="Y53" s="430">
        <v>0</v>
      </c>
      <c r="Z53" s="430">
        <v>0</v>
      </c>
      <c r="AA53" s="430">
        <v>0</v>
      </c>
      <c r="AB53" s="655">
        <v>0</v>
      </c>
      <c r="AC53" s="430"/>
      <c r="AD53" s="568">
        <f t="shared" si="29"/>
        <v>2.9</v>
      </c>
      <c r="AE53" s="587">
        <v>5</v>
      </c>
      <c r="AF53" s="954"/>
      <c r="AG53" s="951"/>
      <c r="AH53" s="951"/>
      <c r="AI53" s="655"/>
      <c r="AL53" s="24"/>
      <c r="AM53" s="25"/>
      <c r="AP53" s="24"/>
      <c r="AQ53" s="25"/>
      <c r="AT53" s="24"/>
      <c r="AU53" s="25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</row>
    <row r="54" spans="4:59" ht="23.25">
      <c r="J54" s="441"/>
      <c r="K54" s="441">
        <v>5</v>
      </c>
      <c r="L54" s="441" t="s">
        <v>202</v>
      </c>
      <c r="M54" s="470">
        <v>0</v>
      </c>
      <c r="N54" s="430">
        <v>0</v>
      </c>
      <c r="O54" s="430">
        <v>0</v>
      </c>
      <c r="P54" s="430">
        <v>0</v>
      </c>
      <c r="Q54" s="430">
        <v>10</v>
      </c>
      <c r="R54" s="430">
        <v>0</v>
      </c>
      <c r="S54" s="446">
        <f t="shared" si="28"/>
        <v>10</v>
      </c>
      <c r="T54" s="446">
        <v>4</v>
      </c>
      <c r="U54" s="466"/>
      <c r="V54" s="586" t="s">
        <v>202</v>
      </c>
      <c r="W54" s="430">
        <v>0</v>
      </c>
      <c r="X54" s="430">
        <v>0</v>
      </c>
      <c r="Y54" s="430">
        <v>0</v>
      </c>
      <c r="Z54" s="430">
        <v>0</v>
      </c>
      <c r="AA54" s="430">
        <v>0</v>
      </c>
      <c r="AB54" s="655">
        <v>0</v>
      </c>
      <c r="AC54" s="430"/>
      <c r="AD54" s="568">
        <f t="shared" si="29"/>
        <v>0</v>
      </c>
      <c r="AE54" s="587">
        <v>0</v>
      </c>
      <c r="AF54" s="952"/>
      <c r="AG54" s="951"/>
      <c r="AH54" s="951"/>
      <c r="AI54" s="655"/>
      <c r="AL54" s="24"/>
      <c r="AM54" s="25"/>
      <c r="AP54" s="24"/>
      <c r="AQ54" s="25"/>
      <c r="AT54" s="24"/>
      <c r="AU54" s="25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</row>
    <row r="55" spans="4:59" ht="23.25">
      <c r="J55" s="441"/>
      <c r="K55" s="441">
        <v>30</v>
      </c>
      <c r="L55" s="441" t="s">
        <v>186</v>
      </c>
      <c r="M55" s="470">
        <v>12</v>
      </c>
      <c r="N55" s="430">
        <v>0</v>
      </c>
      <c r="O55" s="430">
        <v>0</v>
      </c>
      <c r="P55" s="430">
        <v>0</v>
      </c>
      <c r="Q55" s="430">
        <v>8</v>
      </c>
      <c r="R55" s="430">
        <v>0</v>
      </c>
      <c r="S55" s="446">
        <f t="shared" si="28"/>
        <v>20</v>
      </c>
      <c r="T55" s="446"/>
      <c r="U55" s="466"/>
      <c r="V55" s="586" t="s">
        <v>186</v>
      </c>
      <c r="W55" s="430">
        <v>0</v>
      </c>
      <c r="X55" s="430">
        <v>0</v>
      </c>
      <c r="Y55" s="430">
        <v>0</v>
      </c>
      <c r="Z55" s="430">
        <v>0</v>
      </c>
      <c r="AA55" s="430">
        <v>0</v>
      </c>
      <c r="AB55" s="655">
        <v>0</v>
      </c>
      <c r="AC55" s="430"/>
      <c r="AD55" s="568">
        <f t="shared" si="29"/>
        <v>0</v>
      </c>
      <c r="AE55" s="587">
        <v>0</v>
      </c>
      <c r="AF55" s="952"/>
      <c r="AG55" s="951"/>
      <c r="AH55" s="951"/>
      <c r="AI55" s="655"/>
      <c r="AL55" s="24"/>
      <c r="AM55" s="25"/>
      <c r="AP55" s="24"/>
      <c r="AQ55" s="25"/>
      <c r="AT55" s="24"/>
      <c r="AU55" s="25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</row>
    <row r="56" spans="4:59" ht="23.25">
      <c r="J56" s="441"/>
      <c r="K56" s="441">
        <v>10</v>
      </c>
      <c r="L56" s="441" t="s">
        <v>203</v>
      </c>
      <c r="M56" s="470">
        <v>15</v>
      </c>
      <c r="N56" s="430">
        <v>0</v>
      </c>
      <c r="O56" s="430">
        <v>0</v>
      </c>
      <c r="P56" s="430">
        <v>0</v>
      </c>
      <c r="Q56" s="430">
        <v>0</v>
      </c>
      <c r="R56" s="430">
        <v>0</v>
      </c>
      <c r="S56" s="446">
        <f t="shared" si="28"/>
        <v>15</v>
      </c>
      <c r="T56" s="446"/>
      <c r="U56" s="466"/>
      <c r="V56" s="586" t="s">
        <v>203</v>
      </c>
      <c r="W56" s="430">
        <v>0</v>
      </c>
      <c r="X56" s="430">
        <v>0</v>
      </c>
      <c r="Y56" s="430">
        <v>0</v>
      </c>
      <c r="Z56" s="430">
        <v>0</v>
      </c>
      <c r="AA56" s="430">
        <v>0</v>
      </c>
      <c r="AB56" s="655">
        <v>0</v>
      </c>
      <c r="AC56" s="430"/>
      <c r="AD56" s="568">
        <f t="shared" si="29"/>
        <v>0</v>
      </c>
      <c r="AE56" s="587">
        <v>0</v>
      </c>
      <c r="AF56" s="952"/>
      <c r="AG56" s="951"/>
      <c r="AH56" s="951"/>
      <c r="AI56" s="655"/>
      <c r="AL56" s="24"/>
      <c r="AM56" s="25"/>
      <c r="AP56" s="24"/>
      <c r="AQ56" s="25"/>
      <c r="AT56" s="24"/>
      <c r="AU56" s="25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</row>
    <row r="57" spans="4:59" ht="24" thickBot="1">
      <c r="J57" s="442">
        <f t="shared" ref="J57:K57" si="30">SUM(J47:J56)</f>
        <v>0</v>
      </c>
      <c r="K57" s="442">
        <f t="shared" si="30"/>
        <v>221</v>
      </c>
      <c r="L57" s="442" t="s">
        <v>191</v>
      </c>
      <c r="M57" s="443">
        <f t="shared" ref="M57" si="31">SUM(M47:M56)</f>
        <v>53</v>
      </c>
      <c r="N57" s="444">
        <f>SUM(N47:N56)</f>
        <v>14</v>
      </c>
      <c r="O57" s="443">
        <f t="shared" ref="O57" si="32">SUM(O47:O56)</f>
        <v>0</v>
      </c>
      <c r="P57" s="444">
        <f>SUM(P47:P56)</f>
        <v>2</v>
      </c>
      <c r="Q57" s="444">
        <f>SUM(Q47:Q56)</f>
        <v>34</v>
      </c>
      <c r="R57" s="445">
        <f>SUM(R47:R56)</f>
        <v>0</v>
      </c>
      <c r="S57" s="451">
        <f>SUM(S47:S56)</f>
        <v>103</v>
      </c>
      <c r="T57" s="451">
        <f>SUM(T47:T56)</f>
        <v>52</v>
      </c>
      <c r="U57" s="466"/>
      <c r="V57" s="588" t="s">
        <v>191</v>
      </c>
      <c r="W57" s="589">
        <v>206.57999999999998</v>
      </c>
      <c r="X57" s="444">
        <v>10.82</v>
      </c>
      <c r="Y57" s="444">
        <v>0</v>
      </c>
      <c r="Z57" s="444">
        <v>18.12</v>
      </c>
      <c r="AA57" s="444">
        <v>21.72</v>
      </c>
      <c r="AB57" s="444">
        <v>0</v>
      </c>
      <c r="AC57" s="444">
        <f t="shared" ref="AC57" si="33">SUM(AC47:AC56)</f>
        <v>0</v>
      </c>
      <c r="AD57" s="630">
        <f>SUM(AD47:AD56)</f>
        <v>20.5</v>
      </c>
      <c r="AE57" s="631">
        <f>SUM(AE47:AE56)</f>
        <v>27</v>
      </c>
      <c r="AF57" s="1016">
        <f t="shared" ref="AF57:AI57" si="34">SUM(AF47:AF56)</f>
        <v>0</v>
      </c>
      <c r="AG57" s="1015">
        <f t="shared" si="34"/>
        <v>24.93</v>
      </c>
      <c r="AH57" s="1015">
        <f t="shared" si="34"/>
        <v>0</v>
      </c>
      <c r="AI57" s="1015">
        <f t="shared" si="34"/>
        <v>0</v>
      </c>
      <c r="AL57" s="24"/>
      <c r="AM57" s="25"/>
      <c r="AP57" s="24"/>
      <c r="AQ57" s="25"/>
      <c r="AT57" s="24"/>
      <c r="AU57" s="25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</row>
    <row r="58" spans="4:59" ht="24" customHeight="1" thickBot="1">
      <c r="N58" s="24"/>
      <c r="O58" s="1924" t="s">
        <v>254</v>
      </c>
      <c r="P58" s="1925"/>
      <c r="Q58" s="1925"/>
      <c r="R58" s="1926"/>
      <c r="S58" s="1927">
        <f>S57+T57</f>
        <v>155</v>
      </c>
      <c r="T58" s="1928"/>
      <c r="U58" s="466"/>
      <c r="V58" s="1932" t="s">
        <v>221</v>
      </c>
      <c r="W58" s="1932"/>
      <c r="X58" s="1932"/>
      <c r="Y58" s="1932"/>
      <c r="Z58" s="1932"/>
      <c r="AA58" s="1932"/>
      <c r="AB58" s="1932"/>
      <c r="AC58" s="1932"/>
      <c r="AD58" s="1933">
        <f>AD57+AE57</f>
        <v>47.5</v>
      </c>
      <c r="AE58" s="1934"/>
      <c r="AF58" s="466"/>
      <c r="AH58" s="24"/>
      <c r="AI58" s="25"/>
      <c r="AL58" s="24"/>
      <c r="AM58" s="25"/>
      <c r="AP58" s="24"/>
      <c r="AQ58" s="25"/>
      <c r="AT58" s="24"/>
      <c r="AU58" s="25"/>
      <c r="AX58" s="24"/>
      <c r="AY58" s="24"/>
      <c r="AZ58" s="25"/>
      <c r="BA58" s="24"/>
      <c r="BB58" s="24"/>
      <c r="BC58" s="23"/>
      <c r="BD58" s="23"/>
      <c r="BE58" s="23"/>
      <c r="BF58" s="23"/>
      <c r="BG58" s="23"/>
    </row>
    <row r="59" spans="4:59" ht="26.25">
      <c r="J59" s="24"/>
      <c r="N59" s="24"/>
      <c r="R59" s="24"/>
      <c r="T59" s="26"/>
      <c r="U59" s="26"/>
      <c r="V59" s="966"/>
      <c r="W59" s="966"/>
      <c r="X59" s="966"/>
      <c r="Y59" s="1922" t="s">
        <v>235</v>
      </c>
      <c r="Z59" s="1922"/>
      <c r="AA59" s="1922"/>
      <c r="AB59" s="1922"/>
      <c r="AC59" s="1922"/>
      <c r="AD59" s="1920">
        <f>BH6+BI6+BD20+BE20+AF27+L17+BI16+AV17</f>
        <v>36.5</v>
      </c>
      <c r="AE59" s="1921"/>
      <c r="AF59" s="466"/>
      <c r="AH59" s="24"/>
      <c r="AI59" s="25"/>
      <c r="AL59" s="24"/>
      <c r="AP59" s="25"/>
      <c r="AT59" s="25"/>
      <c r="AX59" s="25"/>
      <c r="AY59" s="24"/>
      <c r="AZ59" s="24"/>
      <c r="BA59" s="24"/>
      <c r="BB59" s="25"/>
      <c r="BE59" s="23"/>
      <c r="BF59" s="23"/>
      <c r="BG59" s="23"/>
    </row>
    <row r="60" spans="4:59" s="28" customFormat="1" ht="15" customHeight="1" thickBot="1">
      <c r="D60" s="29"/>
      <c r="E60" s="29"/>
      <c r="F60" s="29"/>
      <c r="I60" s="29"/>
      <c r="J60" s="24"/>
      <c r="K60" s="24"/>
      <c r="L60" s="24"/>
      <c r="M60" s="24"/>
      <c r="N60" s="964"/>
      <c r="O60" s="964"/>
      <c r="P60" s="964"/>
      <c r="Q60" s="964"/>
      <c r="R60" s="964"/>
      <c r="S60" s="964"/>
      <c r="T60" s="965"/>
      <c r="U60" s="965"/>
      <c r="V60" s="966"/>
      <c r="W60" s="966"/>
      <c r="X60" s="966"/>
      <c r="Y60" s="1013"/>
      <c r="Z60" s="966"/>
      <c r="AA60" s="966"/>
      <c r="AB60" s="966"/>
      <c r="AC60" s="1013"/>
      <c r="AD60" s="966"/>
      <c r="AE60" s="964"/>
      <c r="AF60" s="966"/>
      <c r="AG60" s="964"/>
      <c r="AH60" s="964"/>
      <c r="AI60" s="967"/>
      <c r="AJ60" s="964"/>
      <c r="AK60" s="964"/>
      <c r="AL60" s="964"/>
      <c r="AM60" s="964"/>
      <c r="AN60" s="964"/>
      <c r="AO60" s="964"/>
      <c r="AP60" s="967"/>
      <c r="AQ60" s="964"/>
      <c r="AR60" s="964"/>
      <c r="AS60" s="964"/>
      <c r="AT60" s="967"/>
      <c r="AU60" s="964"/>
      <c r="AV60" s="964"/>
      <c r="AW60" s="964"/>
      <c r="AX60" s="967"/>
      <c r="AY60" s="965"/>
      <c r="AZ60" s="965"/>
      <c r="BA60" s="964"/>
      <c r="BB60" s="964"/>
      <c r="BC60" s="967"/>
      <c r="BD60" s="967"/>
      <c r="BE60" s="964"/>
    </row>
    <row r="61" spans="4:59" ht="27" thickBot="1">
      <c r="J61" s="24"/>
      <c r="L61" s="1923" t="s">
        <v>319</v>
      </c>
      <c r="M61" s="1937"/>
      <c r="N61" s="1937"/>
      <c r="O61" s="1937"/>
      <c r="P61" s="1937"/>
      <c r="Q61" s="1937"/>
      <c r="R61" s="1937"/>
      <c r="S61" s="1937"/>
      <c r="T61" s="1937"/>
      <c r="U61" s="1938"/>
      <c r="V61" s="466"/>
      <c r="W61" s="466"/>
      <c r="X61" s="466"/>
      <c r="Y61" s="465"/>
      <c r="Z61" s="466"/>
      <c r="AA61" s="466"/>
      <c r="AB61" s="466"/>
      <c r="AC61" s="465"/>
      <c r="AD61" s="466"/>
      <c r="AF61" s="466"/>
      <c r="AH61" s="24"/>
      <c r="AI61" s="25"/>
      <c r="AL61" s="24"/>
      <c r="AM61" s="26"/>
      <c r="AN61" s="26"/>
      <c r="AP61" s="24"/>
      <c r="AQ61" s="26"/>
      <c r="AR61" s="26"/>
      <c r="AT61" s="24"/>
      <c r="AU61" s="26"/>
      <c r="AV61" s="26"/>
      <c r="AX61" s="24"/>
      <c r="AY61" s="26"/>
      <c r="AZ61" s="26"/>
      <c r="BA61" s="24"/>
      <c r="BB61" s="24"/>
      <c r="BC61" s="25"/>
      <c r="BD61" s="25"/>
      <c r="BF61" s="23"/>
      <c r="BG61" s="23"/>
    </row>
    <row r="62" spans="4:59" ht="31.5">
      <c r="J62" s="24"/>
      <c r="L62" s="596" t="s">
        <v>0</v>
      </c>
      <c r="M62" s="436" t="s">
        <v>200</v>
      </c>
      <c r="N62" s="454" t="s">
        <v>205</v>
      </c>
      <c r="O62" s="436" t="s">
        <v>31</v>
      </c>
      <c r="P62" s="448" t="s">
        <v>201</v>
      </c>
      <c r="Q62" s="453" t="s">
        <v>206</v>
      </c>
      <c r="R62" s="453" t="s">
        <v>210</v>
      </c>
      <c r="S62" s="436" t="s">
        <v>22</v>
      </c>
      <c r="T62" s="437" t="s">
        <v>191</v>
      </c>
      <c r="U62" s="438" t="s">
        <v>244</v>
      </c>
      <c r="V62" s="466"/>
      <c r="W62" s="466"/>
      <c r="X62" s="466"/>
      <c r="Y62" s="465"/>
      <c r="Z62" s="466"/>
      <c r="AA62" s="466"/>
      <c r="AB62" s="466"/>
      <c r="AC62" s="465"/>
      <c r="AD62" s="466"/>
      <c r="AF62" s="466"/>
      <c r="AH62" s="24"/>
      <c r="AI62" s="25"/>
      <c r="AJ62" s="24">
        <f>60</f>
        <v>60</v>
      </c>
      <c r="AL62" s="24"/>
      <c r="AM62" s="26"/>
      <c r="AN62" s="26"/>
      <c r="AP62" s="24"/>
      <c r="AQ62" s="26"/>
      <c r="AR62" s="26"/>
      <c r="AT62" s="24"/>
      <c r="AU62" s="26"/>
      <c r="AV62" s="26"/>
      <c r="AX62" s="24"/>
      <c r="AY62" s="26"/>
      <c r="AZ62" s="26"/>
      <c r="BA62" s="24"/>
      <c r="BB62" s="24"/>
      <c r="BC62" s="25"/>
      <c r="BD62" s="25"/>
      <c r="BF62" s="23"/>
      <c r="BG62" s="23"/>
    </row>
    <row r="63" spans="4:59" ht="23.25">
      <c r="J63" s="24"/>
      <c r="L63" s="586" t="s">
        <v>189</v>
      </c>
      <c r="M63" s="430">
        <v>7</v>
      </c>
      <c r="N63" s="430">
        <v>1</v>
      </c>
      <c r="O63" s="430">
        <v>0</v>
      </c>
      <c r="P63" s="430">
        <v>1</v>
      </c>
      <c r="Q63" s="430">
        <v>0</v>
      </c>
      <c r="R63" s="655"/>
      <c r="S63" s="430"/>
      <c r="T63" s="568">
        <f t="shared" ref="T63:T72" si="35">SUM(M63:S63)</f>
        <v>9</v>
      </c>
      <c r="U63" s="587"/>
      <c r="V63" s="466"/>
      <c r="W63" s="466"/>
      <c r="X63" s="466"/>
      <c r="Y63" s="465"/>
      <c r="Z63" s="466"/>
      <c r="AA63" s="466"/>
      <c r="AB63" s="466"/>
      <c r="AC63" s="465"/>
      <c r="AD63" s="466"/>
      <c r="AG63" s="26"/>
      <c r="AH63" s="24"/>
      <c r="AJ63" s="24">
        <f>20</f>
        <v>20</v>
      </c>
      <c r="AK63" s="49"/>
      <c r="AL63" s="24"/>
      <c r="AM63" s="26"/>
      <c r="AN63" s="26"/>
      <c r="AP63" s="24"/>
      <c r="AQ63" s="26"/>
      <c r="AR63" s="26"/>
      <c r="AT63" s="24"/>
      <c r="AU63" s="26"/>
      <c r="AV63" s="26"/>
      <c r="AX63" s="24"/>
      <c r="AY63" s="26"/>
      <c r="AZ63" s="26"/>
      <c r="BA63" s="24"/>
      <c r="BB63" s="24"/>
      <c r="BC63" s="25"/>
      <c r="BD63" s="25"/>
      <c r="BF63" s="23"/>
      <c r="BG63" s="23"/>
    </row>
    <row r="64" spans="4:59" ht="23.25">
      <c r="J64" s="24"/>
      <c r="L64" s="586" t="s">
        <v>183</v>
      </c>
      <c r="M64" s="430">
        <v>6</v>
      </c>
      <c r="N64" s="430">
        <v>0</v>
      </c>
      <c r="O64" s="430">
        <v>0</v>
      </c>
      <c r="P64" s="430">
        <v>0</v>
      </c>
      <c r="Q64" s="430">
        <v>0</v>
      </c>
      <c r="R64" s="655"/>
      <c r="S64" s="430"/>
      <c r="T64" s="568">
        <f t="shared" si="35"/>
        <v>6</v>
      </c>
      <c r="U64" s="587"/>
      <c r="V64" s="466"/>
      <c r="W64" s="466"/>
      <c r="X64" s="466"/>
      <c r="Y64" s="465"/>
      <c r="Z64" s="466"/>
      <c r="AA64" s="466"/>
      <c r="AB64" s="466"/>
      <c r="AC64" s="465"/>
      <c r="AD64" s="466"/>
      <c r="AG64" s="26"/>
      <c r="AH64" s="24"/>
      <c r="AK64" s="49"/>
      <c r="AL64" s="24"/>
      <c r="AO64" s="26"/>
      <c r="AP64" s="24"/>
      <c r="AQ64" s="26"/>
      <c r="AR64" s="26"/>
      <c r="AT64" s="24"/>
      <c r="AU64" s="26"/>
      <c r="AV64" s="26"/>
      <c r="AX64" s="24"/>
      <c r="AY64" s="26"/>
      <c r="AZ64" s="26"/>
      <c r="BA64" s="24"/>
      <c r="BB64" s="24"/>
      <c r="BE64" s="25"/>
      <c r="BF64" s="24"/>
      <c r="BG64" s="23"/>
    </row>
    <row r="65" spans="10:59" ht="23.25">
      <c r="J65" s="24"/>
      <c r="L65" s="586" t="s">
        <v>184</v>
      </c>
      <c r="M65" s="430">
        <v>0</v>
      </c>
      <c r="N65" s="430">
        <v>0</v>
      </c>
      <c r="O65" s="430">
        <v>0</v>
      </c>
      <c r="P65" s="430">
        <v>0</v>
      </c>
      <c r="Q65" s="430">
        <v>0</v>
      </c>
      <c r="R65" s="655"/>
      <c r="S65" s="430"/>
      <c r="T65" s="568">
        <f t="shared" si="35"/>
        <v>0</v>
      </c>
      <c r="U65" s="587"/>
      <c r="V65" s="466"/>
      <c r="W65" s="466"/>
      <c r="X65" s="466"/>
      <c r="Y65" s="465"/>
      <c r="Z65" s="466"/>
      <c r="AA65" s="466"/>
      <c r="AB65" s="466"/>
      <c r="AC65" s="465"/>
      <c r="AD65" s="466"/>
      <c r="AG65" s="26"/>
      <c r="AH65" s="24"/>
      <c r="AK65" s="49"/>
      <c r="AL65" s="24"/>
      <c r="AO65" s="26"/>
      <c r="AP65" s="24"/>
      <c r="AQ65" s="26"/>
      <c r="AR65" s="26"/>
      <c r="AT65" s="24"/>
      <c r="AU65" s="26"/>
      <c r="AV65" s="26"/>
      <c r="AX65" s="24"/>
      <c r="AY65" s="26"/>
      <c r="AZ65" s="26"/>
      <c r="BA65" s="24"/>
      <c r="BB65" s="24"/>
      <c r="BE65" s="25"/>
      <c r="BF65" s="24"/>
      <c r="BG65" s="23"/>
    </row>
    <row r="66" spans="10:59" ht="23.25">
      <c r="J66" s="24"/>
      <c r="L66" s="586" t="s">
        <v>170</v>
      </c>
      <c r="M66" s="430">
        <v>1</v>
      </c>
      <c r="N66" s="430">
        <v>1</v>
      </c>
      <c r="O66" s="430">
        <v>0</v>
      </c>
      <c r="P66" s="430">
        <v>0</v>
      </c>
      <c r="Q66" s="430">
        <v>0</v>
      </c>
      <c r="R66" s="655"/>
      <c r="S66" s="430"/>
      <c r="T66" s="568">
        <f t="shared" si="35"/>
        <v>2</v>
      </c>
      <c r="U66" s="587"/>
      <c r="V66" s="466"/>
      <c r="W66" s="466"/>
      <c r="X66" s="466"/>
      <c r="Y66" s="465"/>
      <c r="Z66" s="466"/>
      <c r="AA66" s="466"/>
      <c r="AB66" s="466"/>
      <c r="AC66" s="465"/>
      <c r="AD66" s="466"/>
      <c r="AG66" s="26"/>
      <c r="AH66" s="24"/>
      <c r="AK66" s="49"/>
      <c r="AL66" s="24"/>
      <c r="AO66" s="26"/>
      <c r="AP66" s="24"/>
      <c r="AQ66" s="26"/>
      <c r="AR66" s="26"/>
      <c r="AT66" s="24"/>
      <c r="AU66" s="26"/>
      <c r="AV66" s="26"/>
      <c r="AX66" s="24"/>
      <c r="AY66" s="26"/>
      <c r="AZ66" s="26"/>
      <c r="BA66" s="24"/>
      <c r="BB66" s="24"/>
      <c r="BE66" s="25"/>
      <c r="BF66" s="24"/>
      <c r="BG66" s="23"/>
    </row>
    <row r="67" spans="10:59" ht="23.25">
      <c r="J67" s="24"/>
      <c r="L67" s="586" t="s">
        <v>171</v>
      </c>
      <c r="M67" s="430">
        <v>0</v>
      </c>
      <c r="N67" s="430">
        <v>0</v>
      </c>
      <c r="O67" s="430">
        <v>0</v>
      </c>
      <c r="P67" s="430">
        <v>0</v>
      </c>
      <c r="Q67" s="430">
        <v>0</v>
      </c>
      <c r="R67" s="655"/>
      <c r="S67" s="430"/>
      <c r="T67" s="568">
        <f t="shared" si="35"/>
        <v>0</v>
      </c>
      <c r="U67" s="587"/>
      <c r="V67" s="466"/>
      <c r="W67" s="466"/>
      <c r="X67" s="466"/>
      <c r="Y67" s="465"/>
      <c r="Z67" s="466"/>
      <c r="AA67" s="466"/>
      <c r="AB67" s="466"/>
      <c r="AC67" s="465"/>
      <c r="AD67" s="466"/>
      <c r="AG67" s="26"/>
      <c r="AH67" s="24"/>
      <c r="AK67" s="49"/>
      <c r="AL67" s="24"/>
      <c r="AO67" s="26"/>
      <c r="AP67" s="24"/>
      <c r="AQ67" s="26"/>
      <c r="AR67" s="26"/>
      <c r="AT67" s="24"/>
      <c r="AU67" s="26"/>
      <c r="AV67" s="26"/>
      <c r="AX67" s="24"/>
      <c r="AY67" s="26"/>
      <c r="AZ67" s="26"/>
      <c r="BA67" s="24"/>
      <c r="BB67" s="24"/>
      <c r="BE67" s="25"/>
      <c r="BF67" s="24"/>
      <c r="BG67" s="23"/>
    </row>
    <row r="68" spans="10:59" ht="23.25">
      <c r="J68" s="24"/>
      <c r="L68" s="586" t="s">
        <v>190</v>
      </c>
      <c r="M68" s="430">
        <v>0</v>
      </c>
      <c r="N68" s="430">
        <v>0</v>
      </c>
      <c r="O68" s="430">
        <v>0</v>
      </c>
      <c r="P68" s="430">
        <v>0</v>
      </c>
      <c r="Q68" s="430">
        <v>0</v>
      </c>
      <c r="R68" s="655"/>
      <c r="S68" s="430"/>
      <c r="T68" s="568">
        <f t="shared" si="35"/>
        <v>0</v>
      </c>
      <c r="U68" s="587"/>
      <c r="V68" s="466"/>
      <c r="W68" s="466"/>
      <c r="X68" s="466"/>
      <c r="Y68" s="465"/>
      <c r="Z68" s="466"/>
      <c r="AA68" s="466"/>
      <c r="AB68" s="466"/>
      <c r="AC68" s="465"/>
      <c r="AD68" s="466"/>
      <c r="AG68" s="26"/>
      <c r="AH68" s="24"/>
      <c r="AK68" s="49"/>
      <c r="AL68" s="24"/>
      <c r="AO68" s="26"/>
      <c r="AP68" s="24"/>
      <c r="AQ68" s="26"/>
      <c r="AR68" s="26"/>
      <c r="AT68" s="24"/>
      <c r="AU68" s="26"/>
      <c r="AV68" s="26"/>
      <c r="AX68" s="24"/>
      <c r="AY68" s="26"/>
      <c r="AZ68" s="26"/>
      <c r="BA68" s="24"/>
      <c r="BB68" s="24"/>
      <c r="BE68" s="25"/>
      <c r="BF68" s="24"/>
      <c r="BG68" s="23"/>
    </row>
    <row r="69" spans="10:59" ht="23.25">
      <c r="L69" s="586" t="s">
        <v>185</v>
      </c>
      <c r="M69" s="430">
        <v>7.5</v>
      </c>
      <c r="N69" s="430">
        <v>0</v>
      </c>
      <c r="O69" s="430">
        <v>0</v>
      </c>
      <c r="P69" s="430">
        <v>0</v>
      </c>
      <c r="Q69" s="430">
        <v>0</v>
      </c>
      <c r="R69" s="655"/>
      <c r="S69" s="430"/>
      <c r="T69" s="568">
        <f t="shared" si="35"/>
        <v>7.5</v>
      </c>
      <c r="U69" s="587"/>
      <c r="V69" s="466"/>
      <c r="W69" s="466"/>
      <c r="X69" s="466"/>
      <c r="Y69" s="465"/>
      <c r="Z69" s="466"/>
      <c r="AA69" s="466"/>
      <c r="AB69" s="466"/>
      <c r="AC69" s="465"/>
      <c r="AD69" s="466"/>
      <c r="AG69" s="26"/>
      <c r="AH69" s="24"/>
      <c r="AK69" s="49"/>
      <c r="AL69" s="24"/>
      <c r="AO69" s="26"/>
      <c r="AP69" s="24"/>
      <c r="AQ69" s="26"/>
      <c r="AR69" s="26"/>
      <c r="AT69" s="24"/>
      <c r="AU69" s="26"/>
      <c r="AV69" s="26"/>
      <c r="AX69" s="24"/>
      <c r="AY69" s="26"/>
      <c r="AZ69" s="26"/>
      <c r="BA69" s="24"/>
      <c r="BB69" s="24"/>
      <c r="BE69" s="25"/>
      <c r="BF69" s="24"/>
      <c r="BG69" s="23"/>
    </row>
    <row r="70" spans="10:59" ht="23.25">
      <c r="L70" s="586" t="s">
        <v>202</v>
      </c>
      <c r="M70" s="430">
        <v>0</v>
      </c>
      <c r="N70" s="430">
        <v>0</v>
      </c>
      <c r="O70" s="430">
        <v>0</v>
      </c>
      <c r="P70" s="430">
        <v>0</v>
      </c>
      <c r="Q70" s="430">
        <v>0</v>
      </c>
      <c r="R70" s="655"/>
      <c r="S70" s="430"/>
      <c r="T70" s="568">
        <f t="shared" si="35"/>
        <v>0</v>
      </c>
      <c r="U70" s="587">
        <v>4</v>
      </c>
      <c r="V70" s="466"/>
      <c r="W70" s="466"/>
      <c r="X70" s="466"/>
      <c r="Y70" s="465"/>
      <c r="Z70" s="466"/>
      <c r="AA70" s="466"/>
      <c r="AB70" s="466"/>
      <c r="AC70" s="465"/>
      <c r="AD70" s="466"/>
      <c r="AG70" s="26"/>
      <c r="AH70" s="24"/>
      <c r="AK70" s="49"/>
      <c r="AL70" s="24"/>
      <c r="AM70" s="26"/>
      <c r="AN70" s="26"/>
      <c r="AY70" s="24"/>
      <c r="AZ70" s="24"/>
      <c r="BA70" s="24"/>
      <c r="BB70" s="24"/>
      <c r="BC70" s="25"/>
      <c r="BD70" s="25"/>
      <c r="BF70" s="23"/>
      <c r="BG70" s="23"/>
    </row>
    <row r="71" spans="10:59" ht="23.25">
      <c r="L71" s="586" t="s">
        <v>186</v>
      </c>
      <c r="M71" s="430">
        <v>2</v>
      </c>
      <c r="N71" s="430">
        <v>0</v>
      </c>
      <c r="O71" s="430">
        <v>0</v>
      </c>
      <c r="P71" s="430">
        <v>2</v>
      </c>
      <c r="Q71" s="430">
        <v>8</v>
      </c>
      <c r="R71" s="655"/>
      <c r="S71" s="430"/>
      <c r="T71" s="568">
        <f t="shared" si="35"/>
        <v>12</v>
      </c>
      <c r="U71" s="587"/>
      <c r="V71" s="466"/>
      <c r="W71" s="466"/>
      <c r="X71" s="466"/>
      <c r="Y71" s="465"/>
      <c r="Z71" s="466"/>
      <c r="AA71" s="466"/>
      <c r="AB71" s="466"/>
      <c r="AC71" s="465"/>
      <c r="AD71" s="466"/>
      <c r="AG71" s="26"/>
      <c r="AH71" s="24"/>
      <c r="AK71" s="49"/>
      <c r="AL71" s="24"/>
      <c r="AM71" s="26"/>
      <c r="AN71" s="26"/>
      <c r="AY71" s="24"/>
      <c r="AZ71" s="24"/>
      <c r="BA71" s="24"/>
      <c r="BB71" s="24"/>
      <c r="BC71" s="25"/>
      <c r="BD71" s="25"/>
      <c r="BF71" s="23"/>
      <c r="BG71" s="23"/>
    </row>
    <row r="72" spans="10:59" ht="23.25">
      <c r="L72" s="586" t="s">
        <v>203</v>
      </c>
      <c r="M72" s="430">
        <v>13</v>
      </c>
      <c r="N72" s="430">
        <v>0</v>
      </c>
      <c r="O72" s="430">
        <v>0</v>
      </c>
      <c r="P72" s="430">
        <v>0</v>
      </c>
      <c r="Q72" s="430">
        <v>0</v>
      </c>
      <c r="R72" s="655"/>
      <c r="S72" s="430"/>
      <c r="T72" s="568">
        <f t="shared" si="35"/>
        <v>13</v>
      </c>
      <c r="U72" s="587"/>
      <c r="V72" s="466"/>
      <c r="W72" s="466"/>
      <c r="X72" s="466"/>
      <c r="Y72" s="465"/>
      <c r="Z72" s="466"/>
      <c r="AA72" s="466"/>
      <c r="AB72" s="466"/>
      <c r="AC72" s="465"/>
      <c r="AD72" s="466"/>
      <c r="AG72" s="26"/>
      <c r="AH72" s="24"/>
      <c r="AK72" s="49"/>
      <c r="AL72" s="24"/>
      <c r="AM72" s="26"/>
      <c r="AN72" s="26"/>
      <c r="AY72" s="24"/>
      <c r="AZ72" s="24"/>
      <c r="BA72" s="24"/>
      <c r="BB72" s="24"/>
      <c r="BC72" s="25"/>
      <c r="BD72" s="25"/>
      <c r="BF72" s="23"/>
      <c r="BG72" s="23"/>
    </row>
    <row r="73" spans="10:59" ht="28.5" customHeight="1" thickBot="1">
      <c r="L73" s="588" t="s">
        <v>191</v>
      </c>
      <c r="M73" s="589">
        <f>SUM(M63:M72)</f>
        <v>36.5</v>
      </c>
      <c r="N73" s="589">
        <f t="shared" ref="N73:T73" si="36">SUM(N63:N72)</f>
        <v>2</v>
      </c>
      <c r="O73" s="589">
        <f t="shared" si="36"/>
        <v>0</v>
      </c>
      <c r="P73" s="589">
        <f t="shared" si="36"/>
        <v>3</v>
      </c>
      <c r="Q73" s="589">
        <f t="shared" si="36"/>
        <v>8</v>
      </c>
      <c r="R73" s="589">
        <f t="shared" si="36"/>
        <v>0</v>
      </c>
      <c r="S73" s="589">
        <f t="shared" si="36"/>
        <v>0</v>
      </c>
      <c r="T73" s="589">
        <f t="shared" si="36"/>
        <v>49.5</v>
      </c>
      <c r="U73" s="631">
        <f>SUM(U63:U72)</f>
        <v>4</v>
      </c>
      <c r="V73" s="466"/>
      <c r="W73" s="466"/>
      <c r="X73" s="466"/>
      <c r="Y73" s="465"/>
      <c r="Z73" s="466"/>
      <c r="AA73" s="466"/>
      <c r="AB73" s="466"/>
      <c r="AC73" s="465"/>
      <c r="AD73" s="466"/>
      <c r="AG73" s="26"/>
      <c r="AH73" s="24"/>
      <c r="AK73" s="49"/>
      <c r="AL73" s="24"/>
      <c r="AM73" s="26"/>
      <c r="AN73" s="26"/>
      <c r="AY73" s="24"/>
      <c r="AZ73" s="24"/>
      <c r="BA73" s="24"/>
      <c r="BB73" s="24"/>
      <c r="BC73" s="25"/>
      <c r="BD73" s="25"/>
      <c r="BF73" s="23"/>
      <c r="BG73" s="23"/>
    </row>
    <row r="74" spans="10:59" ht="27" customHeight="1" thickBot="1">
      <c r="L74" s="1932" t="s">
        <v>221</v>
      </c>
      <c r="M74" s="1932"/>
      <c r="N74" s="1932"/>
      <c r="O74" s="1932"/>
      <c r="P74" s="1932"/>
      <c r="Q74" s="1932"/>
      <c r="R74" s="1932"/>
      <c r="S74" s="1932"/>
      <c r="T74" s="1933">
        <f>T73+U73</f>
        <v>53.5</v>
      </c>
      <c r="U74" s="1934"/>
      <c r="V74" s="466"/>
      <c r="W74" s="466"/>
      <c r="X74" s="466"/>
      <c r="Y74" s="465"/>
      <c r="Z74" s="466"/>
      <c r="AA74" s="466"/>
      <c r="AB74" s="466"/>
      <c r="AC74" s="465"/>
      <c r="AD74" s="466"/>
      <c r="AG74" s="26"/>
      <c r="AH74" s="24"/>
      <c r="AK74" s="49"/>
      <c r="AL74" s="24"/>
      <c r="AM74" s="26"/>
      <c r="AN74" s="26"/>
      <c r="AP74" s="24"/>
      <c r="AQ74" s="26"/>
      <c r="AR74" s="26"/>
      <c r="AT74" s="24"/>
      <c r="AU74" s="26"/>
      <c r="AV74" s="26"/>
      <c r="AW74" s="50"/>
      <c r="AX74" s="50"/>
      <c r="AY74" s="26"/>
      <c r="AZ74" s="26"/>
      <c r="BA74" s="24"/>
      <c r="BB74" s="24"/>
      <c r="BC74" s="25"/>
      <c r="BD74" s="25"/>
      <c r="BF74" s="23"/>
      <c r="BG74" s="23"/>
    </row>
    <row r="75" spans="10:59" ht="26.25">
      <c r="L75" s="966"/>
      <c r="M75" s="966"/>
      <c r="N75" s="966"/>
      <c r="O75" s="1922" t="s">
        <v>235</v>
      </c>
      <c r="P75" s="1922"/>
      <c r="Q75" s="1922"/>
      <c r="R75" s="1922"/>
      <c r="S75" s="1922"/>
      <c r="T75" s="1920">
        <v>37</v>
      </c>
      <c r="U75" s="1921"/>
      <c r="V75" s="24"/>
      <c r="W75" s="466"/>
      <c r="X75" s="466"/>
      <c r="Y75" s="466"/>
      <c r="Z75" s="465"/>
      <c r="AA75" s="466"/>
      <c r="AB75" s="466"/>
      <c r="AC75" s="466"/>
      <c r="AD75" s="465"/>
      <c r="AE75" s="466"/>
      <c r="AN75" s="26"/>
      <c r="AO75" s="26"/>
      <c r="AP75" s="24"/>
      <c r="AR75" s="26"/>
      <c r="AS75" s="26"/>
      <c r="AT75" s="24"/>
      <c r="AV75" s="26"/>
      <c r="AW75" s="26"/>
      <c r="AX75" s="50"/>
      <c r="AZ75" s="26"/>
      <c r="BA75" s="26"/>
      <c r="BB75" s="24"/>
      <c r="BD75" s="25"/>
      <c r="BE75" s="25"/>
      <c r="BF75" s="24"/>
      <c r="BG75" s="23"/>
    </row>
    <row r="76" spans="10:59">
      <c r="L76" s="966"/>
      <c r="M76" s="966"/>
      <c r="N76" s="966"/>
      <c r="O76" s="1013"/>
      <c r="P76" s="966"/>
      <c r="Q76" s="966"/>
      <c r="R76" s="966"/>
      <c r="S76" s="1013"/>
      <c r="T76" s="966"/>
      <c r="U76" s="964"/>
      <c r="V76" s="24"/>
      <c r="W76" s="466"/>
      <c r="X76" s="466"/>
      <c r="Y76" s="466"/>
      <c r="Z76" s="465"/>
      <c r="AA76" s="466"/>
      <c r="AB76" s="466"/>
      <c r="AC76" s="466"/>
      <c r="AD76" s="465"/>
      <c r="AE76" s="466"/>
      <c r="AN76" s="26"/>
      <c r="AO76" s="26"/>
      <c r="AP76" s="24"/>
      <c r="AR76" s="26"/>
      <c r="AS76" s="26"/>
      <c r="AT76" s="24"/>
      <c r="AV76" s="26"/>
      <c r="AW76" s="26"/>
      <c r="AX76" s="50"/>
      <c r="AZ76" s="26"/>
      <c r="BA76" s="26"/>
      <c r="BB76" s="24"/>
      <c r="BD76" s="25"/>
      <c r="BE76" s="25"/>
      <c r="BF76" s="24"/>
      <c r="BG76" s="23"/>
    </row>
    <row r="77" spans="10:59">
      <c r="L77" s="26"/>
      <c r="M77" s="26"/>
      <c r="N77" s="24"/>
      <c r="P77" s="26"/>
      <c r="Q77" s="26"/>
      <c r="R77" s="24"/>
      <c r="T77" s="26"/>
      <c r="U77" s="26"/>
      <c r="V77" s="24"/>
      <c r="W77" s="466"/>
      <c r="X77" s="466"/>
      <c r="Y77" s="466"/>
      <c r="Z77" s="465"/>
      <c r="AA77" s="466"/>
      <c r="AB77" s="466"/>
      <c r="AC77" s="466"/>
      <c r="AD77" s="465"/>
      <c r="AE77" s="466"/>
      <c r="AN77" s="26"/>
      <c r="AO77" s="26"/>
      <c r="AP77" s="24"/>
      <c r="AR77" s="26"/>
      <c r="AS77" s="26"/>
      <c r="AT77" s="24"/>
      <c r="AV77" s="26"/>
      <c r="AW77" s="26"/>
      <c r="AX77" s="50"/>
      <c r="AZ77" s="26"/>
      <c r="BA77" s="26"/>
      <c r="BB77" s="24"/>
      <c r="BD77" s="25"/>
      <c r="BE77" s="25"/>
      <c r="BF77" s="24"/>
      <c r="BG77" s="23"/>
    </row>
    <row r="78" spans="10:59">
      <c r="L78" s="26"/>
      <c r="M78" s="26"/>
      <c r="N78" s="24"/>
      <c r="P78" s="26"/>
      <c r="Q78" s="26"/>
      <c r="R78" s="24"/>
      <c r="T78" s="26"/>
      <c r="U78" s="26"/>
      <c r="V78" s="24"/>
      <c r="W78" s="466"/>
      <c r="X78" s="466"/>
      <c r="Y78" s="466"/>
      <c r="Z78" s="465"/>
      <c r="AA78" s="466"/>
      <c r="AB78" s="466"/>
      <c r="AC78" s="466"/>
      <c r="AD78" s="465"/>
      <c r="AE78" s="466"/>
      <c r="AN78" s="26"/>
      <c r="AO78" s="26"/>
      <c r="AP78" s="24"/>
      <c r="AR78" s="26"/>
      <c r="AS78" s="26"/>
      <c r="AT78" s="24"/>
      <c r="AV78" s="26"/>
      <c r="AW78" s="26"/>
      <c r="AX78" s="50"/>
      <c r="AZ78" s="26"/>
      <c r="BA78" s="26"/>
      <c r="BB78" s="24"/>
      <c r="BD78" s="25"/>
      <c r="BE78" s="25"/>
      <c r="BF78" s="24"/>
      <c r="BG78" s="23"/>
    </row>
    <row r="79" spans="10:59">
      <c r="L79" s="26"/>
      <c r="M79" s="26"/>
      <c r="N79" s="24"/>
      <c r="P79" s="26"/>
      <c r="Q79" s="26"/>
      <c r="R79" s="24"/>
      <c r="T79" s="26"/>
      <c r="U79" s="26"/>
      <c r="V79" s="24"/>
      <c r="X79" s="26"/>
      <c r="Y79" s="26"/>
      <c r="Z79" s="24"/>
      <c r="AB79" s="26"/>
      <c r="AC79" s="26"/>
      <c r="AD79" s="24"/>
      <c r="AF79" s="26"/>
      <c r="AG79" s="26"/>
      <c r="AH79" s="24"/>
      <c r="AJ79" s="49"/>
      <c r="AK79" s="49"/>
      <c r="AL79" s="24"/>
      <c r="AN79" s="26"/>
      <c r="AO79" s="26"/>
      <c r="AP79" s="24"/>
      <c r="AR79" s="26"/>
      <c r="AS79" s="26"/>
      <c r="AT79" s="24"/>
      <c r="AV79" s="26"/>
      <c r="AW79" s="26"/>
      <c r="AX79" s="50"/>
      <c r="AZ79" s="26"/>
      <c r="BA79" s="26"/>
      <c r="BB79" s="24"/>
      <c r="BD79" s="25"/>
      <c r="BE79" s="25"/>
      <c r="BF79" s="24"/>
      <c r="BG79" s="23"/>
    </row>
    <row r="80" spans="10:59">
      <c r="L80" s="26"/>
      <c r="M80" s="26"/>
      <c r="N80" s="24"/>
      <c r="P80" s="26"/>
      <c r="Q80" s="26"/>
      <c r="R80" s="24"/>
      <c r="T80" s="26"/>
      <c r="U80" s="26"/>
      <c r="V80" s="24"/>
      <c r="X80" s="26"/>
      <c r="Y80" s="26"/>
      <c r="Z80" s="24"/>
      <c r="AB80" s="26"/>
      <c r="AC80" s="26"/>
      <c r="AD80" s="24"/>
      <c r="AF80" s="26"/>
      <c r="AG80" s="26"/>
      <c r="AH80" s="24"/>
      <c r="AJ80" s="49"/>
      <c r="AK80" s="49"/>
      <c r="AL80" s="24"/>
      <c r="AN80" s="26"/>
      <c r="AO80" s="26"/>
      <c r="AP80" s="24"/>
      <c r="AR80" s="26"/>
      <c r="AS80" s="26"/>
      <c r="AT80" s="24"/>
      <c r="AV80" s="26"/>
      <c r="AW80" s="26"/>
      <c r="AX80" s="50"/>
      <c r="AZ80" s="26"/>
      <c r="BA80" s="26"/>
      <c r="BB80" s="24"/>
      <c r="BD80" s="25"/>
      <c r="BE80" s="25"/>
      <c r="BF80" s="24"/>
      <c r="BG80" s="23"/>
    </row>
  </sheetData>
  <mergeCells count="62">
    <mergeCell ref="L61:U61"/>
    <mergeCell ref="L74:S74"/>
    <mergeCell ref="T74:U74"/>
    <mergeCell ref="O75:S75"/>
    <mergeCell ref="T75:U75"/>
    <mergeCell ref="H26:I26"/>
    <mergeCell ref="H13:I14"/>
    <mergeCell ref="V31:AD31"/>
    <mergeCell ref="AD59:AE59"/>
    <mergeCell ref="N2:AZ2"/>
    <mergeCell ref="L31:S31"/>
    <mergeCell ref="L45:T45"/>
    <mergeCell ref="V45:AE45"/>
    <mergeCell ref="AL13:AO13"/>
    <mergeCell ref="AP13:AS13"/>
    <mergeCell ref="AT13:AW13"/>
    <mergeCell ref="AX13:BA13"/>
    <mergeCell ref="O58:R58"/>
    <mergeCell ref="S58:T58"/>
    <mergeCell ref="AH13:AK13"/>
    <mergeCell ref="C15:C24"/>
    <mergeCell ref="H15:H23"/>
    <mergeCell ref="C6:C9"/>
    <mergeCell ref="H6:H9"/>
    <mergeCell ref="H24:I24"/>
    <mergeCell ref="H10:I10"/>
    <mergeCell ref="D13:F13"/>
    <mergeCell ref="C14:D14"/>
    <mergeCell ref="H12:BI12"/>
    <mergeCell ref="J13:M13"/>
    <mergeCell ref="N13:Q13"/>
    <mergeCell ref="R13:U13"/>
    <mergeCell ref="V13:Y13"/>
    <mergeCell ref="Z13:AC13"/>
    <mergeCell ref="AD13:AG13"/>
    <mergeCell ref="C2:F2"/>
    <mergeCell ref="H2:K2"/>
    <mergeCell ref="D4:F4"/>
    <mergeCell ref="H4:I5"/>
    <mergeCell ref="C5:D5"/>
    <mergeCell ref="BB2:BI2"/>
    <mergeCell ref="H3:BI3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H27:BI27"/>
    <mergeCell ref="BB13:BE13"/>
    <mergeCell ref="V58:AC58"/>
    <mergeCell ref="AD58:AE58"/>
    <mergeCell ref="Y59:AC59"/>
    <mergeCell ref="BC27:BC28"/>
    <mergeCell ref="BF13:BI13"/>
  </mergeCells>
  <conditionalFormatting sqref="M47:R56">
    <cfRule type="cellIs" dxfId="36" priority="2" operator="equal">
      <formula>0</formula>
    </cfRule>
  </conditionalFormatting>
  <conditionalFormatting sqref="M63:Q72">
    <cfRule type="cellIs" dxfId="35" priority="1" operator="equal">
      <formula>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J80"/>
  <sheetViews>
    <sheetView showGridLines="0" topLeftCell="I22" zoomScale="62" zoomScaleNormal="62" workbookViewId="0">
      <pane xSplit="1" topLeftCell="AJ1" activePane="topRight" state="frozen"/>
      <selection activeCell="I1" sqref="I1"/>
      <selection pane="topRight" activeCell="BH46" sqref="BH46"/>
    </sheetView>
  </sheetViews>
  <sheetFormatPr defaultColWidth="9.140625" defaultRowHeight="15"/>
  <cols>
    <col min="1" max="2" width="9.140625" style="23" hidden="1" customWidth="1"/>
    <col min="3" max="3" width="14.5703125" style="23" hidden="1" customWidth="1"/>
    <col min="4" max="4" width="11.42578125" style="27" hidden="1" customWidth="1"/>
    <col min="5" max="5" width="6.85546875" style="27" hidden="1" customWidth="1"/>
    <col min="6" max="6" width="9.140625" style="27" hidden="1" customWidth="1"/>
    <col min="7" max="7" width="3.42578125" style="23" hidden="1" customWidth="1"/>
    <col min="8" max="8" width="6.140625" style="23" customWidth="1"/>
    <col min="9" max="9" width="15.28515625" style="27" bestFit="1" customWidth="1"/>
    <col min="10" max="10" width="11.5703125" style="26" customWidth="1"/>
    <col min="11" max="11" width="9.140625" style="24" customWidth="1"/>
    <col min="12" max="13" width="12.85546875" style="24" customWidth="1"/>
    <col min="14" max="14" width="10.5703125" style="26" customWidth="1"/>
    <col min="15" max="15" width="10.28515625" style="24" customWidth="1"/>
    <col min="16" max="17" width="10.5703125" style="24" customWidth="1"/>
    <col min="18" max="18" width="8.5703125" style="26" customWidth="1"/>
    <col min="19" max="19" width="11.5703125" style="24" customWidth="1"/>
    <col min="20" max="20" width="14" style="24" bestFit="1" customWidth="1"/>
    <col min="21" max="21" width="11.5703125" style="24" customWidth="1"/>
    <col min="22" max="22" width="13.28515625" style="26" bestFit="1" customWidth="1"/>
    <col min="23" max="23" width="11.7109375" style="24" bestFit="1" customWidth="1"/>
    <col min="24" max="25" width="8.42578125" style="24" customWidth="1"/>
    <col min="26" max="26" width="8.42578125" style="26" customWidth="1"/>
    <col min="27" max="29" width="8.42578125" style="24" customWidth="1"/>
    <col min="30" max="30" width="11" style="26" bestFit="1" customWidth="1"/>
    <col min="31" max="31" width="11.7109375" style="24" bestFit="1" customWidth="1"/>
    <col min="32" max="32" width="10.5703125" style="24" bestFit="1" customWidth="1"/>
    <col min="33" max="33" width="10.5703125" style="24" customWidth="1"/>
    <col min="34" max="34" width="11.5703125" style="26" bestFit="1" customWidth="1"/>
    <col min="35" max="35" width="13.5703125" style="24" customWidth="1"/>
    <col min="36" max="37" width="11.5703125" style="24" customWidth="1"/>
    <col min="38" max="38" width="10.5703125" style="49" customWidth="1"/>
    <col min="39" max="39" width="9" style="24" customWidth="1"/>
    <col min="40" max="40" width="12" style="24" bestFit="1" customWidth="1"/>
    <col min="41" max="41" width="12" style="24" customWidth="1"/>
    <col min="42" max="42" width="8.42578125" style="26" customWidth="1"/>
    <col min="43" max="43" width="10" style="24" bestFit="1" customWidth="1"/>
    <col min="44" max="44" width="13.85546875" style="24" bestFit="1" customWidth="1"/>
    <col min="45" max="45" width="13.85546875" style="24" customWidth="1"/>
    <col min="46" max="46" width="11.7109375" style="26" customWidth="1"/>
    <col min="47" max="47" width="11.7109375" style="24" customWidth="1"/>
    <col min="48" max="48" width="10.5703125" style="24" bestFit="1" customWidth="1"/>
    <col min="49" max="49" width="10.5703125" style="24" customWidth="1"/>
    <col min="50" max="50" width="9.140625" style="26" bestFit="1" customWidth="1"/>
    <col min="51" max="51" width="9.140625" style="50" bestFit="1" customWidth="1"/>
    <col min="52" max="52" width="10.5703125" style="50" bestFit="1" customWidth="1"/>
    <col min="53" max="53" width="10.5703125" style="50" customWidth="1"/>
    <col min="54" max="54" width="10.7109375" style="26" bestFit="1" customWidth="1"/>
    <col min="55" max="55" width="12.85546875" style="24" bestFit="1" customWidth="1"/>
    <col min="56" max="56" width="10.5703125" style="24" bestFit="1" customWidth="1"/>
    <col min="57" max="57" width="10.5703125" style="24" customWidth="1"/>
    <col min="58" max="58" width="16" style="25" bestFit="1" customWidth="1"/>
    <col min="59" max="59" width="10.7109375" style="24" bestFit="1" customWidth="1"/>
    <col min="60" max="60" width="13" style="23" bestFit="1" customWidth="1"/>
    <col min="61" max="16384" width="9.140625" style="23"/>
  </cols>
  <sheetData>
    <row r="1" spans="3:62" ht="15" customHeight="1" thickBot="1"/>
    <row r="2" spans="3:62" ht="21.75" thickBot="1">
      <c r="C2" s="1899" t="s">
        <v>45</v>
      </c>
      <c r="D2" s="1900"/>
      <c r="E2" s="1900"/>
      <c r="F2" s="1901"/>
      <c r="H2" s="1915"/>
      <c r="I2" s="1567"/>
      <c r="J2" s="1567"/>
      <c r="K2" s="1567"/>
      <c r="L2" s="1020"/>
      <c r="M2" s="1020"/>
      <c r="N2" s="1916" t="s">
        <v>249</v>
      </c>
      <c r="O2" s="1916"/>
      <c r="P2" s="1916"/>
      <c r="Q2" s="1916"/>
      <c r="R2" s="1916"/>
      <c r="S2" s="1916"/>
      <c r="T2" s="1916"/>
      <c r="U2" s="1916"/>
      <c r="V2" s="1916"/>
      <c r="W2" s="1916"/>
      <c r="X2" s="1916"/>
      <c r="Y2" s="1916"/>
      <c r="Z2" s="1916"/>
      <c r="AA2" s="1916"/>
      <c r="AB2" s="1916"/>
      <c r="AC2" s="1916"/>
      <c r="AD2" s="1916"/>
      <c r="AE2" s="1916"/>
      <c r="AF2" s="1916"/>
      <c r="AG2" s="1916"/>
      <c r="AH2" s="1916"/>
      <c r="AI2" s="1916"/>
      <c r="AJ2" s="1916"/>
      <c r="AK2" s="1916"/>
      <c r="AL2" s="1916"/>
      <c r="AM2" s="1916"/>
      <c r="AN2" s="1916"/>
      <c r="AO2" s="1916"/>
      <c r="AP2" s="1916"/>
      <c r="AQ2" s="1916"/>
      <c r="AR2" s="1916"/>
      <c r="AS2" s="1916"/>
      <c r="AT2" s="1916"/>
      <c r="AU2" s="1916"/>
      <c r="AV2" s="1916"/>
      <c r="AW2" s="1916"/>
      <c r="AX2" s="1916"/>
      <c r="AY2" s="1916"/>
      <c r="AZ2" s="1916"/>
      <c r="BA2" s="1020"/>
      <c r="BB2" s="1902" t="s">
        <v>118</v>
      </c>
      <c r="BC2" s="1903"/>
      <c r="BD2" s="1903"/>
      <c r="BE2" s="1903"/>
      <c r="BF2" s="1903"/>
      <c r="BG2" s="1903"/>
      <c r="BH2" s="1903"/>
      <c r="BI2" s="1904"/>
    </row>
    <row r="3" spans="3:62" ht="19.5" thickBot="1">
      <c r="C3" s="1019"/>
      <c r="D3" s="1017"/>
      <c r="E3" s="1017"/>
      <c r="F3" s="1023"/>
      <c r="H3" s="1905" t="s">
        <v>115</v>
      </c>
      <c r="I3" s="1906"/>
      <c r="J3" s="1906"/>
      <c r="K3" s="1906"/>
      <c r="L3" s="1906"/>
      <c r="M3" s="1906"/>
      <c r="N3" s="1906"/>
      <c r="O3" s="1906"/>
      <c r="P3" s="1906"/>
      <c r="Q3" s="1906"/>
      <c r="R3" s="1906"/>
      <c r="S3" s="1906"/>
      <c r="T3" s="1906"/>
      <c r="U3" s="1906"/>
      <c r="V3" s="1906"/>
      <c r="W3" s="1906"/>
      <c r="X3" s="1906"/>
      <c r="Y3" s="1906"/>
      <c r="Z3" s="1906"/>
      <c r="AA3" s="1906"/>
      <c r="AB3" s="1906"/>
      <c r="AC3" s="1906"/>
      <c r="AD3" s="1906"/>
      <c r="AE3" s="1906"/>
      <c r="AF3" s="1906"/>
      <c r="AG3" s="1906"/>
      <c r="AH3" s="1906"/>
      <c r="AI3" s="1906"/>
      <c r="AJ3" s="1906"/>
      <c r="AK3" s="1906"/>
      <c r="AL3" s="1906"/>
      <c r="AM3" s="1906"/>
      <c r="AN3" s="1906"/>
      <c r="AO3" s="1906"/>
      <c r="AP3" s="1906"/>
      <c r="AQ3" s="1906"/>
      <c r="AR3" s="1906"/>
      <c r="AS3" s="1906"/>
      <c r="AT3" s="1906"/>
      <c r="AU3" s="1906"/>
      <c r="AV3" s="1906"/>
      <c r="AW3" s="1906"/>
      <c r="AX3" s="1906"/>
      <c r="AY3" s="1906"/>
      <c r="AZ3" s="1906"/>
      <c r="BA3" s="1906"/>
      <c r="BB3" s="1906"/>
      <c r="BC3" s="1906"/>
      <c r="BD3" s="1906"/>
      <c r="BE3" s="1906"/>
      <c r="BF3" s="1906"/>
      <c r="BG3" s="1906"/>
      <c r="BH3" s="1906"/>
      <c r="BI3" s="1907"/>
    </row>
    <row r="4" spans="3:62" ht="18.75">
      <c r="C4" s="37" t="s">
        <v>44</v>
      </c>
      <c r="D4" s="1869"/>
      <c r="E4" s="1869"/>
      <c r="F4" s="1870"/>
      <c r="H4" s="1908" t="s">
        <v>33</v>
      </c>
      <c r="I4" s="1909"/>
      <c r="J4" s="1871" t="s">
        <v>43</v>
      </c>
      <c r="K4" s="1872"/>
      <c r="L4" s="1872"/>
      <c r="M4" s="1873"/>
      <c r="N4" s="1871" t="s">
        <v>42</v>
      </c>
      <c r="O4" s="1872"/>
      <c r="P4" s="1872"/>
      <c r="Q4" s="1873"/>
      <c r="R4" s="1871" t="s">
        <v>41</v>
      </c>
      <c r="S4" s="1872"/>
      <c r="T4" s="1872"/>
      <c r="U4" s="1873"/>
      <c r="V4" s="1871" t="s">
        <v>40</v>
      </c>
      <c r="W4" s="1872"/>
      <c r="X4" s="1872"/>
      <c r="Y4" s="1873"/>
      <c r="Z4" s="1871" t="s">
        <v>39</v>
      </c>
      <c r="AA4" s="1872"/>
      <c r="AB4" s="1872"/>
      <c r="AC4" s="1873"/>
      <c r="AD4" s="1871" t="s">
        <v>38</v>
      </c>
      <c r="AE4" s="1872"/>
      <c r="AF4" s="1872"/>
      <c r="AG4" s="1873"/>
      <c r="AH4" s="1874" t="s">
        <v>122</v>
      </c>
      <c r="AI4" s="1875"/>
      <c r="AJ4" s="1875"/>
      <c r="AK4" s="1876"/>
      <c r="AL4" s="1871" t="s">
        <v>37</v>
      </c>
      <c r="AM4" s="1872"/>
      <c r="AN4" s="1872"/>
      <c r="AO4" s="1873"/>
      <c r="AP4" s="1871" t="s">
        <v>36</v>
      </c>
      <c r="AQ4" s="1872"/>
      <c r="AR4" s="1872"/>
      <c r="AS4" s="1873"/>
      <c r="AT4" s="1871" t="s">
        <v>35</v>
      </c>
      <c r="AU4" s="1872"/>
      <c r="AV4" s="1872"/>
      <c r="AW4" s="1873"/>
      <c r="AX4" s="1871" t="s">
        <v>34</v>
      </c>
      <c r="AY4" s="1872"/>
      <c r="AZ4" s="1872"/>
      <c r="BA4" s="1873"/>
      <c r="BB4" s="1874" t="s">
        <v>123</v>
      </c>
      <c r="BC4" s="1875"/>
      <c r="BD4" s="1875"/>
      <c r="BE4" s="1876"/>
      <c r="BF4" s="1877" t="s">
        <v>17</v>
      </c>
      <c r="BG4" s="1878"/>
      <c r="BH4" s="1878"/>
      <c r="BI4" s="1878"/>
    </row>
    <row r="5" spans="3:62" ht="15.75" customHeight="1">
      <c r="C5" s="1879" t="s">
        <v>33</v>
      </c>
      <c r="D5" s="1869"/>
      <c r="E5" s="1017" t="s">
        <v>1</v>
      </c>
      <c r="F5" s="1023" t="s">
        <v>2</v>
      </c>
      <c r="H5" s="1910"/>
      <c r="I5" s="1911"/>
      <c r="J5" s="36" t="s">
        <v>1</v>
      </c>
      <c r="K5" s="271" t="s">
        <v>2</v>
      </c>
      <c r="L5" s="693" t="s">
        <v>182</v>
      </c>
      <c r="M5" s="35" t="s">
        <v>247</v>
      </c>
      <c r="N5" s="36" t="s">
        <v>1</v>
      </c>
      <c r="O5" s="271" t="s">
        <v>2</v>
      </c>
      <c r="P5" s="693" t="s">
        <v>182</v>
      </c>
      <c r="Q5" s="35" t="s">
        <v>247</v>
      </c>
      <c r="R5" s="36" t="s">
        <v>1</v>
      </c>
      <c r="S5" s="271" t="s">
        <v>2</v>
      </c>
      <c r="T5" s="693" t="s">
        <v>182</v>
      </c>
      <c r="U5" s="35" t="s">
        <v>247</v>
      </c>
      <c r="V5" s="36" t="s">
        <v>1</v>
      </c>
      <c r="W5" s="271" t="s">
        <v>2</v>
      </c>
      <c r="X5" s="693" t="s">
        <v>182</v>
      </c>
      <c r="Y5" s="35" t="s">
        <v>247</v>
      </c>
      <c r="Z5" s="36" t="s">
        <v>1</v>
      </c>
      <c r="AA5" s="271" t="s">
        <v>2</v>
      </c>
      <c r="AB5" s="693" t="s">
        <v>182</v>
      </c>
      <c r="AC5" s="35" t="s">
        <v>247</v>
      </c>
      <c r="AD5" s="36" t="s">
        <v>1</v>
      </c>
      <c r="AE5" s="271" t="s">
        <v>2</v>
      </c>
      <c r="AF5" s="693" t="s">
        <v>182</v>
      </c>
      <c r="AG5" s="35" t="s">
        <v>247</v>
      </c>
      <c r="AH5" s="36" t="s">
        <v>1</v>
      </c>
      <c r="AI5" s="271" t="s">
        <v>2</v>
      </c>
      <c r="AJ5" s="271" t="s">
        <v>182</v>
      </c>
      <c r="AK5" s="690" t="s">
        <v>196</v>
      </c>
      <c r="AL5" s="36" t="s">
        <v>1</v>
      </c>
      <c r="AM5" s="271" t="s">
        <v>2</v>
      </c>
      <c r="AN5" s="693" t="s">
        <v>182</v>
      </c>
      <c r="AO5" s="35" t="s">
        <v>247</v>
      </c>
      <c r="AP5" s="36" t="s">
        <v>1</v>
      </c>
      <c r="AQ5" s="271" t="s">
        <v>2</v>
      </c>
      <c r="AR5" s="693" t="s">
        <v>182</v>
      </c>
      <c r="AS5" s="35" t="s">
        <v>247</v>
      </c>
      <c r="AT5" s="36" t="s">
        <v>1</v>
      </c>
      <c r="AU5" s="271" t="s">
        <v>2</v>
      </c>
      <c r="AV5" s="693" t="s">
        <v>182</v>
      </c>
      <c r="AW5" s="35" t="s">
        <v>247</v>
      </c>
      <c r="AX5" s="36" t="s">
        <v>1</v>
      </c>
      <c r="AY5" s="271" t="s">
        <v>2</v>
      </c>
      <c r="AZ5" s="693" t="s">
        <v>182</v>
      </c>
      <c r="BA5" s="35" t="s">
        <v>247</v>
      </c>
      <c r="BB5" s="36" t="s">
        <v>1</v>
      </c>
      <c r="BC5" s="271" t="s">
        <v>2</v>
      </c>
      <c r="BD5" s="271" t="s">
        <v>182</v>
      </c>
      <c r="BE5" s="690" t="s">
        <v>196</v>
      </c>
      <c r="BF5" s="274" t="s">
        <v>1</v>
      </c>
      <c r="BG5" s="275" t="s">
        <v>2</v>
      </c>
      <c r="BH5" s="275" t="s">
        <v>182</v>
      </c>
      <c r="BI5" s="698" t="s">
        <v>196</v>
      </c>
    </row>
    <row r="6" spans="3:62" s="28" customFormat="1" ht="20.100000000000001" customHeight="1">
      <c r="C6" s="1879" t="s">
        <v>19</v>
      </c>
      <c r="D6" s="1017" t="s">
        <v>32</v>
      </c>
      <c r="E6" s="1017"/>
      <c r="F6" s="1018"/>
      <c r="H6" s="1886" t="s">
        <v>32</v>
      </c>
      <c r="I6" s="33" t="s">
        <v>32</v>
      </c>
      <c r="J6" s="462"/>
      <c r="K6" s="463">
        <v>7</v>
      </c>
      <c r="L6" s="463"/>
      <c r="M6" s="691"/>
      <c r="N6" s="462">
        <v>7</v>
      </c>
      <c r="O6" s="463"/>
      <c r="P6" s="463"/>
      <c r="Q6" s="691"/>
      <c r="R6" s="462"/>
      <c r="S6" s="463"/>
      <c r="T6" s="463"/>
      <c r="U6" s="691"/>
      <c r="V6" s="462">
        <v>4</v>
      </c>
      <c r="W6" s="463"/>
      <c r="X6" s="463"/>
      <c r="Y6" s="691"/>
      <c r="Z6" s="462"/>
      <c r="AA6" s="463"/>
      <c r="AB6" s="463"/>
      <c r="AC6" s="691"/>
      <c r="AD6" s="462">
        <v>10</v>
      </c>
      <c r="AE6" s="463"/>
      <c r="AF6" s="463"/>
      <c r="AG6" s="691"/>
      <c r="AH6" s="128">
        <f>J6+N6+R6+V6+Z6+AD6</f>
        <v>21</v>
      </c>
      <c r="AI6" s="273">
        <f>K6+O6+S6+W6+AA6+AE6</f>
        <v>7</v>
      </c>
      <c r="AJ6" s="273">
        <f>L6+P6+T6+X6+AB6+AF6</f>
        <v>0</v>
      </c>
      <c r="AK6" s="694">
        <f>M6+Q6+U6+Y6+AC6+AG6</f>
        <v>0</v>
      </c>
      <c r="AL6" s="462"/>
      <c r="AM6" s="463">
        <v>5</v>
      </c>
      <c r="AN6" s="463">
        <v>5</v>
      </c>
      <c r="AO6" s="691"/>
      <c r="AP6" s="462">
        <v>5</v>
      </c>
      <c r="AQ6" s="463">
        <v>1</v>
      </c>
      <c r="AR6" s="463">
        <v>1</v>
      </c>
      <c r="AS6" s="691">
        <v>4</v>
      </c>
      <c r="AT6" s="462"/>
      <c r="AU6" s="463"/>
      <c r="AV6" s="463"/>
      <c r="AW6" s="691">
        <v>9</v>
      </c>
      <c r="AX6" s="462"/>
      <c r="AY6" s="463"/>
      <c r="AZ6" s="463"/>
      <c r="BA6" s="691"/>
      <c r="BB6" s="128">
        <f>AL6+AP6+AT6+AX6</f>
        <v>5</v>
      </c>
      <c r="BC6" s="273">
        <f>AM6+AQ6+AU6+AY6</f>
        <v>6</v>
      </c>
      <c r="BD6" s="273">
        <f>AN6+AR6+AV6+AZ6</f>
        <v>6</v>
      </c>
      <c r="BE6" s="273">
        <f>AO6+AS6+AW6+BA6</f>
        <v>13</v>
      </c>
      <c r="BF6" s="276">
        <f>AH6+BB6</f>
        <v>26</v>
      </c>
      <c r="BG6" s="277">
        <f>AI6+BC6</f>
        <v>13</v>
      </c>
      <c r="BH6" s="701">
        <f>AJ6+BD6</f>
        <v>6</v>
      </c>
      <c r="BI6" s="699">
        <f>AK6+BE6</f>
        <v>13</v>
      </c>
      <c r="BJ6" s="1090">
        <f>BH6+BI6</f>
        <v>19</v>
      </c>
    </row>
    <row r="7" spans="3:62" s="28" customFormat="1" ht="20.100000000000001" customHeight="1">
      <c r="C7" s="1879"/>
      <c r="D7" s="1017" t="s">
        <v>31</v>
      </c>
      <c r="E7" s="1017"/>
      <c r="F7" s="1018"/>
      <c r="H7" s="1887"/>
      <c r="I7" s="33" t="s">
        <v>31</v>
      </c>
      <c r="J7" s="462"/>
      <c r="K7" s="463"/>
      <c r="L7" s="463"/>
      <c r="M7" s="691"/>
      <c r="N7" s="462"/>
      <c r="O7" s="463"/>
      <c r="P7" s="463"/>
      <c r="Q7" s="691"/>
      <c r="R7" s="462"/>
      <c r="S7" s="463"/>
      <c r="T7" s="463"/>
      <c r="U7" s="691"/>
      <c r="V7" s="462"/>
      <c r="W7" s="463"/>
      <c r="X7" s="463"/>
      <c r="Y7" s="691"/>
      <c r="Z7" s="462"/>
      <c r="AA7" s="463"/>
      <c r="AB7" s="463"/>
      <c r="AC7" s="691"/>
      <c r="AD7" s="462"/>
      <c r="AE7" s="463"/>
      <c r="AF7" s="463"/>
      <c r="AG7" s="691"/>
      <c r="AH7" s="128">
        <f t="shared" ref="AH7:AK9" si="0">J7+N7+R7+V7+Z7+AD7</f>
        <v>0</v>
      </c>
      <c r="AI7" s="273">
        <f t="shared" si="0"/>
        <v>0</v>
      </c>
      <c r="AJ7" s="273">
        <f t="shared" si="0"/>
        <v>0</v>
      </c>
      <c r="AK7" s="694">
        <f t="shared" si="0"/>
        <v>0</v>
      </c>
      <c r="AL7" s="462"/>
      <c r="AM7" s="463"/>
      <c r="AN7" s="463"/>
      <c r="AO7" s="691"/>
      <c r="AP7" s="462"/>
      <c r="AQ7" s="463"/>
      <c r="AR7" s="463"/>
      <c r="AS7" s="691"/>
      <c r="AT7" s="462"/>
      <c r="AU7" s="463"/>
      <c r="AV7" s="463"/>
      <c r="AW7" s="691"/>
      <c r="AX7" s="462"/>
      <c r="AY7" s="463"/>
      <c r="AZ7" s="463"/>
      <c r="BA7" s="691"/>
      <c r="BB7" s="128">
        <f t="shared" ref="BB7:BE9" si="1">AL7+AP7+AT7+AX7</f>
        <v>0</v>
      </c>
      <c r="BC7" s="273">
        <f t="shared" si="1"/>
        <v>0</v>
      </c>
      <c r="BD7" s="273">
        <f t="shared" si="1"/>
        <v>0</v>
      </c>
      <c r="BE7" s="273">
        <f t="shared" si="1"/>
        <v>0</v>
      </c>
      <c r="BF7" s="276">
        <f t="shared" ref="BF7:BI9" si="2">AH7+BB7</f>
        <v>0</v>
      </c>
      <c r="BG7" s="277">
        <f t="shared" si="2"/>
        <v>0</v>
      </c>
      <c r="BH7" s="277">
        <f t="shared" si="2"/>
        <v>0</v>
      </c>
      <c r="BI7" s="699">
        <f t="shared" si="2"/>
        <v>0</v>
      </c>
      <c r="BJ7" s="1090">
        <f t="shared" ref="BJ7:BJ9" si="3">BH7+BI7</f>
        <v>0</v>
      </c>
    </row>
    <row r="8" spans="3:62" s="28" customFormat="1" ht="20.100000000000001" customHeight="1">
      <c r="C8" s="1879"/>
      <c r="D8" s="1017" t="s">
        <v>30</v>
      </c>
      <c r="E8" s="1017"/>
      <c r="F8" s="1018"/>
      <c r="H8" s="1887"/>
      <c r="I8" s="33" t="s">
        <v>30</v>
      </c>
      <c r="J8" s="462">
        <v>5</v>
      </c>
      <c r="K8" s="463"/>
      <c r="L8" s="463"/>
      <c r="M8" s="691"/>
      <c r="N8" s="462"/>
      <c r="O8" s="463"/>
      <c r="P8" s="463"/>
      <c r="Q8" s="691"/>
      <c r="R8" s="462"/>
      <c r="S8" s="463"/>
      <c r="T8" s="463"/>
      <c r="U8" s="691"/>
      <c r="V8" s="462">
        <v>1</v>
      </c>
      <c r="W8" s="463">
        <v>2.5</v>
      </c>
      <c r="X8" s="463">
        <v>2.5</v>
      </c>
      <c r="Y8" s="691"/>
      <c r="Z8" s="462"/>
      <c r="AA8" s="463"/>
      <c r="AB8" s="463"/>
      <c r="AC8" s="691"/>
      <c r="AD8" s="462">
        <v>10</v>
      </c>
      <c r="AE8" s="463"/>
      <c r="AF8" s="463"/>
      <c r="AG8" s="691"/>
      <c r="AH8" s="128">
        <f t="shared" si="0"/>
        <v>16</v>
      </c>
      <c r="AI8" s="273">
        <f t="shared" si="0"/>
        <v>2.5</v>
      </c>
      <c r="AJ8" s="273">
        <f t="shared" si="0"/>
        <v>2.5</v>
      </c>
      <c r="AK8" s="694">
        <f t="shared" si="0"/>
        <v>0</v>
      </c>
      <c r="AL8" s="462">
        <v>3</v>
      </c>
      <c r="AM8" s="463"/>
      <c r="AN8" s="463"/>
      <c r="AO8" s="691"/>
      <c r="AP8" s="462">
        <v>5</v>
      </c>
      <c r="AQ8" s="463"/>
      <c r="AR8" s="463"/>
      <c r="AS8" s="691"/>
      <c r="AT8" s="462"/>
      <c r="AU8" s="463"/>
      <c r="AV8" s="463"/>
      <c r="AW8" s="691"/>
      <c r="AX8" s="462"/>
      <c r="AY8" s="463"/>
      <c r="AZ8" s="463"/>
      <c r="BA8" s="691"/>
      <c r="BB8" s="128">
        <f t="shared" si="1"/>
        <v>8</v>
      </c>
      <c r="BC8" s="273">
        <f t="shared" si="1"/>
        <v>0</v>
      </c>
      <c r="BD8" s="273">
        <f t="shared" si="1"/>
        <v>0</v>
      </c>
      <c r="BE8" s="273">
        <f t="shared" si="1"/>
        <v>0</v>
      </c>
      <c r="BF8" s="276">
        <f t="shared" si="2"/>
        <v>24</v>
      </c>
      <c r="BG8" s="277">
        <f t="shared" si="2"/>
        <v>2.5</v>
      </c>
      <c r="BH8" s="277">
        <f t="shared" si="2"/>
        <v>2.5</v>
      </c>
      <c r="BI8" s="699">
        <f t="shared" si="2"/>
        <v>0</v>
      </c>
      <c r="BJ8" s="1090">
        <f t="shared" si="3"/>
        <v>2.5</v>
      </c>
    </row>
    <row r="9" spans="3:62" s="28" customFormat="1" ht="20.100000000000001" customHeight="1">
      <c r="C9" s="1885"/>
      <c r="D9" s="1017" t="s">
        <v>29</v>
      </c>
      <c r="E9" s="1017"/>
      <c r="F9" s="1018"/>
      <c r="H9" s="1887"/>
      <c r="I9" s="33" t="s">
        <v>109</v>
      </c>
      <c r="J9" s="462">
        <v>3</v>
      </c>
      <c r="K9" s="463"/>
      <c r="L9" s="463"/>
      <c r="M9" s="691"/>
      <c r="N9" s="462">
        <v>3</v>
      </c>
      <c r="O9" s="463"/>
      <c r="P9" s="463"/>
      <c r="Q9" s="691"/>
      <c r="R9" s="462"/>
      <c r="S9" s="463"/>
      <c r="T9" s="463"/>
      <c r="U9" s="691"/>
      <c r="V9" s="462">
        <v>5</v>
      </c>
      <c r="W9" s="463">
        <v>1</v>
      </c>
      <c r="X9" s="463">
        <v>1</v>
      </c>
      <c r="Y9" s="691"/>
      <c r="Z9" s="462">
        <v>2</v>
      </c>
      <c r="AA9" s="463"/>
      <c r="AB9" s="463"/>
      <c r="AC9" s="691"/>
      <c r="AD9" s="462"/>
      <c r="AE9" s="463"/>
      <c r="AF9" s="463"/>
      <c r="AG9" s="691"/>
      <c r="AH9" s="128">
        <f t="shared" si="0"/>
        <v>13</v>
      </c>
      <c r="AI9" s="273">
        <f t="shared" si="0"/>
        <v>1</v>
      </c>
      <c r="AJ9" s="273">
        <f t="shared" si="0"/>
        <v>1</v>
      </c>
      <c r="AK9" s="694">
        <f t="shared" si="0"/>
        <v>0</v>
      </c>
      <c r="AL9" s="462"/>
      <c r="AM9" s="463"/>
      <c r="AN9" s="463"/>
      <c r="AO9" s="691"/>
      <c r="AP9" s="462"/>
      <c r="AQ9" s="463"/>
      <c r="AR9" s="463"/>
      <c r="AS9" s="691"/>
      <c r="AT9" s="462"/>
      <c r="AU9" s="463"/>
      <c r="AV9" s="463"/>
      <c r="AW9" s="691"/>
      <c r="AX9" s="462"/>
      <c r="AY9" s="463"/>
      <c r="AZ9" s="463"/>
      <c r="BA9" s="691"/>
      <c r="BB9" s="128">
        <f t="shared" si="1"/>
        <v>0</v>
      </c>
      <c r="BC9" s="273">
        <f t="shared" si="1"/>
        <v>0</v>
      </c>
      <c r="BD9" s="273">
        <f t="shared" si="1"/>
        <v>0</v>
      </c>
      <c r="BE9" s="273">
        <f t="shared" si="1"/>
        <v>0</v>
      </c>
      <c r="BF9" s="276">
        <f t="shared" si="2"/>
        <v>13</v>
      </c>
      <c r="BG9" s="277">
        <f t="shared" si="2"/>
        <v>1</v>
      </c>
      <c r="BH9" s="277">
        <f t="shared" si="2"/>
        <v>1</v>
      </c>
      <c r="BI9" s="699">
        <f t="shared" si="2"/>
        <v>0</v>
      </c>
      <c r="BJ9" s="1090">
        <f t="shared" si="3"/>
        <v>1</v>
      </c>
    </row>
    <row r="10" spans="3:62" s="28" customFormat="1" ht="19.5" customHeight="1" thickBot="1">
      <c r="C10" s="32"/>
      <c r="D10" s="31" t="s">
        <v>18</v>
      </c>
      <c r="E10" s="31"/>
      <c r="F10" s="30"/>
      <c r="H10" s="1865" t="s">
        <v>47</v>
      </c>
      <c r="I10" s="1866"/>
      <c r="J10" s="118">
        <f t="shared" ref="J10:BG10" si="4">SUM(J6:J9)</f>
        <v>8</v>
      </c>
      <c r="K10" s="272">
        <f t="shared" si="4"/>
        <v>7</v>
      </c>
      <c r="L10" s="272">
        <f t="shared" si="4"/>
        <v>0</v>
      </c>
      <c r="M10" s="272">
        <f t="shared" si="4"/>
        <v>0</v>
      </c>
      <c r="N10" s="118">
        <f t="shared" si="4"/>
        <v>10</v>
      </c>
      <c r="O10" s="272">
        <f t="shared" si="4"/>
        <v>0</v>
      </c>
      <c r="P10" s="272">
        <f t="shared" si="4"/>
        <v>0</v>
      </c>
      <c r="Q10" s="272">
        <f t="shared" si="4"/>
        <v>0</v>
      </c>
      <c r="R10" s="118">
        <f t="shared" si="4"/>
        <v>0</v>
      </c>
      <c r="S10" s="272">
        <f t="shared" si="4"/>
        <v>0</v>
      </c>
      <c r="T10" s="272">
        <f t="shared" si="4"/>
        <v>0</v>
      </c>
      <c r="U10" s="272">
        <f t="shared" si="4"/>
        <v>0</v>
      </c>
      <c r="V10" s="118">
        <f t="shared" si="4"/>
        <v>10</v>
      </c>
      <c r="W10" s="272">
        <f>SUM(W6:W9)</f>
        <v>3.5</v>
      </c>
      <c r="X10" s="272">
        <f t="shared" si="4"/>
        <v>3.5</v>
      </c>
      <c r="Y10" s="272">
        <f t="shared" si="4"/>
        <v>0</v>
      </c>
      <c r="Z10" s="118">
        <f t="shared" si="4"/>
        <v>2</v>
      </c>
      <c r="AA10" s="272">
        <f t="shared" si="4"/>
        <v>0</v>
      </c>
      <c r="AB10" s="272">
        <f t="shared" si="4"/>
        <v>0</v>
      </c>
      <c r="AC10" s="272">
        <f t="shared" si="4"/>
        <v>0</v>
      </c>
      <c r="AD10" s="118">
        <f t="shared" si="4"/>
        <v>20</v>
      </c>
      <c r="AE10" s="272">
        <f t="shared" si="4"/>
        <v>0</v>
      </c>
      <c r="AF10" s="272">
        <f t="shared" si="4"/>
        <v>0</v>
      </c>
      <c r="AG10" s="272">
        <f t="shared" si="4"/>
        <v>0</v>
      </c>
      <c r="AH10" s="118">
        <f t="shared" si="4"/>
        <v>50</v>
      </c>
      <c r="AI10" s="272">
        <f t="shared" si="4"/>
        <v>10.5</v>
      </c>
      <c r="AJ10" s="272">
        <f>SUM(AJ6:AJ9)</f>
        <v>3.5</v>
      </c>
      <c r="AK10" s="695">
        <f>SUM(AK6:AK9)</f>
        <v>0</v>
      </c>
      <c r="AL10" s="118">
        <f t="shared" si="4"/>
        <v>3</v>
      </c>
      <c r="AM10" s="272">
        <f t="shared" si="4"/>
        <v>5</v>
      </c>
      <c r="AN10" s="272">
        <f t="shared" si="4"/>
        <v>5</v>
      </c>
      <c r="AO10" s="272">
        <f t="shared" si="4"/>
        <v>0</v>
      </c>
      <c r="AP10" s="118">
        <f t="shared" si="4"/>
        <v>10</v>
      </c>
      <c r="AQ10" s="272">
        <f t="shared" si="4"/>
        <v>1</v>
      </c>
      <c r="AR10" s="272">
        <f t="shared" si="4"/>
        <v>1</v>
      </c>
      <c r="AS10" s="272">
        <f t="shared" si="4"/>
        <v>4</v>
      </c>
      <c r="AT10" s="118">
        <f t="shared" si="4"/>
        <v>0</v>
      </c>
      <c r="AU10" s="272">
        <f t="shared" si="4"/>
        <v>0</v>
      </c>
      <c r="AV10" s="272">
        <f t="shared" si="4"/>
        <v>0</v>
      </c>
      <c r="AW10" s="272">
        <f t="shared" si="4"/>
        <v>9</v>
      </c>
      <c r="AX10" s="118">
        <f t="shared" si="4"/>
        <v>0</v>
      </c>
      <c r="AY10" s="272">
        <f t="shared" si="4"/>
        <v>0</v>
      </c>
      <c r="AZ10" s="272">
        <f t="shared" si="4"/>
        <v>0</v>
      </c>
      <c r="BA10" s="272">
        <f t="shared" si="4"/>
        <v>0</v>
      </c>
      <c r="BB10" s="118">
        <f t="shared" si="4"/>
        <v>13</v>
      </c>
      <c r="BC10" s="272">
        <f t="shared" si="4"/>
        <v>6</v>
      </c>
      <c r="BD10" s="272">
        <f t="shared" si="4"/>
        <v>6</v>
      </c>
      <c r="BE10" s="272">
        <f t="shared" si="4"/>
        <v>13</v>
      </c>
      <c r="BF10" s="278">
        <f t="shared" si="4"/>
        <v>63</v>
      </c>
      <c r="BG10" s="279">
        <f t="shared" si="4"/>
        <v>16.5</v>
      </c>
      <c r="BH10" s="702">
        <f>AJ10+BD10</f>
        <v>9.5</v>
      </c>
      <c r="BI10" s="700">
        <f>AK10+BE10</f>
        <v>13</v>
      </c>
      <c r="BJ10" s="1090"/>
    </row>
    <row r="11" spans="3:62" s="119" customFormat="1" ht="5.25" customHeight="1">
      <c r="D11" s="120"/>
      <c r="E11" s="120"/>
      <c r="F11" s="120"/>
      <c r="H11" s="122"/>
      <c r="I11" s="122"/>
      <c r="J11" s="125"/>
      <c r="K11" s="126"/>
      <c r="L11" s="126"/>
      <c r="M11" s="126"/>
      <c r="N11" s="125"/>
      <c r="O11" s="126"/>
      <c r="P11" s="126"/>
      <c r="Q11" s="126"/>
      <c r="R11" s="125"/>
      <c r="S11" s="126"/>
      <c r="T11" s="126"/>
      <c r="U11" s="126"/>
      <c r="V11" s="125"/>
      <c r="W11" s="126"/>
      <c r="X11" s="126"/>
      <c r="Y11" s="126"/>
      <c r="Z11" s="125"/>
      <c r="AA11" s="126"/>
      <c r="AB11" s="126"/>
      <c r="AC11" s="126"/>
      <c r="AD11" s="125"/>
      <c r="AE11" s="126"/>
      <c r="AF11" s="126"/>
      <c r="AG11" s="126"/>
      <c r="AH11" s="125"/>
      <c r="AI11" s="126"/>
      <c r="AJ11" s="126"/>
      <c r="AK11" s="126"/>
      <c r="AL11" s="125"/>
      <c r="AM11" s="126"/>
      <c r="AN11" s="126"/>
      <c r="AO11" s="126"/>
      <c r="AP11" s="125"/>
      <c r="AQ11" s="126"/>
      <c r="AR11" s="126"/>
      <c r="AS11" s="126"/>
      <c r="AT11" s="125"/>
      <c r="AU11" s="126"/>
      <c r="AV11" s="126"/>
      <c r="AW11" s="126"/>
      <c r="AX11" s="125"/>
      <c r="AY11" s="126"/>
      <c r="AZ11" s="126"/>
      <c r="BA11" s="126"/>
      <c r="BB11" s="125"/>
      <c r="BC11" s="126"/>
      <c r="BD11" s="126"/>
      <c r="BE11" s="126"/>
      <c r="BF11" s="125"/>
      <c r="BG11" s="126"/>
    </row>
    <row r="12" spans="3:62" ht="19.5" thickBot="1">
      <c r="C12" s="1019"/>
      <c r="D12" s="1017"/>
      <c r="E12" s="1017"/>
      <c r="F12" s="1023"/>
      <c r="H12" s="1867" t="s">
        <v>114</v>
      </c>
      <c r="I12" s="1868"/>
      <c r="J12" s="1868"/>
      <c r="K12" s="1868"/>
      <c r="L12" s="1868"/>
      <c r="M12" s="1868"/>
      <c r="N12" s="1868"/>
      <c r="O12" s="1868"/>
      <c r="P12" s="1868"/>
      <c r="Q12" s="1868"/>
      <c r="R12" s="1868"/>
      <c r="S12" s="1868"/>
      <c r="T12" s="1868"/>
      <c r="U12" s="1868"/>
      <c r="V12" s="1868"/>
      <c r="W12" s="1868"/>
      <c r="X12" s="1868"/>
      <c r="Y12" s="1868"/>
      <c r="Z12" s="1868"/>
      <c r="AA12" s="1868"/>
      <c r="AB12" s="1868"/>
      <c r="AC12" s="1868"/>
      <c r="AD12" s="1868"/>
      <c r="AE12" s="1868"/>
      <c r="AF12" s="1868"/>
      <c r="AG12" s="1868"/>
      <c r="AH12" s="1868"/>
      <c r="AI12" s="1868"/>
      <c r="AJ12" s="1868"/>
      <c r="AK12" s="1868"/>
      <c r="AL12" s="1868"/>
      <c r="AM12" s="1868"/>
      <c r="AN12" s="1868"/>
      <c r="AO12" s="1868"/>
      <c r="AP12" s="1868"/>
      <c r="AQ12" s="1868"/>
      <c r="AR12" s="1868"/>
      <c r="AS12" s="1868"/>
      <c r="AT12" s="1868"/>
      <c r="AU12" s="1868"/>
      <c r="AV12" s="1868"/>
      <c r="AW12" s="1868"/>
      <c r="AX12" s="1868"/>
      <c r="AY12" s="1868"/>
      <c r="AZ12" s="1868"/>
      <c r="BA12" s="1868"/>
      <c r="BB12" s="1868"/>
      <c r="BC12" s="1868"/>
      <c r="BD12" s="1868"/>
      <c r="BE12" s="1868"/>
      <c r="BF12" s="1868"/>
      <c r="BG12" s="1868"/>
      <c r="BH12" s="1868"/>
      <c r="BI12" s="1868"/>
    </row>
    <row r="13" spans="3:62" ht="18.75" customHeight="1">
      <c r="C13" s="37" t="s">
        <v>44</v>
      </c>
      <c r="D13" s="1869"/>
      <c r="E13" s="1869"/>
      <c r="F13" s="1870"/>
      <c r="H13" s="1895" t="s">
        <v>117</v>
      </c>
      <c r="I13" s="1896"/>
      <c r="J13" s="1890" t="s">
        <v>43</v>
      </c>
      <c r="K13" s="1891"/>
      <c r="L13" s="1891"/>
      <c r="M13" s="1892"/>
      <c r="N13" s="1890" t="s">
        <v>42</v>
      </c>
      <c r="O13" s="1891"/>
      <c r="P13" s="1891"/>
      <c r="Q13" s="1892"/>
      <c r="R13" s="1890" t="s">
        <v>41</v>
      </c>
      <c r="S13" s="1891"/>
      <c r="T13" s="1891"/>
      <c r="U13" s="1892"/>
      <c r="V13" s="1890" t="s">
        <v>40</v>
      </c>
      <c r="W13" s="1891"/>
      <c r="X13" s="1891"/>
      <c r="Y13" s="1892"/>
      <c r="Z13" s="1890" t="s">
        <v>39</v>
      </c>
      <c r="AA13" s="1891"/>
      <c r="AB13" s="1891"/>
      <c r="AC13" s="1892"/>
      <c r="AD13" s="1890" t="s">
        <v>38</v>
      </c>
      <c r="AE13" s="1891"/>
      <c r="AF13" s="1891"/>
      <c r="AG13" s="1892"/>
      <c r="AH13" s="1882" t="s">
        <v>122</v>
      </c>
      <c r="AI13" s="1883"/>
      <c r="AJ13" s="1883"/>
      <c r="AK13" s="1884"/>
      <c r="AL13" s="1890" t="s">
        <v>37</v>
      </c>
      <c r="AM13" s="1891"/>
      <c r="AN13" s="1891"/>
      <c r="AO13" s="1892"/>
      <c r="AP13" s="1890" t="s">
        <v>36</v>
      </c>
      <c r="AQ13" s="1891"/>
      <c r="AR13" s="1891"/>
      <c r="AS13" s="1892"/>
      <c r="AT13" s="1890" t="s">
        <v>35</v>
      </c>
      <c r="AU13" s="1891"/>
      <c r="AV13" s="1891"/>
      <c r="AW13" s="1892"/>
      <c r="AX13" s="1890" t="s">
        <v>34</v>
      </c>
      <c r="AY13" s="1891"/>
      <c r="AZ13" s="1891"/>
      <c r="BA13" s="1892"/>
      <c r="BB13" s="1882" t="s">
        <v>123</v>
      </c>
      <c r="BC13" s="1883"/>
      <c r="BD13" s="1883"/>
      <c r="BE13" s="1884"/>
      <c r="BF13" s="1880" t="s">
        <v>17</v>
      </c>
      <c r="BG13" s="1881"/>
      <c r="BH13" s="1881"/>
      <c r="BI13" s="1881"/>
    </row>
    <row r="14" spans="3:62" ht="27" customHeight="1">
      <c r="C14" s="1879" t="s">
        <v>33</v>
      </c>
      <c r="D14" s="1869"/>
      <c r="E14" s="1017" t="s">
        <v>1</v>
      </c>
      <c r="F14" s="1023" t="s">
        <v>2</v>
      </c>
      <c r="H14" s="1897"/>
      <c r="I14" s="1898"/>
      <c r="J14" s="36" t="s">
        <v>1</v>
      </c>
      <c r="K14" s="271" t="s">
        <v>2</v>
      </c>
      <c r="L14" s="271" t="s">
        <v>182</v>
      </c>
      <c r="M14" s="35" t="s">
        <v>247</v>
      </c>
      <c r="N14" s="36" t="s">
        <v>1</v>
      </c>
      <c r="O14" s="271" t="s">
        <v>2</v>
      </c>
      <c r="P14" s="271" t="s">
        <v>182</v>
      </c>
      <c r="Q14" s="35" t="s">
        <v>247</v>
      </c>
      <c r="R14" s="36" t="s">
        <v>1</v>
      </c>
      <c r="S14" s="271" t="s">
        <v>2</v>
      </c>
      <c r="T14" s="271" t="s">
        <v>182</v>
      </c>
      <c r="U14" s="35" t="s">
        <v>247</v>
      </c>
      <c r="V14" s="36" t="s">
        <v>1</v>
      </c>
      <c r="W14" s="271" t="s">
        <v>2</v>
      </c>
      <c r="X14" s="271" t="s">
        <v>182</v>
      </c>
      <c r="Y14" s="35" t="s">
        <v>247</v>
      </c>
      <c r="Z14" s="36" t="s">
        <v>1</v>
      </c>
      <c r="AA14" s="271" t="s">
        <v>2</v>
      </c>
      <c r="AB14" s="271" t="s">
        <v>182</v>
      </c>
      <c r="AC14" s="35" t="s">
        <v>247</v>
      </c>
      <c r="AD14" s="36" t="s">
        <v>1</v>
      </c>
      <c r="AE14" s="271" t="s">
        <v>2</v>
      </c>
      <c r="AF14" s="271" t="s">
        <v>182</v>
      </c>
      <c r="AG14" s="35" t="s">
        <v>247</v>
      </c>
      <c r="AH14" s="36" t="s">
        <v>1</v>
      </c>
      <c r="AI14" s="271" t="s">
        <v>2</v>
      </c>
      <c r="AJ14" s="271" t="s">
        <v>182</v>
      </c>
      <c r="AK14" s="690" t="s">
        <v>196</v>
      </c>
      <c r="AL14" s="36" t="s">
        <v>1</v>
      </c>
      <c r="AM14" s="271" t="s">
        <v>2</v>
      </c>
      <c r="AN14" s="271" t="s">
        <v>182</v>
      </c>
      <c r="AO14" s="35" t="s">
        <v>247</v>
      </c>
      <c r="AP14" s="36" t="s">
        <v>1</v>
      </c>
      <c r="AQ14" s="271" t="s">
        <v>2</v>
      </c>
      <c r="AR14" s="271" t="s">
        <v>182</v>
      </c>
      <c r="AS14" s="35" t="s">
        <v>247</v>
      </c>
      <c r="AT14" s="36" t="s">
        <v>1</v>
      </c>
      <c r="AU14" s="271" t="s">
        <v>2</v>
      </c>
      <c r="AV14" s="271" t="s">
        <v>182</v>
      </c>
      <c r="AW14" s="35" t="s">
        <v>247</v>
      </c>
      <c r="AX14" s="36" t="s">
        <v>1</v>
      </c>
      <c r="AY14" s="271" t="s">
        <v>2</v>
      </c>
      <c r="AZ14" s="271" t="s">
        <v>182</v>
      </c>
      <c r="BA14" s="35" t="s">
        <v>247</v>
      </c>
      <c r="BB14" s="36" t="s">
        <v>1</v>
      </c>
      <c r="BC14" s="271" t="s">
        <v>2</v>
      </c>
      <c r="BD14" s="271" t="s">
        <v>182</v>
      </c>
      <c r="BE14" s="690" t="s">
        <v>196</v>
      </c>
      <c r="BF14" s="274" t="s">
        <v>1</v>
      </c>
      <c r="BG14" s="275" t="s">
        <v>2</v>
      </c>
      <c r="BH14" s="275" t="s">
        <v>182</v>
      </c>
      <c r="BI14" s="703" t="s">
        <v>196</v>
      </c>
    </row>
    <row r="15" spans="3:62" s="28" customFormat="1" ht="20.100000000000001" customHeight="1">
      <c r="C15" s="1879" t="s">
        <v>28</v>
      </c>
      <c r="D15" s="1017" t="s">
        <v>27</v>
      </c>
      <c r="E15" s="1021"/>
      <c r="F15" s="34"/>
      <c r="H15" s="1888" t="s">
        <v>112</v>
      </c>
      <c r="I15" s="33" t="s">
        <v>27</v>
      </c>
      <c r="J15" s="462"/>
      <c r="K15" s="463"/>
      <c r="L15" s="463"/>
      <c r="M15" s="692"/>
      <c r="N15" s="462"/>
      <c r="O15" s="463"/>
      <c r="P15" s="463"/>
      <c r="Q15" s="692"/>
      <c r="R15" s="462"/>
      <c r="S15" s="463"/>
      <c r="T15" s="463"/>
      <c r="U15" s="692"/>
      <c r="V15" s="462"/>
      <c r="W15" s="463"/>
      <c r="X15" s="463"/>
      <c r="Y15" s="692"/>
      <c r="Z15" s="462"/>
      <c r="AA15" s="463"/>
      <c r="AB15" s="463"/>
      <c r="AC15" s="692"/>
      <c r="AD15" s="462"/>
      <c r="AE15" s="463"/>
      <c r="AF15" s="463"/>
      <c r="AG15" s="692"/>
      <c r="AH15" s="128">
        <f>J15+N15+R15+V15+Z15+AD15</f>
        <v>0</v>
      </c>
      <c r="AI15" s="273">
        <f>K15+O15+S15+W15+AA15+AE15</f>
        <v>0</v>
      </c>
      <c r="AJ15" s="273">
        <f>L15+P15+T15+X15+AB15+AF15</f>
        <v>0</v>
      </c>
      <c r="AK15" s="694">
        <f>M15+Q15+U15+Y15+AC15+AG15</f>
        <v>0</v>
      </c>
      <c r="AL15" s="462"/>
      <c r="AM15" s="463"/>
      <c r="AN15" s="463"/>
      <c r="AO15" s="692"/>
      <c r="AP15" s="462"/>
      <c r="AQ15" s="463"/>
      <c r="AR15" s="463"/>
      <c r="AS15" s="692"/>
      <c r="AT15" s="462"/>
      <c r="AU15" s="463"/>
      <c r="AV15" s="463"/>
      <c r="AW15" s="692"/>
      <c r="AX15" s="462"/>
      <c r="AY15" s="463"/>
      <c r="AZ15" s="463"/>
      <c r="BA15" s="692"/>
      <c r="BB15" s="128">
        <f>AL15+AP15+AT15+AX15</f>
        <v>0</v>
      </c>
      <c r="BC15" s="273">
        <f>AM15+AQ15+AU15+AY15</f>
        <v>0</v>
      </c>
      <c r="BD15" s="273">
        <f>AN15+AR15+AV15+AZ15</f>
        <v>0</v>
      </c>
      <c r="BE15" s="273">
        <f>AO15+AS15+AW15+BA15</f>
        <v>0</v>
      </c>
      <c r="BF15" s="276">
        <f t="shared" ref="BF15:BI23" si="5">AH15+BB15</f>
        <v>0</v>
      </c>
      <c r="BG15" s="277">
        <f t="shared" si="5"/>
        <v>0</v>
      </c>
      <c r="BH15" s="277">
        <f t="shared" si="5"/>
        <v>0</v>
      </c>
      <c r="BI15" s="704">
        <f t="shared" si="5"/>
        <v>0</v>
      </c>
      <c r="BJ15" s="1090">
        <f t="shared" ref="BJ15:BJ23" si="6">BH15+BI15</f>
        <v>0</v>
      </c>
    </row>
    <row r="16" spans="3:62" s="28" customFormat="1" ht="20.100000000000001" customHeight="1">
      <c r="C16" s="1879"/>
      <c r="D16" s="1017" t="s">
        <v>26</v>
      </c>
      <c r="E16" s="1017"/>
      <c r="F16" s="1018"/>
      <c r="H16" s="1889"/>
      <c r="I16" s="33" t="s">
        <v>26</v>
      </c>
      <c r="J16" s="462"/>
      <c r="K16" s="463"/>
      <c r="L16" s="463"/>
      <c r="M16" s="692"/>
      <c r="N16" s="462"/>
      <c r="O16" s="463"/>
      <c r="P16" s="463"/>
      <c r="Q16" s="692"/>
      <c r="R16" s="462"/>
      <c r="S16" s="463"/>
      <c r="T16" s="463"/>
      <c r="U16" s="692"/>
      <c r="V16" s="462"/>
      <c r="W16" s="463"/>
      <c r="X16" s="463"/>
      <c r="Y16" s="692"/>
      <c r="Z16" s="462"/>
      <c r="AA16" s="463"/>
      <c r="AB16" s="463"/>
      <c r="AC16" s="692"/>
      <c r="AD16" s="462"/>
      <c r="AE16" s="463"/>
      <c r="AF16" s="463"/>
      <c r="AG16" s="692"/>
      <c r="AH16" s="128">
        <f t="shared" ref="AH16:AK23" si="7">J16+N16+R16+V16+Z16+AD16</f>
        <v>0</v>
      </c>
      <c r="AI16" s="273">
        <f t="shared" si="7"/>
        <v>0</v>
      </c>
      <c r="AJ16" s="273">
        <f t="shared" si="7"/>
        <v>0</v>
      </c>
      <c r="AK16" s="694">
        <f t="shared" si="7"/>
        <v>0</v>
      </c>
      <c r="AL16" s="462"/>
      <c r="AM16" s="463"/>
      <c r="AN16" s="463"/>
      <c r="AO16" s="692"/>
      <c r="AP16" s="462"/>
      <c r="AQ16" s="463"/>
      <c r="AR16" s="463"/>
      <c r="AS16" s="692"/>
      <c r="AT16" s="462"/>
      <c r="AU16" s="463"/>
      <c r="AV16" s="463"/>
      <c r="AW16" s="692"/>
      <c r="AX16" s="462"/>
      <c r="AY16" s="463"/>
      <c r="AZ16" s="463"/>
      <c r="BA16" s="692"/>
      <c r="BB16" s="128">
        <f t="shared" ref="BB16:BE23" si="8">AL16+AP16+AT16+AX16</f>
        <v>0</v>
      </c>
      <c r="BC16" s="273">
        <f t="shared" si="8"/>
        <v>0</v>
      </c>
      <c r="BD16" s="273">
        <f t="shared" si="8"/>
        <v>0</v>
      </c>
      <c r="BE16" s="273">
        <f t="shared" si="8"/>
        <v>0</v>
      </c>
      <c r="BF16" s="276">
        <f t="shared" si="5"/>
        <v>0</v>
      </c>
      <c r="BG16" s="277">
        <f t="shared" si="5"/>
        <v>0</v>
      </c>
      <c r="BH16" s="277">
        <f t="shared" si="5"/>
        <v>0</v>
      </c>
      <c r="BI16" s="704">
        <f t="shared" si="5"/>
        <v>0</v>
      </c>
      <c r="BJ16" s="1090">
        <f t="shared" si="6"/>
        <v>0</v>
      </c>
    </row>
    <row r="17" spans="3:62" s="28" customFormat="1" ht="23.25" customHeight="1">
      <c r="C17" s="1879"/>
      <c r="D17" s="1017" t="s">
        <v>25</v>
      </c>
      <c r="E17" s="1017"/>
      <c r="F17" s="1018"/>
      <c r="H17" s="1889"/>
      <c r="I17" s="33" t="s">
        <v>25</v>
      </c>
      <c r="J17" s="462"/>
      <c r="K17" s="463"/>
      <c r="L17" s="463"/>
      <c r="M17" s="692"/>
      <c r="N17" s="462"/>
      <c r="O17" s="463"/>
      <c r="P17" s="463"/>
      <c r="Q17" s="692"/>
      <c r="R17" s="462"/>
      <c r="S17" s="463"/>
      <c r="T17" s="463"/>
      <c r="U17" s="692"/>
      <c r="V17" s="462"/>
      <c r="W17" s="463"/>
      <c r="X17" s="463"/>
      <c r="Y17" s="692"/>
      <c r="Z17" s="462"/>
      <c r="AA17" s="463"/>
      <c r="AB17" s="463"/>
      <c r="AC17" s="692"/>
      <c r="AD17" s="462"/>
      <c r="AE17" s="463"/>
      <c r="AF17" s="463"/>
      <c r="AG17" s="692"/>
      <c r="AH17" s="128">
        <f t="shared" si="7"/>
        <v>0</v>
      </c>
      <c r="AI17" s="273">
        <f t="shared" si="7"/>
        <v>0</v>
      </c>
      <c r="AJ17" s="273">
        <f t="shared" si="7"/>
        <v>0</v>
      </c>
      <c r="AK17" s="694">
        <f t="shared" si="7"/>
        <v>0</v>
      </c>
      <c r="AL17" s="462"/>
      <c r="AM17" s="463"/>
      <c r="AN17" s="463"/>
      <c r="AO17" s="692"/>
      <c r="AP17" s="462"/>
      <c r="AQ17" s="463"/>
      <c r="AR17" s="463"/>
      <c r="AS17" s="692"/>
      <c r="AT17" s="462"/>
      <c r="AU17" s="463"/>
      <c r="AV17" s="463"/>
      <c r="AW17" s="692"/>
      <c r="AX17" s="462"/>
      <c r="AY17" s="463"/>
      <c r="AZ17" s="463"/>
      <c r="BA17" s="692"/>
      <c r="BB17" s="128">
        <f t="shared" si="8"/>
        <v>0</v>
      </c>
      <c r="BC17" s="273">
        <f t="shared" si="8"/>
        <v>0</v>
      </c>
      <c r="BD17" s="273">
        <f t="shared" si="8"/>
        <v>0</v>
      </c>
      <c r="BE17" s="273">
        <f t="shared" si="8"/>
        <v>0</v>
      </c>
      <c r="BF17" s="276">
        <f t="shared" si="5"/>
        <v>0</v>
      </c>
      <c r="BG17" s="277">
        <f t="shared" si="5"/>
        <v>0</v>
      </c>
      <c r="BH17" s="277">
        <f t="shared" si="5"/>
        <v>0</v>
      </c>
      <c r="BI17" s="704">
        <f t="shared" si="5"/>
        <v>0</v>
      </c>
      <c r="BJ17" s="1090">
        <f t="shared" si="6"/>
        <v>0</v>
      </c>
    </row>
    <row r="18" spans="3:62" s="28" customFormat="1" ht="21">
      <c r="C18" s="1879"/>
      <c r="D18" s="1017" t="s">
        <v>24</v>
      </c>
      <c r="E18" s="1017"/>
      <c r="F18" s="1018"/>
      <c r="H18" s="1889"/>
      <c r="I18" s="33" t="s">
        <v>24</v>
      </c>
      <c r="J18" s="462"/>
      <c r="K18" s="463"/>
      <c r="L18" s="463"/>
      <c r="M18" s="692"/>
      <c r="N18" s="462"/>
      <c r="O18" s="463"/>
      <c r="P18" s="463"/>
      <c r="Q18" s="692"/>
      <c r="R18" s="462"/>
      <c r="S18" s="463"/>
      <c r="T18" s="463"/>
      <c r="U18" s="692"/>
      <c r="V18" s="462"/>
      <c r="W18" s="463"/>
      <c r="X18" s="463"/>
      <c r="Y18" s="692"/>
      <c r="Z18" s="462"/>
      <c r="AA18" s="463"/>
      <c r="AB18" s="463"/>
      <c r="AC18" s="692"/>
      <c r="AD18" s="462"/>
      <c r="AE18" s="463"/>
      <c r="AF18" s="463"/>
      <c r="AG18" s="692"/>
      <c r="AH18" s="128">
        <f t="shared" si="7"/>
        <v>0</v>
      </c>
      <c r="AI18" s="273">
        <f t="shared" si="7"/>
        <v>0</v>
      </c>
      <c r="AJ18" s="273">
        <f t="shared" si="7"/>
        <v>0</v>
      </c>
      <c r="AK18" s="694">
        <f t="shared" si="7"/>
        <v>0</v>
      </c>
      <c r="AL18" s="462"/>
      <c r="AM18" s="463"/>
      <c r="AN18" s="463"/>
      <c r="AO18" s="692"/>
      <c r="AP18" s="462"/>
      <c r="AQ18" s="463"/>
      <c r="AR18" s="463"/>
      <c r="AS18" s="692"/>
      <c r="AT18" s="462"/>
      <c r="AU18" s="463"/>
      <c r="AV18" s="463"/>
      <c r="AW18" s="692"/>
      <c r="AX18" s="462"/>
      <c r="AY18" s="463"/>
      <c r="AZ18" s="463"/>
      <c r="BA18" s="692"/>
      <c r="BB18" s="128">
        <f t="shared" si="8"/>
        <v>0</v>
      </c>
      <c r="BC18" s="273">
        <f t="shared" si="8"/>
        <v>0</v>
      </c>
      <c r="BD18" s="273">
        <f t="shared" si="8"/>
        <v>0</v>
      </c>
      <c r="BE18" s="273">
        <f t="shared" si="8"/>
        <v>0</v>
      </c>
      <c r="BF18" s="276">
        <f t="shared" si="5"/>
        <v>0</v>
      </c>
      <c r="BG18" s="277">
        <f t="shared" si="5"/>
        <v>0</v>
      </c>
      <c r="BH18" s="277">
        <f t="shared" si="5"/>
        <v>0</v>
      </c>
      <c r="BI18" s="704">
        <f t="shared" si="5"/>
        <v>0</v>
      </c>
      <c r="BJ18" s="1090">
        <f t="shared" si="6"/>
        <v>0</v>
      </c>
    </row>
    <row r="19" spans="3:62" s="28" customFormat="1" ht="20.100000000000001" customHeight="1">
      <c r="C19" s="1879"/>
      <c r="D19" s="1017" t="s">
        <v>23</v>
      </c>
      <c r="E19" s="1017"/>
      <c r="F19" s="1018"/>
      <c r="H19" s="1889"/>
      <c r="I19" s="33" t="s">
        <v>23</v>
      </c>
      <c r="J19" s="462">
        <v>7</v>
      </c>
      <c r="K19" s="463"/>
      <c r="L19" s="463"/>
      <c r="M19" s="692"/>
      <c r="N19" s="462"/>
      <c r="O19" s="463"/>
      <c r="P19" s="463"/>
      <c r="Q19" s="692"/>
      <c r="R19" s="462"/>
      <c r="S19" s="463"/>
      <c r="T19" s="463"/>
      <c r="U19" s="692"/>
      <c r="V19" s="462"/>
      <c r="W19" s="463"/>
      <c r="X19" s="463"/>
      <c r="Y19" s="692"/>
      <c r="Z19" s="462"/>
      <c r="AA19" s="463"/>
      <c r="AB19" s="463"/>
      <c r="AC19" s="692"/>
      <c r="AD19" s="462"/>
      <c r="AE19" s="463"/>
      <c r="AF19" s="463"/>
      <c r="AG19" s="692"/>
      <c r="AH19" s="128">
        <f t="shared" si="7"/>
        <v>7</v>
      </c>
      <c r="AI19" s="273">
        <f t="shared" si="7"/>
        <v>0</v>
      </c>
      <c r="AJ19" s="273">
        <f t="shared" si="7"/>
        <v>0</v>
      </c>
      <c r="AK19" s="694">
        <f t="shared" si="7"/>
        <v>0</v>
      </c>
      <c r="AL19" s="1012"/>
      <c r="AM19" s="463"/>
      <c r="AN19" s="463"/>
      <c r="AO19" s="692"/>
      <c r="AP19" s="462"/>
      <c r="AQ19" s="463"/>
      <c r="AR19" s="463"/>
      <c r="AS19" s="692"/>
      <c r="AT19" s="462"/>
      <c r="AU19" s="463"/>
      <c r="AV19" s="463"/>
      <c r="AW19" s="692"/>
      <c r="AX19" s="462"/>
      <c r="AY19" s="463"/>
      <c r="AZ19" s="463"/>
      <c r="BA19" s="692"/>
      <c r="BB19" s="128">
        <f t="shared" si="8"/>
        <v>0</v>
      </c>
      <c r="BC19" s="273">
        <f t="shared" si="8"/>
        <v>0</v>
      </c>
      <c r="BD19" s="273">
        <f t="shared" si="8"/>
        <v>0</v>
      </c>
      <c r="BE19" s="273">
        <f t="shared" si="8"/>
        <v>0</v>
      </c>
      <c r="BF19" s="276">
        <f t="shared" si="5"/>
        <v>7</v>
      </c>
      <c r="BG19" s="277">
        <f t="shared" si="5"/>
        <v>0</v>
      </c>
      <c r="BH19" s="277">
        <f t="shared" si="5"/>
        <v>0</v>
      </c>
      <c r="BI19" s="704">
        <f t="shared" si="5"/>
        <v>0</v>
      </c>
      <c r="BJ19" s="1090">
        <f t="shared" si="6"/>
        <v>0</v>
      </c>
    </row>
    <row r="20" spans="3:62" s="28" customFormat="1" ht="20.100000000000001" customHeight="1">
      <c r="C20" s="1879"/>
      <c r="D20" s="1017" t="s">
        <v>22</v>
      </c>
      <c r="E20" s="1017"/>
      <c r="F20" s="1018"/>
      <c r="H20" s="1889"/>
      <c r="I20" s="33" t="s">
        <v>22</v>
      </c>
      <c r="J20" s="462"/>
      <c r="K20" s="463"/>
      <c r="L20" s="463"/>
      <c r="M20" s="692"/>
      <c r="N20" s="462"/>
      <c r="O20" s="463"/>
      <c r="P20" s="463"/>
      <c r="Q20" s="692"/>
      <c r="R20" s="462"/>
      <c r="S20" s="463"/>
      <c r="T20" s="463"/>
      <c r="U20" s="692"/>
      <c r="V20" s="462"/>
      <c r="W20" s="463"/>
      <c r="X20" s="463"/>
      <c r="Y20" s="692"/>
      <c r="Z20" s="462"/>
      <c r="AA20" s="463"/>
      <c r="AB20" s="463"/>
      <c r="AC20" s="692"/>
      <c r="AD20" s="462"/>
      <c r="AE20" s="463"/>
      <c r="AF20" s="463"/>
      <c r="AG20" s="692"/>
      <c r="AH20" s="128">
        <f t="shared" si="7"/>
        <v>0</v>
      </c>
      <c r="AI20" s="273">
        <f t="shared" si="7"/>
        <v>0</v>
      </c>
      <c r="AJ20" s="273">
        <f t="shared" si="7"/>
        <v>0</v>
      </c>
      <c r="AK20" s="694">
        <f t="shared" si="7"/>
        <v>0</v>
      </c>
      <c r="AL20" s="462"/>
      <c r="AM20" s="463"/>
      <c r="AN20" s="463"/>
      <c r="AO20" s="692"/>
      <c r="AP20" s="462"/>
      <c r="AQ20" s="463"/>
      <c r="AR20" s="463"/>
      <c r="AS20" s="692"/>
      <c r="AT20" s="462">
        <v>15</v>
      </c>
      <c r="AU20" s="463"/>
      <c r="AV20" s="463"/>
      <c r="AW20" s="692"/>
      <c r="AX20" s="462"/>
      <c r="AY20" s="463"/>
      <c r="AZ20" s="463"/>
      <c r="BA20" s="692"/>
      <c r="BB20" s="128">
        <f t="shared" si="8"/>
        <v>15</v>
      </c>
      <c r="BC20" s="273">
        <f t="shared" si="8"/>
        <v>0</v>
      </c>
      <c r="BD20" s="273">
        <f t="shared" si="8"/>
        <v>0</v>
      </c>
      <c r="BE20" s="273">
        <f t="shared" si="8"/>
        <v>0</v>
      </c>
      <c r="BF20" s="276">
        <f t="shared" si="5"/>
        <v>15</v>
      </c>
      <c r="BG20" s="277">
        <f t="shared" si="5"/>
        <v>0</v>
      </c>
      <c r="BH20" s="277">
        <f t="shared" si="5"/>
        <v>0</v>
      </c>
      <c r="BI20" s="704">
        <f t="shared" si="5"/>
        <v>0</v>
      </c>
      <c r="BJ20" s="1090">
        <f t="shared" si="6"/>
        <v>0</v>
      </c>
    </row>
    <row r="21" spans="3:62" s="28" customFormat="1" ht="20.100000000000001" customHeight="1">
      <c r="C21" s="1885"/>
      <c r="D21" s="1017"/>
      <c r="E21" s="1017"/>
      <c r="F21" s="1018"/>
      <c r="H21" s="1889"/>
      <c r="I21" s="33" t="s">
        <v>21</v>
      </c>
      <c r="J21" s="462"/>
      <c r="K21" s="463"/>
      <c r="L21" s="463"/>
      <c r="M21" s="692"/>
      <c r="N21" s="462"/>
      <c r="O21" s="463"/>
      <c r="P21" s="463"/>
      <c r="Q21" s="692"/>
      <c r="R21" s="462"/>
      <c r="S21" s="463"/>
      <c r="T21" s="463"/>
      <c r="U21" s="692"/>
      <c r="V21" s="462"/>
      <c r="W21" s="463"/>
      <c r="X21" s="463"/>
      <c r="Y21" s="692"/>
      <c r="Z21" s="462"/>
      <c r="AA21" s="463"/>
      <c r="AB21" s="463"/>
      <c r="AC21" s="692"/>
      <c r="AD21" s="462"/>
      <c r="AE21" s="463"/>
      <c r="AF21" s="463"/>
      <c r="AG21" s="692"/>
      <c r="AH21" s="128">
        <f t="shared" si="7"/>
        <v>0</v>
      </c>
      <c r="AI21" s="273">
        <f t="shared" si="7"/>
        <v>0</v>
      </c>
      <c r="AJ21" s="273">
        <f t="shared" si="7"/>
        <v>0</v>
      </c>
      <c r="AK21" s="694">
        <f t="shared" si="7"/>
        <v>0</v>
      </c>
      <c r="AL21" s="462"/>
      <c r="AM21" s="463"/>
      <c r="AN21" s="463"/>
      <c r="AO21" s="692"/>
      <c r="AP21" s="462"/>
      <c r="AQ21" s="463"/>
      <c r="AR21" s="463"/>
      <c r="AS21" s="692"/>
      <c r="AT21" s="462"/>
      <c r="AU21" s="463"/>
      <c r="AV21" s="463"/>
      <c r="AW21" s="692"/>
      <c r="AX21" s="462"/>
      <c r="AY21" s="463"/>
      <c r="AZ21" s="463"/>
      <c r="BA21" s="692"/>
      <c r="BB21" s="128">
        <f t="shared" si="8"/>
        <v>0</v>
      </c>
      <c r="BC21" s="273">
        <f t="shared" si="8"/>
        <v>0</v>
      </c>
      <c r="BD21" s="273">
        <f t="shared" si="8"/>
        <v>0</v>
      </c>
      <c r="BE21" s="273">
        <f t="shared" si="8"/>
        <v>0</v>
      </c>
      <c r="BF21" s="276">
        <f t="shared" si="5"/>
        <v>0</v>
      </c>
      <c r="BG21" s="277">
        <f t="shared" si="5"/>
        <v>0</v>
      </c>
      <c r="BH21" s="277">
        <f t="shared" si="5"/>
        <v>0</v>
      </c>
      <c r="BI21" s="704">
        <f t="shared" si="5"/>
        <v>0</v>
      </c>
      <c r="BJ21" s="1090">
        <f t="shared" si="6"/>
        <v>0</v>
      </c>
    </row>
    <row r="22" spans="3:62" s="28" customFormat="1" ht="20.100000000000001" customHeight="1">
      <c r="C22" s="1885"/>
      <c r="D22" s="1017"/>
      <c r="E22" s="1017"/>
      <c r="F22" s="1018"/>
      <c r="H22" s="1889"/>
      <c r="I22" s="33" t="s">
        <v>20</v>
      </c>
      <c r="J22" s="462"/>
      <c r="K22" s="463"/>
      <c r="L22" s="463"/>
      <c r="M22" s="692"/>
      <c r="N22" s="462"/>
      <c r="O22" s="463"/>
      <c r="P22" s="463"/>
      <c r="Q22" s="692"/>
      <c r="R22" s="462"/>
      <c r="S22" s="463"/>
      <c r="T22" s="463"/>
      <c r="U22" s="692"/>
      <c r="V22" s="462"/>
      <c r="W22" s="463"/>
      <c r="X22" s="463"/>
      <c r="Y22" s="692"/>
      <c r="Z22" s="462"/>
      <c r="AA22" s="463"/>
      <c r="AB22" s="463"/>
      <c r="AC22" s="692"/>
      <c r="AD22" s="462"/>
      <c r="AE22" s="463"/>
      <c r="AF22" s="463"/>
      <c r="AG22" s="692"/>
      <c r="AH22" s="128">
        <f t="shared" si="7"/>
        <v>0</v>
      </c>
      <c r="AI22" s="273">
        <f t="shared" si="7"/>
        <v>0</v>
      </c>
      <c r="AJ22" s="273">
        <f t="shared" si="7"/>
        <v>0</v>
      </c>
      <c r="AK22" s="694">
        <f t="shared" si="7"/>
        <v>0</v>
      </c>
      <c r="AL22" s="462"/>
      <c r="AM22" s="463"/>
      <c r="AN22" s="463"/>
      <c r="AO22" s="692"/>
      <c r="AP22" s="462"/>
      <c r="AQ22" s="463"/>
      <c r="AR22" s="463"/>
      <c r="AS22" s="692"/>
      <c r="AT22" s="462"/>
      <c r="AU22" s="463"/>
      <c r="AV22" s="463"/>
      <c r="AW22" s="692"/>
      <c r="AX22" s="462"/>
      <c r="AY22" s="463"/>
      <c r="AZ22" s="463"/>
      <c r="BA22" s="692"/>
      <c r="BB22" s="128">
        <f t="shared" si="8"/>
        <v>0</v>
      </c>
      <c r="BC22" s="273">
        <f t="shared" si="8"/>
        <v>0</v>
      </c>
      <c r="BD22" s="273">
        <f t="shared" si="8"/>
        <v>0</v>
      </c>
      <c r="BE22" s="273">
        <f t="shared" si="8"/>
        <v>0</v>
      </c>
      <c r="BF22" s="276">
        <f t="shared" si="5"/>
        <v>0</v>
      </c>
      <c r="BG22" s="277">
        <f t="shared" si="5"/>
        <v>0</v>
      </c>
      <c r="BH22" s="277">
        <f t="shared" si="5"/>
        <v>0</v>
      </c>
      <c r="BI22" s="704">
        <f t="shared" si="5"/>
        <v>0</v>
      </c>
      <c r="BJ22" s="1090">
        <f t="shared" si="6"/>
        <v>0</v>
      </c>
    </row>
    <row r="23" spans="3:62" s="28" customFormat="1" ht="20.100000000000001" customHeight="1">
      <c r="C23" s="1885"/>
      <c r="D23" s="1017"/>
      <c r="E23" s="1017"/>
      <c r="F23" s="1018"/>
      <c r="H23" s="1889"/>
      <c r="I23" s="33" t="s">
        <v>19</v>
      </c>
      <c r="J23" s="462"/>
      <c r="K23" s="463"/>
      <c r="L23" s="463"/>
      <c r="M23" s="692"/>
      <c r="N23" s="462"/>
      <c r="O23" s="463"/>
      <c r="P23" s="463"/>
      <c r="Q23" s="692"/>
      <c r="R23" s="462">
        <v>8</v>
      </c>
      <c r="S23" s="463"/>
      <c r="T23" s="463"/>
      <c r="U23" s="692"/>
      <c r="V23" s="462"/>
      <c r="W23" s="463"/>
      <c r="X23" s="463"/>
      <c r="Y23" s="692"/>
      <c r="Z23" s="462"/>
      <c r="AA23" s="463"/>
      <c r="AB23" s="463"/>
      <c r="AC23" s="692"/>
      <c r="AD23" s="462"/>
      <c r="AE23" s="463"/>
      <c r="AF23" s="463"/>
      <c r="AG23" s="692"/>
      <c r="AH23" s="128">
        <f t="shared" si="7"/>
        <v>8</v>
      </c>
      <c r="AI23" s="273">
        <f t="shared" si="7"/>
        <v>0</v>
      </c>
      <c r="AJ23" s="273">
        <f t="shared" si="7"/>
        <v>0</v>
      </c>
      <c r="AK23" s="694">
        <f t="shared" si="7"/>
        <v>0</v>
      </c>
      <c r="AL23" s="462">
        <v>6</v>
      </c>
      <c r="AM23" s="463"/>
      <c r="AN23" s="463"/>
      <c r="AO23" s="692"/>
      <c r="AP23" s="462"/>
      <c r="AQ23" s="463"/>
      <c r="AR23" s="463"/>
      <c r="AS23" s="692"/>
      <c r="AT23" s="462"/>
      <c r="AU23" s="463"/>
      <c r="AV23" s="463"/>
      <c r="AW23" s="692"/>
      <c r="AX23" s="462"/>
      <c r="AY23" s="463"/>
      <c r="AZ23" s="463"/>
      <c r="BA23" s="692"/>
      <c r="BB23" s="128">
        <f t="shared" si="8"/>
        <v>6</v>
      </c>
      <c r="BC23" s="273">
        <f t="shared" si="8"/>
        <v>0</v>
      </c>
      <c r="BD23" s="273">
        <f t="shared" si="8"/>
        <v>0</v>
      </c>
      <c r="BE23" s="273">
        <f t="shared" si="8"/>
        <v>0</v>
      </c>
      <c r="BF23" s="276">
        <f t="shared" si="5"/>
        <v>14</v>
      </c>
      <c r="BG23" s="277">
        <f t="shared" si="5"/>
        <v>0</v>
      </c>
      <c r="BH23" s="277">
        <f t="shared" si="5"/>
        <v>0</v>
      </c>
      <c r="BI23" s="704">
        <f t="shared" si="5"/>
        <v>0</v>
      </c>
      <c r="BJ23" s="1090">
        <f t="shared" si="6"/>
        <v>0</v>
      </c>
    </row>
    <row r="24" spans="3:62" s="28" customFormat="1" ht="20.100000000000001" customHeight="1" thickBot="1">
      <c r="C24" s="1885"/>
      <c r="D24" s="1017"/>
      <c r="E24" s="1017"/>
      <c r="F24" s="1018"/>
      <c r="H24" s="1865" t="s">
        <v>116</v>
      </c>
      <c r="I24" s="1866"/>
      <c r="J24" s="118">
        <f t="shared" ref="J24:BI24" si="9">SUM(J15:J23)</f>
        <v>7</v>
      </c>
      <c r="K24" s="272">
        <f t="shared" si="9"/>
        <v>0</v>
      </c>
      <c r="L24" s="272">
        <f>SUM(L15:L23)</f>
        <v>0</v>
      </c>
      <c r="M24" s="272">
        <f>SUM(M15:M23)</f>
        <v>0</v>
      </c>
      <c r="N24" s="118">
        <f t="shared" ref="N24:AI24" si="10">SUM(N15:N23)</f>
        <v>0</v>
      </c>
      <c r="O24" s="272">
        <f t="shared" si="10"/>
        <v>0</v>
      </c>
      <c r="P24" s="272">
        <f t="shared" si="10"/>
        <v>0</v>
      </c>
      <c r="Q24" s="272">
        <f t="shared" si="10"/>
        <v>0</v>
      </c>
      <c r="R24" s="118">
        <f t="shared" si="10"/>
        <v>8</v>
      </c>
      <c r="S24" s="272">
        <f t="shared" si="10"/>
        <v>0</v>
      </c>
      <c r="T24" s="272">
        <f t="shared" si="10"/>
        <v>0</v>
      </c>
      <c r="U24" s="272">
        <f t="shared" si="10"/>
        <v>0</v>
      </c>
      <c r="V24" s="118">
        <f t="shared" si="10"/>
        <v>0</v>
      </c>
      <c r="W24" s="272">
        <f t="shared" si="10"/>
        <v>0</v>
      </c>
      <c r="X24" s="272">
        <f t="shared" si="10"/>
        <v>0</v>
      </c>
      <c r="Y24" s="272">
        <f t="shared" si="10"/>
        <v>0</v>
      </c>
      <c r="Z24" s="118">
        <f t="shared" si="10"/>
        <v>0</v>
      </c>
      <c r="AA24" s="272">
        <f t="shared" si="10"/>
        <v>0</v>
      </c>
      <c r="AB24" s="272">
        <f t="shared" si="10"/>
        <v>0</v>
      </c>
      <c r="AC24" s="272">
        <f t="shared" si="10"/>
        <v>0</v>
      </c>
      <c r="AD24" s="118">
        <f t="shared" si="10"/>
        <v>0</v>
      </c>
      <c r="AE24" s="272">
        <f t="shared" si="10"/>
        <v>0</v>
      </c>
      <c r="AF24" s="272">
        <f t="shared" si="10"/>
        <v>0</v>
      </c>
      <c r="AG24" s="272">
        <f t="shared" si="10"/>
        <v>0</v>
      </c>
      <c r="AH24" s="118">
        <f t="shared" si="10"/>
        <v>15</v>
      </c>
      <c r="AI24" s="272">
        <f t="shared" si="10"/>
        <v>0</v>
      </c>
      <c r="AJ24" s="272">
        <f>SUM(AJ15:AJ23)</f>
        <v>0</v>
      </c>
      <c r="AK24" s="695">
        <f>SUM(AK15:AK23)</f>
        <v>0</v>
      </c>
      <c r="AL24" s="118">
        <f t="shared" ref="AL24:BC24" si="11">SUM(AL15:AL23)</f>
        <v>6</v>
      </c>
      <c r="AM24" s="272">
        <f t="shared" si="11"/>
        <v>0</v>
      </c>
      <c r="AN24" s="272">
        <f t="shared" si="11"/>
        <v>0</v>
      </c>
      <c r="AO24" s="272">
        <f t="shared" si="11"/>
        <v>0</v>
      </c>
      <c r="AP24" s="118">
        <f t="shared" si="11"/>
        <v>0</v>
      </c>
      <c r="AQ24" s="272">
        <f t="shared" si="11"/>
        <v>0</v>
      </c>
      <c r="AR24" s="272">
        <f t="shared" si="11"/>
        <v>0</v>
      </c>
      <c r="AS24" s="272">
        <f t="shared" si="11"/>
        <v>0</v>
      </c>
      <c r="AT24" s="118">
        <f t="shared" si="11"/>
        <v>15</v>
      </c>
      <c r="AU24" s="272">
        <f t="shared" si="11"/>
        <v>0</v>
      </c>
      <c r="AV24" s="272">
        <f t="shared" si="11"/>
        <v>0</v>
      </c>
      <c r="AW24" s="272">
        <f t="shared" si="11"/>
        <v>0</v>
      </c>
      <c r="AX24" s="118">
        <f t="shared" si="11"/>
        <v>0</v>
      </c>
      <c r="AY24" s="272">
        <f t="shared" si="11"/>
        <v>0</v>
      </c>
      <c r="AZ24" s="272">
        <f t="shared" si="11"/>
        <v>0</v>
      </c>
      <c r="BA24" s="272">
        <f t="shared" si="11"/>
        <v>0</v>
      </c>
      <c r="BB24" s="118">
        <f t="shared" si="11"/>
        <v>21</v>
      </c>
      <c r="BC24" s="272">
        <f t="shared" si="11"/>
        <v>0</v>
      </c>
      <c r="BD24" s="272">
        <f>SUM(BD15:BD23)</f>
        <v>0</v>
      </c>
      <c r="BE24" s="272">
        <f>SUM(BE15:BE23)</f>
        <v>0</v>
      </c>
      <c r="BF24" s="278">
        <f t="shared" si="9"/>
        <v>36</v>
      </c>
      <c r="BG24" s="279">
        <f t="shared" si="9"/>
        <v>0</v>
      </c>
      <c r="BH24" s="279">
        <f t="shared" si="9"/>
        <v>0</v>
      </c>
      <c r="BI24" s="705">
        <f t="shared" si="9"/>
        <v>0</v>
      </c>
      <c r="BJ24" s="1090"/>
    </row>
    <row r="25" spans="3:62" s="119" customFormat="1" ht="9" customHeight="1" thickBot="1">
      <c r="C25" s="121"/>
      <c r="D25" s="121"/>
      <c r="E25" s="121"/>
      <c r="F25" s="121"/>
      <c r="H25" s="122"/>
      <c r="I25" s="122"/>
      <c r="J25" s="125"/>
      <c r="K25" s="126"/>
      <c r="L25" s="126"/>
      <c r="M25" s="126"/>
      <c r="N25" s="125"/>
      <c r="O25" s="126"/>
      <c r="P25" s="126"/>
      <c r="Q25" s="126"/>
      <c r="R25" s="125"/>
      <c r="S25" s="126"/>
      <c r="T25" s="126"/>
      <c r="U25" s="126"/>
      <c r="V25" s="125"/>
      <c r="W25" s="126"/>
      <c r="X25" s="126"/>
      <c r="Y25" s="126"/>
      <c r="Z25" s="125"/>
      <c r="AA25" s="126"/>
      <c r="AB25" s="126"/>
      <c r="AC25" s="126"/>
      <c r="AD25" s="125"/>
      <c r="AE25" s="126"/>
      <c r="AF25" s="126"/>
      <c r="AG25" s="126"/>
      <c r="AH25" s="125"/>
      <c r="AI25" s="126"/>
      <c r="AJ25" s="126"/>
      <c r="AK25" s="126"/>
      <c r="AL25" s="125"/>
      <c r="AM25" s="126"/>
      <c r="AN25" s="126"/>
      <c r="AO25" s="126"/>
      <c r="AP25" s="125"/>
      <c r="AQ25" s="126"/>
      <c r="AR25" s="126"/>
      <c r="AS25" s="126"/>
      <c r="AT25" s="125"/>
      <c r="AU25" s="126"/>
      <c r="AV25" s="126"/>
      <c r="AW25" s="126"/>
      <c r="AX25" s="125"/>
      <c r="AY25" s="126"/>
      <c r="AZ25" s="126"/>
      <c r="BA25" s="126"/>
      <c r="BB25" s="125"/>
      <c r="BC25" s="126"/>
      <c r="BD25" s="126"/>
      <c r="BE25" s="126"/>
      <c r="BF25" s="125"/>
      <c r="BG25" s="126"/>
    </row>
    <row r="26" spans="3:62" s="28" customFormat="1" ht="26.25" customHeight="1" thickBot="1">
      <c r="D26" s="29"/>
      <c r="E26" s="29"/>
      <c r="F26" s="29"/>
      <c r="H26" s="1893" t="s">
        <v>49</v>
      </c>
      <c r="I26" s="1894"/>
      <c r="J26" s="123">
        <f t="shared" ref="J26:BI26" si="12">J10+J24</f>
        <v>15</v>
      </c>
      <c r="K26" s="280">
        <f t="shared" si="12"/>
        <v>7</v>
      </c>
      <c r="L26" s="280">
        <f>L10+L24</f>
        <v>0</v>
      </c>
      <c r="M26" s="280">
        <f>M10+M24</f>
        <v>0</v>
      </c>
      <c r="N26" s="123">
        <f t="shared" ref="N26:O26" si="13">N10+N24</f>
        <v>10</v>
      </c>
      <c r="O26" s="280">
        <f t="shared" si="13"/>
        <v>0</v>
      </c>
      <c r="P26" s="280">
        <f>P10+P24</f>
        <v>0</v>
      </c>
      <c r="Q26" s="280">
        <f>Q10+Q24</f>
        <v>0</v>
      </c>
      <c r="R26" s="123">
        <f t="shared" ref="R26:S26" si="14">R10+R24</f>
        <v>8</v>
      </c>
      <c r="S26" s="280">
        <f t="shared" si="14"/>
        <v>0</v>
      </c>
      <c r="T26" s="280">
        <f>T10+T24</f>
        <v>0</v>
      </c>
      <c r="U26" s="280">
        <f>U10+U24</f>
        <v>0</v>
      </c>
      <c r="V26" s="123">
        <f t="shared" ref="V26:W26" si="15">V10+V24</f>
        <v>10</v>
      </c>
      <c r="W26" s="280">
        <f t="shared" si="15"/>
        <v>3.5</v>
      </c>
      <c r="X26" s="280">
        <f>X10+X24</f>
        <v>3.5</v>
      </c>
      <c r="Y26" s="280">
        <f>Y10+Y24</f>
        <v>0</v>
      </c>
      <c r="Z26" s="123">
        <f t="shared" ref="Z26:AA26" si="16">Z10+Z24</f>
        <v>2</v>
      </c>
      <c r="AA26" s="280">
        <f t="shared" si="16"/>
        <v>0</v>
      </c>
      <c r="AB26" s="280">
        <f>AB10+AB24</f>
        <v>0</v>
      </c>
      <c r="AC26" s="280">
        <f>AC10+AC24</f>
        <v>0</v>
      </c>
      <c r="AD26" s="123">
        <f t="shared" ref="AD26:AE26" si="17">AD10+AD24</f>
        <v>20</v>
      </c>
      <c r="AE26" s="280">
        <f t="shared" si="17"/>
        <v>0</v>
      </c>
      <c r="AF26" s="280">
        <f>AF10+AF24</f>
        <v>0</v>
      </c>
      <c r="AG26" s="280">
        <f>AG10+AG24</f>
        <v>0</v>
      </c>
      <c r="AH26" s="127">
        <f t="shared" ref="AH26:AI26" si="18">AH10+AH24</f>
        <v>65</v>
      </c>
      <c r="AI26" s="280">
        <f t="shared" si="18"/>
        <v>10.5</v>
      </c>
      <c r="AJ26" s="697">
        <f>AJ10+AJ24</f>
        <v>3.5</v>
      </c>
      <c r="AK26" s="696">
        <f>AK10+AK24</f>
        <v>0</v>
      </c>
      <c r="AL26" s="123">
        <f t="shared" ref="AL26:AM26" si="19">AL10+AL24</f>
        <v>9</v>
      </c>
      <c r="AM26" s="280">
        <f t="shared" si="19"/>
        <v>5</v>
      </c>
      <c r="AN26" s="280">
        <f>AN10+AN24</f>
        <v>5</v>
      </c>
      <c r="AO26" s="280">
        <f>AO10+AO24</f>
        <v>0</v>
      </c>
      <c r="AP26" s="123">
        <f t="shared" ref="AP26:AQ26" si="20">AP10+AP24</f>
        <v>10</v>
      </c>
      <c r="AQ26" s="280">
        <f t="shared" si="20"/>
        <v>1</v>
      </c>
      <c r="AR26" s="280">
        <f>AR10+AR24</f>
        <v>1</v>
      </c>
      <c r="AS26" s="280">
        <f>AS10+AS24</f>
        <v>4</v>
      </c>
      <c r="AT26" s="123">
        <f t="shared" ref="AT26:AU26" si="21">AT10+AT24</f>
        <v>15</v>
      </c>
      <c r="AU26" s="280">
        <f t="shared" si="21"/>
        <v>0</v>
      </c>
      <c r="AV26" s="280">
        <f>AV10+AV24</f>
        <v>0</v>
      </c>
      <c r="AW26" s="280">
        <f>AW10+AW24</f>
        <v>9</v>
      </c>
      <c r="AX26" s="123">
        <f t="shared" ref="AX26:AY26" si="22">AX10+AX24</f>
        <v>0</v>
      </c>
      <c r="AY26" s="280">
        <f t="shared" si="22"/>
        <v>0</v>
      </c>
      <c r="AZ26" s="280">
        <f>AZ10+AZ24</f>
        <v>0</v>
      </c>
      <c r="BA26" s="280">
        <f>BA10+BA24</f>
        <v>0</v>
      </c>
      <c r="BB26" s="127">
        <f t="shared" ref="BB26:BC26" si="23">BB10+BB24</f>
        <v>34</v>
      </c>
      <c r="BC26" s="280">
        <f t="shared" si="23"/>
        <v>6</v>
      </c>
      <c r="BD26" s="697">
        <f>BD10+BD24</f>
        <v>6</v>
      </c>
      <c r="BE26" s="697">
        <f>BE10+BE24</f>
        <v>13</v>
      </c>
      <c r="BF26" s="124">
        <f>BF10+BF24</f>
        <v>99</v>
      </c>
      <c r="BG26" s="707">
        <f t="shared" si="12"/>
        <v>16.5</v>
      </c>
      <c r="BH26" s="706">
        <f t="shared" si="12"/>
        <v>9.5</v>
      </c>
      <c r="BI26" s="284">
        <f t="shared" si="12"/>
        <v>13</v>
      </c>
    </row>
    <row r="27" spans="3:62" ht="21" customHeight="1">
      <c r="H27" s="320"/>
      <c r="I27" s="320"/>
      <c r="J27" s="321"/>
      <c r="K27" s="321"/>
      <c r="L27" s="321"/>
      <c r="M27" s="321"/>
      <c r="N27" s="321"/>
      <c r="O27" s="321"/>
      <c r="P27" s="321"/>
      <c r="Q27" s="321"/>
      <c r="R27" s="321"/>
      <c r="S27" s="321"/>
      <c r="T27" s="321"/>
      <c r="U27" s="321"/>
      <c r="V27" s="321"/>
      <c r="W27" s="321"/>
      <c r="X27" s="1091"/>
      <c r="Y27" s="323"/>
      <c r="Z27" s="321"/>
      <c r="AA27" s="321"/>
      <c r="AB27" s="323"/>
      <c r="AC27" s="323"/>
      <c r="AD27" s="321"/>
      <c r="AE27" s="321"/>
      <c r="AF27" s="321"/>
      <c r="AG27" s="321"/>
      <c r="AH27" s="321"/>
      <c r="AI27" s="321"/>
      <c r="AJ27" s="321"/>
      <c r="AK27" s="321"/>
      <c r="AL27" s="321"/>
      <c r="AM27" s="321"/>
      <c r="AN27" s="321"/>
      <c r="AO27" s="321"/>
      <c r="AP27" s="321"/>
      <c r="AQ27" s="321"/>
      <c r="AR27" s="321">
        <v>4</v>
      </c>
      <c r="AS27" s="321" t="s">
        <v>337</v>
      </c>
      <c r="AT27" s="321"/>
      <c r="AU27" s="321"/>
      <c r="AV27" s="321">
        <v>9</v>
      </c>
      <c r="AW27" s="321" t="s">
        <v>337</v>
      </c>
      <c r="AX27" s="321"/>
      <c r="AY27" s="321"/>
      <c r="AZ27" s="321"/>
      <c r="BA27" s="321"/>
      <c r="BB27" s="335"/>
      <c r="BC27" s="1918">
        <f>SUM(I27:AZ29)</f>
        <v>13</v>
      </c>
      <c r="BD27" s="335"/>
      <c r="BE27" s="335"/>
      <c r="BF27" s="335"/>
      <c r="BG27" s="335"/>
      <c r="BH27" s="1917">
        <f>BH26+BI26</f>
        <v>22.5</v>
      </c>
      <c r="BI27" s="1917"/>
    </row>
    <row r="28" spans="3:62" ht="21" customHeight="1">
      <c r="H28" s="320"/>
      <c r="I28" s="320"/>
      <c r="J28" s="322"/>
      <c r="K28" s="323"/>
      <c r="L28" s="323"/>
      <c r="M28" s="323"/>
      <c r="N28" s="322"/>
      <c r="O28" s="323"/>
      <c r="P28" s="323"/>
      <c r="Q28" s="323"/>
      <c r="R28" s="322"/>
      <c r="S28" s="323"/>
      <c r="T28" s="323"/>
      <c r="U28" s="323"/>
      <c r="V28" s="321"/>
      <c r="W28" s="323"/>
      <c r="X28" s="323"/>
      <c r="Y28" s="323"/>
      <c r="Z28" s="322"/>
      <c r="AA28" s="323"/>
      <c r="AB28" s="323"/>
      <c r="AC28" s="323"/>
      <c r="AD28" s="322"/>
      <c r="AE28" s="323"/>
      <c r="AF28" s="323"/>
      <c r="AG28" s="322"/>
      <c r="AH28" s="322"/>
      <c r="AI28" s="323"/>
      <c r="AJ28" s="323"/>
      <c r="AK28" s="323"/>
      <c r="AL28" s="321"/>
      <c r="AM28" s="323"/>
      <c r="AN28" s="622"/>
      <c r="AO28" s="622"/>
      <c r="AP28" s="321"/>
      <c r="AQ28" s="323"/>
      <c r="AR28" s="323"/>
      <c r="AS28" s="323"/>
      <c r="AT28" s="322"/>
      <c r="AU28" s="323"/>
      <c r="AV28" s="323"/>
      <c r="AW28" s="323"/>
      <c r="AX28" s="322"/>
      <c r="AY28" s="468"/>
      <c r="AZ28" s="468"/>
      <c r="BA28" s="468"/>
      <c r="BB28" s="392"/>
      <c r="BC28" s="1919"/>
      <c r="BD28" s="434"/>
      <c r="BE28" s="434"/>
      <c r="BF28" s="435"/>
      <c r="BG28" s="434"/>
      <c r="BH28" s="726"/>
      <c r="BI28" s="434"/>
    </row>
    <row r="29" spans="3:62" ht="23.25">
      <c r="H29" s="320"/>
      <c r="I29" s="320"/>
      <c r="J29" s="322"/>
      <c r="K29" s="323"/>
      <c r="L29" s="323"/>
      <c r="M29" s="323"/>
      <c r="N29" s="322"/>
      <c r="O29" s="323"/>
      <c r="P29" s="323"/>
      <c r="Q29" s="323"/>
      <c r="R29" s="322"/>
      <c r="S29" s="323"/>
      <c r="T29" s="323"/>
      <c r="U29" s="323"/>
      <c r="V29" s="322"/>
      <c r="W29" s="323"/>
      <c r="X29" s="323"/>
      <c r="Y29" s="323"/>
      <c r="Z29" s="322"/>
      <c r="AA29" s="323"/>
      <c r="AB29" s="323"/>
      <c r="AC29" s="323"/>
      <c r="AD29" s="322"/>
      <c r="AE29" s="323"/>
      <c r="AF29" s="688"/>
      <c r="AG29" s="688"/>
      <c r="AH29" s="322"/>
      <c r="AI29" s="322"/>
      <c r="AJ29" s="323"/>
      <c r="AK29" s="323"/>
      <c r="AL29" s="321"/>
      <c r="AM29" s="323"/>
      <c r="AN29" s="321"/>
      <c r="AO29" s="321"/>
      <c r="AP29" s="322"/>
      <c r="AQ29" s="323"/>
      <c r="AR29" s="323"/>
      <c r="AS29" s="323"/>
      <c r="AT29" s="322"/>
      <c r="AU29" s="323"/>
      <c r="AV29" s="323"/>
      <c r="AW29" s="323"/>
      <c r="AX29" s="322"/>
      <c r="AY29" s="468"/>
      <c r="AZ29" s="468"/>
      <c r="BA29" s="468"/>
      <c r="BB29" s="392"/>
      <c r="BC29" s="434"/>
      <c r="BD29" s="434"/>
      <c r="BE29" s="434"/>
      <c r="BF29" s="435"/>
      <c r="BG29" s="434"/>
      <c r="BH29" s="682"/>
      <c r="BI29" s="434"/>
    </row>
    <row r="30" spans="3:62" s="464" customFormat="1" ht="21.75" thickBot="1">
      <c r="D30" s="576"/>
      <c r="E30" s="576"/>
      <c r="F30" s="576"/>
      <c r="I30" s="577"/>
      <c r="J30" s="578"/>
      <c r="K30" s="579"/>
      <c r="L30" s="579"/>
      <c r="M30" s="579"/>
      <c r="N30" s="578"/>
      <c r="O30" s="579"/>
      <c r="P30" s="579"/>
      <c r="Q30" s="579"/>
      <c r="R30" s="578"/>
      <c r="S30" s="579"/>
      <c r="T30" s="579"/>
      <c r="U30" s="579"/>
      <c r="V30" s="578"/>
      <c r="W30" s="578"/>
      <c r="X30" s="579"/>
      <c r="Y30" s="579"/>
      <c r="Z30" s="579"/>
      <c r="AA30" s="578"/>
      <c r="AB30" s="579"/>
      <c r="AC30" s="579"/>
      <c r="AD30" s="579"/>
      <c r="AE30" s="578"/>
      <c r="AF30" s="579"/>
      <c r="AG30" s="579"/>
      <c r="AH30" s="621"/>
      <c r="AI30" s="578"/>
      <c r="AJ30" s="579"/>
      <c r="AK30" s="579"/>
      <c r="AM30" s="580"/>
      <c r="AN30" s="579"/>
      <c r="AO30" s="579"/>
      <c r="AP30" s="579"/>
      <c r="AQ30" s="578"/>
      <c r="AR30" s="579"/>
      <c r="AS30" s="579"/>
      <c r="AT30" s="579"/>
      <c r="AU30" s="578"/>
      <c r="AV30" s="579"/>
      <c r="AW30" s="579"/>
      <c r="AZ30" s="581"/>
      <c r="BA30" s="581"/>
      <c r="BB30" s="581"/>
      <c r="BC30" s="582"/>
      <c r="BD30" s="583"/>
      <c r="BE30" s="583"/>
      <c r="BF30" s="583"/>
      <c r="BG30" s="1122"/>
      <c r="BH30" s="583"/>
      <c r="BI30" s="585"/>
    </row>
    <row r="31" spans="3:62" ht="35.25" customHeight="1" thickBot="1">
      <c r="L31" s="1951" t="s">
        <v>394</v>
      </c>
      <c r="M31" s="1952"/>
      <c r="N31" s="1952"/>
      <c r="O31" s="1952"/>
      <c r="P31" s="1952"/>
      <c r="Q31" s="1952"/>
      <c r="R31" s="1952"/>
      <c r="S31" s="1953"/>
      <c r="T31" s="579"/>
      <c r="U31" s="579"/>
      <c r="V31" s="1929" t="s">
        <v>204</v>
      </c>
      <c r="W31" s="1930"/>
      <c r="X31" s="1930"/>
      <c r="Y31" s="1930"/>
      <c r="Z31" s="1930"/>
      <c r="AA31" s="1930"/>
      <c r="AB31" s="1930"/>
      <c r="AC31" s="1935"/>
      <c r="AD31" s="1936"/>
      <c r="AE31" s="579"/>
      <c r="AF31" s="579"/>
      <c r="AG31" s="26"/>
      <c r="AH31" s="24"/>
      <c r="AJ31" s="685"/>
      <c r="AL31" s="24"/>
      <c r="AM31" s="599"/>
      <c r="AN31" s="1014"/>
      <c r="AP31" s="24"/>
      <c r="AS31" s="26"/>
      <c r="AT31" s="24"/>
      <c r="AX31" s="24"/>
      <c r="AY31" s="25"/>
      <c r="AZ31" s="25"/>
      <c r="BA31" s="24"/>
      <c r="BB31" s="24"/>
      <c r="BE31" s="23"/>
      <c r="BF31" s="23"/>
      <c r="BG31" s="23"/>
    </row>
    <row r="32" spans="3:62" s="24" customFormat="1" ht="28.5" customHeight="1" thickBot="1">
      <c r="C32" s="23"/>
      <c r="D32" s="27"/>
      <c r="E32" s="27"/>
      <c r="F32" s="27"/>
      <c r="G32" s="23"/>
      <c r="H32" s="23"/>
      <c r="I32" s="27"/>
      <c r="L32" s="450" t="s">
        <v>0</v>
      </c>
      <c r="M32" s="439" t="s">
        <v>200</v>
      </c>
      <c r="N32" s="454" t="s">
        <v>205</v>
      </c>
      <c r="O32" s="439" t="s">
        <v>31</v>
      </c>
      <c r="P32" s="448" t="s">
        <v>201</v>
      </c>
      <c r="Q32" s="455" t="s">
        <v>206</v>
      </c>
      <c r="R32" s="436" t="s">
        <v>22</v>
      </c>
      <c r="S32" s="438" t="s">
        <v>191</v>
      </c>
      <c r="T32" s="579"/>
      <c r="U32" s="579"/>
      <c r="V32" s="571" t="s">
        <v>0</v>
      </c>
      <c r="W32" s="572" t="s">
        <v>200</v>
      </c>
      <c r="X32" s="623" t="s">
        <v>205</v>
      </c>
      <c r="Y32" s="572" t="s">
        <v>31</v>
      </c>
      <c r="Z32" s="573" t="s">
        <v>201</v>
      </c>
      <c r="AA32" s="574" t="s">
        <v>206</v>
      </c>
      <c r="AB32" s="717" t="s">
        <v>22</v>
      </c>
      <c r="AC32" s="721" t="s">
        <v>191</v>
      </c>
      <c r="AD32" s="722" t="s">
        <v>226</v>
      </c>
      <c r="AE32" s="579"/>
      <c r="AF32" s="579"/>
      <c r="AG32" s="599"/>
      <c r="AH32" s="599"/>
      <c r="AI32" s="599"/>
      <c r="AN32" s="26"/>
      <c r="AT32" s="25"/>
      <c r="AU32" s="25"/>
      <c r="AW32" s="23"/>
      <c r="AX32" s="23"/>
    </row>
    <row r="33" spans="1:59" ht="23.25">
      <c r="L33" s="441" t="s">
        <v>189</v>
      </c>
      <c r="M33" s="470">
        <f>$J$6</f>
        <v>0</v>
      </c>
      <c r="N33" s="430">
        <f>$J9</f>
        <v>3</v>
      </c>
      <c r="O33" s="430">
        <f>$J7</f>
        <v>0</v>
      </c>
      <c r="P33" s="430">
        <f>$J8</f>
        <v>5</v>
      </c>
      <c r="Q33" s="430">
        <f>J15+J16+J17+J18+J19+J21+J22+J23</f>
        <v>7</v>
      </c>
      <c r="R33" s="430">
        <f>$J20</f>
        <v>0</v>
      </c>
      <c r="S33" s="446">
        <f t="shared" ref="S33:S42" si="24">SUM(M33:R33)</f>
        <v>15</v>
      </c>
      <c r="T33" s="579"/>
      <c r="U33" s="579"/>
      <c r="V33" s="447" t="s">
        <v>189</v>
      </c>
      <c r="W33" s="569">
        <f>L$6</f>
        <v>0</v>
      </c>
      <c r="X33" s="570">
        <f>$L9</f>
        <v>0</v>
      </c>
      <c r="Y33" s="570">
        <f>$L7</f>
        <v>0</v>
      </c>
      <c r="Z33" s="570">
        <f>$L8</f>
        <v>0</v>
      </c>
      <c r="AA33" s="570">
        <f>L$15+L$16+L$17+L$18+L$19+L$21+L$22+L$23</f>
        <v>0</v>
      </c>
      <c r="AB33" s="718">
        <f>$L20</f>
        <v>0</v>
      </c>
      <c r="AC33" s="723">
        <f t="shared" ref="AC33:AC42" si="25">SUM(W33:AB33)</f>
        <v>0</v>
      </c>
      <c r="AD33" s="587">
        <f>M6+M7+M8++M9+M15+M16+M17+M18+M19+M21+M20+M22+M23</f>
        <v>0</v>
      </c>
      <c r="AE33" s="579">
        <f>AC33+AD33</f>
        <v>0</v>
      </c>
      <c r="AF33" s="579"/>
      <c r="AG33" s="599"/>
      <c r="AH33" s="599"/>
      <c r="AI33" s="599"/>
      <c r="AL33" s="24"/>
      <c r="AN33" s="26"/>
      <c r="AP33" s="24"/>
      <c r="AT33" s="25"/>
      <c r="AU33" s="25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</row>
    <row r="34" spans="1:59" s="24" customFormat="1" ht="23.25">
      <c r="A34" s="23"/>
      <c r="B34" s="23"/>
      <c r="C34" s="23"/>
      <c r="D34" s="27"/>
      <c r="E34" s="27"/>
      <c r="F34" s="27"/>
      <c r="G34" s="23"/>
      <c r="H34" s="23"/>
      <c r="I34" s="27"/>
      <c r="L34" s="441" t="s">
        <v>183</v>
      </c>
      <c r="M34" s="470">
        <f>$N$6</f>
        <v>7</v>
      </c>
      <c r="N34" s="430">
        <f>$N9</f>
        <v>3</v>
      </c>
      <c r="O34" s="430">
        <f>$N7</f>
        <v>0</v>
      </c>
      <c r="P34" s="430">
        <f>$N8</f>
        <v>0</v>
      </c>
      <c r="Q34" s="430">
        <f>N15+N16+N17+N18+N19+N21+N22+N23</f>
        <v>0</v>
      </c>
      <c r="R34" s="430">
        <f>$N20</f>
        <v>0</v>
      </c>
      <c r="S34" s="446">
        <f t="shared" si="24"/>
        <v>10</v>
      </c>
      <c r="T34" s="686"/>
      <c r="U34" s="26"/>
      <c r="V34" s="441" t="s">
        <v>183</v>
      </c>
      <c r="W34" s="440">
        <f>P$6</f>
        <v>0</v>
      </c>
      <c r="X34" s="430">
        <f>$P9</f>
        <v>0</v>
      </c>
      <c r="Y34" s="430">
        <f>$P7</f>
        <v>0</v>
      </c>
      <c r="Z34" s="430">
        <f>$P8</f>
        <v>0</v>
      </c>
      <c r="AA34" s="430">
        <f>P$15+P$16+P$17+P$18+P$19+P$21+P$22+P$23</f>
        <v>0</v>
      </c>
      <c r="AB34" s="719">
        <f>$P20</f>
        <v>0</v>
      </c>
      <c r="AC34" s="723">
        <f t="shared" si="25"/>
        <v>0</v>
      </c>
      <c r="AD34" s="587">
        <f>Q6+Q7+Q8+Q9+Q15+Q16+Q17+Q18+Q19+Q20+Q21+Q22+Q23</f>
        <v>0</v>
      </c>
      <c r="AE34" s="579">
        <f t="shared" ref="AE34:AE43" si="26">AC34+AD34</f>
        <v>0</v>
      </c>
      <c r="AG34" s="599"/>
      <c r="AH34" s="599"/>
      <c r="AI34" s="599"/>
      <c r="AN34" s="26"/>
      <c r="AT34" s="25"/>
      <c r="AU34" s="25"/>
    </row>
    <row r="35" spans="1:59" ht="23.25">
      <c r="L35" s="441" t="s">
        <v>184</v>
      </c>
      <c r="M35" s="470">
        <f>$R$6</f>
        <v>0</v>
      </c>
      <c r="N35" s="430">
        <f>$R9</f>
        <v>0</v>
      </c>
      <c r="O35" s="430">
        <f>$R7</f>
        <v>0</v>
      </c>
      <c r="P35" s="430">
        <f>$R8</f>
        <v>0</v>
      </c>
      <c r="Q35" s="430">
        <f>R15+R16+R17+R18+R19+R21+R22+R23</f>
        <v>8</v>
      </c>
      <c r="R35" s="430">
        <f>$R20</f>
        <v>0</v>
      </c>
      <c r="S35" s="446">
        <f t="shared" si="24"/>
        <v>8</v>
      </c>
      <c r="T35" s="686"/>
      <c r="U35" s="26"/>
      <c r="V35" s="441" t="s">
        <v>184</v>
      </c>
      <c r="W35" s="440">
        <f>T$6</f>
        <v>0</v>
      </c>
      <c r="X35" s="430">
        <f>$T9</f>
        <v>0</v>
      </c>
      <c r="Y35" s="430">
        <f>$T7</f>
        <v>0</v>
      </c>
      <c r="Z35" s="430">
        <f>$T8</f>
        <v>0</v>
      </c>
      <c r="AA35" s="430">
        <f>T$15+T$16+T$17+T$18+T$19+T$21+T$22+T$23</f>
        <v>0</v>
      </c>
      <c r="AB35" s="719">
        <f>$T20</f>
        <v>0</v>
      </c>
      <c r="AC35" s="723">
        <f t="shared" si="25"/>
        <v>0</v>
      </c>
      <c r="AD35" s="587">
        <f>U6+U7+U8+U9+U15+U16+U17+U18+U19+U20+U21+U22+U23</f>
        <v>0</v>
      </c>
      <c r="AE35" s="579">
        <f t="shared" si="26"/>
        <v>0</v>
      </c>
      <c r="AF35" s="26"/>
      <c r="AG35" s="599"/>
      <c r="AH35" s="599"/>
      <c r="AI35" s="599"/>
      <c r="AL35" s="24"/>
      <c r="AN35" s="26"/>
      <c r="AP35" s="24"/>
      <c r="AT35" s="25"/>
      <c r="AU35" s="25"/>
      <c r="AX35" s="23"/>
      <c r="AY35" s="23"/>
      <c r="AZ35" s="23"/>
      <c r="BA35" s="23"/>
      <c r="BB35" s="23"/>
      <c r="BC35" s="23"/>
      <c r="BD35" s="23"/>
      <c r="BE35" s="23"/>
      <c r="BF35" s="23"/>
      <c r="BG35" s="23"/>
    </row>
    <row r="36" spans="1:59" ht="23.25">
      <c r="L36" s="441" t="s">
        <v>170</v>
      </c>
      <c r="M36" s="470">
        <f>$V$6</f>
        <v>4</v>
      </c>
      <c r="N36" s="430">
        <f>$V9</f>
        <v>5</v>
      </c>
      <c r="O36" s="430">
        <f>$V7</f>
        <v>0</v>
      </c>
      <c r="P36" s="430">
        <f>$V8</f>
        <v>1</v>
      </c>
      <c r="Q36" s="430">
        <f>V15+V16+V17+V18+V19+V21++V22+V23</f>
        <v>0</v>
      </c>
      <c r="R36" s="430">
        <f>$V20</f>
        <v>0</v>
      </c>
      <c r="S36" s="446">
        <f t="shared" si="24"/>
        <v>10</v>
      </c>
      <c r="T36" s="686"/>
      <c r="U36" s="26"/>
      <c r="V36" s="441" t="s">
        <v>170</v>
      </c>
      <c r="W36" s="440">
        <f>X$6</f>
        <v>0</v>
      </c>
      <c r="X36" s="430">
        <f>$X9</f>
        <v>1</v>
      </c>
      <c r="Y36" s="430">
        <f>$X7</f>
        <v>0</v>
      </c>
      <c r="Z36" s="430">
        <f>$X8</f>
        <v>2.5</v>
      </c>
      <c r="AA36" s="430">
        <f>X$15+X$16+X$17+X$18+X$19+X$21+X$22+X$23</f>
        <v>0</v>
      </c>
      <c r="AB36" s="719">
        <f>$X20</f>
        <v>0</v>
      </c>
      <c r="AC36" s="723">
        <f t="shared" si="25"/>
        <v>3.5</v>
      </c>
      <c r="AD36" s="587">
        <f>Y6+Y7+Y8+Y9+Y15+Y16+Y17+Y18+Y19+Y20+Y21+Y22+Y23</f>
        <v>0</v>
      </c>
      <c r="AE36" s="579">
        <f t="shared" si="26"/>
        <v>3.5</v>
      </c>
      <c r="AF36" s="26"/>
      <c r="AG36" s="599"/>
      <c r="AH36" s="599"/>
      <c r="AI36" s="599"/>
      <c r="AL36" s="24"/>
      <c r="AN36" s="26"/>
      <c r="AP36" s="24"/>
      <c r="AT36" s="25"/>
      <c r="AU36" s="25"/>
      <c r="AX36" s="23"/>
      <c r="AY36" s="23"/>
      <c r="AZ36" s="23"/>
      <c r="BA36" s="23"/>
      <c r="BB36" s="23"/>
      <c r="BC36" s="23"/>
      <c r="BD36" s="23"/>
      <c r="BE36" s="23"/>
      <c r="BF36" s="23"/>
      <c r="BG36" s="23"/>
    </row>
    <row r="37" spans="1:59" ht="23.25" customHeight="1">
      <c r="L37" s="441" t="s">
        <v>171</v>
      </c>
      <c r="M37" s="470">
        <f>$Z$6</f>
        <v>0</v>
      </c>
      <c r="N37" s="430">
        <f>$Z9</f>
        <v>2</v>
      </c>
      <c r="O37" s="430">
        <f>$Z7</f>
        <v>0</v>
      </c>
      <c r="P37" s="430">
        <f>$Z8</f>
        <v>0</v>
      </c>
      <c r="Q37" s="430">
        <f>Z15+Z16+Z17+Z18+Z19+Z21+Z22+Z23</f>
        <v>0</v>
      </c>
      <c r="R37" s="430">
        <f>$Z20</f>
        <v>0</v>
      </c>
      <c r="S37" s="446">
        <f t="shared" si="24"/>
        <v>2</v>
      </c>
      <c r="T37" s="686"/>
      <c r="U37" s="26"/>
      <c r="V37" s="441" t="s">
        <v>171</v>
      </c>
      <c r="W37" s="440">
        <f>AB$6</f>
        <v>0</v>
      </c>
      <c r="X37" s="430">
        <f>$AB9</f>
        <v>0</v>
      </c>
      <c r="Y37" s="430">
        <f>$AB7</f>
        <v>0</v>
      </c>
      <c r="Z37" s="430">
        <f>$AB8</f>
        <v>0</v>
      </c>
      <c r="AA37" s="430">
        <f>AB$15+AB$16+AB$17+AB$18+AB$19+AB$21+AB$22+AB$23</f>
        <v>0</v>
      </c>
      <c r="AB37" s="719">
        <f>$AB20</f>
        <v>0</v>
      </c>
      <c r="AC37" s="723">
        <f t="shared" si="25"/>
        <v>0</v>
      </c>
      <c r="AD37" s="587">
        <f>AC6+AC7+AC8+AC9+AC15+AC17+AC16+AC18+AC19+AC20+AC21+AC22+AC23</f>
        <v>0</v>
      </c>
      <c r="AE37" s="579">
        <f t="shared" si="26"/>
        <v>0</v>
      </c>
      <c r="AF37" s="26"/>
      <c r="AG37" s="26"/>
      <c r="AI37" s="26"/>
      <c r="AJ37" s="26"/>
      <c r="AK37" s="26"/>
      <c r="AL37" s="24"/>
      <c r="AN37" s="26"/>
      <c r="AP37" s="24"/>
      <c r="AT37" s="24"/>
      <c r="AX37" s="23"/>
      <c r="AY37" s="23"/>
      <c r="AZ37" s="23"/>
      <c r="BA37" s="23"/>
      <c r="BB37" s="23"/>
      <c r="BC37" s="23"/>
      <c r="BD37" s="23"/>
      <c r="BE37" s="23"/>
      <c r="BF37" s="23"/>
      <c r="BG37" s="23"/>
    </row>
    <row r="38" spans="1:59" ht="23.25" customHeight="1">
      <c r="L38" s="441" t="s">
        <v>190</v>
      </c>
      <c r="M38" s="492">
        <f>$AD$6</f>
        <v>10</v>
      </c>
      <c r="N38" s="471">
        <f>$AD9</f>
        <v>0</v>
      </c>
      <c r="O38" s="471">
        <f>$AD7</f>
        <v>0</v>
      </c>
      <c r="P38" s="471">
        <f>$AD8</f>
        <v>10</v>
      </c>
      <c r="Q38" s="430">
        <f>AD15+AD16+AD17+AD18+AD19+AD21+AD22+AD23</f>
        <v>0</v>
      </c>
      <c r="R38" s="471">
        <f>$AD20</f>
        <v>0</v>
      </c>
      <c r="S38" s="446">
        <f t="shared" si="24"/>
        <v>20</v>
      </c>
      <c r="T38" s="686"/>
      <c r="U38" s="26"/>
      <c r="V38" s="441" t="s">
        <v>190</v>
      </c>
      <c r="W38" s="440">
        <f>AF$6</f>
        <v>0</v>
      </c>
      <c r="X38" s="430">
        <f>$AF9</f>
        <v>0</v>
      </c>
      <c r="Y38" s="430">
        <f>$AF7</f>
        <v>0</v>
      </c>
      <c r="Z38" s="430">
        <f>$AF8</f>
        <v>0</v>
      </c>
      <c r="AA38" s="430">
        <f>AF$15+AF$16+AF$17+AF$18+AF$19+AF$21+AF$22+AF$23</f>
        <v>0</v>
      </c>
      <c r="AB38" s="719">
        <f>$AF20</f>
        <v>0</v>
      </c>
      <c r="AC38" s="723">
        <f t="shared" si="25"/>
        <v>0</v>
      </c>
      <c r="AD38" s="587">
        <f>AG6+AG7+AG8+AG9+AG15+AG16+AG17+AG18+AG19+AG20+AG21+AG22+AG23</f>
        <v>0</v>
      </c>
      <c r="AE38" s="579">
        <f t="shared" si="26"/>
        <v>0</v>
      </c>
      <c r="AF38" s="26"/>
      <c r="AG38" s="26"/>
      <c r="AI38" s="26"/>
      <c r="AJ38" s="26"/>
      <c r="AK38" s="26"/>
      <c r="AL38" s="24"/>
      <c r="AN38" s="26"/>
      <c r="AP38" s="24"/>
      <c r="AT38" s="24"/>
      <c r="AX38" s="23"/>
      <c r="AY38" s="23"/>
      <c r="AZ38" s="23"/>
      <c r="BA38" s="23"/>
      <c r="BB38" s="23"/>
      <c r="BC38" s="23"/>
      <c r="BD38" s="23"/>
      <c r="BE38" s="23"/>
      <c r="BF38" s="23"/>
      <c r="BG38" s="23"/>
    </row>
    <row r="39" spans="1:59" ht="23.25">
      <c r="L39" s="441" t="s">
        <v>185</v>
      </c>
      <c r="M39" s="470">
        <f>$AL$6</f>
        <v>0</v>
      </c>
      <c r="N39" s="430">
        <f>$AL9</f>
        <v>0</v>
      </c>
      <c r="O39" s="430">
        <f>$AL7</f>
        <v>0</v>
      </c>
      <c r="P39" s="430">
        <f>$AL8</f>
        <v>3</v>
      </c>
      <c r="Q39" s="430">
        <f>AL15+AL16+AL17+AL18+AL19+AL21+AL22+AL23</f>
        <v>6</v>
      </c>
      <c r="R39" s="430">
        <f>$AL20</f>
        <v>0</v>
      </c>
      <c r="S39" s="446">
        <f t="shared" si="24"/>
        <v>9</v>
      </c>
      <c r="T39" s="686"/>
      <c r="U39" s="26">
        <v>14</v>
      </c>
      <c r="V39" s="441" t="s">
        <v>185</v>
      </c>
      <c r="W39" s="469">
        <f>AN$6</f>
        <v>5</v>
      </c>
      <c r="X39" s="430">
        <f>$AN9</f>
        <v>0</v>
      </c>
      <c r="Y39" s="430">
        <f>$AN7</f>
        <v>0</v>
      </c>
      <c r="Z39" s="430">
        <f>$AN8</f>
        <v>0</v>
      </c>
      <c r="AA39" s="430">
        <f>AN$15+AN$16+AN$17+AN$18+AN$19+AN$21+AN$22+AN$23</f>
        <v>0</v>
      </c>
      <c r="AB39" s="719">
        <f>$AN20</f>
        <v>0</v>
      </c>
      <c r="AC39" s="723">
        <f t="shared" si="25"/>
        <v>5</v>
      </c>
      <c r="AD39" s="587">
        <f>AO6+AO7+AO8+AO9+AO15+AO16+AO17+AO18+AO19+AO20+AO21+AO22+AO23</f>
        <v>0</v>
      </c>
      <c r="AE39" s="579">
        <f t="shared" si="26"/>
        <v>5</v>
      </c>
      <c r="AF39" s="23"/>
      <c r="AG39" s="26"/>
      <c r="AI39" s="26"/>
      <c r="AJ39" s="26"/>
      <c r="AK39" s="26"/>
      <c r="AL39" s="24"/>
      <c r="AN39" s="26"/>
      <c r="AP39" s="24"/>
      <c r="AT39" s="24"/>
      <c r="AX39" s="23"/>
      <c r="AY39" s="23"/>
      <c r="AZ39" s="23"/>
      <c r="BA39" s="23"/>
      <c r="BB39" s="23"/>
      <c r="BC39" s="23"/>
      <c r="BD39" s="23"/>
      <c r="BE39" s="23"/>
      <c r="BF39" s="23"/>
      <c r="BG39" s="23"/>
    </row>
    <row r="40" spans="1:59" ht="23.25">
      <c r="L40" s="441" t="s">
        <v>202</v>
      </c>
      <c r="M40" s="470">
        <f>$AP$6</f>
        <v>5</v>
      </c>
      <c r="N40" s="430">
        <f>$AP9</f>
        <v>0</v>
      </c>
      <c r="O40" s="430">
        <f>$AP7</f>
        <v>0</v>
      </c>
      <c r="P40" s="430">
        <f>$AP8</f>
        <v>5</v>
      </c>
      <c r="Q40" s="430">
        <f>AP15+AP16+AP17+AP18+AP19+AP21+AP22+AP23</f>
        <v>0</v>
      </c>
      <c r="R40" s="430">
        <f>$AP20</f>
        <v>0</v>
      </c>
      <c r="S40" s="446">
        <f t="shared" si="24"/>
        <v>10</v>
      </c>
      <c r="T40" s="686"/>
      <c r="U40" s="26"/>
      <c r="V40" s="441" t="s">
        <v>202</v>
      </c>
      <c r="W40" s="440">
        <f>AR$6</f>
        <v>1</v>
      </c>
      <c r="X40" s="430">
        <f>$AR9</f>
        <v>0</v>
      </c>
      <c r="Y40" s="430">
        <f>$AR7</f>
        <v>0</v>
      </c>
      <c r="Z40" s="430">
        <f>$AR8</f>
        <v>0</v>
      </c>
      <c r="AA40" s="430">
        <f>AR$15+AR$16+AR$17+AR$18+AR$19+AR$21+AR$22+AR$23</f>
        <v>0</v>
      </c>
      <c r="AB40" s="719">
        <f>$AR20</f>
        <v>0</v>
      </c>
      <c r="AC40" s="723">
        <f t="shared" si="25"/>
        <v>1</v>
      </c>
      <c r="AD40" s="587">
        <f>AS6+AS7+AS8+AS9+AS15+AS16+AS17+AS18+AS19+AS20+AS21+AS22+AS23</f>
        <v>4</v>
      </c>
      <c r="AE40" s="579">
        <f t="shared" si="26"/>
        <v>5</v>
      </c>
      <c r="AF40" s="28"/>
      <c r="AG40" s="26"/>
      <c r="AI40" s="26"/>
      <c r="AJ40" s="26"/>
      <c r="AK40" s="26"/>
      <c r="AL40" s="24"/>
      <c r="AN40" s="26"/>
      <c r="AP40" s="24"/>
      <c r="AS40" s="23"/>
      <c r="AT40" s="24"/>
      <c r="AX40" s="23"/>
      <c r="AY40" s="23"/>
      <c r="AZ40" s="23"/>
      <c r="BA40" s="23"/>
      <c r="BB40" s="23"/>
      <c r="BC40" s="23"/>
      <c r="BD40" s="23"/>
      <c r="BE40" s="23"/>
      <c r="BF40" s="23"/>
      <c r="BG40" s="23"/>
    </row>
    <row r="41" spans="1:59" ht="23.25">
      <c r="L41" s="441" t="s">
        <v>186</v>
      </c>
      <c r="M41" s="470">
        <f>$AT$6</f>
        <v>0</v>
      </c>
      <c r="N41" s="430">
        <f>$AT9</f>
        <v>0</v>
      </c>
      <c r="O41" s="430">
        <f>$AT7</f>
        <v>0</v>
      </c>
      <c r="P41" s="430">
        <f>$AT8</f>
        <v>0</v>
      </c>
      <c r="Q41" s="430">
        <f>AT15+AT16+AT17+AT18+AT19+AT21+AT22+AT23</f>
        <v>0</v>
      </c>
      <c r="R41" s="430">
        <f>$AT20</f>
        <v>15</v>
      </c>
      <c r="S41" s="446">
        <f t="shared" si="24"/>
        <v>15</v>
      </c>
      <c r="T41" s="686"/>
      <c r="U41" s="26"/>
      <c r="V41" s="441" t="s">
        <v>186</v>
      </c>
      <c r="W41" s="440">
        <f>AV$6</f>
        <v>0</v>
      </c>
      <c r="X41" s="430">
        <f>$AV9</f>
        <v>0</v>
      </c>
      <c r="Y41" s="430">
        <f>$AV7</f>
        <v>0</v>
      </c>
      <c r="Z41" s="430">
        <f>$AV8</f>
        <v>0</v>
      </c>
      <c r="AA41" s="430">
        <f>AV$15+AV$16+AV$17+AV$18+AV$19+AV$21+AV$22+AV$23</f>
        <v>0</v>
      </c>
      <c r="AB41" s="719">
        <f>$AV20</f>
        <v>0</v>
      </c>
      <c r="AC41" s="723">
        <f t="shared" si="25"/>
        <v>0</v>
      </c>
      <c r="AD41" s="587">
        <f>AW6+AW7+AW8+AW9+AW15+AW16+AW17+AW18+AW20+AW19+AW21+AW22+AW23</f>
        <v>9</v>
      </c>
      <c r="AE41" s="579">
        <f t="shared" si="26"/>
        <v>9</v>
      </c>
      <c r="AH41" s="24"/>
      <c r="AJ41" s="25"/>
      <c r="AL41" s="24"/>
      <c r="AN41" s="25"/>
      <c r="AP41" s="24"/>
      <c r="AR41" s="25"/>
      <c r="AT41" s="24"/>
      <c r="AX41" s="23"/>
      <c r="AY41" s="23"/>
      <c r="AZ41" s="23"/>
      <c r="BA41" s="23"/>
      <c r="BB41" s="23"/>
      <c r="BC41" s="23"/>
      <c r="BD41" s="23"/>
      <c r="BE41" s="23"/>
      <c r="BF41" s="23"/>
      <c r="BG41" s="23"/>
    </row>
    <row r="42" spans="1:59" ht="23.25">
      <c r="L42" s="441" t="s">
        <v>203</v>
      </c>
      <c r="M42" s="470">
        <f>$AX$6</f>
        <v>0</v>
      </c>
      <c r="N42" s="430">
        <f>$AX9</f>
        <v>0</v>
      </c>
      <c r="O42" s="430">
        <f>$AX7</f>
        <v>0</v>
      </c>
      <c r="P42" s="430">
        <f>$AX8</f>
        <v>0</v>
      </c>
      <c r="Q42" s="430">
        <f>AX15+AX16+AX17+AX18+AX19+AX21+AX22+AX23</f>
        <v>0</v>
      </c>
      <c r="R42" s="430">
        <f>$AX20</f>
        <v>0</v>
      </c>
      <c r="S42" s="446">
        <f t="shared" si="24"/>
        <v>0</v>
      </c>
      <c r="T42" s="686"/>
      <c r="U42" s="26"/>
      <c r="V42" s="441" t="s">
        <v>203</v>
      </c>
      <c r="W42" s="440">
        <f>AZ$6</f>
        <v>0</v>
      </c>
      <c r="X42" s="430">
        <f>$AZ9</f>
        <v>0</v>
      </c>
      <c r="Y42" s="430">
        <f>$AZ7</f>
        <v>0</v>
      </c>
      <c r="Z42" s="430">
        <f>$AZ8</f>
        <v>0</v>
      </c>
      <c r="AA42" s="430">
        <f>AZ$15+AZ$16+AZ$17+AZ$18+AZ$19+AZ$21+AZ$22+AZ$23</f>
        <v>0</v>
      </c>
      <c r="AB42" s="719">
        <f>$AZ20</f>
        <v>0</v>
      </c>
      <c r="AC42" s="723">
        <f t="shared" si="25"/>
        <v>0</v>
      </c>
      <c r="AD42" s="587">
        <f>BA6+BA7+BA8+BA9+BA15+BA16+BA17+BA18+BA19+BA20+BA21+BA22+BA23</f>
        <v>0</v>
      </c>
      <c r="AE42" s="579">
        <f t="shared" si="26"/>
        <v>0</v>
      </c>
      <c r="AH42" s="24"/>
      <c r="AJ42" s="25"/>
      <c r="AL42" s="24"/>
      <c r="AN42" s="25"/>
      <c r="AP42" s="24"/>
      <c r="AR42" s="25"/>
      <c r="AT42" s="24"/>
      <c r="AV42" s="25"/>
      <c r="AX42" s="23"/>
      <c r="AY42" s="23"/>
      <c r="AZ42" s="23"/>
      <c r="BA42" s="23"/>
      <c r="BB42" s="23"/>
      <c r="BC42" s="23"/>
      <c r="BD42" s="23"/>
      <c r="BE42" s="23"/>
      <c r="BF42" s="23"/>
      <c r="BG42" s="23"/>
    </row>
    <row r="43" spans="1:59" ht="24" thickBot="1">
      <c r="L43" s="442" t="s">
        <v>191</v>
      </c>
      <c r="M43" s="443">
        <f t="shared" ref="M43" si="27">SUM(M33:M42)</f>
        <v>26</v>
      </c>
      <c r="N43" s="444">
        <f>SUM(N33:N42)</f>
        <v>13</v>
      </c>
      <c r="O43" s="443">
        <f t="shared" ref="O43" si="28">SUM(O33:O42)</f>
        <v>0</v>
      </c>
      <c r="P43" s="444">
        <f>SUM(P33:P42)</f>
        <v>24</v>
      </c>
      <c r="Q43" s="444">
        <f>SUM(Q33:Q42)</f>
        <v>21</v>
      </c>
      <c r="R43" s="445">
        <f>SUM(R33:R42)</f>
        <v>15</v>
      </c>
      <c r="S43" s="451">
        <f>SUM(S33:S42)</f>
        <v>99</v>
      </c>
      <c r="T43" s="687"/>
      <c r="U43" s="26"/>
      <c r="V43" s="442" t="s">
        <v>191</v>
      </c>
      <c r="W43" s="443">
        <f t="shared" ref="W43:Y43" si="29">SUM(W33:W42)</f>
        <v>6</v>
      </c>
      <c r="X43" s="444">
        <f>SUM(X33:X42)</f>
        <v>1</v>
      </c>
      <c r="Y43" s="443">
        <f t="shared" si="29"/>
        <v>0</v>
      </c>
      <c r="Z43" s="444">
        <f>SUM(Z33:Z42)</f>
        <v>2.5</v>
      </c>
      <c r="AA43" s="444">
        <f>SUM(AA33:AA42)</f>
        <v>0</v>
      </c>
      <c r="AB43" s="720">
        <f>SUM(AB33:AB42)</f>
        <v>0</v>
      </c>
      <c r="AC43" s="724">
        <f>SUM(AC33:AC42)</f>
        <v>9.5</v>
      </c>
      <c r="AD43" s="725">
        <f>SUM(AD33:AD42)</f>
        <v>13</v>
      </c>
      <c r="AE43" s="579">
        <f t="shared" si="26"/>
        <v>22.5</v>
      </c>
      <c r="AH43" s="24"/>
      <c r="AJ43" s="25"/>
      <c r="AL43" s="24"/>
      <c r="AN43" s="25"/>
      <c r="AP43" s="24"/>
      <c r="AR43" s="25"/>
      <c r="AT43" s="24"/>
      <c r="AV43" s="25"/>
      <c r="AX43" s="23"/>
      <c r="AY43" s="23"/>
      <c r="AZ43" s="23"/>
      <c r="BA43" s="23"/>
      <c r="BB43" s="23"/>
      <c r="BC43" s="23"/>
      <c r="BD43" s="23"/>
      <c r="BE43" s="23"/>
      <c r="BF43" s="23"/>
      <c r="BG43" s="23"/>
    </row>
    <row r="44" spans="1:59" ht="15" customHeight="1" thickBot="1">
      <c r="L44" s="26"/>
      <c r="M44" s="26"/>
      <c r="N44" s="24"/>
      <c r="P44" s="26"/>
      <c r="Q44" s="26"/>
      <c r="R44" s="24"/>
      <c r="T44" s="26"/>
      <c r="U44" s="26"/>
      <c r="V44" s="24"/>
      <c r="Z44" s="24"/>
      <c r="AD44" s="24"/>
      <c r="AE44" s="26"/>
      <c r="AF44" s="466"/>
      <c r="AG44" s="466"/>
      <c r="AH44" s="466"/>
      <c r="AI44" s="467"/>
      <c r="AL44" s="24"/>
      <c r="AM44" s="25"/>
      <c r="AP44" s="24"/>
      <c r="AQ44" s="25"/>
      <c r="AT44" s="24"/>
      <c r="AU44" s="25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</row>
    <row r="45" spans="1:59" ht="27.75" customHeight="1" thickBot="1">
      <c r="L45" s="1929" t="str">
        <f>L31</f>
        <v>Mode wise Collection Plan-18-01-2022</v>
      </c>
      <c r="M45" s="1930"/>
      <c r="N45" s="1930"/>
      <c r="O45" s="1930"/>
      <c r="P45" s="1930"/>
      <c r="Q45" s="1930"/>
      <c r="R45" s="1930"/>
      <c r="S45" s="1930"/>
      <c r="T45" s="1931"/>
      <c r="U45" s="26"/>
      <c r="V45" s="1923" t="s">
        <v>295</v>
      </c>
      <c r="W45" s="1937"/>
      <c r="X45" s="1937"/>
      <c r="Y45" s="1937"/>
      <c r="Z45" s="1937"/>
      <c r="AA45" s="1937"/>
      <c r="AB45" s="1937"/>
      <c r="AC45" s="1937"/>
      <c r="AD45" s="1937"/>
      <c r="AE45" s="1938"/>
      <c r="AF45" s="466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</row>
    <row r="46" spans="1:59" s="28" customFormat="1" ht="31.5">
      <c r="D46" s="29"/>
      <c r="E46" s="29"/>
      <c r="F46" s="29"/>
      <c r="I46" s="29"/>
      <c r="J46" s="1011" t="s">
        <v>270</v>
      </c>
      <c r="K46" s="1011" t="s">
        <v>196</v>
      </c>
      <c r="L46" s="450" t="s">
        <v>0</v>
      </c>
      <c r="M46" s="439" t="s">
        <v>200</v>
      </c>
      <c r="N46" s="454" t="s">
        <v>205</v>
      </c>
      <c r="O46" s="439" t="s">
        <v>31</v>
      </c>
      <c r="P46" s="448" t="s">
        <v>201</v>
      </c>
      <c r="Q46" s="455" t="s">
        <v>206</v>
      </c>
      <c r="R46" s="436" t="s">
        <v>22</v>
      </c>
      <c r="S46" s="438" t="s">
        <v>191</v>
      </c>
      <c r="T46" s="438" t="s">
        <v>244</v>
      </c>
      <c r="U46" s="26"/>
      <c r="V46" s="596" t="s">
        <v>0</v>
      </c>
      <c r="W46" s="436" t="s">
        <v>200</v>
      </c>
      <c r="X46" s="454" t="s">
        <v>205</v>
      </c>
      <c r="Y46" s="436" t="s">
        <v>31</v>
      </c>
      <c r="Z46" s="448" t="s">
        <v>201</v>
      </c>
      <c r="AA46" s="453" t="s">
        <v>206</v>
      </c>
      <c r="AB46" s="453" t="s">
        <v>210</v>
      </c>
      <c r="AC46" s="436" t="s">
        <v>22</v>
      </c>
      <c r="AD46" s="437" t="s">
        <v>191</v>
      </c>
      <c r="AE46" s="438" t="s">
        <v>244</v>
      </c>
      <c r="AF46" s="952" t="s">
        <v>32</v>
      </c>
      <c r="AG46" s="1022" t="s">
        <v>25</v>
      </c>
      <c r="AH46" s="1022" t="s">
        <v>23</v>
      </c>
      <c r="AI46" s="1022" t="s">
        <v>271</v>
      </c>
      <c r="AJ46" s="23"/>
      <c r="AK46" s="23"/>
      <c r="AL46" s="23"/>
      <c r="AM46" s="23"/>
      <c r="AN46" s="23"/>
      <c r="AO46" s="23"/>
      <c r="AP46" s="23"/>
      <c r="AQ46" s="23"/>
      <c r="AR46" s="23"/>
    </row>
    <row r="47" spans="1:59" ht="23.25">
      <c r="J47" s="441"/>
      <c r="K47" s="441"/>
      <c r="L47" s="441" t="s">
        <v>189</v>
      </c>
      <c r="M47" s="470">
        <v>0</v>
      </c>
      <c r="N47" s="430">
        <v>3</v>
      </c>
      <c r="O47" s="430">
        <v>0</v>
      </c>
      <c r="P47" s="430">
        <v>5</v>
      </c>
      <c r="Q47" s="430">
        <v>7</v>
      </c>
      <c r="R47" s="430">
        <v>0</v>
      </c>
      <c r="S47" s="446">
        <f t="shared" ref="S47:S56" si="30">SUM(M47:R47)</f>
        <v>15</v>
      </c>
      <c r="T47" s="446">
        <v>48</v>
      </c>
      <c r="U47" s="26"/>
      <c r="V47" s="586" t="s">
        <v>189</v>
      </c>
      <c r="W47" s="430">
        <v>8.6999999999999993</v>
      </c>
      <c r="X47" s="430">
        <v>0</v>
      </c>
      <c r="Y47" s="430">
        <v>0</v>
      </c>
      <c r="Z47" s="430">
        <v>0</v>
      </c>
      <c r="AA47" s="430">
        <v>0</v>
      </c>
      <c r="AB47" s="655">
        <v>0</v>
      </c>
      <c r="AC47" s="430"/>
      <c r="AD47" s="568">
        <f t="shared" ref="AD47:AD56" si="31">SUM(W47:AC47)</f>
        <v>8.6999999999999993</v>
      </c>
      <c r="AE47" s="587">
        <f>L27+L28+L29</f>
        <v>0</v>
      </c>
      <c r="AF47" s="953"/>
      <c r="AG47" s="1017"/>
      <c r="AH47" s="1017"/>
      <c r="AI47" s="1017"/>
      <c r="AJ47" s="28"/>
      <c r="AK47" s="28"/>
      <c r="AL47" s="28"/>
      <c r="AM47" s="28"/>
      <c r="AN47" s="28"/>
      <c r="AO47" s="28"/>
      <c r="AP47" s="28"/>
      <c r="AQ47" s="28"/>
      <c r="AR47" s="28"/>
      <c r="AT47" s="24"/>
      <c r="AU47" s="25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</row>
    <row r="48" spans="1:59" ht="23.25">
      <c r="J48" s="441">
        <v>18.899999999999999</v>
      </c>
      <c r="K48" s="441">
        <v>18</v>
      </c>
      <c r="L48" s="441" t="s">
        <v>183</v>
      </c>
      <c r="M48" s="470">
        <v>7</v>
      </c>
      <c r="N48" s="430">
        <v>3</v>
      </c>
      <c r="O48" s="430">
        <v>0</v>
      </c>
      <c r="P48" s="430">
        <v>0</v>
      </c>
      <c r="Q48" s="430">
        <v>0</v>
      </c>
      <c r="R48" s="430">
        <v>0</v>
      </c>
      <c r="S48" s="446">
        <f t="shared" si="30"/>
        <v>10</v>
      </c>
      <c r="T48" s="446"/>
      <c r="U48" s="466"/>
      <c r="V48" s="586" t="s">
        <v>183</v>
      </c>
      <c r="W48" s="430">
        <v>0</v>
      </c>
      <c r="X48" s="430">
        <v>0</v>
      </c>
      <c r="Y48" s="430">
        <v>0</v>
      </c>
      <c r="Z48" s="430">
        <v>0</v>
      </c>
      <c r="AA48" s="430">
        <v>0</v>
      </c>
      <c r="AB48" s="655">
        <v>0</v>
      </c>
      <c r="AC48" s="430"/>
      <c r="AD48" s="568">
        <f t="shared" si="31"/>
        <v>0</v>
      </c>
      <c r="AE48" s="587">
        <f>P27+P28+P29</f>
        <v>0</v>
      </c>
      <c r="AF48" s="953"/>
      <c r="AG48" s="951"/>
      <c r="AH48" s="951"/>
      <c r="AI48" s="655"/>
      <c r="AL48" s="24"/>
      <c r="AM48" s="25"/>
      <c r="AP48" s="24"/>
      <c r="AQ48" s="25"/>
      <c r="AT48" s="24"/>
      <c r="AU48" s="25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</row>
    <row r="49" spans="4:59" ht="23.25">
      <c r="J49" s="441"/>
      <c r="K49" s="441"/>
      <c r="L49" s="441" t="s">
        <v>184</v>
      </c>
      <c r="M49" s="470">
        <v>0</v>
      </c>
      <c r="N49" s="430">
        <v>0</v>
      </c>
      <c r="O49" s="430">
        <v>0</v>
      </c>
      <c r="P49" s="430">
        <v>0</v>
      </c>
      <c r="Q49" s="430">
        <v>8</v>
      </c>
      <c r="R49" s="430">
        <v>0</v>
      </c>
      <c r="S49" s="446">
        <f t="shared" si="30"/>
        <v>8</v>
      </c>
      <c r="T49" s="446"/>
      <c r="U49" s="466"/>
      <c r="V49" s="586" t="s">
        <v>184</v>
      </c>
      <c r="W49" s="430">
        <v>0</v>
      </c>
      <c r="X49" s="430">
        <v>0</v>
      </c>
      <c r="Y49" s="430">
        <v>0</v>
      </c>
      <c r="Z49" s="430">
        <v>0</v>
      </c>
      <c r="AA49" s="430">
        <v>0</v>
      </c>
      <c r="AB49" s="655">
        <v>0</v>
      </c>
      <c r="AC49" s="430"/>
      <c r="AD49" s="568">
        <f t="shared" si="31"/>
        <v>0</v>
      </c>
      <c r="AE49" s="587">
        <f>T27+T28+T29</f>
        <v>0</v>
      </c>
      <c r="AF49" s="953"/>
      <c r="AG49" s="951"/>
      <c r="AH49" s="951"/>
      <c r="AI49" s="655"/>
      <c r="AL49" s="24"/>
      <c r="AM49" s="25"/>
      <c r="AP49" s="24"/>
      <c r="AQ49" s="25"/>
      <c r="AT49" s="24"/>
      <c r="AU49" s="25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</row>
    <row r="50" spans="4:59" ht="23.25">
      <c r="J50" s="441">
        <v>19</v>
      </c>
      <c r="K50" s="441"/>
      <c r="L50" s="441" t="s">
        <v>170</v>
      </c>
      <c r="M50" s="470">
        <v>4</v>
      </c>
      <c r="N50" s="430">
        <v>5</v>
      </c>
      <c r="O50" s="430">
        <v>0</v>
      </c>
      <c r="P50" s="430">
        <v>1</v>
      </c>
      <c r="Q50" s="430">
        <v>0</v>
      </c>
      <c r="R50" s="430">
        <v>0</v>
      </c>
      <c r="S50" s="446">
        <f t="shared" si="30"/>
        <v>10</v>
      </c>
      <c r="T50" s="446"/>
      <c r="U50" s="466"/>
      <c r="V50" s="586" t="s">
        <v>170</v>
      </c>
      <c r="W50" s="430">
        <v>10</v>
      </c>
      <c r="X50" s="430">
        <v>0</v>
      </c>
      <c r="Y50" s="430">
        <v>0</v>
      </c>
      <c r="Z50" s="430">
        <v>0</v>
      </c>
      <c r="AA50" s="430">
        <v>0</v>
      </c>
      <c r="AB50" s="655">
        <v>0</v>
      </c>
      <c r="AC50" s="430"/>
      <c r="AD50" s="568">
        <f t="shared" si="31"/>
        <v>10</v>
      </c>
      <c r="AE50" s="587">
        <f>X27+X28+X29</f>
        <v>0</v>
      </c>
      <c r="AF50" s="953"/>
      <c r="AG50" s="951"/>
      <c r="AH50" s="951"/>
      <c r="AI50" s="655"/>
      <c r="AL50" s="24"/>
      <c r="AM50" s="25"/>
      <c r="AP50" s="24"/>
      <c r="AQ50" s="25"/>
      <c r="AT50" s="24"/>
      <c r="AU50" s="25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</row>
    <row r="51" spans="4:59" ht="23.25">
      <c r="J51" s="441"/>
      <c r="K51" s="441"/>
      <c r="L51" s="441" t="s">
        <v>171</v>
      </c>
      <c r="M51" s="470">
        <v>0</v>
      </c>
      <c r="N51" s="430">
        <v>2</v>
      </c>
      <c r="O51" s="430">
        <v>0</v>
      </c>
      <c r="P51" s="430">
        <v>0</v>
      </c>
      <c r="Q51" s="430">
        <v>0</v>
      </c>
      <c r="R51" s="430">
        <v>0</v>
      </c>
      <c r="S51" s="446">
        <f t="shared" si="30"/>
        <v>2</v>
      </c>
      <c r="T51" s="446"/>
      <c r="U51" s="466"/>
      <c r="V51" s="586" t="s">
        <v>171</v>
      </c>
      <c r="W51" s="430">
        <v>0</v>
      </c>
      <c r="X51" s="430">
        <v>0</v>
      </c>
      <c r="Y51" s="430">
        <v>0</v>
      </c>
      <c r="Z51" s="430">
        <v>0</v>
      </c>
      <c r="AA51" s="430">
        <v>0</v>
      </c>
      <c r="AB51" s="655">
        <v>0</v>
      </c>
      <c r="AC51" s="430"/>
      <c r="AD51" s="568">
        <f t="shared" si="31"/>
        <v>0</v>
      </c>
      <c r="AE51" s="587">
        <f>AB27+AB28+AB29</f>
        <v>0</v>
      </c>
      <c r="AF51" s="953"/>
      <c r="AG51" s="951"/>
      <c r="AH51" s="951"/>
      <c r="AI51" s="655"/>
      <c r="AL51" s="24"/>
      <c r="AM51" s="25"/>
      <c r="AP51" s="24"/>
      <c r="AQ51" s="25"/>
      <c r="AT51" s="24"/>
      <c r="AU51" s="25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</row>
    <row r="52" spans="4:59" ht="23.25">
      <c r="J52" s="441">
        <v>20</v>
      </c>
      <c r="K52" s="441">
        <v>30</v>
      </c>
      <c r="L52" s="441" t="s">
        <v>190</v>
      </c>
      <c r="M52" s="492">
        <v>10</v>
      </c>
      <c r="N52" s="471">
        <v>0</v>
      </c>
      <c r="O52" s="471">
        <v>0</v>
      </c>
      <c r="P52" s="471">
        <v>10</v>
      </c>
      <c r="Q52" s="430">
        <v>0</v>
      </c>
      <c r="R52" s="471">
        <v>0</v>
      </c>
      <c r="S52" s="446">
        <f t="shared" si="30"/>
        <v>20</v>
      </c>
      <c r="T52" s="446"/>
      <c r="U52" s="466"/>
      <c r="V52" s="586" t="s">
        <v>190</v>
      </c>
      <c r="W52" s="430">
        <v>5</v>
      </c>
      <c r="X52" s="430">
        <v>0</v>
      </c>
      <c r="Y52" s="430">
        <v>0</v>
      </c>
      <c r="Z52" s="430">
        <v>0</v>
      </c>
      <c r="AA52" s="430">
        <v>0</v>
      </c>
      <c r="AB52" s="655">
        <v>0</v>
      </c>
      <c r="AC52" s="430"/>
      <c r="AD52" s="568">
        <f t="shared" si="31"/>
        <v>5</v>
      </c>
      <c r="AE52" s="587">
        <f>AF27+AF28+AF29</f>
        <v>0</v>
      </c>
      <c r="AF52" s="954"/>
      <c r="AG52" s="951"/>
      <c r="AH52" s="951"/>
      <c r="AI52" s="655"/>
      <c r="AL52" s="24"/>
      <c r="AM52" s="25"/>
      <c r="AP52" s="24"/>
      <c r="AQ52" s="25"/>
      <c r="AT52" s="24"/>
      <c r="AU52" s="25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</row>
    <row r="53" spans="4:59" ht="23.25">
      <c r="J53" s="441"/>
      <c r="K53" s="441">
        <f>30+24</f>
        <v>54</v>
      </c>
      <c r="L53" s="441" t="s">
        <v>185</v>
      </c>
      <c r="M53" s="470">
        <v>0</v>
      </c>
      <c r="N53" s="430">
        <v>0</v>
      </c>
      <c r="O53" s="430">
        <v>0</v>
      </c>
      <c r="P53" s="430">
        <v>3</v>
      </c>
      <c r="Q53" s="430">
        <v>6</v>
      </c>
      <c r="R53" s="430">
        <v>0</v>
      </c>
      <c r="S53" s="446">
        <f t="shared" si="30"/>
        <v>9</v>
      </c>
      <c r="T53" s="446"/>
      <c r="U53" s="466"/>
      <c r="V53" s="586" t="s">
        <v>185</v>
      </c>
      <c r="W53" s="430">
        <v>0</v>
      </c>
      <c r="X53" s="430">
        <v>0</v>
      </c>
      <c r="Y53" s="430">
        <v>0</v>
      </c>
      <c r="Z53" s="430">
        <v>0</v>
      </c>
      <c r="AA53" s="430">
        <v>0</v>
      </c>
      <c r="AB53" s="655">
        <v>0</v>
      </c>
      <c r="AC53" s="430"/>
      <c r="AD53" s="568">
        <f t="shared" si="31"/>
        <v>0</v>
      </c>
      <c r="AE53" s="587">
        <f>AN27+AN28+AN29</f>
        <v>0</v>
      </c>
      <c r="AF53" s="954"/>
      <c r="AG53" s="951"/>
      <c r="AH53" s="951"/>
      <c r="AI53" s="655"/>
      <c r="AL53" s="24"/>
      <c r="AM53" s="25"/>
      <c r="AP53" s="24"/>
      <c r="AQ53" s="25"/>
      <c r="AT53" s="24"/>
      <c r="AU53" s="25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</row>
    <row r="54" spans="4:59" ht="23.25">
      <c r="J54" s="441"/>
      <c r="K54" s="441"/>
      <c r="L54" s="441" t="s">
        <v>202</v>
      </c>
      <c r="M54" s="470">
        <v>5</v>
      </c>
      <c r="N54" s="430">
        <v>0</v>
      </c>
      <c r="O54" s="430">
        <v>0</v>
      </c>
      <c r="P54" s="430">
        <v>5</v>
      </c>
      <c r="Q54" s="430">
        <v>0</v>
      </c>
      <c r="R54" s="430">
        <v>0</v>
      </c>
      <c r="S54" s="446">
        <f t="shared" si="30"/>
        <v>10</v>
      </c>
      <c r="T54" s="446">
        <v>4</v>
      </c>
      <c r="U54" s="466"/>
      <c r="V54" s="586" t="s">
        <v>202</v>
      </c>
      <c r="W54" s="430">
        <v>0</v>
      </c>
      <c r="X54" s="430">
        <v>0</v>
      </c>
      <c r="Y54" s="430">
        <v>0</v>
      </c>
      <c r="Z54" s="430">
        <v>0</v>
      </c>
      <c r="AA54" s="430">
        <v>0</v>
      </c>
      <c r="AB54" s="655">
        <v>0</v>
      </c>
      <c r="AC54" s="430"/>
      <c r="AD54" s="568">
        <f t="shared" si="31"/>
        <v>0</v>
      </c>
      <c r="AE54" s="587">
        <f>AR27+AR28+AR29</f>
        <v>4</v>
      </c>
      <c r="AF54" s="952"/>
      <c r="AG54" s="951"/>
      <c r="AH54" s="951"/>
      <c r="AI54" s="655"/>
      <c r="AL54" s="24"/>
      <c r="AM54" s="25"/>
      <c r="AP54" s="24"/>
      <c r="AQ54" s="25"/>
      <c r="AT54" s="24"/>
      <c r="AU54" s="25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</row>
    <row r="55" spans="4:59" ht="23.25">
      <c r="J55" s="441">
        <v>19.8</v>
      </c>
      <c r="K55" s="441"/>
      <c r="L55" s="441" t="s">
        <v>186</v>
      </c>
      <c r="M55" s="470">
        <v>0</v>
      </c>
      <c r="N55" s="430">
        <v>0</v>
      </c>
      <c r="O55" s="430">
        <v>0</v>
      </c>
      <c r="P55" s="430">
        <v>0</v>
      </c>
      <c r="Q55" s="430">
        <v>0</v>
      </c>
      <c r="R55" s="430">
        <v>15</v>
      </c>
      <c r="S55" s="446">
        <f t="shared" si="30"/>
        <v>15</v>
      </c>
      <c r="T55" s="446">
        <f>12+9</f>
        <v>21</v>
      </c>
      <c r="U55" s="466"/>
      <c r="V55" s="586" t="s">
        <v>186</v>
      </c>
      <c r="W55" s="430">
        <v>0</v>
      </c>
      <c r="X55" s="430">
        <v>0</v>
      </c>
      <c r="Y55" s="430">
        <v>0</v>
      </c>
      <c r="Z55" s="430">
        <v>0</v>
      </c>
      <c r="AA55" s="430">
        <v>0</v>
      </c>
      <c r="AB55" s="655">
        <v>0</v>
      </c>
      <c r="AC55" s="430"/>
      <c r="AD55" s="568">
        <f t="shared" si="31"/>
        <v>0</v>
      </c>
      <c r="AE55" s="587">
        <f>AV27+AV28+AV29</f>
        <v>9</v>
      </c>
      <c r="AF55" s="952"/>
      <c r="AG55" s="951"/>
      <c r="AH55" s="951"/>
      <c r="AI55" s="655"/>
      <c r="AL55" s="24"/>
      <c r="AM55" s="25"/>
      <c r="AP55" s="24"/>
      <c r="AQ55" s="25"/>
      <c r="AT55" s="24"/>
      <c r="AU55" s="25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</row>
    <row r="56" spans="4:59" ht="23.25">
      <c r="J56" s="441"/>
      <c r="K56" s="441"/>
      <c r="L56" s="441" t="s">
        <v>203</v>
      </c>
      <c r="M56" s="470">
        <v>0</v>
      </c>
      <c r="N56" s="430">
        <v>0</v>
      </c>
      <c r="O56" s="430">
        <v>0</v>
      </c>
      <c r="P56" s="430">
        <v>0</v>
      </c>
      <c r="Q56" s="430">
        <v>0</v>
      </c>
      <c r="R56" s="430">
        <v>0</v>
      </c>
      <c r="S56" s="446">
        <f t="shared" si="30"/>
        <v>0</v>
      </c>
      <c r="T56" s="446"/>
      <c r="U56" s="466"/>
      <c r="V56" s="586" t="s">
        <v>203</v>
      </c>
      <c r="W56" s="430">
        <v>0</v>
      </c>
      <c r="X56" s="430">
        <v>0</v>
      </c>
      <c r="Y56" s="430">
        <v>0</v>
      </c>
      <c r="Z56" s="430">
        <v>0</v>
      </c>
      <c r="AA56" s="430">
        <v>0</v>
      </c>
      <c r="AB56" s="655">
        <v>0</v>
      </c>
      <c r="AC56" s="430"/>
      <c r="AD56" s="568">
        <f t="shared" si="31"/>
        <v>0</v>
      </c>
      <c r="AE56" s="587">
        <f>AZ27+AZ28+AZ29</f>
        <v>0</v>
      </c>
      <c r="AF56" s="952"/>
      <c r="AG56" s="951"/>
      <c r="AH56" s="951"/>
      <c r="AI56" s="655"/>
      <c r="AL56" s="24"/>
      <c r="AM56" s="25"/>
      <c r="AP56" s="24"/>
      <c r="AQ56" s="25"/>
      <c r="AT56" s="24"/>
      <c r="AU56" s="25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</row>
    <row r="57" spans="4:59" ht="24" thickBot="1">
      <c r="J57" s="442">
        <f t="shared" ref="J57:K57" si="32">SUM(J47:J56)</f>
        <v>77.7</v>
      </c>
      <c r="K57" s="442">
        <f t="shared" si="32"/>
        <v>102</v>
      </c>
      <c r="L57" s="442" t="s">
        <v>191</v>
      </c>
      <c r="M57" s="443">
        <f t="shared" ref="M57" si="33">SUM(M47:M56)</f>
        <v>26</v>
      </c>
      <c r="N57" s="444">
        <f>SUM(N47:N56)</f>
        <v>13</v>
      </c>
      <c r="O57" s="443">
        <f t="shared" ref="O57" si="34">SUM(O47:O56)</f>
        <v>0</v>
      </c>
      <c r="P57" s="444">
        <f>SUM(P47:P56)</f>
        <v>24</v>
      </c>
      <c r="Q57" s="444">
        <f>SUM(Q47:Q56)</f>
        <v>21</v>
      </c>
      <c r="R57" s="445">
        <f>SUM(R47:R56)</f>
        <v>15</v>
      </c>
      <c r="S57" s="451">
        <f>SUM(S47:S56)</f>
        <v>99</v>
      </c>
      <c r="T57" s="451">
        <f>SUM(T47:T56)</f>
        <v>73</v>
      </c>
      <c r="U57" s="466"/>
      <c r="V57" s="588" t="s">
        <v>191</v>
      </c>
      <c r="W57" s="589">
        <f t="shared" ref="W57" si="35">SUM(W47:W56)</f>
        <v>23.7</v>
      </c>
      <c r="X57" s="444">
        <f>SUM(X47:X56)</f>
        <v>0</v>
      </c>
      <c r="Y57" s="444">
        <f t="shared" ref="Y57" si="36">SUM(Y47:Y56)</f>
        <v>0</v>
      </c>
      <c r="Z57" s="444">
        <f>SUM(Z47:Z56)</f>
        <v>0</v>
      </c>
      <c r="AA57" s="444">
        <f>SUM(AA47:AA56)</f>
        <v>0</v>
      </c>
      <c r="AB57" s="444"/>
      <c r="AC57" s="444">
        <f t="shared" ref="AC57" si="37">SUM(AC47:AC56)</f>
        <v>0</v>
      </c>
      <c r="AD57" s="630">
        <f>SUM(AD47:AD56)</f>
        <v>23.7</v>
      </c>
      <c r="AE57" s="631">
        <f>SUM(AE47:AE56)</f>
        <v>13</v>
      </c>
      <c r="AF57" s="1016">
        <f t="shared" ref="AF57:AI57" si="38">SUM(AF47:AF56)</f>
        <v>0</v>
      </c>
      <c r="AG57" s="1015">
        <f t="shared" si="38"/>
        <v>0</v>
      </c>
      <c r="AH57" s="1015">
        <f t="shared" si="38"/>
        <v>0</v>
      </c>
      <c r="AI57" s="1015">
        <f t="shared" si="38"/>
        <v>0</v>
      </c>
      <c r="AL57" s="24"/>
      <c r="AM57" s="25"/>
      <c r="AP57" s="24"/>
      <c r="AQ57" s="25"/>
      <c r="AT57" s="24"/>
      <c r="AU57" s="25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</row>
    <row r="58" spans="4:59" ht="25.5" customHeight="1" thickBot="1">
      <c r="N58" s="24"/>
      <c r="O58" s="1924" t="s">
        <v>254</v>
      </c>
      <c r="P58" s="1925"/>
      <c r="Q58" s="1925"/>
      <c r="R58" s="1926"/>
      <c r="S58" s="1966">
        <f>S57+T57</f>
        <v>172</v>
      </c>
      <c r="T58" s="1967"/>
      <c r="U58" s="466"/>
      <c r="V58" s="1961" t="s">
        <v>221</v>
      </c>
      <c r="W58" s="1961"/>
      <c r="X58" s="1961"/>
      <c r="Y58" s="1961"/>
      <c r="Z58" s="1961"/>
      <c r="AA58" s="1961"/>
      <c r="AB58" s="1961"/>
      <c r="AC58" s="1961"/>
      <c r="AD58" s="1962">
        <f>AD57+AE57</f>
        <v>36.700000000000003</v>
      </c>
      <c r="AE58" s="1963"/>
      <c r="AF58" s="466"/>
      <c r="AH58" s="24"/>
      <c r="AI58" s="25"/>
      <c r="AL58" s="24"/>
      <c r="AM58" s="25"/>
      <c r="AP58" s="24"/>
      <c r="AQ58" s="25"/>
      <c r="AT58" s="24"/>
      <c r="AU58" s="25"/>
      <c r="AX58" s="24"/>
      <c r="AY58" s="24"/>
      <c r="AZ58" s="25"/>
      <c r="BA58" s="24"/>
      <c r="BB58" s="24"/>
      <c r="BC58" s="23"/>
      <c r="BD58" s="23"/>
      <c r="BE58" s="23"/>
      <c r="BF58" s="23"/>
      <c r="BG58" s="23"/>
    </row>
    <row r="59" spans="4:59" ht="24" thickBot="1">
      <c r="J59" s="24"/>
      <c r="N59" s="24"/>
      <c r="R59" s="24"/>
      <c r="T59" s="26"/>
      <c r="U59" s="26"/>
      <c r="V59" s="966"/>
      <c r="W59" s="966"/>
      <c r="X59" s="966"/>
      <c r="Y59" s="1922" t="s">
        <v>235</v>
      </c>
      <c r="Z59" s="1922"/>
      <c r="AA59" s="1922"/>
      <c r="AB59" s="1922"/>
      <c r="AC59" s="1922"/>
      <c r="AD59" s="1964">
        <f>BH6+BI6+BD20+BE20</f>
        <v>19</v>
      </c>
      <c r="AE59" s="1965"/>
      <c r="AF59" s="466"/>
      <c r="AH59" s="24"/>
      <c r="AI59" s="25"/>
      <c r="AL59" s="24"/>
      <c r="AP59" s="25"/>
      <c r="AT59" s="25"/>
      <c r="AX59" s="25"/>
      <c r="AY59" s="24"/>
      <c r="AZ59" s="24"/>
      <c r="BA59" s="24"/>
      <c r="BB59" s="25"/>
      <c r="BE59" s="23"/>
      <c r="BF59" s="23"/>
      <c r="BG59" s="23"/>
    </row>
    <row r="60" spans="4:59" s="28" customFormat="1" ht="26.25" customHeight="1" thickBot="1">
      <c r="D60" s="29"/>
      <c r="E60" s="29"/>
      <c r="F60" s="29"/>
      <c r="I60" s="29"/>
      <c r="J60" s="24"/>
      <c r="K60" s="24"/>
      <c r="L60" s="1923" t="s">
        <v>321</v>
      </c>
      <c r="M60" s="1937"/>
      <c r="N60" s="1937"/>
      <c r="O60" s="1937"/>
      <c r="P60" s="1937"/>
      <c r="Q60" s="1937"/>
      <c r="R60" s="1937"/>
      <c r="S60" s="1937"/>
      <c r="T60" s="1937"/>
      <c r="U60" s="1938"/>
      <c r="V60" s="966"/>
      <c r="W60" s="966"/>
      <c r="X60" s="966"/>
      <c r="Y60" s="1013"/>
      <c r="Z60" s="966"/>
      <c r="AA60" s="966"/>
      <c r="AB60" s="966"/>
      <c r="AC60" s="1013"/>
      <c r="AD60" s="966"/>
      <c r="AE60" s="964"/>
      <c r="AF60" s="966"/>
      <c r="AG60" s="964"/>
      <c r="AH60" s="964"/>
      <c r="AI60" s="967"/>
      <c r="AJ60" s="964"/>
      <c r="AK60" s="964"/>
      <c r="AL60" s="964"/>
      <c r="AM60" s="964"/>
      <c r="AN60" s="964"/>
      <c r="AO60" s="964"/>
      <c r="AP60" s="967"/>
      <c r="AQ60" s="964"/>
      <c r="AR60" s="964"/>
      <c r="AS60" s="964"/>
      <c r="AT60" s="967"/>
      <c r="AU60" s="964"/>
      <c r="AV60" s="964"/>
      <c r="AW60" s="964"/>
      <c r="AX60" s="967"/>
      <c r="AY60" s="965"/>
      <c r="AZ60" s="965"/>
      <c r="BA60" s="964"/>
      <c r="BB60" s="964"/>
      <c r="BC60" s="967"/>
      <c r="BD60" s="967"/>
      <c r="BE60" s="964"/>
    </row>
    <row r="61" spans="4:59" ht="38.25" customHeight="1">
      <c r="J61" s="24"/>
      <c r="L61" s="596" t="s">
        <v>0</v>
      </c>
      <c r="M61" s="436" t="s">
        <v>200</v>
      </c>
      <c r="N61" s="454" t="s">
        <v>205</v>
      </c>
      <c r="O61" s="436" t="s">
        <v>31</v>
      </c>
      <c r="P61" s="448" t="s">
        <v>201</v>
      </c>
      <c r="Q61" s="453" t="s">
        <v>206</v>
      </c>
      <c r="R61" s="453" t="s">
        <v>210</v>
      </c>
      <c r="S61" s="436" t="s">
        <v>22</v>
      </c>
      <c r="T61" s="437" t="s">
        <v>191</v>
      </c>
      <c r="U61" s="438" t="s">
        <v>244</v>
      </c>
      <c r="V61" s="466"/>
      <c r="W61" s="466"/>
      <c r="X61" s="466"/>
      <c r="Y61" s="465"/>
      <c r="Z61" s="466"/>
      <c r="AA61" s="466"/>
      <c r="AB61" s="466"/>
      <c r="AC61" s="465"/>
      <c r="AD61" s="466"/>
      <c r="AF61" s="466"/>
      <c r="AH61" s="24"/>
      <c r="AI61" s="25"/>
      <c r="AL61" s="24"/>
      <c r="AM61" s="26"/>
      <c r="AN61" s="26"/>
      <c r="AP61" s="24"/>
      <c r="AQ61" s="26"/>
      <c r="AR61" s="26"/>
      <c r="AT61" s="24"/>
      <c r="AU61" s="26"/>
      <c r="AV61" s="26"/>
      <c r="AX61" s="24"/>
      <c r="AY61" s="26"/>
      <c r="AZ61" s="26"/>
      <c r="BA61" s="24"/>
      <c r="BB61" s="24"/>
      <c r="BC61" s="25"/>
      <c r="BD61" s="25"/>
      <c r="BF61" s="23"/>
      <c r="BG61" s="23"/>
    </row>
    <row r="62" spans="4:59" ht="23.25">
      <c r="J62" s="24"/>
      <c r="L62" s="586" t="s">
        <v>189</v>
      </c>
      <c r="M62" s="430">
        <v>0</v>
      </c>
      <c r="N62" s="430">
        <v>0</v>
      </c>
      <c r="O62" s="430">
        <v>0</v>
      </c>
      <c r="P62" s="430">
        <v>0</v>
      </c>
      <c r="Q62" s="430">
        <v>0</v>
      </c>
      <c r="R62" s="655">
        <v>0</v>
      </c>
      <c r="S62" s="430"/>
      <c r="T62" s="568">
        <f t="shared" ref="T62:T71" si="39">SUM(M62:S62)</f>
        <v>0</v>
      </c>
      <c r="U62" s="587"/>
      <c r="V62" s="466"/>
      <c r="W62" s="466"/>
      <c r="X62" s="466"/>
      <c r="Y62" s="465"/>
      <c r="Z62" s="466"/>
      <c r="AA62" s="466"/>
      <c r="AB62" s="466"/>
      <c r="AC62" s="465"/>
      <c r="AD62" s="466"/>
      <c r="AF62" s="466"/>
      <c r="AH62" s="24"/>
      <c r="AI62" s="25"/>
      <c r="AL62" s="24"/>
      <c r="AM62" s="26"/>
      <c r="AN62" s="26"/>
      <c r="AP62" s="24"/>
      <c r="AQ62" s="26"/>
      <c r="AR62" s="26"/>
      <c r="AT62" s="24"/>
      <c r="AU62" s="26"/>
      <c r="AV62" s="26"/>
      <c r="AX62" s="24"/>
      <c r="AY62" s="26"/>
      <c r="AZ62" s="26"/>
      <c r="BA62" s="24"/>
      <c r="BB62" s="24"/>
      <c r="BC62" s="25"/>
      <c r="BD62" s="25"/>
      <c r="BF62" s="23"/>
      <c r="BG62" s="23"/>
    </row>
    <row r="63" spans="4:59" ht="23.25">
      <c r="J63" s="24"/>
      <c r="L63" s="586" t="s">
        <v>183</v>
      </c>
      <c r="M63" s="430">
        <v>0</v>
      </c>
      <c r="N63" s="430">
        <v>0</v>
      </c>
      <c r="O63" s="430">
        <v>0</v>
      </c>
      <c r="P63" s="430">
        <v>0</v>
      </c>
      <c r="Q63" s="430">
        <v>0</v>
      </c>
      <c r="R63" s="655">
        <v>0</v>
      </c>
      <c r="S63" s="430"/>
      <c r="T63" s="568">
        <f t="shared" si="39"/>
        <v>0</v>
      </c>
      <c r="U63" s="587"/>
      <c r="V63" s="466"/>
      <c r="W63" s="466"/>
      <c r="X63" s="466"/>
      <c r="Y63" s="465"/>
      <c r="Z63" s="466"/>
      <c r="AA63" s="466"/>
      <c r="AB63" s="466"/>
      <c r="AC63" s="465"/>
      <c r="AD63" s="466"/>
      <c r="AG63" s="26"/>
      <c r="AH63" s="24"/>
      <c r="AK63" s="49"/>
      <c r="AL63" s="24"/>
      <c r="AM63" s="26"/>
      <c r="AN63" s="26"/>
      <c r="AP63" s="24"/>
      <c r="AQ63" s="26"/>
      <c r="AR63" s="26"/>
      <c r="AT63" s="24"/>
      <c r="AU63" s="26"/>
      <c r="AV63" s="26"/>
      <c r="AX63" s="24"/>
      <c r="AY63" s="26"/>
      <c r="AZ63" s="26"/>
      <c r="BA63" s="24"/>
      <c r="BB63" s="24"/>
      <c r="BC63" s="25"/>
      <c r="BD63" s="25"/>
      <c r="BF63" s="23"/>
      <c r="BG63" s="23"/>
    </row>
    <row r="64" spans="4:59" ht="23.25">
      <c r="J64" s="24"/>
      <c r="L64" s="586" t="s">
        <v>184</v>
      </c>
      <c r="M64" s="430">
        <v>0</v>
      </c>
      <c r="N64" s="430">
        <v>0</v>
      </c>
      <c r="O64" s="430">
        <v>0</v>
      </c>
      <c r="P64" s="430">
        <v>0</v>
      </c>
      <c r="Q64" s="430">
        <v>0</v>
      </c>
      <c r="R64" s="655">
        <v>0</v>
      </c>
      <c r="S64" s="430"/>
      <c r="T64" s="568">
        <f t="shared" si="39"/>
        <v>0</v>
      </c>
      <c r="U64" s="587"/>
      <c r="V64" s="466"/>
      <c r="W64" s="466"/>
      <c r="X64" s="466"/>
      <c r="Y64" s="465"/>
      <c r="Z64" s="466"/>
      <c r="AA64" s="466"/>
      <c r="AB64" s="466"/>
      <c r="AC64" s="465"/>
      <c r="AD64" s="466"/>
      <c r="AG64" s="26"/>
      <c r="AH64" s="24"/>
      <c r="AK64" s="49"/>
      <c r="AL64" s="24"/>
      <c r="AO64" s="26"/>
      <c r="AP64" s="24"/>
      <c r="AQ64" s="26"/>
      <c r="AR64" s="26"/>
      <c r="AT64" s="24"/>
      <c r="AU64" s="26"/>
      <c r="AV64" s="26"/>
      <c r="AX64" s="24"/>
      <c r="AY64" s="26"/>
      <c r="AZ64" s="26"/>
      <c r="BA64" s="24"/>
      <c r="BB64" s="24"/>
      <c r="BE64" s="25"/>
      <c r="BF64" s="24"/>
      <c r="BG64" s="23"/>
    </row>
    <row r="65" spans="10:59" ht="23.25">
      <c r="J65" s="24"/>
      <c r="L65" s="586" t="s">
        <v>170</v>
      </c>
      <c r="M65" s="430">
        <v>0</v>
      </c>
      <c r="N65" s="430">
        <v>1</v>
      </c>
      <c r="O65" s="430">
        <v>0</v>
      </c>
      <c r="P65" s="430">
        <v>2.5</v>
      </c>
      <c r="Q65" s="430">
        <v>0</v>
      </c>
      <c r="R65" s="655">
        <v>0</v>
      </c>
      <c r="S65" s="430"/>
      <c r="T65" s="568">
        <f t="shared" si="39"/>
        <v>3.5</v>
      </c>
      <c r="U65" s="587"/>
      <c r="V65" s="466"/>
      <c r="W65" s="466"/>
      <c r="X65" s="466"/>
      <c r="Y65" s="465"/>
      <c r="Z65" s="466"/>
      <c r="AA65" s="466"/>
      <c r="AB65" s="466"/>
      <c r="AC65" s="465"/>
      <c r="AD65" s="466"/>
      <c r="AG65" s="26"/>
      <c r="AH65" s="24"/>
      <c r="AK65" s="49"/>
      <c r="AL65" s="24"/>
      <c r="AO65" s="26"/>
      <c r="AP65" s="24"/>
      <c r="AQ65" s="26"/>
      <c r="AR65" s="26"/>
      <c r="AT65" s="24"/>
      <c r="AU65" s="26"/>
      <c r="AV65" s="26"/>
      <c r="AX65" s="24"/>
      <c r="AY65" s="26"/>
      <c r="AZ65" s="26"/>
      <c r="BA65" s="24"/>
      <c r="BB65" s="24"/>
      <c r="BE65" s="25"/>
      <c r="BF65" s="24"/>
      <c r="BG65" s="23"/>
    </row>
    <row r="66" spans="10:59" ht="23.25">
      <c r="J66" s="24"/>
      <c r="L66" s="586" t="s">
        <v>171</v>
      </c>
      <c r="M66" s="430">
        <v>0</v>
      </c>
      <c r="N66" s="430">
        <v>0</v>
      </c>
      <c r="O66" s="430">
        <v>0</v>
      </c>
      <c r="P66" s="430">
        <v>0</v>
      </c>
      <c r="Q66" s="430">
        <v>0</v>
      </c>
      <c r="R66" s="655">
        <v>0</v>
      </c>
      <c r="S66" s="430"/>
      <c r="T66" s="568">
        <f t="shared" si="39"/>
        <v>0</v>
      </c>
      <c r="U66" s="587"/>
      <c r="V66" s="466"/>
      <c r="W66" s="466"/>
      <c r="X66" s="466"/>
      <c r="Y66" s="465"/>
      <c r="Z66" s="466"/>
      <c r="AA66" s="466"/>
      <c r="AB66" s="466"/>
      <c r="AC66" s="465"/>
      <c r="AD66" s="466"/>
      <c r="AG66" s="26"/>
      <c r="AH66" s="24"/>
      <c r="AK66" s="49"/>
      <c r="AL66" s="24"/>
      <c r="AO66" s="26"/>
      <c r="AP66" s="24"/>
      <c r="AQ66" s="26"/>
      <c r="AR66" s="26"/>
      <c r="AT66" s="24"/>
      <c r="AU66" s="26"/>
      <c r="AV66" s="26"/>
      <c r="AX66" s="24"/>
      <c r="AY66" s="26"/>
      <c r="AZ66" s="26"/>
      <c r="BA66" s="24"/>
      <c r="BB66" s="24"/>
      <c r="BE66" s="25"/>
      <c r="BF66" s="24"/>
      <c r="BG66" s="23"/>
    </row>
    <row r="67" spans="10:59" ht="23.25">
      <c r="J67" s="24"/>
      <c r="L67" s="586" t="s">
        <v>190</v>
      </c>
      <c r="M67" s="430">
        <v>0</v>
      </c>
      <c r="N67" s="430">
        <v>0</v>
      </c>
      <c r="O67" s="430">
        <v>0</v>
      </c>
      <c r="P67" s="430">
        <v>0</v>
      </c>
      <c r="Q67" s="430">
        <v>0</v>
      </c>
      <c r="R67" s="655">
        <v>0</v>
      </c>
      <c r="S67" s="430"/>
      <c r="T67" s="568">
        <f t="shared" si="39"/>
        <v>0</v>
      </c>
      <c r="U67" s="587"/>
      <c r="V67" s="466"/>
      <c r="W67" s="466"/>
      <c r="X67" s="466"/>
      <c r="Y67" s="465"/>
      <c r="Z67" s="466"/>
      <c r="AA67" s="466"/>
      <c r="AB67" s="466"/>
      <c r="AC67" s="465"/>
      <c r="AD67" s="466"/>
      <c r="AG67" s="26"/>
      <c r="AH67" s="24"/>
      <c r="AK67" s="49"/>
      <c r="AL67" s="24"/>
      <c r="AO67" s="26"/>
      <c r="AP67" s="24"/>
      <c r="AQ67" s="26"/>
      <c r="AR67" s="26"/>
      <c r="AT67" s="24"/>
      <c r="AU67" s="26"/>
      <c r="AV67" s="26"/>
      <c r="AX67" s="24"/>
      <c r="AY67" s="26"/>
      <c r="AZ67" s="26"/>
      <c r="BA67" s="24"/>
      <c r="BB67" s="24"/>
      <c r="BE67" s="25"/>
      <c r="BF67" s="24"/>
      <c r="BG67" s="23"/>
    </row>
    <row r="68" spans="10:59" ht="23.25">
      <c r="J68" s="24"/>
      <c r="L68" s="586" t="s">
        <v>185</v>
      </c>
      <c r="M68" s="430">
        <v>5</v>
      </c>
      <c r="N68" s="430">
        <v>0</v>
      </c>
      <c r="O68" s="430">
        <v>0</v>
      </c>
      <c r="P68" s="430">
        <v>0</v>
      </c>
      <c r="Q68" s="430">
        <v>0</v>
      </c>
      <c r="R68" s="655">
        <v>0</v>
      </c>
      <c r="S68" s="430"/>
      <c r="T68" s="568">
        <f t="shared" si="39"/>
        <v>5</v>
      </c>
      <c r="U68" s="587"/>
      <c r="V68" s="466"/>
      <c r="W68" s="466"/>
      <c r="X68" s="466"/>
      <c r="Y68" s="465"/>
      <c r="Z68" s="466"/>
      <c r="AA68" s="466"/>
      <c r="AB68" s="466"/>
      <c r="AC68" s="465"/>
      <c r="AD68" s="466"/>
      <c r="AG68" s="26"/>
      <c r="AH68" s="24"/>
      <c r="AK68" s="49"/>
      <c r="AL68" s="24"/>
      <c r="AO68" s="26"/>
      <c r="AP68" s="24"/>
      <c r="AQ68" s="26"/>
      <c r="AR68" s="26"/>
      <c r="AT68" s="24"/>
      <c r="AU68" s="26"/>
      <c r="AV68" s="26"/>
      <c r="AX68" s="24"/>
      <c r="AY68" s="26"/>
      <c r="AZ68" s="26"/>
      <c r="BA68" s="24"/>
      <c r="BB68" s="24"/>
      <c r="BE68" s="25"/>
      <c r="BF68" s="24"/>
      <c r="BG68" s="23"/>
    </row>
    <row r="69" spans="10:59" ht="23.25">
      <c r="L69" s="586" t="s">
        <v>202</v>
      </c>
      <c r="M69" s="430">
        <v>1</v>
      </c>
      <c r="N69" s="430">
        <v>0</v>
      </c>
      <c r="O69" s="430">
        <v>0</v>
      </c>
      <c r="P69" s="430">
        <v>0</v>
      </c>
      <c r="Q69" s="430">
        <v>0</v>
      </c>
      <c r="R69" s="655">
        <v>0</v>
      </c>
      <c r="S69" s="430"/>
      <c r="T69" s="568">
        <f t="shared" si="39"/>
        <v>1</v>
      </c>
      <c r="U69" s="587">
        <v>4</v>
      </c>
      <c r="V69" s="466"/>
      <c r="W69" s="466"/>
      <c r="X69" s="466"/>
      <c r="Y69" s="465"/>
      <c r="Z69" s="466"/>
      <c r="AA69" s="466"/>
      <c r="AB69" s="466"/>
      <c r="AC69" s="465"/>
      <c r="AD69" s="466"/>
      <c r="AG69" s="26"/>
      <c r="AH69" s="24"/>
      <c r="AK69" s="49"/>
      <c r="AL69" s="24"/>
      <c r="AO69" s="26"/>
      <c r="AP69" s="24"/>
      <c r="AQ69" s="26"/>
      <c r="AR69" s="26"/>
      <c r="AT69" s="24"/>
      <c r="AU69" s="26"/>
      <c r="AV69" s="26"/>
      <c r="AX69" s="24"/>
      <c r="AY69" s="26"/>
      <c r="AZ69" s="26"/>
      <c r="BA69" s="24"/>
      <c r="BB69" s="24"/>
      <c r="BE69" s="25"/>
      <c r="BF69" s="24"/>
      <c r="BG69" s="23"/>
    </row>
    <row r="70" spans="10:59" ht="23.25">
      <c r="L70" s="586" t="s">
        <v>186</v>
      </c>
      <c r="M70" s="430">
        <v>0</v>
      </c>
      <c r="N70" s="430">
        <v>0</v>
      </c>
      <c r="O70" s="430">
        <v>0</v>
      </c>
      <c r="P70" s="430">
        <v>0</v>
      </c>
      <c r="Q70" s="430">
        <v>0</v>
      </c>
      <c r="R70" s="655">
        <v>0</v>
      </c>
      <c r="S70" s="430"/>
      <c r="T70" s="568">
        <f t="shared" si="39"/>
        <v>0</v>
      </c>
      <c r="U70" s="587">
        <v>9</v>
      </c>
      <c r="V70" s="466"/>
      <c r="W70" s="466"/>
      <c r="X70" s="466"/>
      <c r="Y70" s="465"/>
      <c r="Z70" s="466"/>
      <c r="AA70" s="466"/>
      <c r="AB70" s="466"/>
      <c r="AC70" s="465"/>
      <c r="AD70" s="466"/>
      <c r="AG70" s="26"/>
      <c r="AH70" s="24"/>
      <c r="AK70" s="49"/>
      <c r="AL70" s="24"/>
      <c r="AM70" s="26"/>
      <c r="AN70" s="26"/>
      <c r="AY70" s="24"/>
      <c r="AZ70" s="24"/>
      <c r="BA70" s="24"/>
      <c r="BB70" s="24"/>
      <c r="BC70" s="25"/>
      <c r="BD70" s="25"/>
      <c r="BF70" s="23"/>
      <c r="BG70" s="23"/>
    </row>
    <row r="71" spans="10:59" ht="23.25">
      <c r="L71" s="586" t="s">
        <v>203</v>
      </c>
      <c r="M71" s="430">
        <v>0</v>
      </c>
      <c r="N71" s="430">
        <v>0</v>
      </c>
      <c r="O71" s="430">
        <v>0</v>
      </c>
      <c r="P71" s="430">
        <v>0</v>
      </c>
      <c r="Q71" s="430">
        <v>0</v>
      </c>
      <c r="R71" s="655">
        <v>0</v>
      </c>
      <c r="S71" s="430"/>
      <c r="T71" s="568">
        <f t="shared" si="39"/>
        <v>0</v>
      </c>
      <c r="U71" s="587"/>
      <c r="V71" s="466"/>
      <c r="W71" s="466"/>
      <c r="X71" s="466"/>
      <c r="Y71" s="465"/>
      <c r="Z71" s="466"/>
      <c r="AA71" s="466"/>
      <c r="AB71" s="466"/>
      <c r="AC71" s="465"/>
      <c r="AD71" s="466"/>
      <c r="AG71" s="26"/>
      <c r="AH71" s="24"/>
      <c r="AK71" s="49"/>
      <c r="AL71" s="24"/>
      <c r="AM71" s="26"/>
      <c r="AN71" s="26"/>
      <c r="AY71" s="24"/>
      <c r="AZ71" s="24"/>
      <c r="BA71" s="24"/>
      <c r="BB71" s="24"/>
      <c r="BC71" s="25"/>
      <c r="BD71" s="25"/>
      <c r="BF71" s="23"/>
      <c r="BG71" s="23"/>
    </row>
    <row r="72" spans="10:59" ht="24" thickBot="1">
      <c r="L72" s="588" t="s">
        <v>191</v>
      </c>
      <c r="M72" s="589">
        <f t="shared" ref="M72" si="40">SUM(M62:M71)</f>
        <v>6</v>
      </c>
      <c r="N72" s="444">
        <f>SUM(N62:N71)</f>
        <v>1</v>
      </c>
      <c r="O72" s="444">
        <f t="shared" ref="O72" si="41">SUM(O62:O71)</f>
        <v>0</v>
      </c>
      <c r="P72" s="444">
        <f>SUM(P62:P71)</f>
        <v>2.5</v>
      </c>
      <c r="Q72" s="444">
        <f>SUM(Q62:Q71)</f>
        <v>0</v>
      </c>
      <c r="R72" s="444"/>
      <c r="S72" s="444">
        <f t="shared" ref="S72" si="42">SUM(S62:S71)</f>
        <v>0</v>
      </c>
      <c r="T72" s="630">
        <f>SUM(T62:T71)</f>
        <v>9.5</v>
      </c>
      <c r="U72" s="631">
        <f>SUM(U62:U71)</f>
        <v>13</v>
      </c>
      <c r="V72" s="466"/>
      <c r="W72" s="466"/>
      <c r="X72" s="466"/>
      <c r="Y72" s="465"/>
      <c r="Z72" s="466"/>
      <c r="AA72" s="466"/>
      <c r="AB72" s="466"/>
      <c r="AC72" s="465"/>
      <c r="AD72" s="466"/>
      <c r="AG72" s="26"/>
      <c r="AH72" s="24"/>
      <c r="AK72" s="49"/>
      <c r="AL72" s="24"/>
      <c r="AM72" s="26"/>
      <c r="AN72" s="26"/>
      <c r="AY72" s="24"/>
      <c r="AZ72" s="24"/>
      <c r="BA72" s="24"/>
      <c r="BB72" s="24"/>
      <c r="BC72" s="25"/>
      <c r="BD72" s="25"/>
      <c r="BF72" s="23"/>
      <c r="BG72" s="23"/>
    </row>
    <row r="73" spans="10:59" ht="29.25" customHeight="1" thickBot="1">
      <c r="L73" s="1961" t="s">
        <v>221</v>
      </c>
      <c r="M73" s="1961"/>
      <c r="N73" s="1961"/>
      <c r="O73" s="1961"/>
      <c r="P73" s="1961"/>
      <c r="Q73" s="1961"/>
      <c r="R73" s="1961"/>
      <c r="S73" s="1961"/>
      <c r="T73" s="1962">
        <f>T72+U72</f>
        <v>22.5</v>
      </c>
      <c r="U73" s="1963"/>
      <c r="V73" s="466"/>
      <c r="W73" s="466"/>
      <c r="X73" s="466"/>
      <c r="Y73" s="465"/>
      <c r="Z73" s="466"/>
      <c r="AA73" s="466"/>
      <c r="AB73" s="466"/>
      <c r="AC73" s="465"/>
      <c r="AD73" s="466"/>
      <c r="AG73" s="26"/>
      <c r="AH73" s="24"/>
      <c r="AK73" s="49"/>
      <c r="AL73" s="24"/>
      <c r="AM73" s="26"/>
      <c r="AN73" s="26"/>
      <c r="AY73" s="24"/>
      <c r="AZ73" s="24"/>
      <c r="BA73" s="24"/>
      <c r="BB73" s="24"/>
      <c r="BC73" s="25"/>
      <c r="BD73" s="25"/>
      <c r="BF73" s="23"/>
      <c r="BG73" s="23"/>
    </row>
    <row r="74" spans="10:59" ht="27" customHeight="1">
      <c r="L74" s="966"/>
      <c r="M74" s="966"/>
      <c r="N74" s="966"/>
      <c r="O74" s="1922" t="s">
        <v>235</v>
      </c>
      <c r="P74" s="1922"/>
      <c r="Q74" s="1922"/>
      <c r="R74" s="1922"/>
      <c r="S74" s="1922"/>
      <c r="T74" s="1964">
        <f>M72+U72</f>
        <v>19</v>
      </c>
      <c r="U74" s="1965"/>
      <c r="V74" s="466"/>
      <c r="W74" s="466"/>
      <c r="X74" s="466"/>
      <c r="Y74" s="465"/>
      <c r="Z74" s="466"/>
      <c r="AA74" s="466"/>
      <c r="AB74" s="466"/>
      <c r="AC74" s="465"/>
      <c r="AD74" s="466"/>
      <c r="AG74" s="26"/>
      <c r="AH74" s="24"/>
      <c r="AK74" s="49"/>
      <c r="AL74" s="24"/>
      <c r="AM74" s="26"/>
      <c r="AN74" s="26"/>
      <c r="AP74" s="24"/>
      <c r="AQ74" s="26"/>
      <c r="AR74" s="26"/>
      <c r="AT74" s="24"/>
      <c r="AU74" s="26"/>
      <c r="AV74" s="26"/>
      <c r="AW74" s="50"/>
      <c r="AX74" s="50"/>
      <c r="AY74" s="26"/>
      <c r="AZ74" s="26"/>
      <c r="BA74" s="24"/>
      <c r="BB74" s="24"/>
      <c r="BC74" s="25"/>
      <c r="BD74" s="25"/>
      <c r="BF74" s="23"/>
      <c r="BG74" s="23"/>
    </row>
    <row r="75" spans="10:59">
      <c r="L75" s="26"/>
      <c r="M75" s="26"/>
      <c r="N75" s="24"/>
      <c r="P75" s="26"/>
      <c r="Q75" s="26"/>
      <c r="R75" s="24"/>
      <c r="T75" s="26"/>
      <c r="U75" s="26"/>
      <c r="V75" s="24"/>
      <c r="W75" s="466"/>
      <c r="X75" s="466"/>
      <c r="Y75" s="466"/>
      <c r="Z75" s="465"/>
      <c r="AA75" s="466"/>
      <c r="AB75" s="466"/>
      <c r="AC75" s="466"/>
      <c r="AD75" s="465"/>
      <c r="AE75" s="466"/>
      <c r="AN75" s="26"/>
      <c r="AO75" s="26"/>
      <c r="AP75" s="24"/>
      <c r="AR75" s="26"/>
      <c r="AS75" s="26"/>
      <c r="AT75" s="24"/>
      <c r="AV75" s="26"/>
      <c r="AW75" s="26"/>
      <c r="AX75" s="50"/>
      <c r="AZ75" s="26"/>
      <c r="BA75" s="26"/>
      <c r="BB75" s="24"/>
      <c r="BD75" s="25"/>
      <c r="BE75" s="25"/>
      <c r="BF75" s="24"/>
      <c r="BG75" s="23"/>
    </row>
    <row r="76" spans="10:59">
      <c r="L76" s="26"/>
      <c r="M76" s="26"/>
      <c r="N76" s="24"/>
      <c r="P76" s="26"/>
      <c r="Q76" s="26"/>
      <c r="R76" s="24"/>
      <c r="T76" s="26"/>
      <c r="U76" s="26"/>
      <c r="V76" s="24"/>
      <c r="W76" s="466"/>
      <c r="X76" s="466"/>
      <c r="Y76" s="466"/>
      <c r="Z76" s="465"/>
      <c r="AA76" s="466"/>
      <c r="AB76" s="466"/>
      <c r="AC76" s="466"/>
      <c r="AD76" s="465"/>
      <c r="AE76" s="466"/>
      <c r="AN76" s="26"/>
      <c r="AO76" s="26"/>
      <c r="AP76" s="24"/>
      <c r="AR76" s="26"/>
      <c r="AS76" s="26"/>
      <c r="AT76" s="24"/>
      <c r="AV76" s="26"/>
      <c r="AW76" s="26"/>
      <c r="AX76" s="50"/>
      <c r="AZ76" s="26"/>
      <c r="BA76" s="26"/>
      <c r="BB76" s="24"/>
      <c r="BD76" s="25"/>
      <c r="BE76" s="25"/>
      <c r="BF76" s="24"/>
      <c r="BG76" s="23"/>
    </row>
    <row r="77" spans="10:59">
      <c r="L77" s="26"/>
      <c r="M77" s="26"/>
      <c r="N77" s="24"/>
      <c r="P77" s="26"/>
      <c r="Q77" s="26"/>
      <c r="R77" s="24"/>
      <c r="T77" s="26"/>
      <c r="U77" s="26"/>
      <c r="V77" s="24"/>
      <c r="W77" s="466"/>
      <c r="X77" s="466"/>
      <c r="Y77" s="466"/>
      <c r="Z77" s="465"/>
      <c r="AA77" s="466"/>
      <c r="AB77" s="466"/>
      <c r="AC77" s="466"/>
      <c r="AD77" s="465"/>
      <c r="AE77" s="466"/>
      <c r="AN77" s="26"/>
      <c r="AO77" s="26"/>
      <c r="AP77" s="24"/>
      <c r="AR77" s="26"/>
      <c r="AS77" s="26"/>
      <c r="AT77" s="24"/>
      <c r="AV77" s="26"/>
      <c r="AW77" s="26"/>
      <c r="AX77" s="50"/>
      <c r="AZ77" s="26"/>
      <c r="BA77" s="26"/>
      <c r="BB77" s="24"/>
      <c r="BD77" s="25"/>
      <c r="BE77" s="25"/>
      <c r="BF77" s="24"/>
      <c r="BG77" s="23"/>
    </row>
    <row r="78" spans="10:59">
      <c r="L78" s="26"/>
      <c r="M78" s="26"/>
      <c r="N78" s="24"/>
      <c r="P78" s="26"/>
      <c r="Q78" s="26"/>
      <c r="R78" s="24"/>
      <c r="T78" s="26"/>
      <c r="U78" s="26"/>
      <c r="V78" s="24"/>
      <c r="W78" s="466"/>
      <c r="X78" s="466"/>
      <c r="Y78" s="466"/>
      <c r="Z78" s="465"/>
      <c r="AA78" s="466"/>
      <c r="AB78" s="466"/>
      <c r="AC78" s="466"/>
      <c r="AD78" s="465"/>
      <c r="AE78" s="466"/>
      <c r="AN78" s="26"/>
      <c r="AO78" s="26"/>
      <c r="AP78" s="24"/>
      <c r="AR78" s="26"/>
      <c r="AS78" s="26"/>
      <c r="AT78" s="24"/>
      <c r="AV78" s="26"/>
      <c r="AW78" s="26"/>
      <c r="AX78" s="50"/>
      <c r="AZ78" s="26"/>
      <c r="BA78" s="26"/>
      <c r="BB78" s="24"/>
      <c r="BD78" s="25"/>
      <c r="BE78" s="25"/>
      <c r="BF78" s="24"/>
      <c r="BG78" s="23"/>
    </row>
    <row r="79" spans="10:59">
      <c r="L79" s="26"/>
      <c r="M79" s="26"/>
      <c r="N79" s="24"/>
      <c r="P79" s="26"/>
      <c r="Q79" s="26"/>
      <c r="R79" s="24"/>
      <c r="T79" s="26"/>
      <c r="U79" s="26"/>
      <c r="V79" s="24"/>
      <c r="X79" s="26"/>
      <c r="Y79" s="26"/>
      <c r="Z79" s="24"/>
      <c r="AB79" s="26"/>
      <c r="AC79" s="26"/>
      <c r="AD79" s="24"/>
      <c r="AF79" s="26"/>
      <c r="AG79" s="26"/>
      <c r="AH79" s="24"/>
      <c r="AJ79" s="49"/>
      <c r="AK79" s="49"/>
      <c r="AL79" s="24"/>
      <c r="AN79" s="26"/>
      <c r="AO79" s="26"/>
      <c r="AP79" s="24"/>
      <c r="AR79" s="26"/>
      <c r="AS79" s="26"/>
      <c r="AT79" s="24"/>
      <c r="AV79" s="26"/>
      <c r="AW79" s="26"/>
      <c r="AX79" s="50"/>
      <c r="AZ79" s="26"/>
      <c r="BA79" s="26"/>
      <c r="BB79" s="24"/>
      <c r="BD79" s="25"/>
      <c r="BE79" s="25"/>
      <c r="BF79" s="24"/>
      <c r="BG79" s="23"/>
    </row>
    <row r="80" spans="10:59">
      <c r="L80" s="26"/>
      <c r="M80" s="26"/>
      <c r="N80" s="24"/>
      <c r="P80" s="26"/>
      <c r="Q80" s="26"/>
      <c r="R80" s="24"/>
      <c r="T80" s="26"/>
      <c r="U80" s="26"/>
      <c r="V80" s="24"/>
      <c r="X80" s="26"/>
      <c r="Y80" s="26"/>
      <c r="Z80" s="24"/>
      <c r="AB80" s="26"/>
      <c r="AC80" s="26"/>
      <c r="AD80" s="24"/>
      <c r="AF80" s="26"/>
      <c r="AG80" s="26"/>
      <c r="AH80" s="24"/>
      <c r="AJ80" s="49"/>
      <c r="AK80" s="49"/>
      <c r="AL80" s="24"/>
      <c r="AN80" s="26"/>
      <c r="AO80" s="26"/>
      <c r="AP80" s="24"/>
      <c r="AR80" s="26"/>
      <c r="AS80" s="26"/>
      <c r="AT80" s="24"/>
      <c r="AV80" s="26"/>
      <c r="AW80" s="26"/>
      <c r="AX80" s="50"/>
      <c r="AZ80" s="26"/>
      <c r="BA80" s="26"/>
      <c r="BB80" s="24"/>
      <c r="BD80" s="25"/>
      <c r="BE80" s="25"/>
      <c r="BF80" s="24"/>
      <c r="BG80" s="23"/>
    </row>
  </sheetData>
  <mergeCells count="62">
    <mergeCell ref="L60:U60"/>
    <mergeCell ref="L73:S73"/>
    <mergeCell ref="T73:U73"/>
    <mergeCell ref="O74:S74"/>
    <mergeCell ref="T74:U74"/>
    <mergeCell ref="C14:D14"/>
    <mergeCell ref="D13:F13"/>
    <mergeCell ref="V31:AD31"/>
    <mergeCell ref="C15:C24"/>
    <mergeCell ref="H15:H23"/>
    <mergeCell ref="H24:I24"/>
    <mergeCell ref="H26:I26"/>
    <mergeCell ref="L31:S31"/>
    <mergeCell ref="BC27:BC28"/>
    <mergeCell ref="BH27:BI27"/>
    <mergeCell ref="AX13:BA13"/>
    <mergeCell ref="AP13:AS13"/>
    <mergeCell ref="AT13:AW13"/>
    <mergeCell ref="C2:F2"/>
    <mergeCell ref="H2:K2"/>
    <mergeCell ref="C6:C9"/>
    <mergeCell ref="H6:H9"/>
    <mergeCell ref="D4:F4"/>
    <mergeCell ref="H4:I5"/>
    <mergeCell ref="C5:D5"/>
    <mergeCell ref="N2:AZ2"/>
    <mergeCell ref="BB2:BI2"/>
    <mergeCell ref="H3:BI3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Y59:AC59"/>
    <mergeCell ref="AD59:AE59"/>
    <mergeCell ref="S58:T58"/>
    <mergeCell ref="H12:BI12"/>
    <mergeCell ref="J13:M13"/>
    <mergeCell ref="N13:Q13"/>
    <mergeCell ref="R13:U13"/>
    <mergeCell ref="V13:Y13"/>
    <mergeCell ref="Z13:AC13"/>
    <mergeCell ref="AD13:AG13"/>
    <mergeCell ref="AH13:AK13"/>
    <mergeCell ref="AL13:AO13"/>
    <mergeCell ref="BF13:BI13"/>
    <mergeCell ref="BB13:BE13"/>
    <mergeCell ref="L45:T45"/>
    <mergeCell ref="V45:AE45"/>
    <mergeCell ref="O58:R58"/>
    <mergeCell ref="H10:I10"/>
    <mergeCell ref="H13:I14"/>
    <mergeCell ref="V58:AC58"/>
    <mergeCell ref="AD58:AE58"/>
  </mergeCells>
  <conditionalFormatting sqref="M47:R56">
    <cfRule type="cellIs" dxfId="34" priority="2" operator="equal">
      <formula>0</formula>
    </cfRule>
  </conditionalFormatting>
  <conditionalFormatting sqref="M62:R71">
    <cfRule type="cellIs" dxfId="33" priority="1" operator="equal">
      <formula>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I80"/>
  <sheetViews>
    <sheetView topLeftCell="I1" zoomScale="59" zoomScaleNormal="59" workbookViewId="0">
      <pane xSplit="1" topLeftCell="AH1" activePane="topRight" state="frozen"/>
      <selection activeCell="I1" sqref="I1"/>
      <selection pane="topRight" activeCell="K7" sqref="K7"/>
    </sheetView>
  </sheetViews>
  <sheetFormatPr defaultColWidth="9.140625" defaultRowHeight="15"/>
  <cols>
    <col min="1" max="2" width="9.140625" style="23" hidden="1" customWidth="1"/>
    <col min="3" max="3" width="14.5703125" style="23" hidden="1" customWidth="1"/>
    <col min="4" max="4" width="11.42578125" style="27" hidden="1" customWidth="1"/>
    <col min="5" max="5" width="6.85546875" style="27" hidden="1" customWidth="1"/>
    <col min="6" max="6" width="9.140625" style="27" hidden="1" customWidth="1"/>
    <col min="7" max="7" width="3.42578125" style="23" hidden="1" customWidth="1"/>
    <col min="8" max="8" width="6.140625" style="23" customWidth="1"/>
    <col min="9" max="9" width="15.28515625" style="27" bestFit="1" customWidth="1"/>
    <col min="10" max="10" width="11.5703125" style="26" customWidth="1"/>
    <col min="11" max="11" width="9.140625" style="24" customWidth="1"/>
    <col min="12" max="13" width="12.85546875" style="24" customWidth="1"/>
    <col min="14" max="14" width="10.5703125" style="26" customWidth="1"/>
    <col min="15" max="15" width="10.28515625" style="24" customWidth="1"/>
    <col min="16" max="17" width="10.5703125" style="24" customWidth="1"/>
    <col min="18" max="18" width="8.5703125" style="26" customWidth="1"/>
    <col min="19" max="19" width="11.5703125" style="24" customWidth="1"/>
    <col min="20" max="20" width="14.85546875" style="24" bestFit="1" customWidth="1"/>
    <col min="21" max="21" width="11.5703125" style="24" bestFit="1" customWidth="1"/>
    <col min="22" max="22" width="13.7109375" style="26" bestFit="1" customWidth="1"/>
    <col min="23" max="23" width="12.5703125" style="24" bestFit="1" customWidth="1"/>
    <col min="24" max="25" width="9.7109375" style="24" customWidth="1"/>
    <col min="26" max="26" width="11" style="26" customWidth="1"/>
    <col min="27" max="27" width="12.42578125" style="24" customWidth="1"/>
    <col min="28" max="29" width="11.85546875" style="24" customWidth="1"/>
    <col min="30" max="30" width="12.5703125" style="26" bestFit="1" customWidth="1"/>
    <col min="31" max="31" width="12.5703125" style="24" bestFit="1" customWidth="1"/>
    <col min="32" max="32" width="14" style="24" bestFit="1" customWidth="1"/>
    <col min="33" max="33" width="10.5703125" style="24" customWidth="1"/>
    <col min="34" max="34" width="11.5703125" style="26" bestFit="1" customWidth="1"/>
    <col min="35" max="35" width="13.5703125" style="24" customWidth="1"/>
    <col min="36" max="37" width="11.5703125" style="24" customWidth="1"/>
    <col min="38" max="38" width="10.5703125" style="49" customWidth="1"/>
    <col min="39" max="39" width="9" style="24" customWidth="1"/>
    <col min="40" max="40" width="12" style="24" bestFit="1" customWidth="1"/>
    <col min="41" max="41" width="12" style="24" customWidth="1"/>
    <col min="42" max="42" width="8.42578125" style="26" customWidth="1"/>
    <col min="43" max="43" width="10" style="24" bestFit="1" customWidth="1"/>
    <col min="44" max="44" width="13.85546875" style="24" bestFit="1" customWidth="1"/>
    <col min="45" max="45" width="13.85546875" style="24" customWidth="1"/>
    <col min="46" max="46" width="11.7109375" style="26" customWidth="1"/>
    <col min="47" max="47" width="11.7109375" style="24" customWidth="1"/>
    <col min="48" max="48" width="10.5703125" style="24" bestFit="1" customWidth="1"/>
    <col min="49" max="49" width="10.5703125" style="24" customWidth="1"/>
    <col min="50" max="50" width="9.140625" style="26" bestFit="1" customWidth="1"/>
    <col min="51" max="51" width="9.140625" style="50" bestFit="1" customWidth="1"/>
    <col min="52" max="52" width="10.5703125" style="50" bestFit="1" customWidth="1"/>
    <col min="53" max="53" width="10.5703125" style="50" customWidth="1"/>
    <col min="54" max="54" width="10.7109375" style="26" bestFit="1" customWidth="1"/>
    <col min="55" max="55" width="12.85546875" style="24" bestFit="1" customWidth="1"/>
    <col min="56" max="56" width="10.5703125" style="24" bestFit="1" customWidth="1"/>
    <col min="57" max="57" width="10.5703125" style="24" customWidth="1"/>
    <col min="58" max="58" width="16" style="25" bestFit="1" customWidth="1"/>
    <col min="59" max="59" width="10.7109375" style="24" bestFit="1" customWidth="1"/>
    <col min="60" max="60" width="13" style="23" bestFit="1" customWidth="1"/>
    <col min="61" max="16384" width="9.140625" style="23"/>
  </cols>
  <sheetData>
    <row r="1" spans="3:61" ht="15" customHeight="1" thickBot="1"/>
    <row r="2" spans="3:61" ht="21.75" thickBot="1">
      <c r="C2" s="1899" t="s">
        <v>45</v>
      </c>
      <c r="D2" s="1900"/>
      <c r="E2" s="1900"/>
      <c r="F2" s="1901"/>
      <c r="H2" s="1915"/>
      <c r="I2" s="1567"/>
      <c r="J2" s="1567"/>
      <c r="K2" s="1567"/>
      <c r="L2" s="1020"/>
      <c r="M2" s="1020"/>
      <c r="N2" s="1916" t="s">
        <v>249</v>
      </c>
      <c r="O2" s="1916"/>
      <c r="P2" s="1916"/>
      <c r="Q2" s="1916"/>
      <c r="R2" s="1916"/>
      <c r="S2" s="1916"/>
      <c r="T2" s="1916"/>
      <c r="U2" s="1916"/>
      <c r="V2" s="1916"/>
      <c r="W2" s="1916"/>
      <c r="X2" s="1916"/>
      <c r="Y2" s="1916"/>
      <c r="Z2" s="1916"/>
      <c r="AA2" s="1916"/>
      <c r="AB2" s="1916"/>
      <c r="AC2" s="1916"/>
      <c r="AD2" s="1916"/>
      <c r="AE2" s="1916"/>
      <c r="AF2" s="1916"/>
      <c r="AG2" s="1916"/>
      <c r="AH2" s="1916"/>
      <c r="AI2" s="1916"/>
      <c r="AJ2" s="1916"/>
      <c r="AK2" s="1916"/>
      <c r="AL2" s="1916"/>
      <c r="AM2" s="1916"/>
      <c r="AN2" s="1916"/>
      <c r="AO2" s="1916"/>
      <c r="AP2" s="1916"/>
      <c r="AQ2" s="1916"/>
      <c r="AR2" s="1916"/>
      <c r="AS2" s="1916"/>
      <c r="AT2" s="1916"/>
      <c r="AU2" s="1916"/>
      <c r="AV2" s="1916"/>
      <c r="AW2" s="1916"/>
      <c r="AX2" s="1916"/>
      <c r="AY2" s="1916"/>
      <c r="AZ2" s="1916"/>
      <c r="BA2" s="1020"/>
      <c r="BB2" s="1902" t="s">
        <v>118</v>
      </c>
      <c r="BC2" s="1903"/>
      <c r="BD2" s="1903"/>
      <c r="BE2" s="1903"/>
      <c r="BF2" s="1903"/>
      <c r="BG2" s="1903"/>
      <c r="BH2" s="1903"/>
      <c r="BI2" s="1904"/>
    </row>
    <row r="3" spans="3:61" ht="19.5" thickBot="1">
      <c r="C3" s="1019"/>
      <c r="D3" s="1017"/>
      <c r="E3" s="1017"/>
      <c r="F3" s="1023"/>
      <c r="H3" s="1905" t="s">
        <v>115</v>
      </c>
      <c r="I3" s="1906"/>
      <c r="J3" s="1906"/>
      <c r="K3" s="1906"/>
      <c r="L3" s="1906"/>
      <c r="M3" s="1906"/>
      <c r="N3" s="1906"/>
      <c r="O3" s="1906"/>
      <c r="P3" s="1906"/>
      <c r="Q3" s="1906"/>
      <c r="R3" s="1906"/>
      <c r="S3" s="1906"/>
      <c r="T3" s="1906"/>
      <c r="U3" s="1906"/>
      <c r="V3" s="1906"/>
      <c r="W3" s="1906"/>
      <c r="X3" s="1906"/>
      <c r="Y3" s="1906"/>
      <c r="Z3" s="1906"/>
      <c r="AA3" s="1906"/>
      <c r="AB3" s="1906"/>
      <c r="AC3" s="1906"/>
      <c r="AD3" s="1906"/>
      <c r="AE3" s="1906"/>
      <c r="AF3" s="1906"/>
      <c r="AG3" s="1906"/>
      <c r="AH3" s="1906"/>
      <c r="AI3" s="1906"/>
      <c r="AJ3" s="1906"/>
      <c r="AK3" s="1906"/>
      <c r="AL3" s="1906"/>
      <c r="AM3" s="1906"/>
      <c r="AN3" s="1906"/>
      <c r="AO3" s="1906"/>
      <c r="AP3" s="1906"/>
      <c r="AQ3" s="1906"/>
      <c r="AR3" s="1906"/>
      <c r="AS3" s="1906"/>
      <c r="AT3" s="1906"/>
      <c r="AU3" s="1906"/>
      <c r="AV3" s="1906"/>
      <c r="AW3" s="1906"/>
      <c r="AX3" s="1906"/>
      <c r="AY3" s="1906"/>
      <c r="AZ3" s="1906"/>
      <c r="BA3" s="1906"/>
      <c r="BB3" s="1906"/>
      <c r="BC3" s="1906"/>
      <c r="BD3" s="1906"/>
      <c r="BE3" s="1906"/>
      <c r="BF3" s="1906"/>
      <c r="BG3" s="1906"/>
      <c r="BH3" s="1906"/>
      <c r="BI3" s="1907"/>
    </row>
    <row r="4" spans="3:61" ht="18.75">
      <c r="C4" s="37" t="s">
        <v>44</v>
      </c>
      <c r="D4" s="1869"/>
      <c r="E4" s="1869"/>
      <c r="F4" s="1870"/>
      <c r="H4" s="1908" t="s">
        <v>33</v>
      </c>
      <c r="I4" s="1909"/>
      <c r="J4" s="1871" t="s">
        <v>43</v>
      </c>
      <c r="K4" s="1872"/>
      <c r="L4" s="1872"/>
      <c r="M4" s="1873"/>
      <c r="N4" s="1871" t="s">
        <v>42</v>
      </c>
      <c r="O4" s="1872"/>
      <c r="P4" s="1872"/>
      <c r="Q4" s="1873"/>
      <c r="R4" s="1871" t="s">
        <v>41</v>
      </c>
      <c r="S4" s="1872"/>
      <c r="T4" s="1872"/>
      <c r="U4" s="1873"/>
      <c r="V4" s="1871" t="s">
        <v>40</v>
      </c>
      <c r="W4" s="1872"/>
      <c r="X4" s="1872"/>
      <c r="Y4" s="1873"/>
      <c r="Z4" s="1871" t="s">
        <v>39</v>
      </c>
      <c r="AA4" s="1872"/>
      <c r="AB4" s="1872"/>
      <c r="AC4" s="1873"/>
      <c r="AD4" s="1871" t="s">
        <v>38</v>
      </c>
      <c r="AE4" s="1872"/>
      <c r="AF4" s="1872"/>
      <c r="AG4" s="1873"/>
      <c r="AH4" s="1874" t="s">
        <v>122</v>
      </c>
      <c r="AI4" s="1875"/>
      <c r="AJ4" s="1875"/>
      <c r="AK4" s="1876"/>
      <c r="AL4" s="1871" t="s">
        <v>37</v>
      </c>
      <c r="AM4" s="1872"/>
      <c r="AN4" s="1872"/>
      <c r="AO4" s="1873"/>
      <c r="AP4" s="1871" t="s">
        <v>36</v>
      </c>
      <c r="AQ4" s="1872"/>
      <c r="AR4" s="1872"/>
      <c r="AS4" s="1873"/>
      <c r="AT4" s="1871" t="s">
        <v>35</v>
      </c>
      <c r="AU4" s="1872"/>
      <c r="AV4" s="1872"/>
      <c r="AW4" s="1873"/>
      <c r="AX4" s="1871" t="s">
        <v>34</v>
      </c>
      <c r="AY4" s="1872"/>
      <c r="AZ4" s="1872"/>
      <c r="BA4" s="1873"/>
      <c r="BB4" s="1874" t="s">
        <v>123</v>
      </c>
      <c r="BC4" s="1875"/>
      <c r="BD4" s="1875"/>
      <c r="BE4" s="1876"/>
      <c r="BF4" s="1877" t="s">
        <v>17</v>
      </c>
      <c r="BG4" s="1878"/>
      <c r="BH4" s="1878"/>
      <c r="BI4" s="1878"/>
    </row>
    <row r="5" spans="3:61" ht="15.75" customHeight="1">
      <c r="C5" s="1879" t="s">
        <v>33</v>
      </c>
      <c r="D5" s="1869"/>
      <c r="E5" s="1017" t="s">
        <v>1</v>
      </c>
      <c r="F5" s="1023" t="s">
        <v>2</v>
      </c>
      <c r="H5" s="1910"/>
      <c r="I5" s="1911"/>
      <c r="J5" s="36" t="s">
        <v>1</v>
      </c>
      <c r="K5" s="271" t="s">
        <v>2</v>
      </c>
      <c r="L5" s="693" t="s">
        <v>182</v>
      </c>
      <c r="M5" s="35" t="s">
        <v>247</v>
      </c>
      <c r="N5" s="36" t="s">
        <v>1</v>
      </c>
      <c r="O5" s="271" t="s">
        <v>2</v>
      </c>
      <c r="P5" s="693" t="s">
        <v>182</v>
      </c>
      <c r="Q5" s="35" t="s">
        <v>247</v>
      </c>
      <c r="R5" s="36" t="s">
        <v>1</v>
      </c>
      <c r="S5" s="271" t="s">
        <v>2</v>
      </c>
      <c r="T5" s="693" t="s">
        <v>182</v>
      </c>
      <c r="U5" s="35" t="s">
        <v>247</v>
      </c>
      <c r="V5" s="36" t="s">
        <v>1</v>
      </c>
      <c r="W5" s="271" t="s">
        <v>2</v>
      </c>
      <c r="X5" s="693" t="s">
        <v>182</v>
      </c>
      <c r="Y5" s="35" t="s">
        <v>247</v>
      </c>
      <c r="Z5" s="36" t="s">
        <v>1</v>
      </c>
      <c r="AA5" s="271" t="s">
        <v>2</v>
      </c>
      <c r="AB5" s="693" t="s">
        <v>182</v>
      </c>
      <c r="AC5" s="35" t="s">
        <v>247</v>
      </c>
      <c r="AD5" s="36" t="s">
        <v>1</v>
      </c>
      <c r="AE5" s="271" t="s">
        <v>2</v>
      </c>
      <c r="AF5" s="693" t="s">
        <v>182</v>
      </c>
      <c r="AG5" s="35" t="s">
        <v>247</v>
      </c>
      <c r="AH5" s="36" t="s">
        <v>1</v>
      </c>
      <c r="AI5" s="271" t="s">
        <v>2</v>
      </c>
      <c r="AJ5" s="271" t="s">
        <v>182</v>
      </c>
      <c r="AK5" s="690" t="s">
        <v>196</v>
      </c>
      <c r="AL5" s="36" t="s">
        <v>1</v>
      </c>
      <c r="AM5" s="271" t="s">
        <v>2</v>
      </c>
      <c r="AN5" s="693" t="s">
        <v>182</v>
      </c>
      <c r="AO5" s="35" t="s">
        <v>247</v>
      </c>
      <c r="AP5" s="36" t="s">
        <v>1</v>
      </c>
      <c r="AQ5" s="271" t="s">
        <v>2</v>
      </c>
      <c r="AR5" s="693" t="s">
        <v>182</v>
      </c>
      <c r="AS5" s="35" t="s">
        <v>247</v>
      </c>
      <c r="AT5" s="36" t="s">
        <v>1</v>
      </c>
      <c r="AU5" s="271" t="s">
        <v>2</v>
      </c>
      <c r="AV5" s="693" t="s">
        <v>182</v>
      </c>
      <c r="AW5" s="35" t="s">
        <v>247</v>
      </c>
      <c r="AX5" s="36" t="s">
        <v>1</v>
      </c>
      <c r="AY5" s="271" t="s">
        <v>2</v>
      </c>
      <c r="AZ5" s="693" t="s">
        <v>182</v>
      </c>
      <c r="BA5" s="35" t="s">
        <v>247</v>
      </c>
      <c r="BB5" s="36" t="s">
        <v>1</v>
      </c>
      <c r="BC5" s="271" t="s">
        <v>2</v>
      </c>
      <c r="BD5" s="271" t="s">
        <v>182</v>
      </c>
      <c r="BE5" s="690" t="s">
        <v>196</v>
      </c>
      <c r="BF5" s="274" t="s">
        <v>1</v>
      </c>
      <c r="BG5" s="275" t="s">
        <v>2</v>
      </c>
      <c r="BH5" s="275" t="s">
        <v>182</v>
      </c>
      <c r="BI5" s="698" t="s">
        <v>196</v>
      </c>
    </row>
    <row r="6" spans="3:61" s="28" customFormat="1" ht="20.100000000000001" customHeight="1">
      <c r="C6" s="1879" t="s">
        <v>19</v>
      </c>
      <c r="D6" s="1017" t="s">
        <v>32</v>
      </c>
      <c r="E6" s="1017"/>
      <c r="F6" s="1018"/>
      <c r="H6" s="1886" t="s">
        <v>32</v>
      </c>
      <c r="I6" s="33" t="s">
        <v>32</v>
      </c>
      <c r="J6" s="462">
        <v>23</v>
      </c>
      <c r="K6" s="463">
        <f>23+6</f>
        <v>29</v>
      </c>
      <c r="L6" s="463">
        <v>6</v>
      </c>
      <c r="M6" s="691">
        <v>7.4</v>
      </c>
      <c r="N6" s="462">
        <v>5</v>
      </c>
      <c r="O6" s="463">
        <v>1</v>
      </c>
      <c r="P6" s="463">
        <v>1</v>
      </c>
      <c r="Q6" s="691"/>
      <c r="R6" s="462"/>
      <c r="S6" s="463"/>
      <c r="T6" s="463"/>
      <c r="U6" s="691"/>
      <c r="V6" s="462">
        <v>2</v>
      </c>
      <c r="W6" s="463"/>
      <c r="X6" s="463"/>
      <c r="Y6" s="691"/>
      <c r="Z6" s="462"/>
      <c r="AA6" s="463"/>
      <c r="AB6" s="463"/>
      <c r="AC6" s="691"/>
      <c r="AD6" s="462">
        <v>20</v>
      </c>
      <c r="AE6" s="463">
        <v>6</v>
      </c>
      <c r="AF6" s="463">
        <v>6</v>
      </c>
      <c r="AG6" s="691"/>
      <c r="AH6" s="128">
        <f>J6+N6+R6+V6+Z6+AD6</f>
        <v>50</v>
      </c>
      <c r="AI6" s="273">
        <f>K6+O6+S6+W6+AA6+AE6</f>
        <v>36</v>
      </c>
      <c r="AJ6" s="273">
        <f>L6+P6+T6+X6+AB6+AF6</f>
        <v>13</v>
      </c>
      <c r="AK6" s="694">
        <f>M6+Q6+U6+Y6+AC6+AG6</f>
        <v>7.4</v>
      </c>
      <c r="AL6" s="462">
        <v>1</v>
      </c>
      <c r="AM6" s="463"/>
      <c r="AN6" s="463"/>
      <c r="AO6" s="691"/>
      <c r="AP6" s="462">
        <v>5</v>
      </c>
      <c r="AQ6" s="463"/>
      <c r="AR6" s="463"/>
      <c r="AS6" s="691"/>
      <c r="AT6" s="462">
        <v>10</v>
      </c>
      <c r="AU6" s="463">
        <v>6</v>
      </c>
      <c r="AV6" s="463">
        <v>6</v>
      </c>
      <c r="AW6" s="691">
        <v>12</v>
      </c>
      <c r="AX6" s="462"/>
      <c r="AY6" s="463"/>
      <c r="AZ6" s="463"/>
      <c r="BA6" s="691"/>
      <c r="BB6" s="128">
        <f>AL6+AP6+AT6+AX6</f>
        <v>16</v>
      </c>
      <c r="BC6" s="273">
        <f>AM6+AQ6+AU6+AY6</f>
        <v>6</v>
      </c>
      <c r="BD6" s="273">
        <f>AN6+AR6+AV6+AZ6</f>
        <v>6</v>
      </c>
      <c r="BE6" s="273">
        <f>AO6+AS6+AW6+BA6</f>
        <v>12</v>
      </c>
      <c r="BF6" s="276">
        <f>AH6+BB6</f>
        <v>66</v>
      </c>
      <c r="BG6" s="277">
        <f>AI6+BC6</f>
        <v>42</v>
      </c>
      <c r="BH6" s="701">
        <f>AJ6+BD6</f>
        <v>19</v>
      </c>
      <c r="BI6" s="699">
        <f>AK6+BE6</f>
        <v>19.399999999999999</v>
      </c>
    </row>
    <row r="7" spans="3:61" s="28" customFormat="1" ht="20.100000000000001" customHeight="1">
      <c r="C7" s="1879"/>
      <c r="D7" s="1017" t="s">
        <v>31</v>
      </c>
      <c r="E7" s="1017"/>
      <c r="F7" s="1018"/>
      <c r="H7" s="1887"/>
      <c r="I7" s="33" t="s">
        <v>31</v>
      </c>
      <c r="J7" s="462"/>
      <c r="K7" s="463"/>
      <c r="L7" s="463"/>
      <c r="M7" s="691"/>
      <c r="N7" s="462"/>
      <c r="O7" s="463"/>
      <c r="P7" s="463"/>
      <c r="Q7" s="691"/>
      <c r="R7" s="462"/>
      <c r="S7" s="463"/>
      <c r="T7" s="463"/>
      <c r="U7" s="691"/>
      <c r="V7" s="462"/>
      <c r="W7" s="463"/>
      <c r="X7" s="463"/>
      <c r="Y7" s="691"/>
      <c r="Z7" s="462"/>
      <c r="AA7" s="463"/>
      <c r="AB7" s="463"/>
      <c r="AC7" s="691"/>
      <c r="AD7" s="462"/>
      <c r="AE7" s="463">
        <v>16</v>
      </c>
      <c r="AF7" s="463">
        <v>16</v>
      </c>
      <c r="AG7" s="691"/>
      <c r="AH7" s="128">
        <f t="shared" ref="AH7:AK9" si="0">J7+N7+R7+V7+Z7+AD7</f>
        <v>0</v>
      </c>
      <c r="AI7" s="273">
        <f t="shared" si="0"/>
        <v>16</v>
      </c>
      <c r="AJ7" s="273">
        <f t="shared" si="0"/>
        <v>16</v>
      </c>
      <c r="AK7" s="694">
        <f t="shared" si="0"/>
        <v>0</v>
      </c>
      <c r="AL7" s="462"/>
      <c r="AM7" s="463"/>
      <c r="AN7" s="463"/>
      <c r="AO7" s="691"/>
      <c r="AP7" s="462"/>
      <c r="AQ7" s="463"/>
      <c r="AR7" s="463"/>
      <c r="AS7" s="691"/>
      <c r="AT7" s="462"/>
      <c r="AU7" s="463">
        <v>23</v>
      </c>
      <c r="AV7" s="463">
        <v>23</v>
      </c>
      <c r="AW7" s="691"/>
      <c r="AX7" s="462"/>
      <c r="AY7" s="463">
        <v>9.4</v>
      </c>
      <c r="AZ7" s="463">
        <v>9.4</v>
      </c>
      <c r="BA7" s="691"/>
      <c r="BB7" s="128">
        <f t="shared" ref="BB7:BE9" si="1">AL7+AP7+AT7+AX7</f>
        <v>0</v>
      </c>
      <c r="BC7" s="273">
        <f t="shared" si="1"/>
        <v>32.4</v>
      </c>
      <c r="BD7" s="273">
        <f t="shared" si="1"/>
        <v>32.4</v>
      </c>
      <c r="BE7" s="273">
        <f t="shared" si="1"/>
        <v>0</v>
      </c>
      <c r="BF7" s="276">
        <f t="shared" ref="BF7:BI9" si="2">AH7+BB7</f>
        <v>0</v>
      </c>
      <c r="BG7" s="277">
        <f t="shared" si="2"/>
        <v>48.4</v>
      </c>
      <c r="BH7" s="277">
        <f t="shared" si="2"/>
        <v>48.4</v>
      </c>
      <c r="BI7" s="699">
        <f t="shared" si="2"/>
        <v>0</v>
      </c>
    </row>
    <row r="8" spans="3:61" s="28" customFormat="1" ht="20.100000000000001" customHeight="1">
      <c r="C8" s="1879"/>
      <c r="D8" s="1017" t="s">
        <v>30</v>
      </c>
      <c r="E8" s="1017"/>
      <c r="F8" s="1018"/>
      <c r="H8" s="1887"/>
      <c r="I8" s="33" t="s">
        <v>30</v>
      </c>
      <c r="J8" s="462"/>
      <c r="K8" s="463">
        <v>2.23</v>
      </c>
      <c r="L8" s="463">
        <v>2.23</v>
      </c>
      <c r="M8" s="691"/>
      <c r="N8" s="462"/>
      <c r="O8" s="463"/>
      <c r="P8" s="463"/>
      <c r="Q8" s="691"/>
      <c r="R8" s="462"/>
      <c r="S8" s="463"/>
      <c r="T8" s="463"/>
      <c r="U8" s="691"/>
      <c r="V8" s="462"/>
      <c r="W8" s="463"/>
      <c r="X8" s="463"/>
      <c r="Y8" s="691"/>
      <c r="Z8" s="462"/>
      <c r="AA8" s="463"/>
      <c r="AB8" s="463"/>
      <c r="AC8" s="691"/>
      <c r="AD8" s="462"/>
      <c r="AE8" s="463"/>
      <c r="AF8" s="463"/>
      <c r="AG8" s="691"/>
      <c r="AH8" s="128">
        <f t="shared" si="0"/>
        <v>0</v>
      </c>
      <c r="AI8" s="273">
        <f t="shared" si="0"/>
        <v>2.23</v>
      </c>
      <c r="AJ8" s="273">
        <f t="shared" si="0"/>
        <v>2.23</v>
      </c>
      <c r="AK8" s="694">
        <f t="shared" si="0"/>
        <v>0</v>
      </c>
      <c r="AL8" s="462">
        <v>15</v>
      </c>
      <c r="AM8" s="463">
        <v>8.75</v>
      </c>
      <c r="AN8" s="463">
        <v>8.75</v>
      </c>
      <c r="AO8" s="691"/>
      <c r="AP8" s="462"/>
      <c r="AQ8" s="463"/>
      <c r="AR8" s="463"/>
      <c r="AS8" s="691"/>
      <c r="AT8" s="462"/>
      <c r="AU8" s="463"/>
      <c r="AV8" s="463"/>
      <c r="AW8" s="691"/>
      <c r="AX8" s="462"/>
      <c r="AY8" s="463"/>
      <c r="AZ8" s="463"/>
      <c r="BA8" s="691"/>
      <c r="BB8" s="128">
        <f t="shared" si="1"/>
        <v>15</v>
      </c>
      <c r="BC8" s="273">
        <f t="shared" si="1"/>
        <v>8.75</v>
      </c>
      <c r="BD8" s="273">
        <f t="shared" si="1"/>
        <v>8.75</v>
      </c>
      <c r="BE8" s="273">
        <f t="shared" si="1"/>
        <v>0</v>
      </c>
      <c r="BF8" s="276">
        <f t="shared" si="2"/>
        <v>15</v>
      </c>
      <c r="BG8" s="277">
        <f t="shared" si="2"/>
        <v>10.98</v>
      </c>
      <c r="BH8" s="277">
        <f t="shared" si="2"/>
        <v>10.98</v>
      </c>
      <c r="BI8" s="699">
        <f t="shared" si="2"/>
        <v>0</v>
      </c>
    </row>
    <row r="9" spans="3:61" s="28" customFormat="1" ht="20.100000000000001" customHeight="1">
      <c r="C9" s="1885"/>
      <c r="D9" s="1017" t="s">
        <v>29</v>
      </c>
      <c r="E9" s="1017"/>
      <c r="F9" s="1018"/>
      <c r="H9" s="1887"/>
      <c r="I9" s="33" t="s">
        <v>109</v>
      </c>
      <c r="J9" s="462"/>
      <c r="K9" s="463">
        <f>4.79+0.5</f>
        <v>5.29</v>
      </c>
      <c r="L9" s="463">
        <v>5.29</v>
      </c>
      <c r="M9" s="691"/>
      <c r="N9" s="462"/>
      <c r="O9" s="463">
        <v>0.5</v>
      </c>
      <c r="P9" s="463">
        <v>0.5</v>
      </c>
      <c r="Q9" s="691"/>
      <c r="R9" s="462"/>
      <c r="S9" s="463"/>
      <c r="T9" s="463"/>
      <c r="U9" s="691"/>
      <c r="V9" s="462">
        <v>3</v>
      </c>
      <c r="W9" s="463">
        <v>1</v>
      </c>
      <c r="X9" s="29">
        <v>1</v>
      </c>
      <c r="Y9" s="691"/>
      <c r="Z9" s="462"/>
      <c r="AA9" s="463">
        <v>0.5</v>
      </c>
      <c r="AB9" s="463">
        <v>0.5</v>
      </c>
      <c r="AC9" s="691"/>
      <c r="AD9" s="462"/>
      <c r="AE9" s="463"/>
      <c r="AF9" s="463"/>
      <c r="AG9" s="691"/>
      <c r="AH9" s="128">
        <f t="shared" si="0"/>
        <v>3</v>
      </c>
      <c r="AI9" s="273">
        <f t="shared" si="0"/>
        <v>7.29</v>
      </c>
      <c r="AJ9" s="273">
        <f t="shared" si="0"/>
        <v>7.29</v>
      </c>
      <c r="AK9" s="694">
        <f t="shared" si="0"/>
        <v>0</v>
      </c>
      <c r="AL9" s="462"/>
      <c r="AM9" s="463">
        <f>2+0.6</f>
        <v>2.6</v>
      </c>
      <c r="AN9" s="463">
        <v>2.6</v>
      </c>
      <c r="AO9" s="691"/>
      <c r="AP9" s="462"/>
      <c r="AQ9" s="463"/>
      <c r="AR9" s="463"/>
      <c r="AS9" s="691"/>
      <c r="AT9" s="462"/>
      <c r="AU9" s="463"/>
      <c r="AV9" s="463"/>
      <c r="AW9" s="691"/>
      <c r="AX9" s="462"/>
      <c r="AY9" s="463"/>
      <c r="AZ9" s="463"/>
      <c r="BA9" s="691"/>
      <c r="BB9" s="128">
        <f t="shared" si="1"/>
        <v>0</v>
      </c>
      <c r="BC9" s="273">
        <f t="shared" si="1"/>
        <v>2.6</v>
      </c>
      <c r="BD9" s="273">
        <f t="shared" si="1"/>
        <v>2.6</v>
      </c>
      <c r="BE9" s="273">
        <f t="shared" si="1"/>
        <v>0</v>
      </c>
      <c r="BF9" s="276">
        <f t="shared" si="2"/>
        <v>3</v>
      </c>
      <c r="BG9" s="277">
        <f t="shared" si="2"/>
        <v>9.89</v>
      </c>
      <c r="BH9" s="277">
        <f t="shared" si="2"/>
        <v>9.89</v>
      </c>
      <c r="BI9" s="699">
        <f t="shared" si="2"/>
        <v>0</v>
      </c>
    </row>
    <row r="10" spans="3:61" s="28" customFormat="1" ht="19.5" customHeight="1" thickBot="1">
      <c r="C10" s="32"/>
      <c r="D10" s="31" t="s">
        <v>18</v>
      </c>
      <c r="E10" s="31"/>
      <c r="F10" s="30"/>
      <c r="H10" s="1865" t="s">
        <v>47</v>
      </c>
      <c r="I10" s="1866"/>
      <c r="J10" s="118">
        <f t="shared" ref="J10:BG10" si="3">SUM(J6:J9)</f>
        <v>23</v>
      </c>
      <c r="K10" s="272">
        <f t="shared" si="3"/>
        <v>36.520000000000003</v>
      </c>
      <c r="L10" s="272">
        <f t="shared" si="3"/>
        <v>13.52</v>
      </c>
      <c r="M10" s="272">
        <f t="shared" si="3"/>
        <v>7.4</v>
      </c>
      <c r="N10" s="118">
        <f t="shared" si="3"/>
        <v>5</v>
      </c>
      <c r="O10" s="272">
        <f t="shared" si="3"/>
        <v>1.5</v>
      </c>
      <c r="P10" s="272">
        <f t="shared" si="3"/>
        <v>1.5</v>
      </c>
      <c r="Q10" s="272">
        <f t="shared" si="3"/>
        <v>0</v>
      </c>
      <c r="R10" s="118">
        <f t="shared" si="3"/>
        <v>0</v>
      </c>
      <c r="S10" s="272">
        <f t="shared" si="3"/>
        <v>0</v>
      </c>
      <c r="T10" s="272">
        <f t="shared" si="3"/>
        <v>0</v>
      </c>
      <c r="U10" s="272">
        <f t="shared" si="3"/>
        <v>0</v>
      </c>
      <c r="V10" s="118">
        <f t="shared" si="3"/>
        <v>5</v>
      </c>
      <c r="W10" s="272">
        <f t="shared" si="3"/>
        <v>1</v>
      </c>
      <c r="X10" s="272">
        <f t="shared" si="3"/>
        <v>1</v>
      </c>
      <c r="Y10" s="272">
        <f t="shared" si="3"/>
        <v>0</v>
      </c>
      <c r="Z10" s="118">
        <f t="shared" si="3"/>
        <v>0</v>
      </c>
      <c r="AA10" s="272">
        <f t="shared" si="3"/>
        <v>0.5</v>
      </c>
      <c r="AB10" s="272">
        <f>SUM(AB6:AB9)</f>
        <v>0.5</v>
      </c>
      <c r="AC10" s="272">
        <f t="shared" si="3"/>
        <v>0</v>
      </c>
      <c r="AD10" s="118">
        <f t="shared" si="3"/>
        <v>20</v>
      </c>
      <c r="AE10" s="272">
        <f t="shared" si="3"/>
        <v>22</v>
      </c>
      <c r="AF10" s="272">
        <f t="shared" si="3"/>
        <v>22</v>
      </c>
      <c r="AG10" s="272">
        <f t="shared" si="3"/>
        <v>0</v>
      </c>
      <c r="AH10" s="118">
        <f t="shared" si="3"/>
        <v>53</v>
      </c>
      <c r="AI10" s="272">
        <f t="shared" si="3"/>
        <v>61.519999999999996</v>
      </c>
      <c r="AJ10" s="272">
        <f>SUM(AJ6:AJ9)</f>
        <v>38.520000000000003</v>
      </c>
      <c r="AK10" s="695">
        <f>SUM(AK6:AK9)</f>
        <v>7.4</v>
      </c>
      <c r="AL10" s="118">
        <f t="shared" si="3"/>
        <v>16</v>
      </c>
      <c r="AM10" s="272">
        <f t="shared" si="3"/>
        <v>11.35</v>
      </c>
      <c r="AN10" s="272">
        <f t="shared" si="3"/>
        <v>11.35</v>
      </c>
      <c r="AO10" s="272">
        <f t="shared" si="3"/>
        <v>0</v>
      </c>
      <c r="AP10" s="118">
        <f t="shared" si="3"/>
        <v>5</v>
      </c>
      <c r="AQ10" s="272">
        <f t="shared" si="3"/>
        <v>0</v>
      </c>
      <c r="AR10" s="272">
        <f t="shared" si="3"/>
        <v>0</v>
      </c>
      <c r="AS10" s="272">
        <f t="shared" si="3"/>
        <v>0</v>
      </c>
      <c r="AT10" s="118">
        <f t="shared" si="3"/>
        <v>10</v>
      </c>
      <c r="AU10" s="272">
        <f t="shared" si="3"/>
        <v>29</v>
      </c>
      <c r="AV10" s="272">
        <f t="shared" si="3"/>
        <v>29</v>
      </c>
      <c r="AW10" s="272">
        <f t="shared" si="3"/>
        <v>12</v>
      </c>
      <c r="AX10" s="118">
        <f t="shared" si="3"/>
        <v>0</v>
      </c>
      <c r="AY10" s="272">
        <f t="shared" si="3"/>
        <v>9.4</v>
      </c>
      <c r="AZ10" s="272">
        <f t="shared" si="3"/>
        <v>9.4</v>
      </c>
      <c r="BA10" s="272">
        <f t="shared" si="3"/>
        <v>0</v>
      </c>
      <c r="BB10" s="118">
        <f t="shared" si="3"/>
        <v>31</v>
      </c>
      <c r="BC10" s="272">
        <f t="shared" si="3"/>
        <v>49.75</v>
      </c>
      <c r="BD10" s="272">
        <f t="shared" si="3"/>
        <v>49.75</v>
      </c>
      <c r="BE10" s="272">
        <f t="shared" si="3"/>
        <v>12</v>
      </c>
      <c r="BF10" s="278">
        <f t="shared" si="3"/>
        <v>84</v>
      </c>
      <c r="BG10" s="279">
        <f t="shared" si="3"/>
        <v>111.27000000000001</v>
      </c>
      <c r="BH10" s="702">
        <f>AJ10+BD10</f>
        <v>88.27000000000001</v>
      </c>
      <c r="BI10" s="700">
        <f>AK10+BE10</f>
        <v>19.399999999999999</v>
      </c>
    </row>
    <row r="11" spans="3:61" s="119" customFormat="1" ht="5.25" customHeight="1">
      <c r="D11" s="120"/>
      <c r="E11" s="120"/>
      <c r="F11" s="120"/>
      <c r="H11" s="122"/>
      <c r="I11" s="122"/>
      <c r="J11" s="125"/>
      <c r="K11" s="126"/>
      <c r="L11" s="126"/>
      <c r="M11" s="126"/>
      <c r="N11" s="125"/>
      <c r="O11" s="126"/>
      <c r="P11" s="126"/>
      <c r="Q11" s="126"/>
      <c r="R11" s="125"/>
      <c r="S11" s="126"/>
      <c r="T11" s="126"/>
      <c r="U11" s="126"/>
      <c r="V11" s="125"/>
      <c r="W11" s="126"/>
      <c r="X11" s="126"/>
      <c r="Y11" s="126"/>
      <c r="Z11" s="125"/>
      <c r="AA11" s="126"/>
      <c r="AB11" s="126"/>
      <c r="AC11" s="126"/>
      <c r="AD11" s="125"/>
      <c r="AE11" s="126"/>
      <c r="AF11" s="126"/>
      <c r="AG11" s="126"/>
      <c r="AH11" s="125"/>
      <c r="AI11" s="126"/>
      <c r="AJ11" s="126"/>
      <c r="AK11" s="126"/>
      <c r="AL11" s="125"/>
      <c r="AM11" s="126"/>
      <c r="AN11" s="126"/>
      <c r="AO11" s="126"/>
      <c r="AP11" s="125"/>
      <c r="AQ11" s="126"/>
      <c r="AR11" s="126"/>
      <c r="AS11" s="126"/>
      <c r="AT11" s="125"/>
      <c r="AU11" s="126"/>
      <c r="AV11" s="126"/>
      <c r="AW11" s="126"/>
      <c r="AX11" s="125"/>
      <c r="AY11" s="126"/>
      <c r="AZ11" s="126"/>
      <c r="BA11" s="126"/>
      <c r="BB11" s="125"/>
      <c r="BC11" s="126"/>
      <c r="BD11" s="126"/>
      <c r="BE11" s="126"/>
      <c r="BF11" s="125"/>
      <c r="BG11" s="126"/>
    </row>
    <row r="12" spans="3:61" ht="19.5" thickBot="1">
      <c r="C12" s="1019"/>
      <c r="D12" s="1017"/>
      <c r="E12" s="1017"/>
      <c r="F12" s="1023"/>
      <c r="H12" s="1867" t="s">
        <v>114</v>
      </c>
      <c r="I12" s="1868"/>
      <c r="J12" s="1868"/>
      <c r="K12" s="1868"/>
      <c r="L12" s="1868"/>
      <c r="M12" s="1868"/>
      <c r="N12" s="1868"/>
      <c r="O12" s="1868"/>
      <c r="P12" s="1868"/>
      <c r="Q12" s="1868"/>
      <c r="R12" s="1868"/>
      <c r="S12" s="1868"/>
      <c r="T12" s="1868"/>
      <c r="U12" s="1868"/>
      <c r="V12" s="1868"/>
      <c r="W12" s="1868"/>
      <c r="X12" s="1868"/>
      <c r="Y12" s="1868"/>
      <c r="Z12" s="1868"/>
      <c r="AA12" s="1868"/>
      <c r="AB12" s="1868"/>
      <c r="AC12" s="1868"/>
      <c r="AD12" s="1868"/>
      <c r="AE12" s="1868"/>
      <c r="AF12" s="1868"/>
      <c r="AG12" s="1868"/>
      <c r="AH12" s="1868"/>
      <c r="AI12" s="1868"/>
      <c r="AJ12" s="1868"/>
      <c r="AK12" s="1868"/>
      <c r="AL12" s="1868"/>
      <c r="AM12" s="1868"/>
      <c r="AN12" s="1868"/>
      <c r="AO12" s="1868"/>
      <c r="AP12" s="1868"/>
      <c r="AQ12" s="1868"/>
      <c r="AR12" s="1868"/>
      <c r="AS12" s="1868"/>
      <c r="AT12" s="1868"/>
      <c r="AU12" s="1868"/>
      <c r="AV12" s="1868"/>
      <c r="AW12" s="1868"/>
      <c r="AX12" s="1868"/>
      <c r="AY12" s="1868"/>
      <c r="AZ12" s="1868"/>
      <c r="BA12" s="1868"/>
      <c r="BB12" s="1868"/>
      <c r="BC12" s="1868"/>
      <c r="BD12" s="1868"/>
      <c r="BE12" s="1868"/>
      <c r="BF12" s="1868"/>
      <c r="BG12" s="1868"/>
      <c r="BH12" s="1868"/>
      <c r="BI12" s="1868"/>
    </row>
    <row r="13" spans="3:61" ht="18.75" customHeight="1">
      <c r="C13" s="37" t="s">
        <v>44</v>
      </c>
      <c r="D13" s="1869"/>
      <c r="E13" s="1869"/>
      <c r="F13" s="1870"/>
      <c r="H13" s="1895" t="s">
        <v>117</v>
      </c>
      <c r="I13" s="1896"/>
      <c r="J13" s="1890" t="s">
        <v>43</v>
      </c>
      <c r="K13" s="1891"/>
      <c r="L13" s="1891"/>
      <c r="M13" s="1892"/>
      <c r="N13" s="1890" t="s">
        <v>42</v>
      </c>
      <c r="O13" s="1891"/>
      <c r="P13" s="1891"/>
      <c r="Q13" s="1892"/>
      <c r="R13" s="1890" t="s">
        <v>41</v>
      </c>
      <c r="S13" s="1891"/>
      <c r="T13" s="1891"/>
      <c r="U13" s="1892"/>
      <c r="V13" s="1890" t="s">
        <v>40</v>
      </c>
      <c r="W13" s="1891"/>
      <c r="X13" s="1891"/>
      <c r="Y13" s="1892"/>
      <c r="Z13" s="1890" t="s">
        <v>39</v>
      </c>
      <c r="AA13" s="1891"/>
      <c r="AB13" s="1891"/>
      <c r="AC13" s="1892"/>
      <c r="AD13" s="1890" t="s">
        <v>38</v>
      </c>
      <c r="AE13" s="1891"/>
      <c r="AF13" s="1891"/>
      <c r="AG13" s="1892"/>
      <c r="AH13" s="1882" t="s">
        <v>122</v>
      </c>
      <c r="AI13" s="1883"/>
      <c r="AJ13" s="1883"/>
      <c r="AK13" s="1884"/>
      <c r="AL13" s="1890" t="s">
        <v>37</v>
      </c>
      <c r="AM13" s="1891"/>
      <c r="AN13" s="1891"/>
      <c r="AO13" s="1892"/>
      <c r="AP13" s="1890" t="s">
        <v>36</v>
      </c>
      <c r="AQ13" s="1891"/>
      <c r="AR13" s="1891"/>
      <c r="AS13" s="1892"/>
      <c r="AT13" s="1890" t="s">
        <v>35</v>
      </c>
      <c r="AU13" s="1891"/>
      <c r="AV13" s="1891"/>
      <c r="AW13" s="1892"/>
      <c r="AX13" s="1890" t="s">
        <v>34</v>
      </c>
      <c r="AY13" s="1891"/>
      <c r="AZ13" s="1891"/>
      <c r="BA13" s="1892"/>
      <c r="BB13" s="1882" t="s">
        <v>123</v>
      </c>
      <c r="BC13" s="1883"/>
      <c r="BD13" s="1883"/>
      <c r="BE13" s="1884"/>
      <c r="BF13" s="1880" t="s">
        <v>17</v>
      </c>
      <c r="BG13" s="1881"/>
      <c r="BH13" s="1881"/>
      <c r="BI13" s="1881"/>
    </row>
    <row r="14" spans="3:61" ht="27" customHeight="1">
      <c r="C14" s="1879" t="s">
        <v>33</v>
      </c>
      <c r="D14" s="1869"/>
      <c r="E14" s="1017" t="s">
        <v>1</v>
      </c>
      <c r="F14" s="1023" t="s">
        <v>2</v>
      </c>
      <c r="H14" s="1897"/>
      <c r="I14" s="1898"/>
      <c r="J14" s="36" t="s">
        <v>1</v>
      </c>
      <c r="K14" s="271" t="s">
        <v>2</v>
      </c>
      <c r="L14" s="271" t="s">
        <v>182</v>
      </c>
      <c r="M14" s="35" t="s">
        <v>247</v>
      </c>
      <c r="N14" s="36" t="s">
        <v>1</v>
      </c>
      <c r="O14" s="271" t="s">
        <v>2</v>
      </c>
      <c r="P14" s="271" t="s">
        <v>182</v>
      </c>
      <c r="Q14" s="35" t="s">
        <v>247</v>
      </c>
      <c r="R14" s="36" t="s">
        <v>1</v>
      </c>
      <c r="S14" s="271" t="s">
        <v>2</v>
      </c>
      <c r="T14" s="271" t="s">
        <v>182</v>
      </c>
      <c r="U14" s="35" t="s">
        <v>247</v>
      </c>
      <c r="V14" s="36" t="s">
        <v>1</v>
      </c>
      <c r="W14" s="271" t="s">
        <v>2</v>
      </c>
      <c r="X14" s="271" t="s">
        <v>182</v>
      </c>
      <c r="Y14" s="35" t="s">
        <v>247</v>
      </c>
      <c r="Z14" s="36" t="s">
        <v>1</v>
      </c>
      <c r="AA14" s="271" t="s">
        <v>2</v>
      </c>
      <c r="AB14" s="271" t="s">
        <v>182</v>
      </c>
      <c r="AC14" s="35" t="s">
        <v>247</v>
      </c>
      <c r="AD14" s="36" t="s">
        <v>1</v>
      </c>
      <c r="AE14" s="271" t="s">
        <v>2</v>
      </c>
      <c r="AF14" s="271" t="s">
        <v>182</v>
      </c>
      <c r="AG14" s="35" t="s">
        <v>247</v>
      </c>
      <c r="AH14" s="36" t="s">
        <v>1</v>
      </c>
      <c r="AI14" s="271" t="s">
        <v>2</v>
      </c>
      <c r="AJ14" s="271" t="s">
        <v>182</v>
      </c>
      <c r="AK14" s="690" t="s">
        <v>196</v>
      </c>
      <c r="AL14" s="36" t="s">
        <v>1</v>
      </c>
      <c r="AM14" s="271" t="s">
        <v>2</v>
      </c>
      <c r="AN14" s="271" t="s">
        <v>182</v>
      </c>
      <c r="AO14" s="35" t="s">
        <v>247</v>
      </c>
      <c r="AP14" s="36" t="s">
        <v>1</v>
      </c>
      <c r="AQ14" s="271" t="s">
        <v>2</v>
      </c>
      <c r="AR14" s="271" t="s">
        <v>182</v>
      </c>
      <c r="AS14" s="35" t="s">
        <v>247</v>
      </c>
      <c r="AT14" s="36" t="s">
        <v>1</v>
      </c>
      <c r="AU14" s="271" t="s">
        <v>2</v>
      </c>
      <c r="AV14" s="271" t="s">
        <v>182</v>
      </c>
      <c r="AW14" s="35" t="s">
        <v>247</v>
      </c>
      <c r="AX14" s="36" t="s">
        <v>1</v>
      </c>
      <c r="AY14" s="271" t="s">
        <v>2</v>
      </c>
      <c r="AZ14" s="271" t="s">
        <v>182</v>
      </c>
      <c r="BA14" s="35" t="s">
        <v>247</v>
      </c>
      <c r="BB14" s="36" t="s">
        <v>1</v>
      </c>
      <c r="BC14" s="271" t="s">
        <v>2</v>
      </c>
      <c r="BD14" s="271" t="s">
        <v>182</v>
      </c>
      <c r="BE14" s="690" t="s">
        <v>196</v>
      </c>
      <c r="BF14" s="274" t="s">
        <v>1</v>
      </c>
      <c r="BG14" s="275" t="s">
        <v>2</v>
      </c>
      <c r="BH14" s="275" t="s">
        <v>182</v>
      </c>
      <c r="BI14" s="703" t="s">
        <v>196</v>
      </c>
    </row>
    <row r="15" spans="3:61" s="28" customFormat="1" ht="20.100000000000001" customHeight="1">
      <c r="C15" s="1879" t="s">
        <v>28</v>
      </c>
      <c r="D15" s="1017" t="s">
        <v>27</v>
      </c>
      <c r="E15" s="1021"/>
      <c r="F15" s="34"/>
      <c r="H15" s="1888" t="s">
        <v>112</v>
      </c>
      <c r="I15" s="33" t="s">
        <v>27</v>
      </c>
      <c r="J15" s="462"/>
      <c r="K15" s="463"/>
      <c r="L15" s="463"/>
      <c r="M15" s="692"/>
      <c r="N15" s="462"/>
      <c r="O15" s="463"/>
      <c r="P15" s="463"/>
      <c r="Q15" s="692"/>
      <c r="R15" s="462"/>
      <c r="S15" s="463"/>
      <c r="T15" s="463"/>
      <c r="U15" s="692"/>
      <c r="V15" s="462"/>
      <c r="W15" s="463"/>
      <c r="X15" s="463"/>
      <c r="Y15" s="692"/>
      <c r="Z15" s="462"/>
      <c r="AA15" s="463"/>
      <c r="AB15" s="463"/>
      <c r="AC15" s="692"/>
      <c r="AD15" s="462"/>
      <c r="AE15" s="463"/>
      <c r="AF15" s="463"/>
      <c r="AG15" s="692"/>
      <c r="AH15" s="128">
        <f>J15+N15+R15+V15+Z15+AD15</f>
        <v>0</v>
      </c>
      <c r="AI15" s="273">
        <f>K15+O15+S15+W15+AA15+AE15</f>
        <v>0</v>
      </c>
      <c r="AJ15" s="273">
        <f>L15+P15+T15+X15+AB15+AF15</f>
        <v>0</v>
      </c>
      <c r="AK15" s="694">
        <f>M15+Q15+U15+Y15+AC15+AG15</f>
        <v>0</v>
      </c>
      <c r="AL15" s="462"/>
      <c r="AM15" s="463"/>
      <c r="AN15" s="463"/>
      <c r="AO15" s="692"/>
      <c r="AP15" s="462"/>
      <c r="AQ15" s="463"/>
      <c r="AR15" s="463"/>
      <c r="AS15" s="692"/>
      <c r="AT15" s="462"/>
      <c r="AU15" s="463"/>
      <c r="AV15" s="463"/>
      <c r="AW15" s="692"/>
      <c r="AX15" s="462"/>
      <c r="AY15" s="463"/>
      <c r="AZ15" s="463"/>
      <c r="BA15" s="692"/>
      <c r="BB15" s="128">
        <f>AL15+AP15+AT15+AX15</f>
        <v>0</v>
      </c>
      <c r="BC15" s="273">
        <f>AM15+AQ15+AU15+AY15</f>
        <v>0</v>
      </c>
      <c r="BD15" s="273">
        <f>AN15+AR15+AV15+AZ15</f>
        <v>0</v>
      </c>
      <c r="BE15" s="273">
        <f>AO15+AS15+AW15+BA15</f>
        <v>0</v>
      </c>
      <c r="BF15" s="276">
        <f t="shared" ref="BF15:BI23" si="4">AH15+BB15</f>
        <v>0</v>
      </c>
      <c r="BG15" s="277">
        <f t="shared" si="4"/>
        <v>0</v>
      </c>
      <c r="BH15" s="277">
        <f t="shared" si="4"/>
        <v>0</v>
      </c>
      <c r="BI15" s="704">
        <f t="shared" si="4"/>
        <v>0</v>
      </c>
    </row>
    <row r="16" spans="3:61" s="28" customFormat="1" ht="20.100000000000001" customHeight="1">
      <c r="C16" s="1879"/>
      <c r="D16" s="1017" t="s">
        <v>26</v>
      </c>
      <c r="E16" s="1017"/>
      <c r="F16" s="1018"/>
      <c r="H16" s="1889"/>
      <c r="I16" s="33" t="s">
        <v>26</v>
      </c>
      <c r="J16" s="462"/>
      <c r="K16" s="463"/>
      <c r="L16" s="463"/>
      <c r="M16" s="692"/>
      <c r="N16" s="462"/>
      <c r="O16" s="463"/>
      <c r="P16" s="463"/>
      <c r="Q16" s="692"/>
      <c r="R16" s="462"/>
      <c r="S16" s="463"/>
      <c r="T16" s="463"/>
      <c r="U16" s="692"/>
      <c r="V16" s="462"/>
      <c r="W16" s="463"/>
      <c r="X16" s="463"/>
      <c r="Y16" s="692"/>
      <c r="Z16" s="462"/>
      <c r="AA16" s="463"/>
      <c r="AB16" s="463"/>
      <c r="AC16" s="692"/>
      <c r="AD16" s="462"/>
      <c r="AE16" s="463"/>
      <c r="AF16" s="463"/>
      <c r="AG16" s="692"/>
      <c r="AH16" s="128">
        <f t="shared" ref="AH16:AK23" si="5">J16+N16+R16+V16+Z16+AD16</f>
        <v>0</v>
      </c>
      <c r="AI16" s="273">
        <f t="shared" si="5"/>
        <v>0</v>
      </c>
      <c r="AJ16" s="273">
        <f t="shared" si="5"/>
        <v>0</v>
      </c>
      <c r="AK16" s="694">
        <f t="shared" si="5"/>
        <v>0</v>
      </c>
      <c r="AL16" s="462"/>
      <c r="AM16" s="463"/>
      <c r="AN16" s="463"/>
      <c r="AO16" s="692"/>
      <c r="AP16" s="462"/>
      <c r="AQ16" s="463"/>
      <c r="AR16" s="463"/>
      <c r="AS16" s="692"/>
      <c r="AT16" s="462"/>
      <c r="AU16" s="463"/>
      <c r="AV16" s="463"/>
      <c r="AW16" s="692"/>
      <c r="AX16" s="462"/>
      <c r="AY16" s="463"/>
      <c r="AZ16" s="463"/>
      <c r="BA16" s="692"/>
      <c r="BB16" s="128">
        <f t="shared" ref="BB16:BE23" si="6">AL16+AP16+AT16+AX16</f>
        <v>0</v>
      </c>
      <c r="BC16" s="273">
        <f t="shared" si="6"/>
        <v>0</v>
      </c>
      <c r="BD16" s="273">
        <f t="shared" si="6"/>
        <v>0</v>
      </c>
      <c r="BE16" s="273">
        <f t="shared" si="6"/>
        <v>0</v>
      </c>
      <c r="BF16" s="276">
        <f t="shared" si="4"/>
        <v>0</v>
      </c>
      <c r="BG16" s="277">
        <f t="shared" si="4"/>
        <v>0</v>
      </c>
      <c r="BH16" s="277">
        <f t="shared" si="4"/>
        <v>0</v>
      </c>
      <c r="BI16" s="704">
        <f t="shared" si="4"/>
        <v>0</v>
      </c>
    </row>
    <row r="17" spans="3:61" s="28" customFormat="1" ht="23.25" customHeight="1">
      <c r="C17" s="1879"/>
      <c r="D17" s="1017" t="s">
        <v>25</v>
      </c>
      <c r="E17" s="1017"/>
      <c r="F17" s="1018"/>
      <c r="H17" s="1889"/>
      <c r="I17" s="33" t="s">
        <v>25</v>
      </c>
      <c r="J17" s="462"/>
      <c r="K17" s="463"/>
      <c r="L17" s="463"/>
      <c r="M17" s="692"/>
      <c r="N17" s="462"/>
      <c r="O17" s="463"/>
      <c r="P17" s="463"/>
      <c r="Q17" s="692"/>
      <c r="R17" s="462"/>
      <c r="S17" s="463"/>
      <c r="T17" s="463"/>
      <c r="U17" s="692"/>
      <c r="V17" s="462"/>
      <c r="W17" s="463"/>
      <c r="X17" s="463"/>
      <c r="Y17" s="692"/>
      <c r="Z17" s="462"/>
      <c r="AA17" s="463"/>
      <c r="AB17" s="463"/>
      <c r="AC17" s="692"/>
      <c r="AD17" s="462"/>
      <c r="AE17" s="463"/>
      <c r="AF17" s="463"/>
      <c r="AG17" s="692"/>
      <c r="AH17" s="128">
        <f t="shared" si="5"/>
        <v>0</v>
      </c>
      <c r="AI17" s="273">
        <f t="shared" si="5"/>
        <v>0</v>
      </c>
      <c r="AJ17" s="273">
        <f t="shared" si="5"/>
        <v>0</v>
      </c>
      <c r="AK17" s="694">
        <f t="shared" si="5"/>
        <v>0</v>
      </c>
      <c r="AL17" s="462"/>
      <c r="AM17" s="463"/>
      <c r="AN17" s="463"/>
      <c r="AO17" s="692"/>
      <c r="AP17" s="462"/>
      <c r="AQ17" s="463"/>
      <c r="AR17" s="463"/>
      <c r="AS17" s="692"/>
      <c r="AT17" s="462"/>
      <c r="AU17" s="463"/>
      <c r="AV17" s="463"/>
      <c r="AW17" s="692"/>
      <c r="AX17" s="462"/>
      <c r="AY17" s="463"/>
      <c r="AZ17" s="463"/>
      <c r="BA17" s="692"/>
      <c r="BB17" s="128">
        <f t="shared" si="6"/>
        <v>0</v>
      </c>
      <c r="BC17" s="273">
        <f t="shared" si="6"/>
        <v>0</v>
      </c>
      <c r="BD17" s="273">
        <f t="shared" si="6"/>
        <v>0</v>
      </c>
      <c r="BE17" s="273">
        <f t="shared" si="6"/>
        <v>0</v>
      </c>
      <c r="BF17" s="276">
        <f t="shared" si="4"/>
        <v>0</v>
      </c>
      <c r="BG17" s="277">
        <f t="shared" si="4"/>
        <v>0</v>
      </c>
      <c r="BH17" s="277">
        <f t="shared" si="4"/>
        <v>0</v>
      </c>
      <c r="BI17" s="704">
        <f t="shared" si="4"/>
        <v>0</v>
      </c>
    </row>
    <row r="18" spans="3:61" s="28" customFormat="1" ht="21">
      <c r="C18" s="1879"/>
      <c r="D18" s="1017" t="s">
        <v>24</v>
      </c>
      <c r="E18" s="1017"/>
      <c r="F18" s="1018"/>
      <c r="H18" s="1889"/>
      <c r="I18" s="33" t="s">
        <v>24</v>
      </c>
      <c r="J18" s="462"/>
      <c r="K18" s="463"/>
      <c r="L18" s="463"/>
      <c r="M18" s="692"/>
      <c r="N18" s="462"/>
      <c r="O18" s="463"/>
      <c r="P18" s="463"/>
      <c r="Q18" s="692"/>
      <c r="R18" s="462"/>
      <c r="S18" s="463"/>
      <c r="T18" s="463"/>
      <c r="U18" s="692"/>
      <c r="V18" s="462"/>
      <c r="W18" s="463"/>
      <c r="X18" s="463"/>
      <c r="Y18" s="692"/>
      <c r="Z18" s="462"/>
      <c r="AA18" s="463"/>
      <c r="AB18" s="463"/>
      <c r="AC18" s="692"/>
      <c r="AD18" s="462"/>
      <c r="AE18" s="463"/>
      <c r="AF18" s="463"/>
      <c r="AG18" s="692"/>
      <c r="AH18" s="128">
        <f t="shared" si="5"/>
        <v>0</v>
      </c>
      <c r="AI18" s="273">
        <f t="shared" si="5"/>
        <v>0</v>
      </c>
      <c r="AJ18" s="273">
        <f t="shared" si="5"/>
        <v>0</v>
      </c>
      <c r="AK18" s="694">
        <f t="shared" si="5"/>
        <v>0</v>
      </c>
      <c r="AL18" s="462"/>
      <c r="AM18" s="463"/>
      <c r="AN18" s="463"/>
      <c r="AO18" s="692"/>
      <c r="AP18" s="462"/>
      <c r="AQ18" s="463"/>
      <c r="AR18" s="463"/>
      <c r="AS18" s="692"/>
      <c r="AT18" s="462"/>
      <c r="AU18" s="463"/>
      <c r="AV18" s="463"/>
      <c r="AW18" s="692"/>
      <c r="AX18" s="462"/>
      <c r="AY18" s="463"/>
      <c r="AZ18" s="463"/>
      <c r="BA18" s="692"/>
      <c r="BB18" s="128">
        <f t="shared" si="6"/>
        <v>0</v>
      </c>
      <c r="BC18" s="273">
        <f t="shared" si="6"/>
        <v>0</v>
      </c>
      <c r="BD18" s="273">
        <f t="shared" si="6"/>
        <v>0</v>
      </c>
      <c r="BE18" s="273">
        <f t="shared" si="6"/>
        <v>0</v>
      </c>
      <c r="BF18" s="276">
        <f t="shared" si="4"/>
        <v>0</v>
      </c>
      <c r="BG18" s="277">
        <f t="shared" si="4"/>
        <v>0</v>
      </c>
      <c r="BH18" s="277">
        <f t="shared" si="4"/>
        <v>0</v>
      </c>
      <c r="BI18" s="704">
        <f t="shared" si="4"/>
        <v>0</v>
      </c>
    </row>
    <row r="19" spans="3:61" s="28" customFormat="1" ht="19.5" customHeight="1">
      <c r="C19" s="1879"/>
      <c r="D19" s="1017" t="s">
        <v>23</v>
      </c>
      <c r="E19" s="1017"/>
      <c r="F19" s="1018"/>
      <c r="H19" s="1889"/>
      <c r="I19" s="33" t="s">
        <v>23</v>
      </c>
      <c r="J19" s="462"/>
      <c r="K19" s="463"/>
      <c r="L19" s="463"/>
      <c r="M19" s="692"/>
      <c r="N19" s="462"/>
      <c r="O19" s="463"/>
      <c r="P19" s="463"/>
      <c r="Q19" s="692"/>
      <c r="R19" s="462"/>
      <c r="S19" s="463"/>
      <c r="T19" s="463"/>
      <c r="U19" s="692"/>
      <c r="V19" s="462"/>
      <c r="W19" s="463"/>
      <c r="X19" s="463"/>
      <c r="Y19" s="692"/>
      <c r="Z19" s="462"/>
      <c r="AA19" s="463"/>
      <c r="AB19" s="463"/>
      <c r="AC19" s="692"/>
      <c r="AD19" s="462"/>
      <c r="AE19" s="463"/>
      <c r="AF19" s="463"/>
      <c r="AG19" s="692"/>
      <c r="AH19" s="128">
        <f t="shared" si="5"/>
        <v>0</v>
      </c>
      <c r="AI19" s="273">
        <f t="shared" si="5"/>
        <v>0</v>
      </c>
      <c r="AJ19" s="273">
        <f t="shared" si="5"/>
        <v>0</v>
      </c>
      <c r="AK19" s="694">
        <f t="shared" si="5"/>
        <v>0</v>
      </c>
      <c r="AL19" s="1012"/>
      <c r="AM19" s="463"/>
      <c r="AN19" s="463"/>
      <c r="AO19" s="692"/>
      <c r="AP19" s="462"/>
      <c r="AQ19" s="463"/>
      <c r="AR19" s="463"/>
      <c r="AS19" s="692"/>
      <c r="AT19" s="462"/>
      <c r="AU19" s="463"/>
      <c r="AV19" s="463"/>
      <c r="AW19" s="692"/>
      <c r="AX19" s="462"/>
      <c r="AY19" s="463"/>
      <c r="AZ19" s="463"/>
      <c r="BA19" s="692"/>
      <c r="BB19" s="128">
        <f t="shared" si="6"/>
        <v>0</v>
      </c>
      <c r="BC19" s="273">
        <f t="shared" si="6"/>
        <v>0</v>
      </c>
      <c r="BD19" s="273">
        <f t="shared" si="6"/>
        <v>0</v>
      </c>
      <c r="BE19" s="273">
        <f t="shared" si="6"/>
        <v>0</v>
      </c>
      <c r="BF19" s="276">
        <f t="shared" si="4"/>
        <v>0</v>
      </c>
      <c r="BG19" s="277">
        <f t="shared" si="4"/>
        <v>0</v>
      </c>
      <c r="BH19" s="277">
        <f t="shared" si="4"/>
        <v>0</v>
      </c>
      <c r="BI19" s="704">
        <f t="shared" si="4"/>
        <v>0</v>
      </c>
    </row>
    <row r="20" spans="3:61" s="28" customFormat="1" ht="20.100000000000001" customHeight="1">
      <c r="C20" s="1879"/>
      <c r="D20" s="1017" t="s">
        <v>22</v>
      </c>
      <c r="E20" s="1017"/>
      <c r="F20" s="1018"/>
      <c r="H20" s="1889"/>
      <c r="I20" s="33" t="s">
        <v>22</v>
      </c>
      <c r="J20" s="462"/>
      <c r="K20" s="463"/>
      <c r="L20" s="463"/>
      <c r="M20" s="692"/>
      <c r="N20" s="462"/>
      <c r="O20" s="463"/>
      <c r="P20" s="463"/>
      <c r="Q20" s="692"/>
      <c r="R20" s="462"/>
      <c r="S20" s="463"/>
      <c r="T20" s="463"/>
      <c r="U20" s="692"/>
      <c r="V20" s="462"/>
      <c r="W20" s="463"/>
      <c r="X20" s="463"/>
      <c r="Y20" s="692"/>
      <c r="Z20" s="462"/>
      <c r="AA20" s="463"/>
      <c r="AB20" s="463"/>
      <c r="AC20" s="692"/>
      <c r="AD20" s="462"/>
      <c r="AE20" s="463"/>
      <c r="AF20" s="463"/>
      <c r="AG20" s="692"/>
      <c r="AH20" s="128">
        <f t="shared" si="5"/>
        <v>0</v>
      </c>
      <c r="AI20" s="273">
        <f t="shared" si="5"/>
        <v>0</v>
      </c>
      <c r="AJ20" s="273">
        <f t="shared" si="5"/>
        <v>0</v>
      </c>
      <c r="AK20" s="694">
        <f t="shared" si="5"/>
        <v>0</v>
      </c>
      <c r="AL20" s="462">
        <v>10</v>
      </c>
      <c r="AM20" s="463">
        <v>10</v>
      </c>
      <c r="AN20" s="463"/>
      <c r="AO20" s="692"/>
      <c r="AP20" s="462"/>
      <c r="AQ20" s="463"/>
      <c r="AR20" s="463"/>
      <c r="AS20" s="692"/>
      <c r="AT20" s="462"/>
      <c r="AU20" s="463"/>
      <c r="AV20" s="463"/>
      <c r="AW20" s="692"/>
      <c r="AX20" s="462"/>
      <c r="AY20" s="463"/>
      <c r="AZ20" s="463"/>
      <c r="BA20" s="692"/>
      <c r="BB20" s="128">
        <f t="shared" si="6"/>
        <v>10</v>
      </c>
      <c r="BC20" s="273">
        <f t="shared" si="6"/>
        <v>10</v>
      </c>
      <c r="BD20" s="273">
        <f t="shared" si="6"/>
        <v>0</v>
      </c>
      <c r="BE20" s="273">
        <f t="shared" si="6"/>
        <v>0</v>
      </c>
      <c r="BF20" s="276">
        <f t="shared" si="4"/>
        <v>10</v>
      </c>
      <c r="BG20" s="277">
        <f t="shared" si="4"/>
        <v>10</v>
      </c>
      <c r="BH20" s="277">
        <f t="shared" si="4"/>
        <v>0</v>
      </c>
      <c r="BI20" s="704">
        <f t="shared" si="4"/>
        <v>0</v>
      </c>
    </row>
    <row r="21" spans="3:61" s="28" customFormat="1" ht="20.100000000000001" customHeight="1">
      <c r="C21" s="1885"/>
      <c r="D21" s="1017"/>
      <c r="E21" s="1017"/>
      <c r="F21" s="1018"/>
      <c r="H21" s="1889"/>
      <c r="I21" s="33" t="s">
        <v>21</v>
      </c>
      <c r="J21" s="462"/>
      <c r="K21" s="463"/>
      <c r="L21" s="463"/>
      <c r="M21" s="692"/>
      <c r="N21" s="462"/>
      <c r="O21" s="463"/>
      <c r="P21" s="463"/>
      <c r="Q21" s="692"/>
      <c r="R21" s="462"/>
      <c r="S21" s="463"/>
      <c r="T21" s="463"/>
      <c r="U21" s="692"/>
      <c r="V21" s="462"/>
      <c r="W21" s="463"/>
      <c r="X21" s="463"/>
      <c r="Y21" s="692"/>
      <c r="Z21" s="462"/>
      <c r="AA21" s="463"/>
      <c r="AB21" s="463"/>
      <c r="AC21" s="692"/>
      <c r="AD21" s="462"/>
      <c r="AE21" s="463"/>
      <c r="AF21" s="463"/>
      <c r="AG21" s="692"/>
      <c r="AH21" s="128">
        <f t="shared" si="5"/>
        <v>0</v>
      </c>
      <c r="AI21" s="273">
        <f t="shared" si="5"/>
        <v>0</v>
      </c>
      <c r="AJ21" s="273">
        <f t="shared" si="5"/>
        <v>0</v>
      </c>
      <c r="AK21" s="694">
        <f t="shared" si="5"/>
        <v>0</v>
      </c>
      <c r="AL21" s="462"/>
      <c r="AM21" s="463"/>
      <c r="AN21" s="463"/>
      <c r="AO21" s="692"/>
      <c r="AP21" s="462"/>
      <c r="AQ21" s="463"/>
      <c r="AR21" s="463"/>
      <c r="AS21" s="692"/>
      <c r="AT21" s="462"/>
      <c r="AU21" s="463"/>
      <c r="AV21" s="463"/>
      <c r="AW21" s="692"/>
      <c r="AX21" s="462"/>
      <c r="AY21" s="463"/>
      <c r="AZ21" s="463"/>
      <c r="BA21" s="692"/>
      <c r="BB21" s="128">
        <f t="shared" si="6"/>
        <v>0</v>
      </c>
      <c r="BC21" s="273">
        <f t="shared" si="6"/>
        <v>0</v>
      </c>
      <c r="BD21" s="273">
        <f t="shared" si="6"/>
        <v>0</v>
      </c>
      <c r="BE21" s="273">
        <f t="shared" si="6"/>
        <v>0</v>
      </c>
      <c r="BF21" s="276">
        <f t="shared" si="4"/>
        <v>0</v>
      </c>
      <c r="BG21" s="277">
        <f t="shared" si="4"/>
        <v>0</v>
      </c>
      <c r="BH21" s="277">
        <f t="shared" si="4"/>
        <v>0</v>
      </c>
      <c r="BI21" s="704">
        <f t="shared" si="4"/>
        <v>0</v>
      </c>
    </row>
    <row r="22" spans="3:61" s="28" customFormat="1" ht="20.100000000000001" customHeight="1">
      <c r="C22" s="1885"/>
      <c r="D22" s="1017"/>
      <c r="E22" s="1017"/>
      <c r="F22" s="1018"/>
      <c r="H22" s="1889"/>
      <c r="I22" s="33" t="s">
        <v>20</v>
      </c>
      <c r="J22" s="462"/>
      <c r="K22" s="463"/>
      <c r="L22" s="463"/>
      <c r="M22" s="692"/>
      <c r="N22" s="462"/>
      <c r="O22" s="463"/>
      <c r="P22" s="463"/>
      <c r="Q22" s="692"/>
      <c r="R22" s="462"/>
      <c r="S22" s="463"/>
      <c r="T22" s="463"/>
      <c r="U22" s="692"/>
      <c r="V22" s="462"/>
      <c r="W22" s="463"/>
      <c r="X22" s="463"/>
      <c r="Y22" s="692"/>
      <c r="Z22" s="462"/>
      <c r="AA22" s="463"/>
      <c r="AB22" s="463"/>
      <c r="AC22" s="692"/>
      <c r="AD22" s="462"/>
      <c r="AE22" s="463"/>
      <c r="AF22" s="463"/>
      <c r="AG22" s="692"/>
      <c r="AH22" s="128">
        <f t="shared" si="5"/>
        <v>0</v>
      </c>
      <c r="AI22" s="273">
        <f t="shared" si="5"/>
        <v>0</v>
      </c>
      <c r="AJ22" s="273">
        <f t="shared" si="5"/>
        <v>0</v>
      </c>
      <c r="AK22" s="694">
        <f t="shared" si="5"/>
        <v>0</v>
      </c>
      <c r="AL22" s="462"/>
      <c r="AM22" s="463"/>
      <c r="AN22" s="463"/>
      <c r="AO22" s="692"/>
      <c r="AP22" s="462"/>
      <c r="AQ22" s="463"/>
      <c r="AR22" s="463"/>
      <c r="AS22" s="692"/>
      <c r="AT22" s="462"/>
      <c r="AU22" s="463"/>
      <c r="AV22" s="463"/>
      <c r="AW22" s="692"/>
      <c r="AX22" s="462"/>
      <c r="AY22" s="463"/>
      <c r="AZ22" s="463"/>
      <c r="BA22" s="692"/>
      <c r="BB22" s="128">
        <f t="shared" si="6"/>
        <v>0</v>
      </c>
      <c r="BC22" s="273">
        <f t="shared" si="6"/>
        <v>0</v>
      </c>
      <c r="BD22" s="273">
        <f t="shared" si="6"/>
        <v>0</v>
      </c>
      <c r="BE22" s="273">
        <f t="shared" si="6"/>
        <v>0</v>
      </c>
      <c r="BF22" s="276">
        <f t="shared" si="4"/>
        <v>0</v>
      </c>
      <c r="BG22" s="277">
        <f t="shared" si="4"/>
        <v>0</v>
      </c>
      <c r="BH22" s="277">
        <f t="shared" si="4"/>
        <v>0</v>
      </c>
      <c r="BI22" s="704">
        <f t="shared" si="4"/>
        <v>0</v>
      </c>
    </row>
    <row r="23" spans="3:61" s="28" customFormat="1" ht="20.100000000000001" customHeight="1">
      <c r="C23" s="1885"/>
      <c r="D23" s="1017"/>
      <c r="E23" s="1017"/>
      <c r="F23" s="1018"/>
      <c r="H23" s="1889"/>
      <c r="I23" s="33" t="s">
        <v>19</v>
      </c>
      <c r="J23" s="462"/>
      <c r="K23" s="463"/>
      <c r="L23" s="463"/>
      <c r="M23" s="692"/>
      <c r="N23" s="462"/>
      <c r="O23" s="463"/>
      <c r="P23" s="463"/>
      <c r="Q23" s="692"/>
      <c r="R23" s="462">
        <v>5</v>
      </c>
      <c r="S23" s="463"/>
      <c r="T23" s="463"/>
      <c r="U23" s="692"/>
      <c r="V23" s="462"/>
      <c r="W23" s="463"/>
      <c r="X23" s="463"/>
      <c r="Y23" s="692"/>
      <c r="Z23" s="462"/>
      <c r="AA23" s="463"/>
      <c r="AB23" s="463"/>
      <c r="AC23" s="692"/>
      <c r="AD23" s="462"/>
      <c r="AE23" s="463"/>
      <c r="AF23" s="463"/>
      <c r="AG23" s="692"/>
      <c r="AH23" s="128">
        <f t="shared" si="5"/>
        <v>5</v>
      </c>
      <c r="AI23" s="273">
        <f t="shared" si="5"/>
        <v>0</v>
      </c>
      <c r="AJ23" s="273">
        <f t="shared" si="5"/>
        <v>0</v>
      </c>
      <c r="AK23" s="694">
        <f t="shared" si="5"/>
        <v>0</v>
      </c>
      <c r="AL23" s="462"/>
      <c r="AM23" s="463"/>
      <c r="AN23" s="463"/>
      <c r="AO23" s="692"/>
      <c r="AP23" s="462"/>
      <c r="AQ23" s="463"/>
      <c r="AR23" s="463"/>
      <c r="AS23" s="692"/>
      <c r="AT23" s="462"/>
      <c r="AU23" s="463"/>
      <c r="AV23" s="463"/>
      <c r="AW23" s="692"/>
      <c r="AX23" s="462">
        <v>8</v>
      </c>
      <c r="AY23" s="463"/>
      <c r="AZ23" s="463"/>
      <c r="BA23" s="692"/>
      <c r="BB23" s="128">
        <f t="shared" si="6"/>
        <v>8</v>
      </c>
      <c r="BC23" s="273">
        <f t="shared" si="6"/>
        <v>0</v>
      </c>
      <c r="BD23" s="273">
        <f t="shared" si="6"/>
        <v>0</v>
      </c>
      <c r="BE23" s="273">
        <f t="shared" si="6"/>
        <v>0</v>
      </c>
      <c r="BF23" s="276">
        <f t="shared" si="4"/>
        <v>13</v>
      </c>
      <c r="BG23" s="277">
        <f t="shared" si="4"/>
        <v>0</v>
      </c>
      <c r="BH23" s="277">
        <f t="shared" si="4"/>
        <v>0</v>
      </c>
      <c r="BI23" s="704">
        <f t="shared" si="4"/>
        <v>0</v>
      </c>
    </row>
    <row r="24" spans="3:61" s="28" customFormat="1" ht="20.100000000000001" customHeight="1" thickBot="1">
      <c r="C24" s="1885"/>
      <c r="D24" s="1017"/>
      <c r="E24" s="1017"/>
      <c r="F24" s="1018"/>
      <c r="H24" s="1865" t="s">
        <v>116</v>
      </c>
      <c r="I24" s="1866"/>
      <c r="J24" s="118">
        <f t="shared" ref="J24:BI24" si="7">SUM(J15:J23)</f>
        <v>0</v>
      </c>
      <c r="K24" s="272">
        <f t="shared" si="7"/>
        <v>0</v>
      </c>
      <c r="L24" s="272">
        <f>SUM(L15:L23)</f>
        <v>0</v>
      </c>
      <c r="M24" s="272">
        <f>SUM(M15:M23)</f>
        <v>0</v>
      </c>
      <c r="N24" s="118">
        <f t="shared" ref="N24:AI24" si="8">SUM(N15:N23)</f>
        <v>0</v>
      </c>
      <c r="O24" s="272">
        <f t="shared" si="8"/>
        <v>0</v>
      </c>
      <c r="P24" s="272">
        <f t="shared" si="8"/>
        <v>0</v>
      </c>
      <c r="Q24" s="272">
        <f t="shared" si="8"/>
        <v>0</v>
      </c>
      <c r="R24" s="118">
        <f t="shared" si="8"/>
        <v>5</v>
      </c>
      <c r="S24" s="272">
        <f t="shared" si="8"/>
        <v>0</v>
      </c>
      <c r="T24" s="272">
        <f t="shared" si="8"/>
        <v>0</v>
      </c>
      <c r="U24" s="272">
        <f t="shared" si="8"/>
        <v>0</v>
      </c>
      <c r="V24" s="118">
        <f t="shared" si="8"/>
        <v>0</v>
      </c>
      <c r="W24" s="272">
        <f t="shared" si="8"/>
        <v>0</v>
      </c>
      <c r="X24" s="272">
        <f t="shared" si="8"/>
        <v>0</v>
      </c>
      <c r="Y24" s="272">
        <f t="shared" si="8"/>
        <v>0</v>
      </c>
      <c r="Z24" s="118">
        <f t="shared" si="8"/>
        <v>0</v>
      </c>
      <c r="AA24" s="272">
        <f t="shared" si="8"/>
        <v>0</v>
      </c>
      <c r="AB24" s="272">
        <f t="shared" si="8"/>
        <v>0</v>
      </c>
      <c r="AC24" s="272">
        <f t="shared" si="8"/>
        <v>0</v>
      </c>
      <c r="AD24" s="118">
        <f t="shared" si="8"/>
        <v>0</v>
      </c>
      <c r="AE24" s="272">
        <f t="shared" si="8"/>
        <v>0</v>
      </c>
      <c r="AF24" s="272">
        <f t="shared" si="8"/>
        <v>0</v>
      </c>
      <c r="AG24" s="272">
        <f t="shared" si="8"/>
        <v>0</v>
      </c>
      <c r="AH24" s="118">
        <f t="shared" si="8"/>
        <v>5</v>
      </c>
      <c r="AI24" s="272">
        <f t="shared" si="8"/>
        <v>0</v>
      </c>
      <c r="AJ24" s="272">
        <f>SUM(AJ15:AJ23)</f>
        <v>0</v>
      </c>
      <c r="AK24" s="695">
        <f>SUM(AK15:AK23)</f>
        <v>0</v>
      </c>
      <c r="AL24" s="118">
        <f t="shared" ref="AL24:BC24" si="9">SUM(AL15:AL23)</f>
        <v>10</v>
      </c>
      <c r="AM24" s="272">
        <f t="shared" si="9"/>
        <v>10</v>
      </c>
      <c r="AN24" s="272">
        <f t="shared" si="9"/>
        <v>0</v>
      </c>
      <c r="AO24" s="272">
        <f t="shared" si="9"/>
        <v>0</v>
      </c>
      <c r="AP24" s="118">
        <f t="shared" si="9"/>
        <v>0</v>
      </c>
      <c r="AQ24" s="272">
        <f t="shared" si="9"/>
        <v>0</v>
      </c>
      <c r="AR24" s="272">
        <f t="shared" si="9"/>
        <v>0</v>
      </c>
      <c r="AS24" s="272">
        <f t="shared" si="9"/>
        <v>0</v>
      </c>
      <c r="AT24" s="118">
        <f t="shared" si="9"/>
        <v>0</v>
      </c>
      <c r="AU24" s="272">
        <f t="shared" si="9"/>
        <v>0</v>
      </c>
      <c r="AV24" s="272">
        <f t="shared" si="9"/>
        <v>0</v>
      </c>
      <c r="AW24" s="272">
        <f t="shared" si="9"/>
        <v>0</v>
      </c>
      <c r="AX24" s="118">
        <f t="shared" si="9"/>
        <v>8</v>
      </c>
      <c r="AY24" s="272">
        <f t="shared" si="9"/>
        <v>0</v>
      </c>
      <c r="AZ24" s="272">
        <f t="shared" si="9"/>
        <v>0</v>
      </c>
      <c r="BA24" s="272">
        <f t="shared" si="9"/>
        <v>0</v>
      </c>
      <c r="BB24" s="118">
        <f t="shared" si="9"/>
        <v>18</v>
      </c>
      <c r="BC24" s="272">
        <f t="shared" si="9"/>
        <v>10</v>
      </c>
      <c r="BD24" s="272">
        <f>SUM(BD15:BD23)</f>
        <v>0</v>
      </c>
      <c r="BE24" s="272">
        <f>SUM(BE15:BE23)</f>
        <v>0</v>
      </c>
      <c r="BF24" s="278">
        <f t="shared" si="7"/>
        <v>23</v>
      </c>
      <c r="BG24" s="279">
        <f t="shared" si="7"/>
        <v>10</v>
      </c>
      <c r="BH24" s="279">
        <f t="shared" si="7"/>
        <v>0</v>
      </c>
      <c r="BI24" s="705">
        <f t="shared" si="7"/>
        <v>0</v>
      </c>
    </row>
    <row r="25" spans="3:61" s="119" customFormat="1" ht="9" customHeight="1" thickBot="1">
      <c r="C25" s="121"/>
      <c r="D25" s="121"/>
      <c r="E25" s="121"/>
      <c r="F25" s="121"/>
      <c r="H25" s="122"/>
      <c r="I25" s="122"/>
      <c r="J25" s="125"/>
      <c r="K25" s="126"/>
      <c r="L25" s="126"/>
      <c r="M25" s="126"/>
      <c r="N25" s="125"/>
      <c r="O25" s="126"/>
      <c r="P25" s="126"/>
      <c r="Q25" s="126"/>
      <c r="R25" s="125"/>
      <c r="S25" s="126"/>
      <c r="T25" s="126"/>
      <c r="U25" s="126"/>
      <c r="V25" s="125"/>
      <c r="W25" s="126"/>
      <c r="X25" s="126"/>
      <c r="Y25" s="126"/>
      <c r="Z25" s="125"/>
      <c r="AA25" s="126"/>
      <c r="AB25" s="126"/>
      <c r="AC25" s="126"/>
      <c r="AD25" s="125"/>
      <c r="AE25" s="126"/>
      <c r="AF25" s="126"/>
      <c r="AG25" s="126"/>
      <c r="AH25" s="125"/>
      <c r="AI25" s="126"/>
      <c r="AJ25" s="126"/>
      <c r="AK25" s="126"/>
      <c r="AL25" s="125"/>
      <c r="AM25" s="126"/>
      <c r="AN25" s="126"/>
      <c r="AO25" s="126"/>
      <c r="AP25" s="125"/>
      <c r="AQ25" s="126"/>
      <c r="AR25" s="126"/>
      <c r="AS25" s="126"/>
      <c r="AT25" s="125"/>
      <c r="AU25" s="126"/>
      <c r="AV25" s="126"/>
      <c r="AW25" s="126"/>
      <c r="AX25" s="125"/>
      <c r="AY25" s="126"/>
      <c r="AZ25" s="126"/>
      <c r="BA25" s="126"/>
      <c r="BB25" s="125"/>
      <c r="BC25" s="126"/>
      <c r="BD25" s="126"/>
      <c r="BE25" s="126"/>
      <c r="BF25" s="125"/>
      <c r="BG25" s="126"/>
    </row>
    <row r="26" spans="3:61" s="28" customFormat="1" ht="26.25" customHeight="1" thickBot="1">
      <c r="D26" s="29"/>
      <c r="E26" s="29"/>
      <c r="F26" s="29"/>
      <c r="H26" s="1893" t="s">
        <v>49</v>
      </c>
      <c r="I26" s="1894"/>
      <c r="J26" s="123">
        <f t="shared" ref="J26:BI26" si="10">J10+J24</f>
        <v>23</v>
      </c>
      <c r="K26" s="280">
        <f t="shared" si="10"/>
        <v>36.520000000000003</v>
      </c>
      <c r="L26" s="280">
        <f>L10+L24</f>
        <v>13.52</v>
      </c>
      <c r="M26" s="280">
        <f>M10+M24</f>
        <v>7.4</v>
      </c>
      <c r="N26" s="123">
        <f t="shared" ref="N26:O26" si="11">N10+N24</f>
        <v>5</v>
      </c>
      <c r="O26" s="1273">
        <f t="shared" si="11"/>
        <v>1.5</v>
      </c>
      <c r="P26" s="280">
        <f>P10+P24</f>
        <v>1.5</v>
      </c>
      <c r="Q26" s="280">
        <f>Q10+Q24</f>
        <v>0</v>
      </c>
      <c r="R26" s="123">
        <f t="shared" ref="R26:S26" si="12">R10+R24</f>
        <v>5</v>
      </c>
      <c r="S26" s="280">
        <f t="shared" si="12"/>
        <v>0</v>
      </c>
      <c r="T26" s="280">
        <f>T10+T24</f>
        <v>0</v>
      </c>
      <c r="U26" s="280">
        <f>U10+U24</f>
        <v>0</v>
      </c>
      <c r="V26" s="123">
        <f>V10+V24</f>
        <v>5</v>
      </c>
      <c r="W26" s="280">
        <f t="shared" ref="W26" si="13">W10+W24</f>
        <v>1</v>
      </c>
      <c r="X26" s="280">
        <f>X10+X24</f>
        <v>1</v>
      </c>
      <c r="Y26" s="280">
        <f>Y10+Y24</f>
        <v>0</v>
      </c>
      <c r="Z26" s="123">
        <f t="shared" ref="Z26:AA26" si="14">Z10+Z24</f>
        <v>0</v>
      </c>
      <c r="AA26" s="280">
        <f t="shared" si="14"/>
        <v>0.5</v>
      </c>
      <c r="AB26" s="280">
        <f>AB10+AB24</f>
        <v>0.5</v>
      </c>
      <c r="AC26" s="280">
        <f>AC10+AC24</f>
        <v>0</v>
      </c>
      <c r="AD26" s="123">
        <f t="shared" ref="AD26:AE26" si="15">AD10+AD24</f>
        <v>20</v>
      </c>
      <c r="AE26" s="280">
        <f t="shared" si="15"/>
        <v>22</v>
      </c>
      <c r="AF26" s="280">
        <f>AF10+AF24</f>
        <v>22</v>
      </c>
      <c r="AG26" s="280">
        <f>AG10+AG24</f>
        <v>0</v>
      </c>
      <c r="AH26" s="127">
        <f t="shared" ref="AH26:AI26" si="16">AH10+AH24</f>
        <v>58</v>
      </c>
      <c r="AI26" s="280">
        <f t="shared" si="16"/>
        <v>61.519999999999996</v>
      </c>
      <c r="AJ26" s="697">
        <f>AJ10+AJ24</f>
        <v>38.520000000000003</v>
      </c>
      <c r="AK26" s="696">
        <f>AK10+AK24</f>
        <v>7.4</v>
      </c>
      <c r="AL26" s="123">
        <f t="shared" ref="AL26:AM26" si="17">AL10+AL24</f>
        <v>26</v>
      </c>
      <c r="AM26" s="280">
        <f t="shared" si="17"/>
        <v>21.35</v>
      </c>
      <c r="AN26" s="280">
        <f>AN10+AN24</f>
        <v>11.35</v>
      </c>
      <c r="AO26" s="280">
        <f>AO10+AO24</f>
        <v>0</v>
      </c>
      <c r="AP26" s="123">
        <f t="shared" ref="AP26:AQ26" si="18">AP10+AP24</f>
        <v>5</v>
      </c>
      <c r="AQ26" s="280">
        <f t="shared" si="18"/>
        <v>0</v>
      </c>
      <c r="AR26" s="280">
        <f>AR10+AR24</f>
        <v>0</v>
      </c>
      <c r="AS26" s="280">
        <f>AS10+AS24</f>
        <v>0</v>
      </c>
      <c r="AT26" s="123">
        <f t="shared" ref="AT26:AU26" si="19">AT10+AT24</f>
        <v>10</v>
      </c>
      <c r="AU26" s="280">
        <f t="shared" si="19"/>
        <v>29</v>
      </c>
      <c r="AV26" s="280">
        <f>AV10+AV24</f>
        <v>29</v>
      </c>
      <c r="AW26" s="280">
        <f>AW10+AW24</f>
        <v>12</v>
      </c>
      <c r="AX26" s="123">
        <f t="shared" ref="AX26:AY26" si="20">AX10+AX24</f>
        <v>8</v>
      </c>
      <c r="AY26" s="280">
        <f t="shared" si="20"/>
        <v>9.4</v>
      </c>
      <c r="AZ26" s="280">
        <f>AZ10+AZ24</f>
        <v>9.4</v>
      </c>
      <c r="BA26" s="280">
        <f>BA10+BA24</f>
        <v>0</v>
      </c>
      <c r="BB26" s="127">
        <f t="shared" ref="BB26:BC26" si="21">BB10+BB24</f>
        <v>49</v>
      </c>
      <c r="BC26" s="280">
        <f t="shared" si="21"/>
        <v>59.75</v>
      </c>
      <c r="BD26" s="697">
        <f>BD10+BD24</f>
        <v>49.75</v>
      </c>
      <c r="BE26" s="697">
        <f>BE10+BE24</f>
        <v>12</v>
      </c>
      <c r="BF26" s="124">
        <f>BF10+BF24</f>
        <v>107</v>
      </c>
      <c r="BG26" s="707">
        <f t="shared" si="10"/>
        <v>121.27000000000001</v>
      </c>
      <c r="BH26" s="706">
        <f t="shared" si="10"/>
        <v>88.27000000000001</v>
      </c>
      <c r="BI26" s="284">
        <f t="shared" si="10"/>
        <v>19.399999999999999</v>
      </c>
    </row>
    <row r="27" spans="3:61" ht="21" customHeight="1">
      <c r="H27" s="320"/>
      <c r="I27" s="320"/>
      <c r="J27" s="321"/>
      <c r="K27" s="321"/>
      <c r="L27" s="321">
        <v>7.4</v>
      </c>
      <c r="M27" s="321" t="s">
        <v>23</v>
      </c>
      <c r="N27" s="321"/>
      <c r="O27" s="321"/>
      <c r="P27" s="321"/>
      <c r="Q27" s="321"/>
      <c r="R27" s="321"/>
      <c r="S27" s="321"/>
      <c r="T27" s="321"/>
      <c r="U27" s="321"/>
      <c r="V27" s="321"/>
      <c r="W27" s="321"/>
      <c r="X27" s="323"/>
      <c r="Y27" s="323"/>
      <c r="Z27" s="321"/>
      <c r="AA27" s="321"/>
      <c r="AB27" s="323"/>
      <c r="AC27" s="323"/>
      <c r="AD27" s="321"/>
      <c r="AE27" s="321"/>
      <c r="AF27" s="321"/>
      <c r="AG27" s="321"/>
      <c r="AH27" s="321"/>
      <c r="AI27" s="321"/>
      <c r="AJ27" s="321"/>
      <c r="AK27" s="321"/>
      <c r="AL27" s="321"/>
      <c r="AM27" s="321"/>
      <c r="AN27" s="321"/>
      <c r="AO27" s="321"/>
      <c r="AP27" s="321"/>
      <c r="AQ27" s="321"/>
      <c r="AR27" s="321"/>
      <c r="AS27" s="321"/>
      <c r="AT27" s="321"/>
      <c r="AU27" s="321"/>
      <c r="AV27" s="321">
        <v>12</v>
      </c>
      <c r="AW27" s="321" t="s">
        <v>32</v>
      </c>
      <c r="AX27" s="321"/>
      <c r="AY27" s="321"/>
      <c r="AZ27" s="321"/>
      <c r="BA27" s="321"/>
      <c r="BB27" s="335"/>
      <c r="BC27" s="1918">
        <f>SUM(I27:AZ29)</f>
        <v>19.399999999999999</v>
      </c>
      <c r="BD27" s="335"/>
      <c r="BE27" s="335"/>
      <c r="BF27" s="335"/>
      <c r="BG27" s="335"/>
      <c r="BH27" s="1917">
        <f>BH26+BI26</f>
        <v>107.67000000000002</v>
      </c>
      <c r="BI27" s="1917"/>
    </row>
    <row r="28" spans="3:61" ht="21" customHeight="1">
      <c r="H28" s="320"/>
      <c r="I28" s="320"/>
      <c r="J28" s="322"/>
      <c r="K28" s="323"/>
      <c r="L28" s="323"/>
      <c r="M28" s="323"/>
      <c r="N28" s="322"/>
      <c r="O28" s="323"/>
      <c r="P28" s="323"/>
      <c r="Q28" s="323"/>
      <c r="R28" s="322"/>
      <c r="S28" s="323"/>
      <c r="T28" s="323"/>
      <c r="U28" s="323"/>
      <c r="V28" s="321"/>
      <c r="W28" s="323"/>
      <c r="X28" s="323"/>
      <c r="Y28" s="323"/>
      <c r="Z28" s="322"/>
      <c r="AA28" s="323"/>
      <c r="AB28" s="323"/>
      <c r="AC28" s="323"/>
      <c r="AD28" s="322"/>
      <c r="AE28" s="323"/>
      <c r="AF28" s="323"/>
      <c r="AG28" s="322"/>
      <c r="AH28" s="322"/>
      <c r="AI28" s="323"/>
      <c r="AJ28" s="323"/>
      <c r="AK28" s="323"/>
      <c r="AL28" s="321"/>
      <c r="AM28" s="323"/>
      <c r="AN28" s="622"/>
      <c r="AO28" s="622"/>
      <c r="AP28" s="321"/>
      <c r="AQ28" s="323"/>
      <c r="AR28" s="323"/>
      <c r="AS28" s="323"/>
      <c r="AT28" s="322"/>
      <c r="AU28" s="323"/>
      <c r="AV28" s="323"/>
      <c r="AW28" s="323"/>
      <c r="AX28" s="322"/>
      <c r="AY28" s="468"/>
      <c r="AZ28" s="468"/>
      <c r="BA28" s="468"/>
      <c r="BB28" s="392"/>
      <c r="BC28" s="1919"/>
      <c r="BD28" s="434"/>
      <c r="BE28" s="434"/>
      <c r="BF28" s="435"/>
      <c r="BG28" s="434"/>
      <c r="BH28" s="726"/>
      <c r="BI28" s="434"/>
    </row>
    <row r="29" spans="3:61" ht="23.25">
      <c r="H29" s="320"/>
      <c r="I29" s="320"/>
      <c r="J29" s="322"/>
      <c r="K29" s="323"/>
      <c r="L29" s="323"/>
      <c r="M29" s="323"/>
      <c r="N29" s="322"/>
      <c r="O29" s="323"/>
      <c r="P29" s="323"/>
      <c r="Q29" s="323"/>
      <c r="R29" s="322"/>
      <c r="S29" s="323"/>
      <c r="T29" s="323"/>
      <c r="U29" s="323"/>
      <c r="V29" s="322"/>
      <c r="W29" s="323"/>
      <c r="X29" s="323"/>
      <c r="Y29" s="323"/>
      <c r="Z29" s="322"/>
      <c r="AA29" s="323"/>
      <c r="AB29" s="323"/>
      <c r="AC29" s="323"/>
      <c r="AD29" s="322"/>
      <c r="AE29" s="323"/>
      <c r="AF29" s="688"/>
      <c r="AG29" s="688"/>
      <c r="AH29" s="322"/>
      <c r="AI29" s="322"/>
      <c r="AJ29" s="323"/>
      <c r="AK29" s="323"/>
      <c r="AL29" s="321"/>
      <c r="AM29" s="323"/>
      <c r="AN29" s="321"/>
      <c r="AO29" s="321"/>
      <c r="AP29" s="322"/>
      <c r="AQ29" s="323"/>
      <c r="AR29" s="323"/>
      <c r="AS29" s="323"/>
      <c r="AT29" s="322"/>
      <c r="AU29" s="323"/>
      <c r="AV29" s="323"/>
      <c r="AW29" s="323"/>
      <c r="AX29" s="322"/>
      <c r="AY29" s="468"/>
      <c r="AZ29" s="468"/>
      <c r="BA29" s="468"/>
      <c r="BB29" s="392"/>
      <c r="BC29" s="434"/>
      <c r="BD29" s="434"/>
      <c r="BE29" s="434"/>
      <c r="BF29" s="435"/>
      <c r="BG29" s="434"/>
      <c r="BH29" s="682"/>
      <c r="BI29" s="434"/>
    </row>
    <row r="30" spans="3:61" s="464" customFormat="1" ht="21.75" thickBot="1">
      <c r="D30" s="576"/>
      <c r="E30" s="576"/>
      <c r="F30" s="576"/>
      <c r="I30" s="577"/>
      <c r="K30" s="579"/>
      <c r="L30" s="579"/>
      <c r="M30" s="579"/>
      <c r="N30" s="578"/>
      <c r="O30" s="579"/>
      <c r="P30" s="579"/>
      <c r="Q30" s="579"/>
      <c r="R30" s="578"/>
      <c r="S30" s="579"/>
      <c r="T30" s="579"/>
      <c r="U30" s="579"/>
      <c r="V30" s="578"/>
      <c r="W30" s="578"/>
      <c r="X30" s="579"/>
      <c r="Y30" s="579"/>
      <c r="Z30" s="579"/>
      <c r="AA30" s="578"/>
      <c r="AB30" s="579"/>
      <c r="AC30" s="579"/>
      <c r="AD30" s="579"/>
      <c r="AE30" s="578"/>
      <c r="AF30" s="579"/>
      <c r="AG30" s="579"/>
      <c r="AH30" s="621"/>
      <c r="AI30" s="578"/>
      <c r="AJ30" s="579"/>
      <c r="AK30" s="579"/>
      <c r="AM30" s="580"/>
      <c r="AN30" s="579"/>
      <c r="AO30" s="579"/>
      <c r="AP30" s="579"/>
      <c r="AQ30" s="578"/>
      <c r="AR30" s="579"/>
      <c r="AS30" s="579"/>
      <c r="AT30" s="579"/>
      <c r="AU30" s="578"/>
      <c r="AV30" s="579"/>
      <c r="AW30" s="579"/>
      <c r="AZ30" s="581"/>
      <c r="BA30" s="581"/>
      <c r="BB30" s="581"/>
      <c r="BC30" s="582"/>
      <c r="BD30" s="583"/>
      <c r="BE30" s="583"/>
      <c r="BF30" s="583"/>
      <c r="BG30" s="584"/>
      <c r="BH30" s="583"/>
      <c r="BI30" s="585"/>
    </row>
    <row r="31" spans="3:61" ht="35.25" customHeight="1" thickBot="1">
      <c r="L31" s="1951" t="s">
        <v>395</v>
      </c>
      <c r="M31" s="1952"/>
      <c r="N31" s="1952"/>
      <c r="O31" s="1952"/>
      <c r="P31" s="1952"/>
      <c r="Q31" s="1952"/>
      <c r="R31" s="1952"/>
      <c r="S31" s="1953"/>
      <c r="T31" s="579"/>
      <c r="U31" s="579"/>
      <c r="V31" s="1929" t="s">
        <v>204</v>
      </c>
      <c r="W31" s="1930"/>
      <c r="X31" s="1930"/>
      <c r="Y31" s="1930"/>
      <c r="Z31" s="1930"/>
      <c r="AA31" s="1930"/>
      <c r="AB31" s="1930"/>
      <c r="AC31" s="1935"/>
      <c r="AD31" s="1936"/>
      <c r="AE31" s="579"/>
      <c r="AF31" s="579"/>
      <c r="AG31" s="26"/>
      <c r="AH31" s="24"/>
      <c r="AJ31" s="685"/>
      <c r="AL31" s="24"/>
      <c r="AM31" s="599"/>
      <c r="AN31" s="1092"/>
      <c r="AP31" s="24"/>
      <c r="AS31" s="26"/>
      <c r="AT31" s="24"/>
      <c r="AX31" s="24"/>
      <c r="AY31" s="25"/>
      <c r="AZ31" s="25"/>
      <c r="BA31" s="24"/>
      <c r="BB31" s="24"/>
      <c r="BE31" s="23"/>
      <c r="BF31" s="23"/>
      <c r="BG31" s="23"/>
    </row>
    <row r="32" spans="3:61" s="24" customFormat="1" ht="28.5" customHeight="1" thickBot="1">
      <c r="C32" s="23"/>
      <c r="D32" s="27"/>
      <c r="E32" s="27"/>
      <c r="F32" s="27"/>
      <c r="G32" s="23"/>
      <c r="H32" s="23"/>
      <c r="I32" s="27"/>
      <c r="L32" s="450" t="s">
        <v>0</v>
      </c>
      <c r="M32" s="439" t="s">
        <v>200</v>
      </c>
      <c r="N32" s="454" t="s">
        <v>205</v>
      </c>
      <c r="O32" s="439" t="s">
        <v>31</v>
      </c>
      <c r="P32" s="448" t="s">
        <v>201</v>
      </c>
      <c r="Q32" s="455" t="s">
        <v>206</v>
      </c>
      <c r="R32" s="436" t="s">
        <v>22</v>
      </c>
      <c r="S32" s="438" t="s">
        <v>191</v>
      </c>
      <c r="T32" s="579"/>
      <c r="U32" s="579"/>
      <c r="V32" s="571" t="s">
        <v>0</v>
      </c>
      <c r="W32" s="572" t="s">
        <v>200</v>
      </c>
      <c r="X32" s="623" t="s">
        <v>205</v>
      </c>
      <c r="Y32" s="572" t="s">
        <v>31</v>
      </c>
      <c r="Z32" s="573" t="s">
        <v>201</v>
      </c>
      <c r="AA32" s="574" t="s">
        <v>206</v>
      </c>
      <c r="AB32" s="717" t="s">
        <v>22</v>
      </c>
      <c r="AC32" s="721" t="s">
        <v>191</v>
      </c>
      <c r="AD32" s="722" t="s">
        <v>226</v>
      </c>
      <c r="AE32" s="579"/>
      <c r="AF32" s="579"/>
      <c r="AG32" s="599"/>
      <c r="AH32" s="599"/>
      <c r="AI32" s="599"/>
      <c r="AN32" s="26"/>
      <c r="AT32" s="25"/>
      <c r="AU32" s="25"/>
      <c r="AW32" s="23"/>
      <c r="AX32" s="23"/>
    </row>
    <row r="33" spans="1:59" ht="23.25">
      <c r="L33" s="441" t="s">
        <v>189</v>
      </c>
      <c r="M33" s="470">
        <f>$J$6</f>
        <v>23</v>
      </c>
      <c r="N33" s="430">
        <f>$J9</f>
        <v>0</v>
      </c>
      <c r="O33" s="430">
        <f>$J7</f>
        <v>0</v>
      </c>
      <c r="P33" s="430">
        <f>$J8</f>
        <v>0</v>
      </c>
      <c r="Q33" s="430">
        <f>J15+J16+J17+J18+J19+J21+J22+J23</f>
        <v>0</v>
      </c>
      <c r="R33" s="430">
        <f>$J20</f>
        <v>0</v>
      </c>
      <c r="S33" s="446">
        <f t="shared" ref="S33:S42" si="22">SUM(M33:R33)</f>
        <v>23</v>
      </c>
      <c r="T33" s="579"/>
      <c r="U33" s="579"/>
      <c r="V33" s="447" t="s">
        <v>189</v>
      </c>
      <c r="W33" s="569">
        <f>L$6</f>
        <v>6</v>
      </c>
      <c r="X33" s="570">
        <f>$L9</f>
        <v>5.29</v>
      </c>
      <c r="Y33" s="570">
        <f>$L7</f>
        <v>0</v>
      </c>
      <c r="Z33" s="570">
        <f>$L8</f>
        <v>2.23</v>
      </c>
      <c r="AA33" s="570">
        <f>L$15+L$16+L$17+L$18+L$19+L$21+L$22+L$23</f>
        <v>0</v>
      </c>
      <c r="AB33" s="718">
        <f>$L20</f>
        <v>0</v>
      </c>
      <c r="AC33" s="723">
        <f t="shared" ref="AC33:AC42" si="23">SUM(W33:AB33)</f>
        <v>13.52</v>
      </c>
      <c r="AD33" s="587">
        <f>M6+M7+M8++M9+M15+M16+M17+M18+M19+M21+M20+M22+M23</f>
        <v>7.4</v>
      </c>
      <c r="AE33" s="579">
        <f>AC33+AD33</f>
        <v>20.92</v>
      </c>
      <c r="AF33" s="579"/>
      <c r="AG33" s="599"/>
      <c r="AH33" s="599"/>
      <c r="AI33" s="599"/>
      <c r="AL33" s="24"/>
      <c r="AN33" s="26"/>
      <c r="AP33" s="24"/>
      <c r="AT33" s="25"/>
      <c r="AU33" s="25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</row>
    <row r="34" spans="1:59" s="24" customFormat="1" ht="23.25">
      <c r="A34" s="23"/>
      <c r="B34" s="23"/>
      <c r="C34" s="23"/>
      <c r="D34" s="27"/>
      <c r="E34" s="27"/>
      <c r="F34" s="27"/>
      <c r="G34" s="23"/>
      <c r="H34" s="23"/>
      <c r="I34" s="27"/>
      <c r="L34" s="441" t="s">
        <v>183</v>
      </c>
      <c r="M34" s="470">
        <f>$N$6</f>
        <v>5</v>
      </c>
      <c r="N34" s="430">
        <f>$N9</f>
        <v>0</v>
      </c>
      <c r="O34" s="430">
        <f>$N7</f>
        <v>0</v>
      </c>
      <c r="P34" s="430">
        <f>$N8</f>
        <v>0</v>
      </c>
      <c r="Q34" s="430">
        <f>N15+N16+N17+N18+N19+N21+N22+N23</f>
        <v>0</v>
      </c>
      <c r="R34" s="430">
        <f>$N20</f>
        <v>0</v>
      </c>
      <c r="S34" s="446">
        <f t="shared" si="22"/>
        <v>5</v>
      </c>
      <c r="T34" s="686"/>
      <c r="U34" s="26"/>
      <c r="V34" s="441" t="s">
        <v>183</v>
      </c>
      <c r="W34" s="440">
        <f>P$6</f>
        <v>1</v>
      </c>
      <c r="X34" s="430">
        <f>$P9</f>
        <v>0.5</v>
      </c>
      <c r="Y34" s="430">
        <f>$P7</f>
        <v>0</v>
      </c>
      <c r="Z34" s="430">
        <f>$P8</f>
        <v>0</v>
      </c>
      <c r="AA34" s="430">
        <f>P$15+P$16+P$17+P$18+P$19+P$21+P$22+P$23</f>
        <v>0</v>
      </c>
      <c r="AB34" s="719">
        <f>$P20</f>
        <v>0</v>
      </c>
      <c r="AC34" s="723">
        <f t="shared" si="23"/>
        <v>1.5</v>
      </c>
      <c r="AD34" s="587">
        <f>Q6+Q7+Q8+Q9+Q15+Q16+Q17+Q18+Q19+Q20+Q21+Q22+Q23</f>
        <v>0</v>
      </c>
      <c r="AE34" s="579">
        <f t="shared" ref="AE34:AE42" si="24">AC34+AD34</f>
        <v>1.5</v>
      </c>
      <c r="AG34" s="599"/>
      <c r="AH34" s="599"/>
      <c r="AI34" s="599"/>
      <c r="AN34" s="26"/>
      <c r="AT34" s="25"/>
      <c r="AU34" s="25"/>
    </row>
    <row r="35" spans="1:59" ht="23.25">
      <c r="L35" s="441" t="s">
        <v>184</v>
      </c>
      <c r="M35" s="470">
        <f>$R$6</f>
        <v>0</v>
      </c>
      <c r="N35" s="430">
        <f>$R9</f>
        <v>0</v>
      </c>
      <c r="O35" s="430">
        <f>$R7</f>
        <v>0</v>
      </c>
      <c r="P35" s="430">
        <f>$R8</f>
        <v>0</v>
      </c>
      <c r="Q35" s="430">
        <f>R15+R16+R17+R18+R19+R21+R22+R23</f>
        <v>5</v>
      </c>
      <c r="R35" s="430">
        <f>$R20</f>
        <v>0</v>
      </c>
      <c r="S35" s="446">
        <f t="shared" si="22"/>
        <v>5</v>
      </c>
      <c r="T35" s="686"/>
      <c r="U35" s="26"/>
      <c r="V35" s="441" t="s">
        <v>184</v>
      </c>
      <c r="W35" s="440">
        <f>T$6</f>
        <v>0</v>
      </c>
      <c r="X35" s="430">
        <f>$T9</f>
        <v>0</v>
      </c>
      <c r="Y35" s="430">
        <f>$T7</f>
        <v>0</v>
      </c>
      <c r="Z35" s="430">
        <f>$T8</f>
        <v>0</v>
      </c>
      <c r="AA35" s="430">
        <f>T$15+T$16+T$17+T$18+T$19+T$21+T$22+T$23</f>
        <v>0</v>
      </c>
      <c r="AB35" s="719">
        <f>$T20</f>
        <v>0</v>
      </c>
      <c r="AC35" s="723">
        <f t="shared" si="23"/>
        <v>0</v>
      </c>
      <c r="AD35" s="587">
        <f>U6+U7+U8+U9+U15+U16+U17+U18+U19+U20+U21+U22+U23</f>
        <v>0</v>
      </c>
      <c r="AE35" s="579">
        <f t="shared" si="24"/>
        <v>0</v>
      </c>
      <c r="AF35" s="26"/>
      <c r="AG35" s="599"/>
      <c r="AH35" s="599"/>
      <c r="AI35" s="599"/>
      <c r="AL35" s="24"/>
      <c r="AN35" s="26"/>
      <c r="AP35" s="24"/>
      <c r="AT35" s="25"/>
      <c r="AU35" s="25"/>
      <c r="AX35" s="23"/>
      <c r="AY35" s="23"/>
      <c r="AZ35" s="23"/>
      <c r="BA35" s="578"/>
      <c r="BB35" s="23"/>
      <c r="BC35" s="23"/>
      <c r="BD35" s="23"/>
      <c r="BE35" s="23"/>
      <c r="BF35" s="23"/>
      <c r="BG35" s="23"/>
    </row>
    <row r="36" spans="1:59" ht="23.25">
      <c r="L36" s="441" t="s">
        <v>170</v>
      </c>
      <c r="M36" s="470">
        <f>$V$6</f>
        <v>2</v>
      </c>
      <c r="N36" s="430">
        <f>$V9</f>
        <v>3</v>
      </c>
      <c r="O36" s="430">
        <f>$V7</f>
        <v>0</v>
      </c>
      <c r="P36" s="430">
        <f>$V8</f>
        <v>0</v>
      </c>
      <c r="Q36" s="430">
        <f>V15+V16+V17+V18+V19+V21++V22+V23</f>
        <v>0</v>
      </c>
      <c r="R36" s="430">
        <f>$V20</f>
        <v>0</v>
      </c>
      <c r="S36" s="446">
        <f t="shared" si="22"/>
        <v>5</v>
      </c>
      <c r="T36" s="686"/>
      <c r="U36" s="26"/>
      <c r="V36" s="441" t="s">
        <v>170</v>
      </c>
      <c r="W36" s="440">
        <f>X$6</f>
        <v>0</v>
      </c>
      <c r="X36" s="430">
        <f>X9</f>
        <v>1</v>
      </c>
      <c r="Y36" s="430">
        <f>$X7</f>
        <v>0</v>
      </c>
      <c r="Z36" s="430">
        <f>$X8</f>
        <v>0</v>
      </c>
      <c r="AA36" s="430">
        <f>X$15+X$16+X$17+X$18+X$19+X$21+X$22+X$23</f>
        <v>0</v>
      </c>
      <c r="AB36" s="719">
        <f>$X20</f>
        <v>0</v>
      </c>
      <c r="AC36" s="723">
        <f t="shared" si="23"/>
        <v>1</v>
      </c>
      <c r="AD36" s="587">
        <f>Y6+Y7+Y8+Y9+Y15+Y16+Y17+Y18+Y19+Y20+Y21+Y22+Y23</f>
        <v>0</v>
      </c>
      <c r="AE36" s="579">
        <f t="shared" si="24"/>
        <v>1</v>
      </c>
      <c r="AF36" s="26"/>
      <c r="AG36" s="599"/>
      <c r="AH36" s="599"/>
      <c r="AI36" s="599"/>
      <c r="AL36" s="24"/>
      <c r="AN36" s="26"/>
      <c r="AP36" s="24"/>
      <c r="AT36" s="25"/>
      <c r="AU36" s="25"/>
      <c r="AX36" s="23"/>
      <c r="AY36" s="23"/>
      <c r="AZ36" s="23"/>
      <c r="BA36" s="23"/>
      <c r="BB36" s="23"/>
      <c r="BC36" s="23"/>
      <c r="BD36" s="23"/>
      <c r="BE36" s="23"/>
      <c r="BF36" s="23"/>
      <c r="BG36" s="23"/>
    </row>
    <row r="37" spans="1:59" ht="23.25">
      <c r="L37" s="441" t="s">
        <v>171</v>
      </c>
      <c r="M37" s="470">
        <f>$Z$6</f>
        <v>0</v>
      </c>
      <c r="N37" s="430">
        <f>$Z9</f>
        <v>0</v>
      </c>
      <c r="O37" s="430">
        <f>$Z7</f>
        <v>0</v>
      </c>
      <c r="P37" s="430">
        <f>$Z8</f>
        <v>0</v>
      </c>
      <c r="Q37" s="430">
        <f>Z15+Z16+Z17+Z18+Z19+Z21+Z22+Z23</f>
        <v>0</v>
      </c>
      <c r="R37" s="430">
        <f>$Z20</f>
        <v>0</v>
      </c>
      <c r="S37" s="446">
        <f t="shared" si="22"/>
        <v>0</v>
      </c>
      <c r="T37" s="686"/>
      <c r="U37" s="26"/>
      <c r="V37" s="441" t="s">
        <v>171</v>
      </c>
      <c r="W37" s="440">
        <f>AB$6</f>
        <v>0</v>
      </c>
      <c r="X37" s="430">
        <f>AB9</f>
        <v>0.5</v>
      </c>
      <c r="Y37" s="430">
        <f>$AB7</f>
        <v>0</v>
      </c>
      <c r="Z37" s="430">
        <f>$AB8</f>
        <v>0</v>
      </c>
      <c r="AA37" s="430">
        <f>AB$15+AB$16+AB$17+AB$18+AB$19+AB$21+AB$22+AB$23</f>
        <v>0</v>
      </c>
      <c r="AB37" s="719">
        <f>$AB20</f>
        <v>0</v>
      </c>
      <c r="AC37" s="723">
        <f t="shared" si="23"/>
        <v>0.5</v>
      </c>
      <c r="AD37" s="587">
        <f>AC6+AC7+AC8+AC9+AC15+AC17+AC16+AC18+AC19+AC20+AC21+AC22+AC23</f>
        <v>0</v>
      </c>
      <c r="AE37" s="579">
        <f t="shared" si="24"/>
        <v>0.5</v>
      </c>
      <c r="AF37" s="26"/>
      <c r="AG37" s="26"/>
      <c r="AI37" s="26"/>
      <c r="AJ37" s="26"/>
      <c r="AK37" s="26"/>
      <c r="AL37" s="24"/>
      <c r="AN37" s="26"/>
      <c r="AP37" s="24"/>
      <c r="AT37" s="24"/>
      <c r="AX37" s="23"/>
      <c r="AY37" s="23"/>
      <c r="AZ37" s="23"/>
      <c r="BA37" s="23"/>
      <c r="BB37" s="23"/>
      <c r="BC37" s="23"/>
      <c r="BD37" s="23"/>
      <c r="BE37" s="23"/>
      <c r="BF37" s="23"/>
      <c r="BG37" s="23"/>
    </row>
    <row r="38" spans="1:59" ht="23.25">
      <c r="L38" s="441" t="s">
        <v>190</v>
      </c>
      <c r="M38" s="492">
        <f>$AD$6</f>
        <v>20</v>
      </c>
      <c r="N38" s="471">
        <f>$AD9</f>
        <v>0</v>
      </c>
      <c r="O38" s="471">
        <f>$AD7</f>
        <v>0</v>
      </c>
      <c r="P38" s="471">
        <f>$AD8</f>
        <v>0</v>
      </c>
      <c r="Q38" s="430">
        <f>AD15+AD16+AD17+AD18+AD19+AD21+AD22+AD23</f>
        <v>0</v>
      </c>
      <c r="R38" s="471">
        <f>$AD20</f>
        <v>0</v>
      </c>
      <c r="S38" s="446">
        <f t="shared" si="22"/>
        <v>20</v>
      </c>
      <c r="T38" s="686"/>
      <c r="U38" s="26"/>
      <c r="V38" s="441" t="s">
        <v>190</v>
      </c>
      <c r="W38" s="440">
        <f>AF$6</f>
        <v>6</v>
      </c>
      <c r="X38" s="430">
        <f>$AF9</f>
        <v>0</v>
      </c>
      <c r="Y38" s="430">
        <f>$AF7</f>
        <v>16</v>
      </c>
      <c r="Z38" s="430">
        <f>$AF8</f>
        <v>0</v>
      </c>
      <c r="AA38" s="430">
        <f>AF$15+AF$16+AF$17+AF$18+AF$19+AF$21+AF$22+AF$23</f>
        <v>0</v>
      </c>
      <c r="AB38" s="719">
        <f>$AF20</f>
        <v>0</v>
      </c>
      <c r="AC38" s="723">
        <f t="shared" si="23"/>
        <v>22</v>
      </c>
      <c r="AD38" s="587">
        <f>AG6+AG7+AG8+AG9+AG15+AG16+AG17+AG18+AG19+AG20+AG21+AG22+AG23</f>
        <v>0</v>
      </c>
      <c r="AE38" s="579">
        <f t="shared" si="24"/>
        <v>22</v>
      </c>
      <c r="AF38" s="26"/>
      <c r="AG38" s="26"/>
      <c r="AI38" s="26"/>
      <c r="AJ38" s="26"/>
      <c r="AK38" s="26"/>
      <c r="AL38" s="24"/>
      <c r="AN38" s="26"/>
      <c r="AP38" s="24"/>
      <c r="AT38" s="24"/>
      <c r="AX38" s="23"/>
      <c r="AY38" s="23"/>
      <c r="AZ38" s="23"/>
      <c r="BA38" s="23"/>
      <c r="BB38" s="23"/>
      <c r="BC38" s="23"/>
      <c r="BD38" s="23"/>
      <c r="BE38" s="23"/>
      <c r="BF38" s="23"/>
      <c r="BG38" s="23"/>
    </row>
    <row r="39" spans="1:59" ht="23.25">
      <c r="L39" s="441" t="s">
        <v>185</v>
      </c>
      <c r="M39" s="470">
        <f>$AL$6</f>
        <v>1</v>
      </c>
      <c r="N39" s="430">
        <f>$AL9</f>
        <v>0</v>
      </c>
      <c r="O39" s="430">
        <f>$AL7</f>
        <v>0</v>
      </c>
      <c r="P39" s="430">
        <f>$AL8</f>
        <v>15</v>
      </c>
      <c r="Q39" s="430">
        <f>AL15+AL16+AL17+AL18+AL19+AL21+AL22+AL23</f>
        <v>0</v>
      </c>
      <c r="R39" s="430">
        <f>$AL20</f>
        <v>10</v>
      </c>
      <c r="S39" s="446">
        <f t="shared" si="22"/>
        <v>26</v>
      </c>
      <c r="T39" s="686"/>
      <c r="U39" s="26"/>
      <c r="V39" s="441" t="s">
        <v>185</v>
      </c>
      <c r="W39" s="469">
        <f>AN$6</f>
        <v>0</v>
      </c>
      <c r="X39" s="430">
        <f>$AN9</f>
        <v>2.6</v>
      </c>
      <c r="Y39" s="430">
        <f>$AN7</f>
        <v>0</v>
      </c>
      <c r="Z39" s="430">
        <f>$AN8</f>
        <v>8.75</v>
      </c>
      <c r="AA39" s="430">
        <f>AN$15+AN$16+AN$17+AN$18+AN$19+AN$21+AN$22+AN$23</f>
        <v>0</v>
      </c>
      <c r="AB39" s="719">
        <f>$AN20</f>
        <v>0</v>
      </c>
      <c r="AC39" s="723">
        <f t="shared" si="23"/>
        <v>11.35</v>
      </c>
      <c r="AD39" s="587">
        <f>AO6+AO7+AO8+AO9+AO15+AO16+AO17+AO18+AO19+AO20+AO21+AO22+AO23</f>
        <v>0</v>
      </c>
      <c r="AE39" s="579">
        <f t="shared" si="24"/>
        <v>11.35</v>
      </c>
      <c r="AF39" s="23"/>
      <c r="AG39" s="26"/>
      <c r="AI39" s="26"/>
      <c r="AJ39" s="26"/>
      <c r="AK39" s="26"/>
      <c r="AL39" s="24"/>
      <c r="AN39" s="26"/>
      <c r="AP39" s="24"/>
      <c r="AT39" s="24"/>
      <c r="AX39" s="23"/>
      <c r="AY39" s="23"/>
      <c r="AZ39" s="23"/>
      <c r="BA39" s="23"/>
      <c r="BB39" s="23"/>
      <c r="BC39" s="23"/>
      <c r="BD39" s="23"/>
      <c r="BE39" s="23"/>
      <c r="BF39" s="23"/>
      <c r="BG39" s="23"/>
    </row>
    <row r="40" spans="1:59" ht="23.25">
      <c r="L40" s="441" t="s">
        <v>202</v>
      </c>
      <c r="M40" s="470">
        <f>$AP$6</f>
        <v>5</v>
      </c>
      <c r="N40" s="430">
        <f>$AP9</f>
        <v>0</v>
      </c>
      <c r="O40" s="430">
        <f>$AP7</f>
        <v>0</v>
      </c>
      <c r="P40" s="430">
        <f>$AP8</f>
        <v>0</v>
      </c>
      <c r="Q40" s="430">
        <f>AP15+AP16+AP17+AP18+AP19+AP21+AP22+AP23</f>
        <v>0</v>
      </c>
      <c r="R40" s="430">
        <f>$AP20</f>
        <v>0</v>
      </c>
      <c r="S40" s="446">
        <f t="shared" si="22"/>
        <v>5</v>
      </c>
      <c r="T40" s="686"/>
      <c r="U40" s="26"/>
      <c r="V40" s="441" t="s">
        <v>202</v>
      </c>
      <c r="W40" s="440">
        <f>AR$6</f>
        <v>0</v>
      </c>
      <c r="X40" s="430">
        <f>$AR9</f>
        <v>0</v>
      </c>
      <c r="Y40" s="430">
        <f>$AR7</f>
        <v>0</v>
      </c>
      <c r="Z40" s="430">
        <f>$AR8</f>
        <v>0</v>
      </c>
      <c r="AA40" s="430">
        <f>AR$15+AR$16+AR$17+AR$18+AR$19+AR$21+AR$22+AR$23</f>
        <v>0</v>
      </c>
      <c r="AB40" s="719">
        <f>$AR20</f>
        <v>0</v>
      </c>
      <c r="AC40" s="723">
        <f t="shared" si="23"/>
        <v>0</v>
      </c>
      <c r="AD40" s="587">
        <f>AS6+AS7+AS8+AS9+AS15+AS16+AS17+AS18+AS19+AS20+AS21+AS22+AS23</f>
        <v>0</v>
      </c>
      <c r="AE40" s="579">
        <f t="shared" si="24"/>
        <v>0</v>
      </c>
      <c r="AF40" s="28"/>
      <c r="AG40" s="26"/>
      <c r="AI40" s="26"/>
      <c r="AJ40" s="26"/>
      <c r="AK40" s="26"/>
      <c r="AL40" s="24"/>
      <c r="AN40" s="26"/>
      <c r="AP40" s="24"/>
      <c r="AS40" s="23"/>
      <c r="AT40" s="24"/>
      <c r="AX40" s="23"/>
      <c r="AY40" s="23"/>
      <c r="AZ40" s="23"/>
      <c r="BA40" s="23"/>
      <c r="BB40" s="23"/>
      <c r="BC40" s="23"/>
      <c r="BD40" s="23"/>
      <c r="BE40" s="23"/>
      <c r="BF40" s="23"/>
      <c r="BG40" s="23"/>
    </row>
    <row r="41" spans="1:59" ht="23.25">
      <c r="L41" s="441" t="s">
        <v>186</v>
      </c>
      <c r="M41" s="470">
        <f>$AT$6</f>
        <v>10</v>
      </c>
      <c r="N41" s="430">
        <f>$AT9</f>
        <v>0</v>
      </c>
      <c r="O41" s="430">
        <f>$AT7</f>
        <v>0</v>
      </c>
      <c r="P41" s="430">
        <f>$AT8</f>
        <v>0</v>
      </c>
      <c r="Q41" s="430">
        <f>AT15+AT16+AT17+AT18+AT19+AT21+AT22+AT23</f>
        <v>0</v>
      </c>
      <c r="R41" s="430">
        <f>$AT20</f>
        <v>0</v>
      </c>
      <c r="S41" s="446">
        <f t="shared" si="22"/>
        <v>10</v>
      </c>
      <c r="T41" s="686"/>
      <c r="U41" s="26"/>
      <c r="V41" s="441" t="s">
        <v>186</v>
      </c>
      <c r="W41" s="440">
        <f>AV$6</f>
        <v>6</v>
      </c>
      <c r="X41" s="430">
        <f>$AV9</f>
        <v>0</v>
      </c>
      <c r="Y41" s="430">
        <f>$AV7</f>
        <v>23</v>
      </c>
      <c r="Z41" s="430">
        <f>$AV8</f>
        <v>0</v>
      </c>
      <c r="AA41" s="430">
        <f>AV$15+AV$16+AV$17+AV$18+AV$19+AV$21+AV$22+AV$23</f>
        <v>0</v>
      </c>
      <c r="AB41" s="719">
        <f>$AV20</f>
        <v>0</v>
      </c>
      <c r="AC41" s="723">
        <f t="shared" si="23"/>
        <v>29</v>
      </c>
      <c r="AD41" s="587">
        <f>AW6+AW7+AW8+AW9+AW15+AW16+AW17+AW18+AW20+AW19+AW21+AW22+AW23</f>
        <v>12</v>
      </c>
      <c r="AE41" s="579">
        <f t="shared" si="24"/>
        <v>41</v>
      </c>
      <c r="AH41" s="24"/>
      <c r="AJ41" s="25"/>
      <c r="AL41" s="24"/>
      <c r="AN41" s="25"/>
      <c r="AP41" s="24"/>
      <c r="AR41" s="25"/>
      <c r="AT41" s="24"/>
      <c r="AX41" s="23"/>
      <c r="AY41" s="23"/>
      <c r="AZ41" s="23"/>
      <c r="BA41" s="23"/>
      <c r="BB41" s="23"/>
      <c r="BC41" s="23"/>
      <c r="BD41" s="23"/>
      <c r="BE41" s="23"/>
      <c r="BF41" s="23"/>
      <c r="BG41" s="23"/>
    </row>
    <row r="42" spans="1:59" ht="23.25">
      <c r="L42" s="441" t="s">
        <v>203</v>
      </c>
      <c r="M42" s="470">
        <f>$AX$6</f>
        <v>0</v>
      </c>
      <c r="N42" s="430">
        <f>$AX9</f>
        <v>0</v>
      </c>
      <c r="O42" s="430">
        <f>$AX7</f>
        <v>0</v>
      </c>
      <c r="P42" s="430">
        <f>$AX8</f>
        <v>0</v>
      </c>
      <c r="Q42" s="430">
        <f>AX15+AX16+AX17+AX18+AX19+AX21+AX22+AX23</f>
        <v>8</v>
      </c>
      <c r="R42" s="430">
        <f>$AX20</f>
        <v>0</v>
      </c>
      <c r="S42" s="446">
        <f t="shared" si="22"/>
        <v>8</v>
      </c>
      <c r="T42" s="686"/>
      <c r="U42" s="26"/>
      <c r="V42" s="441" t="s">
        <v>203</v>
      </c>
      <c r="W42" s="440">
        <f>AZ$6</f>
        <v>0</v>
      </c>
      <c r="X42" s="430">
        <f>$AZ9</f>
        <v>0</v>
      </c>
      <c r="Y42" s="430">
        <f>$AZ7</f>
        <v>9.4</v>
      </c>
      <c r="Z42" s="430">
        <f>$AZ8</f>
        <v>0</v>
      </c>
      <c r="AA42" s="430">
        <f>AZ$15+AZ$16+AZ$17+AZ$18+AZ$19+AZ$21+AZ$22+AZ$23</f>
        <v>0</v>
      </c>
      <c r="AB42" s="719">
        <f>$AZ20</f>
        <v>0</v>
      </c>
      <c r="AC42" s="723">
        <f t="shared" si="23"/>
        <v>9.4</v>
      </c>
      <c r="AD42" s="587">
        <f>BA6+BA7+BA8+BA9+BA15+BA16+BA17+BA18+BA19+BA20+BA21+BA22+BA23</f>
        <v>0</v>
      </c>
      <c r="AE42" s="579">
        <f t="shared" si="24"/>
        <v>9.4</v>
      </c>
      <c r="AH42" s="24"/>
      <c r="AJ42" s="25"/>
      <c r="AL42" s="24"/>
      <c r="AN42" s="25"/>
      <c r="AP42" s="24"/>
      <c r="AR42" s="25"/>
      <c r="AT42" s="24"/>
      <c r="AV42" s="25"/>
      <c r="AX42" s="23"/>
      <c r="AY42" s="23"/>
      <c r="AZ42" s="23"/>
      <c r="BA42" s="23"/>
      <c r="BB42" s="23"/>
      <c r="BC42" s="23"/>
      <c r="BD42" s="23"/>
      <c r="BE42" s="23"/>
      <c r="BF42" s="23"/>
      <c r="BG42" s="23"/>
    </row>
    <row r="43" spans="1:59" ht="24" thickBot="1">
      <c r="L43" s="442" t="s">
        <v>191</v>
      </c>
      <c r="M43" s="443">
        <f t="shared" ref="M43" si="25">SUM(M33:M42)</f>
        <v>66</v>
      </c>
      <c r="N43" s="444">
        <f>SUM(N33:N42)</f>
        <v>3</v>
      </c>
      <c r="O43" s="443">
        <f t="shared" ref="O43" si="26">SUM(O33:O42)</f>
        <v>0</v>
      </c>
      <c r="P43" s="444">
        <f>SUM(P33:P42)</f>
        <v>15</v>
      </c>
      <c r="Q43" s="444">
        <f>SUM(Q33:Q42)</f>
        <v>13</v>
      </c>
      <c r="R43" s="445">
        <f>SUM(R33:R42)</f>
        <v>10</v>
      </c>
      <c r="S43" s="451">
        <f>SUM(S33:S42)</f>
        <v>107</v>
      </c>
      <c r="T43" s="687"/>
      <c r="U43" s="26"/>
      <c r="V43" s="442" t="s">
        <v>191</v>
      </c>
      <c r="W43" s="443">
        <f t="shared" ref="W43:Y43" si="27">SUM(W33:W42)</f>
        <v>19</v>
      </c>
      <c r="X43" s="444">
        <f>SUM(X33:X42)</f>
        <v>9.89</v>
      </c>
      <c r="Y43" s="443">
        <f t="shared" si="27"/>
        <v>48.4</v>
      </c>
      <c r="Z43" s="444">
        <f>SUM(Z33:Z42)</f>
        <v>10.98</v>
      </c>
      <c r="AA43" s="444">
        <f>SUM(AA33:AA42)</f>
        <v>0</v>
      </c>
      <c r="AB43" s="720">
        <f>SUM(AB33:AB42)</f>
        <v>0</v>
      </c>
      <c r="AC43" s="724">
        <f>SUM(AC33:AC42)</f>
        <v>88.27000000000001</v>
      </c>
      <c r="AD43" s="725">
        <f>SUM(AD33:AD42)</f>
        <v>19.399999999999999</v>
      </c>
      <c r="AE43" s="579">
        <f>AC43+AD43</f>
        <v>107.67000000000002</v>
      </c>
      <c r="AH43" s="24"/>
      <c r="AJ43" s="25"/>
      <c r="AL43" s="24"/>
      <c r="AN43" s="25"/>
      <c r="AP43" s="24"/>
      <c r="AR43" s="25"/>
      <c r="AT43" s="24"/>
      <c r="AV43" s="25"/>
      <c r="AX43" s="23"/>
      <c r="AY43" s="23"/>
      <c r="AZ43" s="23"/>
      <c r="BA43" s="23"/>
      <c r="BB43" s="23"/>
      <c r="BC43" s="23"/>
      <c r="BD43" s="23"/>
      <c r="BE43" s="23"/>
      <c r="BF43" s="23"/>
      <c r="BG43" s="23"/>
    </row>
    <row r="44" spans="1:59" ht="15" customHeight="1" thickBot="1">
      <c r="L44" s="26"/>
      <c r="M44" s="26"/>
      <c r="N44" s="24"/>
      <c r="P44" s="26"/>
      <c r="Q44" s="26"/>
      <c r="R44" s="24"/>
      <c r="T44" s="26"/>
      <c r="U44" s="26"/>
      <c r="V44" s="24"/>
      <c r="Z44" s="24"/>
      <c r="AD44" s="24"/>
      <c r="AE44" s="26"/>
      <c r="AF44" s="466"/>
      <c r="AG44" s="466"/>
      <c r="AH44" s="466"/>
      <c r="AI44" s="467"/>
      <c r="AL44" s="24"/>
      <c r="AM44" s="25"/>
      <c r="AP44" s="24"/>
      <c r="AQ44" s="25"/>
      <c r="AT44" s="24"/>
      <c r="AU44" s="25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</row>
    <row r="45" spans="1:59" ht="27.75" customHeight="1" thickBot="1">
      <c r="L45" s="1929" t="str">
        <f>L31</f>
        <v>Mode wise Collection Plan-19-01-2022</v>
      </c>
      <c r="M45" s="1930"/>
      <c r="N45" s="1930"/>
      <c r="O45" s="1930"/>
      <c r="P45" s="1930"/>
      <c r="Q45" s="1930"/>
      <c r="R45" s="1930"/>
      <c r="S45" s="1930"/>
      <c r="T45" s="1931"/>
      <c r="U45" s="26"/>
      <c r="V45" s="1923" t="s">
        <v>295</v>
      </c>
      <c r="W45" s="1937"/>
      <c r="X45" s="1937"/>
      <c r="Y45" s="1937"/>
      <c r="Z45" s="1937"/>
      <c r="AA45" s="1937"/>
      <c r="AB45" s="1937"/>
      <c r="AC45" s="1937"/>
      <c r="AD45" s="1937"/>
      <c r="AE45" s="1938"/>
      <c r="AF45" s="466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</row>
    <row r="46" spans="1:59" s="28" customFormat="1" ht="31.5">
      <c r="D46" s="29"/>
      <c r="E46" s="29"/>
      <c r="F46" s="29"/>
      <c r="I46" s="29"/>
      <c r="J46" s="1011" t="s">
        <v>270</v>
      </c>
      <c r="K46" s="1011" t="s">
        <v>196</v>
      </c>
      <c r="L46" s="450" t="s">
        <v>0</v>
      </c>
      <c r="M46" s="439" t="s">
        <v>200</v>
      </c>
      <c r="N46" s="454" t="s">
        <v>205</v>
      </c>
      <c r="O46" s="439" t="s">
        <v>31</v>
      </c>
      <c r="P46" s="448" t="s">
        <v>201</v>
      </c>
      <c r="Q46" s="455" t="s">
        <v>206</v>
      </c>
      <c r="R46" s="436" t="s">
        <v>22</v>
      </c>
      <c r="S46" s="438" t="s">
        <v>191</v>
      </c>
      <c r="T46" s="438" t="s">
        <v>244</v>
      </c>
      <c r="U46" s="26"/>
      <c r="V46" s="596" t="s">
        <v>0</v>
      </c>
      <c r="W46" s="436" t="s">
        <v>200</v>
      </c>
      <c r="X46" s="454" t="s">
        <v>205</v>
      </c>
      <c r="Y46" s="436" t="s">
        <v>31</v>
      </c>
      <c r="Z46" s="448" t="s">
        <v>201</v>
      </c>
      <c r="AA46" s="453" t="s">
        <v>206</v>
      </c>
      <c r="AB46" s="453" t="s">
        <v>210</v>
      </c>
      <c r="AC46" s="436" t="s">
        <v>22</v>
      </c>
      <c r="AD46" s="437" t="s">
        <v>191</v>
      </c>
      <c r="AE46" s="438" t="s">
        <v>244</v>
      </c>
      <c r="AG46" s="952" t="s">
        <v>32</v>
      </c>
      <c r="AH46" s="1022">
        <v>26</v>
      </c>
      <c r="AI46" s="1022" t="s">
        <v>23</v>
      </c>
      <c r="AJ46" s="1022" t="s">
        <v>271</v>
      </c>
      <c r="AK46" s="23"/>
      <c r="AL46" s="23"/>
      <c r="AM46" s="23"/>
      <c r="AN46" s="23"/>
      <c r="AO46" s="23"/>
      <c r="AP46" s="23"/>
      <c r="AQ46" s="23"/>
      <c r="AR46" s="23"/>
    </row>
    <row r="47" spans="1:59" ht="26.25">
      <c r="J47" s="441">
        <v>19.940000000000001</v>
      </c>
      <c r="K47" s="441"/>
      <c r="L47" s="441" t="s">
        <v>189</v>
      </c>
      <c r="M47" s="470">
        <v>23</v>
      </c>
      <c r="N47" s="430">
        <v>0</v>
      </c>
      <c r="O47" s="430">
        <v>0</v>
      </c>
      <c r="P47" s="430">
        <v>0</v>
      </c>
      <c r="Q47" s="430">
        <v>0</v>
      </c>
      <c r="R47" s="430">
        <v>0</v>
      </c>
      <c r="S47" s="446">
        <f t="shared" ref="S47:S56" si="28">SUM(M47:R47)</f>
        <v>23</v>
      </c>
      <c r="T47" s="446">
        <v>7</v>
      </c>
      <c r="U47" s="26"/>
      <c r="V47" s="586" t="s">
        <v>189</v>
      </c>
      <c r="W47" s="1205"/>
      <c r="X47" s="1205">
        <v>1</v>
      </c>
      <c r="Y47" s="1205"/>
      <c r="Z47" s="1205">
        <v>1</v>
      </c>
      <c r="AA47" s="1205"/>
      <c r="AB47" s="1129">
        <v>0</v>
      </c>
      <c r="AC47" s="1205"/>
      <c r="AD47" s="1208">
        <f t="shared" ref="AD47:AD56" si="29">SUM(W47:AC47)</f>
        <v>2</v>
      </c>
      <c r="AE47" s="1025">
        <f>L27+L28+L29</f>
        <v>7.4</v>
      </c>
      <c r="AG47" s="953"/>
      <c r="AH47" s="1017">
        <v>9</v>
      </c>
      <c r="AI47" s="1017"/>
      <c r="AJ47" s="1017"/>
      <c r="AK47" s="28"/>
      <c r="AL47" s="28"/>
      <c r="AM47" s="28"/>
      <c r="AN47" s="28"/>
      <c r="AO47" s="28"/>
      <c r="AP47" s="28"/>
      <c r="AQ47" s="28"/>
      <c r="AR47" s="28"/>
      <c r="AT47" s="24"/>
      <c r="AU47" s="25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</row>
    <row r="48" spans="1:59" ht="26.25">
      <c r="J48" s="441"/>
      <c r="K48" s="441"/>
      <c r="L48" s="441" t="s">
        <v>183</v>
      </c>
      <c r="M48" s="470">
        <v>5</v>
      </c>
      <c r="N48" s="430">
        <v>0</v>
      </c>
      <c r="O48" s="430">
        <v>0</v>
      </c>
      <c r="P48" s="430">
        <v>0</v>
      </c>
      <c r="Q48" s="430">
        <v>0</v>
      </c>
      <c r="R48" s="430">
        <v>0</v>
      </c>
      <c r="S48" s="446">
        <f t="shared" si="28"/>
        <v>5</v>
      </c>
      <c r="T48" s="446"/>
      <c r="U48" s="466"/>
      <c r="V48" s="586" t="s">
        <v>183</v>
      </c>
      <c r="W48" s="1205"/>
      <c r="X48" s="1205"/>
      <c r="Y48" s="1205"/>
      <c r="Z48" s="1205"/>
      <c r="AA48" s="1205"/>
      <c r="AB48" s="1129">
        <v>0</v>
      </c>
      <c r="AC48" s="1205"/>
      <c r="AD48" s="1208">
        <f t="shared" si="29"/>
        <v>0</v>
      </c>
      <c r="AE48" s="1025">
        <f>P27+P28+P29</f>
        <v>0</v>
      </c>
      <c r="AG48" s="953"/>
      <c r="AH48" s="951">
        <v>30</v>
      </c>
      <c r="AI48" s="951"/>
      <c r="AJ48" s="655"/>
      <c r="AL48" s="24"/>
      <c r="AM48" s="25"/>
      <c r="AP48" s="24"/>
      <c r="AQ48" s="25"/>
      <c r="AT48" s="24"/>
      <c r="AU48" s="25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</row>
    <row r="49" spans="4:59" ht="26.25">
      <c r="J49" s="441"/>
      <c r="K49" s="441"/>
      <c r="L49" s="441" t="s">
        <v>184</v>
      </c>
      <c r="M49" s="470">
        <v>0</v>
      </c>
      <c r="N49" s="430">
        <v>0</v>
      </c>
      <c r="O49" s="430">
        <v>0</v>
      </c>
      <c r="P49" s="430">
        <v>0</v>
      </c>
      <c r="Q49" s="430">
        <v>5</v>
      </c>
      <c r="R49" s="430">
        <v>0</v>
      </c>
      <c r="S49" s="446">
        <f t="shared" si="28"/>
        <v>5</v>
      </c>
      <c r="T49" s="446"/>
      <c r="U49" s="466"/>
      <c r="V49" s="586" t="s">
        <v>184</v>
      </c>
      <c r="W49" s="1205"/>
      <c r="X49" s="1205"/>
      <c r="Y49" s="1205"/>
      <c r="Z49" s="1205"/>
      <c r="AA49" s="1205"/>
      <c r="AB49" s="1129">
        <v>0</v>
      </c>
      <c r="AC49" s="1205"/>
      <c r="AD49" s="1208">
        <f t="shared" si="29"/>
        <v>0</v>
      </c>
      <c r="AE49" s="1025">
        <f>T27+T28+T29</f>
        <v>0</v>
      </c>
      <c r="AG49" s="953"/>
      <c r="AH49" s="951">
        <v>10</v>
      </c>
      <c r="AI49" s="951"/>
      <c r="AJ49" s="655"/>
      <c r="AL49" s="24"/>
      <c r="AM49" s="25"/>
      <c r="AP49" s="24"/>
      <c r="AQ49" s="25"/>
      <c r="AT49" s="24"/>
      <c r="AU49" s="25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</row>
    <row r="50" spans="4:59" ht="26.25">
      <c r="J50" s="441">
        <v>17</v>
      </c>
      <c r="K50" s="441"/>
      <c r="L50" s="441" t="s">
        <v>170</v>
      </c>
      <c r="M50" s="470">
        <v>2</v>
      </c>
      <c r="N50" s="430">
        <v>3</v>
      </c>
      <c r="O50" s="430">
        <v>0</v>
      </c>
      <c r="P50" s="430">
        <v>0</v>
      </c>
      <c r="Q50" s="430">
        <v>0</v>
      </c>
      <c r="R50" s="430">
        <v>0</v>
      </c>
      <c r="S50" s="446">
        <f t="shared" si="28"/>
        <v>5</v>
      </c>
      <c r="T50" s="446"/>
      <c r="U50" s="466"/>
      <c r="V50" s="586" t="s">
        <v>170</v>
      </c>
      <c r="W50" s="1205">
        <v>4</v>
      </c>
      <c r="X50" s="1205"/>
      <c r="Y50" s="1205"/>
      <c r="Z50" s="1205"/>
      <c r="AA50" s="1205"/>
      <c r="AB50" s="1129">
        <v>0</v>
      </c>
      <c r="AC50" s="1205"/>
      <c r="AD50" s="1208">
        <f t="shared" si="29"/>
        <v>4</v>
      </c>
      <c r="AE50" s="1025">
        <f>X27+X28+X29</f>
        <v>0</v>
      </c>
      <c r="AG50" s="953"/>
      <c r="AH50" s="951">
        <f>SUM(AH40:AH49)</f>
        <v>75</v>
      </c>
      <c r="AI50" s="951"/>
      <c r="AJ50" s="655"/>
      <c r="AL50" s="24"/>
      <c r="AM50" s="25"/>
      <c r="AP50" s="24"/>
      <c r="AQ50" s="25"/>
      <c r="AT50" s="24"/>
      <c r="AU50" s="25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</row>
    <row r="51" spans="4:59" ht="26.25">
      <c r="J51" s="441"/>
      <c r="K51" s="441"/>
      <c r="L51" s="441" t="s">
        <v>171</v>
      </c>
      <c r="M51" s="470">
        <v>0</v>
      </c>
      <c r="N51" s="430">
        <v>0</v>
      </c>
      <c r="O51" s="430">
        <v>0</v>
      </c>
      <c r="P51" s="430">
        <v>0</v>
      </c>
      <c r="Q51" s="430">
        <v>0</v>
      </c>
      <c r="R51" s="430">
        <v>0</v>
      </c>
      <c r="S51" s="446">
        <f t="shared" si="28"/>
        <v>0</v>
      </c>
      <c r="T51" s="446"/>
      <c r="U51" s="466"/>
      <c r="V51" s="586" t="s">
        <v>171</v>
      </c>
      <c r="W51" s="1205"/>
      <c r="X51" s="1205"/>
      <c r="Y51" s="1205"/>
      <c r="Z51" s="1205"/>
      <c r="AA51" s="1205"/>
      <c r="AB51" s="1129">
        <v>0</v>
      </c>
      <c r="AC51" s="1205"/>
      <c r="AD51" s="1208">
        <f t="shared" si="29"/>
        <v>0</v>
      </c>
      <c r="AE51" s="1025">
        <f>AB27+AB28+AB29</f>
        <v>0</v>
      </c>
      <c r="AG51" s="953"/>
      <c r="AH51" s="951"/>
      <c r="AI51" s="951"/>
      <c r="AJ51" s="655"/>
      <c r="AL51" s="24"/>
      <c r="AM51" s="25"/>
      <c r="AP51" s="24"/>
      <c r="AQ51" s="25"/>
      <c r="AT51" s="24"/>
      <c r="AU51" s="25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</row>
    <row r="52" spans="4:59" ht="26.25">
      <c r="J52" s="441"/>
      <c r="K52" s="441">
        <v>30</v>
      </c>
      <c r="L52" s="441" t="s">
        <v>190</v>
      </c>
      <c r="M52" s="492">
        <v>20</v>
      </c>
      <c r="N52" s="471">
        <v>0</v>
      </c>
      <c r="O52" s="471">
        <v>0</v>
      </c>
      <c r="P52" s="471">
        <v>0</v>
      </c>
      <c r="Q52" s="430">
        <v>0</v>
      </c>
      <c r="R52" s="471">
        <v>0</v>
      </c>
      <c r="S52" s="446">
        <f t="shared" si="28"/>
        <v>20</v>
      </c>
      <c r="T52" s="446"/>
      <c r="U52" s="466"/>
      <c r="V52" s="586" t="s">
        <v>190</v>
      </c>
      <c r="W52" s="1205">
        <v>8.8000000000000007</v>
      </c>
      <c r="X52" s="1205"/>
      <c r="Y52" s="1205"/>
      <c r="Z52" s="1205"/>
      <c r="AA52" s="1205"/>
      <c r="AB52" s="1129">
        <v>0</v>
      </c>
      <c r="AC52" s="1205"/>
      <c r="AD52" s="1208">
        <f t="shared" si="29"/>
        <v>8.8000000000000007</v>
      </c>
      <c r="AE52" s="1025">
        <f>AF27+AF28+AF29</f>
        <v>0</v>
      </c>
      <c r="AG52" s="954"/>
      <c r="AH52" s="951"/>
      <c r="AI52" s="951"/>
      <c r="AJ52" s="655"/>
      <c r="AL52" s="24"/>
      <c r="AM52" s="25"/>
      <c r="AP52" s="24"/>
      <c r="AQ52" s="25"/>
      <c r="AT52" s="24"/>
      <c r="AU52" s="25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</row>
    <row r="53" spans="4:59" ht="26.25">
      <c r="J53" s="441">
        <v>19.809999999999999</v>
      </c>
      <c r="K53" s="441">
        <v>24.81</v>
      </c>
      <c r="L53" s="441" t="s">
        <v>185</v>
      </c>
      <c r="M53" s="470">
        <v>1</v>
      </c>
      <c r="N53" s="430">
        <v>0</v>
      </c>
      <c r="O53" s="430">
        <v>0</v>
      </c>
      <c r="P53" s="430">
        <v>15</v>
      </c>
      <c r="Q53" s="430">
        <v>0</v>
      </c>
      <c r="R53" s="430">
        <v>10</v>
      </c>
      <c r="S53" s="446">
        <f t="shared" si="28"/>
        <v>26</v>
      </c>
      <c r="T53" s="446"/>
      <c r="U53" s="466"/>
      <c r="V53" s="586" t="s">
        <v>185</v>
      </c>
      <c r="W53" s="1205">
        <v>5</v>
      </c>
      <c r="X53" s="1205"/>
      <c r="Y53" s="1205"/>
      <c r="Z53" s="1205"/>
      <c r="AA53" s="1205"/>
      <c r="AB53" s="1129">
        <v>0</v>
      </c>
      <c r="AC53" s="1205"/>
      <c r="AD53" s="1208">
        <f t="shared" si="29"/>
        <v>5</v>
      </c>
      <c r="AE53" s="1025">
        <f>AN27+AN28+AN29</f>
        <v>0</v>
      </c>
      <c r="AG53" s="954"/>
      <c r="AH53" s="951"/>
      <c r="AI53" s="951"/>
      <c r="AJ53" s="655"/>
      <c r="AL53" s="24"/>
      <c r="AM53" s="25"/>
      <c r="AP53" s="24"/>
      <c r="AQ53" s="25"/>
      <c r="AT53" s="24"/>
      <c r="AU53" s="25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</row>
    <row r="54" spans="4:59" ht="26.25">
      <c r="J54" s="441"/>
      <c r="K54" s="441"/>
      <c r="L54" s="441" t="s">
        <v>202</v>
      </c>
      <c r="M54" s="470">
        <v>5</v>
      </c>
      <c r="N54" s="430">
        <v>0</v>
      </c>
      <c r="O54" s="430">
        <v>0</v>
      </c>
      <c r="P54" s="430">
        <v>0</v>
      </c>
      <c r="Q54" s="430">
        <v>0</v>
      </c>
      <c r="R54" s="430">
        <v>0</v>
      </c>
      <c r="S54" s="446">
        <f t="shared" si="28"/>
        <v>5</v>
      </c>
      <c r="T54" s="446"/>
      <c r="U54" s="466"/>
      <c r="V54" s="586" t="s">
        <v>202</v>
      </c>
      <c r="W54" s="1205"/>
      <c r="X54" s="1205"/>
      <c r="Y54" s="1205"/>
      <c r="Z54" s="1205"/>
      <c r="AA54" s="1205"/>
      <c r="AB54" s="1129">
        <v>0</v>
      </c>
      <c r="AC54" s="1205"/>
      <c r="AD54" s="1208">
        <f t="shared" si="29"/>
        <v>0</v>
      </c>
      <c r="AE54" s="1025">
        <f>AR27+AR28+AR29</f>
        <v>0</v>
      </c>
      <c r="AG54" s="952"/>
      <c r="AH54" s="951"/>
      <c r="AI54" s="951"/>
      <c r="AJ54" s="655"/>
      <c r="AL54" s="24"/>
      <c r="AM54" s="25"/>
      <c r="AP54" s="24"/>
      <c r="AQ54" s="25"/>
      <c r="AT54" s="24"/>
      <c r="AU54" s="25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</row>
    <row r="55" spans="4:59" ht="26.25">
      <c r="J55" s="441"/>
      <c r="K55" s="441"/>
      <c r="L55" s="441" t="s">
        <v>186</v>
      </c>
      <c r="M55" s="470">
        <v>10</v>
      </c>
      <c r="N55" s="430">
        <v>0</v>
      </c>
      <c r="O55" s="430">
        <v>0</v>
      </c>
      <c r="P55" s="430">
        <v>0</v>
      </c>
      <c r="Q55" s="430">
        <v>0</v>
      </c>
      <c r="R55" s="430">
        <v>0</v>
      </c>
      <c r="S55" s="446">
        <f t="shared" si="28"/>
        <v>10</v>
      </c>
      <c r="T55" s="446">
        <v>12</v>
      </c>
      <c r="U55" s="466"/>
      <c r="V55" s="586" t="s">
        <v>186</v>
      </c>
      <c r="W55" s="1205"/>
      <c r="X55" s="1205"/>
      <c r="Y55" s="1205"/>
      <c r="Z55" s="1205"/>
      <c r="AA55" s="1205"/>
      <c r="AB55" s="1129">
        <v>0</v>
      </c>
      <c r="AC55" s="1205"/>
      <c r="AD55" s="1208">
        <f t="shared" si="29"/>
        <v>0</v>
      </c>
      <c r="AE55" s="1025">
        <f>AV27+AV28+AV29</f>
        <v>12</v>
      </c>
      <c r="AG55" s="952"/>
      <c r="AH55" s="951"/>
      <c r="AI55" s="951"/>
      <c r="AJ55" s="655"/>
      <c r="AL55" s="24"/>
      <c r="AM55" s="25"/>
      <c r="AP55" s="24"/>
      <c r="AQ55" s="25"/>
      <c r="AT55" s="24"/>
      <c r="AU55" s="25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</row>
    <row r="56" spans="4:59" ht="26.25">
      <c r="J56" s="441">
        <v>15.6</v>
      </c>
      <c r="K56" s="441"/>
      <c r="L56" s="441" t="s">
        <v>203</v>
      </c>
      <c r="M56" s="470">
        <v>0</v>
      </c>
      <c r="N56" s="430">
        <v>0</v>
      </c>
      <c r="O56" s="430">
        <v>0</v>
      </c>
      <c r="P56" s="430">
        <v>0</v>
      </c>
      <c r="Q56" s="430">
        <v>8</v>
      </c>
      <c r="R56" s="430">
        <v>0</v>
      </c>
      <c r="S56" s="446">
        <f t="shared" si="28"/>
        <v>8</v>
      </c>
      <c r="T56" s="446"/>
      <c r="U56" s="466"/>
      <c r="V56" s="586" t="s">
        <v>203</v>
      </c>
      <c r="W56" s="1205"/>
      <c r="X56" s="1205"/>
      <c r="Y56" s="1205"/>
      <c r="Z56" s="1205"/>
      <c r="AA56" s="1205"/>
      <c r="AB56" s="1129">
        <v>0</v>
      </c>
      <c r="AC56" s="1205"/>
      <c r="AD56" s="1208">
        <f t="shared" si="29"/>
        <v>0</v>
      </c>
      <c r="AE56" s="1025">
        <f>AZ27+AZ28+AZ29</f>
        <v>0</v>
      </c>
      <c r="AG56" s="952"/>
      <c r="AH56" s="951"/>
      <c r="AI56" s="951"/>
      <c r="AJ56" s="655"/>
      <c r="AL56" s="24"/>
      <c r="AM56" s="25"/>
      <c r="AP56" s="24"/>
      <c r="AQ56" s="25"/>
      <c r="AT56" s="24"/>
      <c r="AU56" s="25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</row>
    <row r="57" spans="4:59" ht="27" thickBot="1">
      <c r="J57" s="442">
        <f t="shared" ref="J57:K57" si="30">SUM(J47:J56)</f>
        <v>72.349999999999994</v>
      </c>
      <c r="K57" s="442">
        <f t="shared" si="30"/>
        <v>54.81</v>
      </c>
      <c r="L57" s="442" t="s">
        <v>191</v>
      </c>
      <c r="M57" s="443">
        <f t="shared" ref="M57" si="31">SUM(M47:M56)</f>
        <v>66</v>
      </c>
      <c r="N57" s="444">
        <f>SUM(N47:N56)</f>
        <v>3</v>
      </c>
      <c r="O57" s="443">
        <f t="shared" ref="O57" si="32">SUM(O47:O56)</f>
        <v>0</v>
      </c>
      <c r="P57" s="444">
        <f>SUM(P47:P56)</f>
        <v>15</v>
      </c>
      <c r="Q57" s="444">
        <f>SUM(Q47:Q56)</f>
        <v>13</v>
      </c>
      <c r="R57" s="445">
        <f>SUM(R47:R56)</f>
        <v>10</v>
      </c>
      <c r="S57" s="451">
        <f>SUM(S47:S56)</f>
        <v>107</v>
      </c>
      <c r="T57" s="451">
        <f>SUM(T47:T56)</f>
        <v>19</v>
      </c>
      <c r="U57" s="466"/>
      <c r="V57" s="588" t="s">
        <v>191</v>
      </c>
      <c r="W57" s="1206">
        <f t="shared" ref="W57" si="33">SUM(W47:W56)</f>
        <v>17.8</v>
      </c>
      <c r="X57" s="1207">
        <f>SUM(X47:X56)</f>
        <v>1</v>
      </c>
      <c r="Y57" s="1207">
        <f t="shared" ref="Y57" si="34">SUM(Y47:Y56)</f>
        <v>0</v>
      </c>
      <c r="Z57" s="1207">
        <f>SUM(Z47:Z56)</f>
        <v>1</v>
      </c>
      <c r="AA57" s="1207">
        <f>SUM(AA47:AA56)</f>
        <v>0</v>
      </c>
      <c r="AB57" s="1207">
        <f>SUM(AB47:AB56)</f>
        <v>0</v>
      </c>
      <c r="AC57" s="1207">
        <f t="shared" ref="AC57" si="35">SUM(AC47:AC56)</f>
        <v>0</v>
      </c>
      <c r="AD57" s="1209">
        <f>SUM(AD47:AD56)</f>
        <v>19.8</v>
      </c>
      <c r="AE57" s="1210">
        <f>SUM(AE47:AE56)</f>
        <v>19.399999999999999</v>
      </c>
      <c r="AG57" s="1016">
        <f t="shared" ref="AG57:AJ57" si="36">SUM(AG47:AG56)</f>
        <v>0</v>
      </c>
      <c r="AH57" s="1015">
        <f t="shared" si="36"/>
        <v>124</v>
      </c>
      <c r="AI57" s="1015">
        <f t="shared" si="36"/>
        <v>0</v>
      </c>
      <c r="AJ57" s="1015">
        <f t="shared" si="36"/>
        <v>0</v>
      </c>
      <c r="AL57" s="24"/>
      <c r="AM57" s="25"/>
      <c r="AP57" s="24"/>
      <c r="AQ57" s="25"/>
      <c r="AT57" s="24"/>
      <c r="AU57" s="25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</row>
    <row r="58" spans="4:59" ht="29.25" thickBot="1">
      <c r="M58" s="24">
        <v>74</v>
      </c>
      <c r="N58" s="24"/>
      <c r="O58" s="1924" t="s">
        <v>254</v>
      </c>
      <c r="P58" s="1925"/>
      <c r="Q58" s="1925"/>
      <c r="R58" s="1926"/>
      <c r="S58" s="1927">
        <f>S57+T57</f>
        <v>126</v>
      </c>
      <c r="T58" s="1928"/>
      <c r="U58" s="466"/>
      <c r="V58" s="1932" t="s">
        <v>221</v>
      </c>
      <c r="W58" s="1932"/>
      <c r="X58" s="1932"/>
      <c r="Y58" s="1932"/>
      <c r="Z58" s="1932"/>
      <c r="AA58" s="1932"/>
      <c r="AB58" s="1932"/>
      <c r="AC58" s="1932"/>
      <c r="AD58" s="1969">
        <f>AD57+AE57</f>
        <v>39.200000000000003</v>
      </c>
      <c r="AE58" s="1970"/>
      <c r="AF58" s="466"/>
      <c r="AH58" s="24"/>
      <c r="AI58" s="25"/>
      <c r="AL58" s="24"/>
      <c r="AM58" s="25"/>
      <c r="AP58" s="24"/>
      <c r="AQ58" s="25"/>
      <c r="AT58" s="24"/>
      <c r="AU58" s="25"/>
      <c r="AX58" s="24"/>
      <c r="AY58" s="24"/>
      <c r="AZ58" s="25"/>
      <c r="BA58" s="24"/>
      <c r="BB58" s="24"/>
      <c r="BC58" s="23"/>
      <c r="BD58" s="23"/>
      <c r="BE58" s="23"/>
      <c r="BF58" s="23"/>
      <c r="BG58" s="23"/>
    </row>
    <row r="59" spans="4:59" ht="29.25" thickBot="1">
      <c r="J59" s="24"/>
      <c r="N59" s="24"/>
      <c r="R59" s="24"/>
      <c r="T59" s="26"/>
      <c r="U59" s="26"/>
      <c r="V59" s="966"/>
      <c r="W59" s="966"/>
      <c r="X59" s="966"/>
      <c r="Y59" s="1922" t="s">
        <v>235</v>
      </c>
      <c r="Z59" s="1922"/>
      <c r="AA59" s="1922"/>
      <c r="AB59" s="1922"/>
      <c r="AC59" s="1922"/>
      <c r="AD59" s="1974">
        <f>BH6+BI6+BD20+BE20+L27+BI15+AI22</f>
        <v>45.8</v>
      </c>
      <c r="AE59" s="1974"/>
      <c r="AF59" s="466"/>
      <c r="AH59" s="24"/>
      <c r="AI59" s="25"/>
      <c r="AL59" s="24"/>
      <c r="AP59" s="25"/>
      <c r="AT59" s="25"/>
      <c r="AX59" s="25"/>
      <c r="AY59" s="24"/>
      <c r="AZ59" s="24"/>
      <c r="BA59" s="24"/>
      <c r="BB59" s="25"/>
      <c r="BE59" s="23"/>
      <c r="BF59" s="23"/>
      <c r="BG59" s="23"/>
    </row>
    <row r="60" spans="4:59" s="1064" customFormat="1" ht="38.25" customHeight="1" thickBot="1">
      <c r="D60" s="1079"/>
      <c r="E60" s="1079"/>
      <c r="F60" s="1079"/>
      <c r="I60" s="1079"/>
      <c r="J60" s="1030"/>
      <c r="K60" s="24"/>
      <c r="L60" s="1923" t="s">
        <v>396</v>
      </c>
      <c r="M60" s="1937"/>
      <c r="N60" s="1937"/>
      <c r="O60" s="1937"/>
      <c r="P60" s="1937"/>
      <c r="Q60" s="1937"/>
      <c r="R60" s="1937"/>
      <c r="S60" s="1937"/>
      <c r="T60" s="1937"/>
      <c r="U60" s="1938"/>
      <c r="V60" s="1082"/>
      <c r="W60" s="1093" t="s">
        <v>298</v>
      </c>
      <c r="X60" s="1099" t="s">
        <v>242</v>
      </c>
      <c r="Y60" s="1100" t="s">
        <v>299</v>
      </c>
      <c r="Z60" s="1082"/>
      <c r="AA60" s="1082"/>
      <c r="AB60" s="1082"/>
      <c r="AC60" s="1083"/>
      <c r="AD60" s="1082"/>
      <c r="AE60" s="1080"/>
      <c r="AF60" s="1082"/>
      <c r="AG60" s="1080"/>
      <c r="AH60" s="1080"/>
      <c r="AI60" s="1084"/>
      <c r="AJ60" s="1080"/>
      <c r="AK60" s="1080"/>
      <c r="AL60" s="1080"/>
      <c r="AM60" s="1080"/>
      <c r="AN60" s="1080"/>
      <c r="AO60" s="1080"/>
      <c r="AP60" s="1084"/>
      <c r="AQ60" s="1080"/>
      <c r="AR60" s="1080"/>
      <c r="AS60" s="1080"/>
      <c r="AT60" s="1084"/>
      <c r="AU60" s="1080"/>
      <c r="AV60" s="1080"/>
      <c r="AW60" s="1080"/>
      <c r="AX60" s="1084"/>
      <c r="AY60" s="1081"/>
      <c r="AZ60" s="1081"/>
      <c r="BA60" s="1080"/>
      <c r="BB60" s="1080"/>
      <c r="BC60" s="1084"/>
      <c r="BD60" s="1084"/>
      <c r="BE60" s="1080"/>
    </row>
    <row r="61" spans="4:59" s="1063" customFormat="1" ht="18.75" customHeight="1">
      <c r="D61" s="1085"/>
      <c r="E61" s="1085"/>
      <c r="F61" s="1085"/>
      <c r="I61" s="1085"/>
      <c r="J61" s="1030"/>
      <c r="K61" s="24"/>
      <c r="L61" s="596" t="s">
        <v>0</v>
      </c>
      <c r="M61" s="436" t="s">
        <v>200</v>
      </c>
      <c r="N61" s="454" t="s">
        <v>205</v>
      </c>
      <c r="O61" s="436" t="s">
        <v>31</v>
      </c>
      <c r="P61" s="448" t="s">
        <v>201</v>
      </c>
      <c r="Q61" s="453" t="s">
        <v>206</v>
      </c>
      <c r="R61" s="453" t="s">
        <v>210</v>
      </c>
      <c r="S61" s="436" t="s">
        <v>22</v>
      </c>
      <c r="T61" s="437" t="s">
        <v>191</v>
      </c>
      <c r="U61" s="438" t="s">
        <v>244</v>
      </c>
      <c r="V61" s="1086"/>
      <c r="W61" s="1094"/>
      <c r="X61" s="1095">
        <f>32+14</f>
        <v>46</v>
      </c>
      <c r="Y61" s="1096" t="s">
        <v>185</v>
      </c>
      <c r="Z61" s="1086"/>
      <c r="AA61" s="1086"/>
      <c r="AB61" s="1086"/>
      <c r="AC61" s="1087"/>
      <c r="AD61" s="1103"/>
      <c r="AE61" s="1030"/>
      <c r="AF61" s="1086"/>
      <c r="AG61" s="1030"/>
      <c r="AH61" s="1030"/>
      <c r="AI61" s="1088"/>
      <c r="AJ61" s="1030"/>
      <c r="AK61" s="1030"/>
      <c r="AL61" s="1030"/>
      <c r="AM61" s="1032"/>
      <c r="AN61" s="1032"/>
      <c r="AO61" s="1030"/>
      <c r="AP61" s="1030"/>
      <c r="AQ61" s="1032"/>
      <c r="AR61" s="1032"/>
      <c r="AS61" s="1030"/>
      <c r="AT61" s="1030"/>
      <c r="AU61" s="1032"/>
      <c r="AV61" s="1032"/>
      <c r="AW61" s="1030"/>
      <c r="AX61" s="1030"/>
      <c r="AY61" s="1032"/>
      <c r="AZ61" s="1032"/>
      <c r="BA61" s="1030"/>
      <c r="BB61" s="1030"/>
      <c r="BC61" s="1088"/>
      <c r="BD61" s="1088"/>
      <c r="BE61" s="1030"/>
    </row>
    <row r="62" spans="4:59" s="1063" customFormat="1" ht="26.25">
      <c r="D62" s="1085"/>
      <c r="E62" s="1085"/>
      <c r="F62" s="1085"/>
      <c r="I62" s="1085"/>
      <c r="J62" s="1030"/>
      <c r="K62" s="24"/>
      <c r="L62" s="586" t="s">
        <v>189</v>
      </c>
      <c r="M62" s="1205">
        <v>6</v>
      </c>
      <c r="N62" s="1205">
        <v>5.29</v>
      </c>
      <c r="O62" s="1205">
        <v>0</v>
      </c>
      <c r="P62" s="1205">
        <v>2.23</v>
      </c>
      <c r="Q62" s="1205">
        <v>0</v>
      </c>
      <c r="R62" s="1129"/>
      <c r="S62" s="1205"/>
      <c r="T62" s="1208">
        <f>SUM(M62:S62)</f>
        <v>13.52</v>
      </c>
      <c r="U62" s="1025">
        <v>7.4</v>
      </c>
      <c r="V62" s="1086"/>
      <c r="W62" s="1094">
        <v>26</v>
      </c>
      <c r="X62" s="1095">
        <f>45-20</f>
        <v>25</v>
      </c>
      <c r="Y62" s="1096" t="s">
        <v>165</v>
      </c>
      <c r="Z62" s="1086"/>
      <c r="AA62" s="1086"/>
      <c r="AB62" s="1086"/>
      <c r="AC62" s="1087"/>
      <c r="AD62" s="1086"/>
      <c r="AE62" s="1030"/>
      <c r="AF62" s="1086"/>
      <c r="AG62" s="1030"/>
      <c r="AH62" s="1030"/>
      <c r="AI62" s="1088"/>
      <c r="AJ62" s="1030"/>
      <c r="AK62" s="1030"/>
      <c r="AL62" s="1030"/>
      <c r="AM62" s="1032"/>
      <c r="AN62" s="1032"/>
      <c r="AO62" s="1030"/>
      <c r="AP62" s="1030"/>
      <c r="AQ62" s="1032"/>
      <c r="AR62" s="1032"/>
      <c r="AS62" s="1030"/>
      <c r="AT62" s="1030"/>
      <c r="AU62" s="1032"/>
      <c r="AV62" s="1032"/>
      <c r="AW62" s="1030"/>
      <c r="AX62" s="1030"/>
      <c r="AY62" s="1032"/>
      <c r="AZ62" s="1032"/>
      <c r="BA62" s="1030"/>
      <c r="BB62" s="1030"/>
      <c r="BC62" s="1088"/>
      <c r="BD62" s="1088"/>
      <c r="BE62" s="1030"/>
    </row>
    <row r="63" spans="4:59" s="1063" customFormat="1" ht="26.25">
      <c r="D63" s="1085"/>
      <c r="E63" s="1085"/>
      <c r="F63" s="1085"/>
      <c r="I63" s="1085"/>
      <c r="J63" s="1030"/>
      <c r="K63" s="24"/>
      <c r="L63" s="586" t="s">
        <v>183</v>
      </c>
      <c r="M63" s="1205">
        <v>1</v>
      </c>
      <c r="N63" s="1205">
        <v>0.5</v>
      </c>
      <c r="O63" s="1205">
        <v>0</v>
      </c>
      <c r="P63" s="1205">
        <v>0</v>
      </c>
      <c r="Q63" s="1205">
        <v>0</v>
      </c>
      <c r="R63" s="1129"/>
      <c r="S63" s="1205"/>
      <c r="T63" s="1208">
        <f t="shared" ref="T63:T71" si="37">SUM(M63:S63)</f>
        <v>1.5</v>
      </c>
      <c r="U63" s="1025">
        <v>0</v>
      </c>
      <c r="V63" s="1086"/>
      <c r="W63" s="1094">
        <v>28</v>
      </c>
      <c r="X63" s="1095"/>
      <c r="Y63" s="1096" t="s">
        <v>296</v>
      </c>
      <c r="Z63" s="1086"/>
      <c r="AA63" s="1086"/>
      <c r="AB63" s="1086"/>
      <c r="AC63" s="1087"/>
      <c r="AD63" s="1086"/>
      <c r="AE63" s="1030">
        <v>11</v>
      </c>
      <c r="AF63" s="1086">
        <v>14</v>
      </c>
      <c r="AG63" s="1030"/>
      <c r="AH63" s="1030"/>
      <c r="AI63" s="1030"/>
      <c r="AJ63" s="1030"/>
      <c r="AK63" s="1089"/>
      <c r="AL63" s="1030"/>
      <c r="AM63" s="1032"/>
      <c r="AN63" s="1032"/>
      <c r="AO63" s="1030"/>
      <c r="AP63" s="1030"/>
      <c r="AQ63" s="1032"/>
      <c r="AR63" s="1032"/>
      <c r="AS63" s="1030"/>
      <c r="AT63" s="1030"/>
      <c r="AU63" s="1032"/>
      <c r="AV63" s="1032"/>
      <c r="AW63" s="1030"/>
      <c r="AX63" s="1030"/>
      <c r="AY63" s="1032"/>
      <c r="AZ63" s="1032"/>
      <c r="BA63" s="1030"/>
      <c r="BB63" s="1030"/>
      <c r="BC63" s="1088"/>
      <c r="BD63" s="1088"/>
      <c r="BE63" s="1030"/>
    </row>
    <row r="64" spans="4:59" s="1063" customFormat="1" ht="26.25">
      <c r="D64" s="1085"/>
      <c r="E64" s="1085"/>
      <c r="F64" s="1085"/>
      <c r="I64" s="1085"/>
      <c r="J64" s="1030"/>
      <c r="K64" s="24"/>
      <c r="L64" s="586" t="s">
        <v>184</v>
      </c>
      <c r="M64" s="1205">
        <v>0</v>
      </c>
      <c r="N64" s="1205">
        <v>0</v>
      </c>
      <c r="O64" s="1205">
        <v>0</v>
      </c>
      <c r="P64" s="1205">
        <v>0</v>
      </c>
      <c r="Q64" s="1205">
        <v>0</v>
      </c>
      <c r="R64" s="1129"/>
      <c r="S64" s="1205"/>
      <c r="T64" s="1208">
        <f t="shared" si="37"/>
        <v>0</v>
      </c>
      <c r="U64" s="1025">
        <v>0</v>
      </c>
      <c r="V64" s="1086"/>
      <c r="W64" s="1094"/>
      <c r="X64" s="1095">
        <v>9</v>
      </c>
      <c r="Y64" s="1096" t="s">
        <v>202</v>
      </c>
      <c r="Z64" s="1086"/>
      <c r="AA64" s="1086"/>
      <c r="AB64" s="1086"/>
      <c r="AC64" s="1087"/>
      <c r="AD64" s="1086"/>
      <c r="AE64" s="1030">
        <v>16</v>
      </c>
      <c r="AF64" s="1086">
        <v>20</v>
      </c>
      <c r="AG64" s="1030"/>
      <c r="AH64" s="1030"/>
      <c r="AI64" s="1030"/>
      <c r="AJ64" s="1030"/>
      <c r="AK64" s="1089"/>
      <c r="AL64" s="1030"/>
      <c r="AM64" s="1030"/>
      <c r="AN64" s="1030"/>
      <c r="AO64" s="1032"/>
      <c r="AP64" s="1030"/>
      <c r="AQ64" s="1032"/>
      <c r="AR64" s="1032"/>
      <c r="AS64" s="1030"/>
      <c r="AT64" s="1030"/>
      <c r="AU64" s="1032"/>
      <c r="AV64" s="1032"/>
      <c r="AW64" s="1030"/>
      <c r="AX64" s="1030"/>
      <c r="AY64" s="1032"/>
      <c r="AZ64" s="1032"/>
      <c r="BA64" s="1030"/>
      <c r="BB64" s="1030"/>
      <c r="BC64" s="1030"/>
      <c r="BD64" s="1030"/>
      <c r="BE64" s="1088"/>
      <c r="BF64" s="1030"/>
    </row>
    <row r="65" spans="4:59" s="1063" customFormat="1" ht="26.25">
      <c r="D65" s="1085"/>
      <c r="E65" s="1085"/>
      <c r="F65" s="1085"/>
      <c r="I65" s="1085"/>
      <c r="J65" s="1030"/>
      <c r="K65" s="24"/>
      <c r="L65" s="586" t="s">
        <v>170</v>
      </c>
      <c r="M65" s="1205">
        <v>0</v>
      </c>
      <c r="N65" s="1205">
        <v>1</v>
      </c>
      <c r="O65" s="1205">
        <v>0</v>
      </c>
      <c r="P65" s="1205">
        <v>0</v>
      </c>
      <c r="Q65" s="1205">
        <v>0</v>
      </c>
      <c r="R65" s="1129"/>
      <c r="S65" s="1205"/>
      <c r="T65" s="1208">
        <f t="shared" si="37"/>
        <v>1</v>
      </c>
      <c r="U65" s="1025">
        <v>0</v>
      </c>
      <c r="V65" s="1086"/>
      <c r="W65" s="1094"/>
      <c r="X65" s="1101"/>
      <c r="Y65" s="1096" t="s">
        <v>167</v>
      </c>
      <c r="Z65" s="1102"/>
      <c r="AA65" s="1086"/>
      <c r="AB65" s="1086"/>
      <c r="AC65" s="1087"/>
      <c r="AD65" s="1086"/>
      <c r="AE65" s="1030">
        <v>6</v>
      </c>
      <c r="AF65" s="1086"/>
      <c r="AG65" s="1030"/>
      <c r="AH65" s="1030"/>
      <c r="AI65" s="1030"/>
      <c r="AJ65" s="1030"/>
      <c r="AK65" s="1089"/>
      <c r="AL65" s="1030"/>
      <c r="AM65" s="1030"/>
      <c r="AN65" s="1030"/>
      <c r="AO65" s="1032"/>
      <c r="AP65" s="1030"/>
      <c r="AQ65" s="1032"/>
      <c r="AR65" s="1032"/>
      <c r="AS65" s="1030"/>
      <c r="AT65" s="1030"/>
      <c r="AU65" s="1032"/>
      <c r="AV65" s="1032"/>
      <c r="AW65" s="1030"/>
      <c r="AX65" s="1030"/>
      <c r="AY65" s="1032"/>
      <c r="AZ65" s="1032"/>
      <c r="BA65" s="1030"/>
      <c r="BB65" s="1030"/>
      <c r="BC65" s="1030"/>
      <c r="BD65" s="1030"/>
      <c r="BE65" s="1088"/>
      <c r="BF65" s="1030"/>
    </row>
    <row r="66" spans="4:59" s="1063" customFormat="1" ht="26.25">
      <c r="D66" s="1085"/>
      <c r="E66" s="1085"/>
      <c r="F66" s="1085"/>
      <c r="I66" s="1085"/>
      <c r="J66" s="1030"/>
      <c r="K66" s="24"/>
      <c r="L66" s="586" t="s">
        <v>171</v>
      </c>
      <c r="M66" s="1205">
        <v>0</v>
      </c>
      <c r="N66" s="1205">
        <v>0.5</v>
      </c>
      <c r="O66" s="1205">
        <v>0</v>
      </c>
      <c r="P66" s="1205">
        <v>0</v>
      </c>
      <c r="Q66" s="1205">
        <v>0</v>
      </c>
      <c r="R66" s="1129"/>
      <c r="S66" s="1205"/>
      <c r="T66" s="1208">
        <f t="shared" si="37"/>
        <v>0.5</v>
      </c>
      <c r="U66" s="1025">
        <v>0</v>
      </c>
      <c r="V66" s="1086"/>
      <c r="W66" s="1094"/>
      <c r="X66" s="1095">
        <v>9</v>
      </c>
      <c r="Y66" s="1096" t="s">
        <v>166</v>
      </c>
      <c r="Z66" s="1086"/>
      <c r="AA66" s="1086"/>
      <c r="AB66" s="1086"/>
      <c r="AC66" s="1087"/>
      <c r="AD66" s="1086"/>
      <c r="AE66" s="1030">
        <v>5</v>
      </c>
      <c r="AF66" s="1086"/>
      <c r="AG66" s="1030"/>
      <c r="AH66" s="1030"/>
      <c r="AI66" s="1030"/>
      <c r="AJ66" s="1030"/>
      <c r="AK66" s="1089"/>
      <c r="AL66" s="1030"/>
      <c r="AM66" s="1030"/>
      <c r="AN66" s="1030"/>
      <c r="AO66" s="1032"/>
      <c r="AP66" s="1030"/>
      <c r="AQ66" s="1032"/>
      <c r="AR66" s="1032"/>
      <c r="AS66" s="1030"/>
      <c r="AT66" s="1030"/>
      <c r="AU66" s="1032"/>
      <c r="AV66" s="1032"/>
      <c r="AW66" s="1030"/>
      <c r="AX66" s="1030"/>
      <c r="AY66" s="1032"/>
      <c r="AZ66" s="1032"/>
      <c r="BA66" s="1030"/>
      <c r="BB66" s="1030"/>
      <c r="BC66" s="1030"/>
      <c r="BD66" s="1030"/>
      <c r="BE66" s="1088"/>
      <c r="BF66" s="1030"/>
    </row>
    <row r="67" spans="4:59" s="1063" customFormat="1" ht="26.25">
      <c r="D67" s="1085"/>
      <c r="E67" s="1085"/>
      <c r="F67" s="1085"/>
      <c r="I67" s="1085"/>
      <c r="J67" s="1030"/>
      <c r="K67" s="24"/>
      <c r="L67" s="586" t="s">
        <v>190</v>
      </c>
      <c r="M67" s="1205">
        <v>6</v>
      </c>
      <c r="N67" s="1205">
        <v>0</v>
      </c>
      <c r="O67" s="1205">
        <v>16</v>
      </c>
      <c r="P67" s="1205">
        <v>0</v>
      </c>
      <c r="Q67" s="1205">
        <v>0</v>
      </c>
      <c r="R67" s="1129"/>
      <c r="S67" s="1205"/>
      <c r="T67" s="1208">
        <f t="shared" si="37"/>
        <v>22</v>
      </c>
      <c r="U67" s="1025">
        <v>0</v>
      </c>
      <c r="V67" s="1086"/>
      <c r="W67" s="1094"/>
      <c r="X67" s="1095">
        <v>15.5</v>
      </c>
      <c r="Y67" s="1096" t="s">
        <v>297</v>
      </c>
      <c r="Z67" s="1086"/>
      <c r="AA67" s="1086"/>
      <c r="AB67" s="1086"/>
      <c r="AC67" s="1087"/>
      <c r="AD67" s="1086"/>
      <c r="AE67" s="1030"/>
      <c r="AF67" s="1086"/>
      <c r="AG67" s="1030"/>
      <c r="AH67" s="1030"/>
      <c r="AI67" s="1030"/>
      <c r="AJ67" s="1030"/>
      <c r="AK67" s="1089"/>
      <c r="AL67" s="1030"/>
      <c r="AM67" s="1030"/>
      <c r="AN67" s="1030"/>
      <c r="AO67" s="1032"/>
      <c r="AP67" s="1030"/>
      <c r="AQ67" s="1032"/>
      <c r="AR67" s="1032"/>
      <c r="AS67" s="1030"/>
      <c r="AT67" s="1030"/>
      <c r="AU67" s="1032"/>
      <c r="AV67" s="1032"/>
      <c r="AW67" s="1030"/>
      <c r="AX67" s="1030"/>
      <c r="AY67" s="1032"/>
      <c r="AZ67" s="1032"/>
      <c r="BA67" s="1030"/>
      <c r="BB67" s="1030"/>
      <c r="BC67" s="1030"/>
      <c r="BD67" s="1030"/>
      <c r="BE67" s="1088"/>
      <c r="BF67" s="1030"/>
    </row>
    <row r="68" spans="4:59" ht="26.25">
      <c r="J68" s="24"/>
      <c r="L68" s="586" t="s">
        <v>185</v>
      </c>
      <c r="M68" s="1205">
        <v>0</v>
      </c>
      <c r="N68" s="1205">
        <v>2.6</v>
      </c>
      <c r="O68" s="1205">
        <v>0</v>
      </c>
      <c r="P68" s="1205">
        <v>8.75</v>
      </c>
      <c r="Q68" s="1205">
        <v>0</v>
      </c>
      <c r="R68" s="1129"/>
      <c r="S68" s="1205"/>
      <c r="T68" s="1208">
        <f t="shared" si="37"/>
        <v>11.35</v>
      </c>
      <c r="U68" s="1025">
        <v>0</v>
      </c>
      <c r="V68" s="466"/>
      <c r="W68" s="1029"/>
      <c r="X68" s="1097">
        <f>SUM(X61:X67)</f>
        <v>104.5</v>
      </c>
      <c r="Y68" s="1098" t="s">
        <v>191</v>
      </c>
      <c r="Z68" s="466"/>
      <c r="AA68" s="466"/>
      <c r="AB68" s="466"/>
      <c r="AC68" s="465"/>
      <c r="AD68" s="1086"/>
      <c r="AE68" s="1030">
        <v>45</v>
      </c>
      <c r="AF68" s="1086"/>
      <c r="AG68" s="1030"/>
      <c r="AH68" s="1030"/>
      <c r="AK68" s="49"/>
      <c r="AL68" s="24"/>
      <c r="AO68" s="26"/>
      <c r="AP68" s="24"/>
      <c r="AQ68" s="26"/>
      <c r="AR68" s="26"/>
      <c r="AT68" s="24"/>
      <c r="AU68" s="26"/>
      <c r="AV68" s="26"/>
      <c r="AX68" s="24"/>
      <c r="AY68" s="26"/>
      <c r="AZ68" s="26"/>
      <c r="BA68" s="24"/>
      <c r="BB68" s="24"/>
      <c r="BE68" s="25"/>
      <c r="BF68" s="24"/>
      <c r="BG68" s="23"/>
    </row>
    <row r="69" spans="4:59" ht="26.25">
      <c r="L69" s="586" t="s">
        <v>202</v>
      </c>
      <c r="M69" s="1205">
        <v>0</v>
      </c>
      <c r="N69" s="1205">
        <v>0</v>
      </c>
      <c r="O69" s="1205">
        <v>0</v>
      </c>
      <c r="P69" s="1205">
        <v>0</v>
      </c>
      <c r="Q69" s="1205">
        <v>0</v>
      </c>
      <c r="R69" s="1129"/>
      <c r="S69" s="1205"/>
      <c r="T69" s="1208">
        <f t="shared" si="37"/>
        <v>0</v>
      </c>
      <c r="U69" s="1025">
        <v>0</v>
      </c>
      <c r="V69" s="466"/>
      <c r="W69" s="466"/>
      <c r="X69" s="466"/>
      <c r="Y69" s="465"/>
      <c r="Z69" s="466"/>
      <c r="AA69" s="466"/>
      <c r="AB69" s="466"/>
      <c r="AC69" s="465"/>
      <c r="AD69" s="1086"/>
      <c r="AE69" s="1030">
        <v>37</v>
      </c>
      <c r="AF69" s="1086"/>
      <c r="AG69" s="1030"/>
      <c r="AH69" s="1030"/>
      <c r="AK69" s="49"/>
      <c r="AL69" s="24"/>
      <c r="AO69" s="26"/>
      <c r="AP69" s="24"/>
      <c r="AQ69" s="26"/>
      <c r="AR69" s="26"/>
      <c r="AT69" s="24"/>
      <c r="AU69" s="26"/>
      <c r="AV69" s="26"/>
      <c r="AX69" s="24"/>
      <c r="AY69" s="26"/>
      <c r="AZ69" s="26"/>
      <c r="BA69" s="24"/>
      <c r="BB69" s="24"/>
      <c r="BE69" s="25"/>
      <c r="BF69" s="24"/>
      <c r="BG69" s="23"/>
    </row>
    <row r="70" spans="4:59" ht="26.25">
      <c r="L70" s="586" t="s">
        <v>186</v>
      </c>
      <c r="M70" s="1205">
        <v>6</v>
      </c>
      <c r="N70" s="1205">
        <v>0</v>
      </c>
      <c r="O70" s="1205">
        <v>23</v>
      </c>
      <c r="P70" s="1205">
        <v>0</v>
      </c>
      <c r="Q70" s="1205">
        <v>0</v>
      </c>
      <c r="R70" s="1129"/>
      <c r="S70" s="1205"/>
      <c r="T70" s="1208">
        <f t="shared" si="37"/>
        <v>29</v>
      </c>
      <c r="U70" s="1025">
        <v>12</v>
      </c>
      <c r="V70" s="466"/>
      <c r="W70" s="466"/>
      <c r="X70" s="466"/>
      <c r="Y70" s="465"/>
      <c r="Z70" s="466"/>
      <c r="AA70" s="466"/>
      <c r="AB70" s="466"/>
      <c r="AC70" s="465"/>
      <c r="AD70" s="1086"/>
      <c r="AE70" s="1030">
        <v>11</v>
      </c>
      <c r="AF70" s="1086"/>
      <c r="AG70" s="1030"/>
      <c r="AH70" s="1030"/>
      <c r="AK70" s="49"/>
      <c r="AL70" s="24"/>
      <c r="AM70" s="26"/>
      <c r="AN70" s="26"/>
      <c r="AY70" s="24"/>
      <c r="AZ70" s="24"/>
      <c r="BA70" s="24"/>
      <c r="BB70" s="24"/>
      <c r="BC70" s="25"/>
      <c r="BD70" s="25"/>
      <c r="BF70" s="23"/>
      <c r="BG70" s="23"/>
    </row>
    <row r="71" spans="4:59" ht="26.25">
      <c r="L71" s="586" t="s">
        <v>203</v>
      </c>
      <c r="M71" s="1205">
        <v>0</v>
      </c>
      <c r="N71" s="1205">
        <v>0</v>
      </c>
      <c r="O71" s="1205">
        <v>9.4</v>
      </c>
      <c r="P71" s="1205">
        <v>0</v>
      </c>
      <c r="Q71" s="1205">
        <v>0</v>
      </c>
      <c r="R71" s="1129"/>
      <c r="S71" s="1205"/>
      <c r="T71" s="1208">
        <f t="shared" si="37"/>
        <v>9.4</v>
      </c>
      <c r="U71" s="1025">
        <v>0</v>
      </c>
      <c r="V71" s="466"/>
      <c r="W71" s="466"/>
      <c r="X71" s="466"/>
      <c r="Y71" s="465"/>
      <c r="Z71" s="466"/>
      <c r="AA71" s="466"/>
      <c r="AB71" s="466"/>
      <c r="AC71" s="465"/>
      <c r="AD71" s="1086"/>
      <c r="AE71" s="1030"/>
      <c r="AF71" s="1086"/>
      <c r="AG71" s="1030"/>
      <c r="AH71" s="1030"/>
      <c r="AK71" s="49"/>
      <c r="AL71" s="24"/>
      <c r="AM71" s="26"/>
      <c r="AN71" s="26"/>
      <c r="AY71" s="24"/>
      <c r="AZ71" s="24"/>
      <c r="BA71" s="24"/>
      <c r="BB71" s="24"/>
      <c r="BC71" s="25"/>
      <c r="BD71" s="25"/>
      <c r="BF71" s="23"/>
      <c r="BG71" s="23"/>
    </row>
    <row r="72" spans="4:59" ht="27" thickBot="1">
      <c r="L72" s="588" t="s">
        <v>191</v>
      </c>
      <c r="M72" s="1277">
        <f>SUM(M62:M71)</f>
        <v>19</v>
      </c>
      <c r="N72" s="1277">
        <f t="shared" ref="N72:S72" si="38">SUM(N62:N71)</f>
        <v>9.89</v>
      </c>
      <c r="O72" s="1277">
        <f t="shared" si="38"/>
        <v>48.4</v>
      </c>
      <c r="P72" s="1277">
        <f t="shared" si="38"/>
        <v>10.98</v>
      </c>
      <c r="Q72" s="1277">
        <f t="shared" si="38"/>
        <v>0</v>
      </c>
      <c r="R72" s="1277">
        <f t="shared" si="38"/>
        <v>0</v>
      </c>
      <c r="S72" s="1277">
        <f t="shared" si="38"/>
        <v>0</v>
      </c>
      <c r="T72" s="1278">
        <f>SUM(T62:T71)</f>
        <v>88.27000000000001</v>
      </c>
      <c r="U72" s="1438">
        <f>SUM(U62:U71)</f>
        <v>19.399999999999999</v>
      </c>
      <c r="V72" s="466"/>
      <c r="W72" s="466"/>
      <c r="X72" s="466"/>
      <c r="Y72" s="465"/>
      <c r="Z72" s="466"/>
      <c r="AA72" s="466"/>
      <c r="AB72" s="466"/>
      <c r="AC72" s="465"/>
      <c r="AD72" s="466"/>
      <c r="AG72" s="26"/>
      <c r="AH72" s="24"/>
      <c r="AK72" s="49"/>
      <c r="AL72" s="24"/>
      <c r="AM72" s="26"/>
      <c r="AN72" s="26"/>
      <c r="AY72" s="24"/>
      <c r="AZ72" s="24"/>
      <c r="BA72" s="24"/>
      <c r="BB72" s="24"/>
      <c r="BC72" s="25"/>
      <c r="BD72" s="25"/>
      <c r="BF72" s="23"/>
      <c r="BG72" s="23"/>
    </row>
    <row r="73" spans="4:59" ht="33.6" customHeight="1" thickBot="1">
      <c r="L73" s="1968" t="s">
        <v>221</v>
      </c>
      <c r="M73" s="1932"/>
      <c r="N73" s="1932"/>
      <c r="O73" s="1932"/>
      <c r="P73" s="1932"/>
      <c r="Q73" s="1932"/>
      <c r="R73" s="1932"/>
      <c r="S73" s="1932"/>
      <c r="T73" s="1969">
        <f>T72+U72</f>
        <v>107.67000000000002</v>
      </c>
      <c r="U73" s="1970"/>
      <c r="V73" s="466"/>
      <c r="W73" s="466"/>
      <c r="X73" s="466"/>
      <c r="Y73" s="465"/>
      <c r="Z73" s="466"/>
      <c r="AA73" s="466"/>
      <c r="AB73" s="466"/>
      <c r="AC73" s="465"/>
      <c r="AD73" s="466"/>
      <c r="AG73" s="26"/>
      <c r="AH73" s="24"/>
      <c r="AK73" s="49"/>
      <c r="AL73" s="24"/>
      <c r="AM73" s="26"/>
      <c r="AN73" s="26"/>
      <c r="AY73" s="24"/>
      <c r="AZ73" s="24"/>
      <c r="BA73" s="24"/>
      <c r="BB73" s="24"/>
      <c r="BC73" s="25"/>
      <c r="BD73" s="25"/>
      <c r="BF73" s="23"/>
      <c r="BG73" s="23"/>
    </row>
    <row r="74" spans="4:59" ht="27" customHeight="1" thickBot="1">
      <c r="L74" s="1275"/>
      <c r="M74" s="1276"/>
      <c r="N74" s="1276"/>
      <c r="O74" s="1971" t="s">
        <v>235</v>
      </c>
      <c r="P74" s="1971"/>
      <c r="Q74" s="1971"/>
      <c r="R74" s="1971"/>
      <c r="S74" s="1971"/>
      <c r="T74" s="1972">
        <f>M72+U72</f>
        <v>38.4</v>
      </c>
      <c r="U74" s="1973"/>
      <c r="V74" s="466"/>
      <c r="W74" s="466"/>
      <c r="X74" s="466"/>
      <c r="Y74" s="465"/>
      <c r="Z74" s="466"/>
      <c r="AA74" s="466"/>
      <c r="AB74" s="466"/>
      <c r="AC74" s="465"/>
      <c r="AD74" s="466"/>
      <c r="AG74" s="26"/>
      <c r="AH74" s="24"/>
      <c r="AK74" s="49"/>
      <c r="AL74" s="24"/>
      <c r="AM74" s="26"/>
      <c r="AN74" s="26"/>
      <c r="AP74" s="24"/>
      <c r="AQ74" s="26"/>
      <c r="AR74" s="26"/>
      <c r="AT74" s="24"/>
      <c r="AU74" s="26"/>
      <c r="AV74" s="26"/>
      <c r="AW74" s="50"/>
      <c r="AX74" s="50"/>
      <c r="AY74" s="26"/>
      <c r="AZ74" s="26"/>
      <c r="BA74" s="24"/>
      <c r="BB74" s="24"/>
      <c r="BC74" s="25"/>
      <c r="BD74" s="25"/>
      <c r="BF74" s="23"/>
      <c r="BG74" s="23"/>
    </row>
    <row r="75" spans="4:59" ht="27" thickBot="1">
      <c r="U75" s="1274"/>
      <c r="V75" s="24"/>
      <c r="W75" s="466"/>
      <c r="X75" s="466"/>
      <c r="Y75" s="466"/>
      <c r="Z75" s="465"/>
      <c r="AA75" s="466"/>
      <c r="AB75" s="466"/>
      <c r="AC75" s="466"/>
      <c r="AD75" s="465"/>
      <c r="AE75" s="466"/>
      <c r="AN75" s="26"/>
      <c r="AO75" s="26"/>
      <c r="AP75" s="24"/>
      <c r="AR75" s="26"/>
      <c r="AS75" s="26"/>
      <c r="AT75" s="24"/>
      <c r="AV75" s="26"/>
      <c r="AW75" s="26"/>
      <c r="AX75" s="50"/>
      <c r="AZ75" s="26"/>
      <c r="BA75" s="26"/>
      <c r="BB75" s="24"/>
      <c r="BD75" s="25"/>
      <c r="BE75" s="25"/>
      <c r="BF75" s="24"/>
      <c r="BG75" s="23"/>
    </row>
    <row r="76" spans="4:59">
      <c r="U76" s="26"/>
      <c r="V76" s="24"/>
      <c r="W76" s="466"/>
      <c r="X76" s="466"/>
      <c r="Y76" s="466"/>
      <c r="Z76" s="465"/>
      <c r="AA76" s="466"/>
      <c r="AB76" s="466"/>
      <c r="AC76" s="466"/>
      <c r="AD76" s="465"/>
      <c r="AE76" s="466"/>
      <c r="AN76" s="26"/>
      <c r="AO76" s="26"/>
      <c r="AP76" s="24"/>
      <c r="AR76" s="26"/>
      <c r="AS76" s="26"/>
      <c r="AT76" s="24"/>
      <c r="AV76" s="26"/>
      <c r="AW76" s="26"/>
      <c r="AX76" s="50"/>
      <c r="AZ76" s="26"/>
      <c r="BA76" s="26"/>
      <c r="BB76" s="24"/>
      <c r="BD76" s="25"/>
      <c r="BE76" s="25"/>
      <c r="BF76" s="24"/>
      <c r="BG76" s="23"/>
    </row>
    <row r="77" spans="4:59">
      <c r="U77" s="26"/>
      <c r="V77" s="24"/>
      <c r="W77" s="466"/>
      <c r="X77" s="466"/>
      <c r="Y77" s="466"/>
      <c r="Z77" s="465"/>
      <c r="AA77" s="466"/>
      <c r="AB77" s="466"/>
      <c r="AC77" s="466"/>
      <c r="AD77" s="465"/>
      <c r="AE77" s="466"/>
      <c r="AN77" s="26"/>
      <c r="AO77" s="26"/>
      <c r="AP77" s="24"/>
      <c r="AR77" s="26"/>
      <c r="AS77" s="26"/>
      <c r="AT77" s="24"/>
      <c r="AV77" s="26"/>
      <c r="AW77" s="26"/>
      <c r="AX77" s="50"/>
      <c r="AZ77" s="26"/>
      <c r="BA77" s="26"/>
      <c r="BB77" s="24"/>
      <c r="BD77" s="25"/>
      <c r="BE77" s="25"/>
      <c r="BF77" s="24"/>
      <c r="BG77" s="23"/>
    </row>
    <row r="78" spans="4:59">
      <c r="U78" s="26"/>
      <c r="V78" s="24"/>
      <c r="W78" s="466"/>
      <c r="X78" s="466"/>
      <c r="Y78" s="466"/>
      <c r="Z78" s="465"/>
      <c r="AA78" s="466"/>
      <c r="AB78" s="466"/>
      <c r="AC78" s="466"/>
      <c r="AD78" s="465"/>
      <c r="AE78" s="466"/>
      <c r="AN78" s="26"/>
      <c r="AO78" s="26"/>
      <c r="AP78" s="24"/>
      <c r="AR78" s="26"/>
      <c r="AS78" s="26"/>
      <c r="AT78" s="24"/>
      <c r="AV78" s="26"/>
      <c r="AW78" s="26"/>
      <c r="AX78" s="50"/>
      <c r="AZ78" s="26"/>
      <c r="BA78" s="26"/>
      <c r="BB78" s="24"/>
      <c r="BD78" s="25"/>
      <c r="BE78" s="25"/>
      <c r="BF78" s="24"/>
      <c r="BG78" s="23"/>
    </row>
    <row r="79" spans="4:59">
      <c r="U79" s="26"/>
      <c r="V79" s="24"/>
      <c r="X79" s="26"/>
      <c r="Y79" s="26"/>
      <c r="Z79" s="24"/>
      <c r="AB79" s="26"/>
      <c r="AC79" s="26"/>
      <c r="AD79" s="24"/>
      <c r="AF79" s="26"/>
      <c r="AG79" s="26"/>
      <c r="AH79" s="24"/>
      <c r="AJ79" s="49"/>
      <c r="AK79" s="49"/>
      <c r="AL79" s="24"/>
      <c r="AN79" s="26"/>
      <c r="AO79" s="26"/>
      <c r="AP79" s="24"/>
      <c r="AR79" s="26"/>
      <c r="AS79" s="26"/>
      <c r="AT79" s="24"/>
      <c r="AV79" s="26"/>
      <c r="AW79" s="26"/>
      <c r="AX79" s="50"/>
      <c r="AZ79" s="26"/>
      <c r="BA79" s="26"/>
      <c r="BB79" s="24"/>
      <c r="BD79" s="25"/>
      <c r="BE79" s="25"/>
      <c r="BF79" s="24"/>
      <c r="BG79" s="23"/>
    </row>
    <row r="80" spans="4:59">
      <c r="U80" s="26"/>
      <c r="V80" s="24"/>
      <c r="X80" s="26"/>
      <c r="Y80" s="26"/>
      <c r="Z80" s="24"/>
      <c r="AB80" s="26"/>
      <c r="AC80" s="26"/>
      <c r="AD80" s="24"/>
      <c r="AF80" s="26"/>
      <c r="AG80" s="26"/>
      <c r="AH80" s="24"/>
      <c r="AJ80" s="49"/>
      <c r="AK80" s="49"/>
      <c r="AL80" s="24"/>
      <c r="AN80" s="26"/>
      <c r="AO80" s="26"/>
      <c r="AP80" s="24"/>
      <c r="AR80" s="26"/>
      <c r="AS80" s="26"/>
      <c r="AT80" s="24"/>
      <c r="AV80" s="26"/>
      <c r="AW80" s="26"/>
      <c r="AX80" s="50"/>
      <c r="AZ80" s="26"/>
      <c r="BA80" s="26"/>
      <c r="BB80" s="24"/>
      <c r="BD80" s="25"/>
      <c r="BE80" s="25"/>
      <c r="BF80" s="24"/>
      <c r="BG80" s="23"/>
    </row>
  </sheetData>
  <mergeCells count="62">
    <mergeCell ref="AD59:AE59"/>
    <mergeCell ref="V58:AC58"/>
    <mergeCell ref="AD58:AE58"/>
    <mergeCell ref="Y59:AC59"/>
    <mergeCell ref="C15:C24"/>
    <mergeCell ref="H15:H23"/>
    <mergeCell ref="H24:I24"/>
    <mergeCell ref="H26:I26"/>
    <mergeCell ref="V31:AD31"/>
    <mergeCell ref="L45:T45"/>
    <mergeCell ref="V45:AE45"/>
    <mergeCell ref="O58:R58"/>
    <mergeCell ref="S58:T58"/>
    <mergeCell ref="D13:F13"/>
    <mergeCell ref="H13:I14"/>
    <mergeCell ref="H12:BI12"/>
    <mergeCell ref="J13:M13"/>
    <mergeCell ref="C14:D14"/>
    <mergeCell ref="N13:Q13"/>
    <mergeCell ref="BF13:BI13"/>
    <mergeCell ref="AL13:AO13"/>
    <mergeCell ref="AP13:AS13"/>
    <mergeCell ref="AT13:AW13"/>
    <mergeCell ref="AX13:BA13"/>
    <mergeCell ref="BB13:BE13"/>
    <mergeCell ref="R13:U13"/>
    <mergeCell ref="V13:Y13"/>
    <mergeCell ref="Z13:AC13"/>
    <mergeCell ref="C6:C9"/>
    <mergeCell ref="H6:H9"/>
    <mergeCell ref="D4:F4"/>
    <mergeCell ref="H4:I5"/>
    <mergeCell ref="H10:I10"/>
    <mergeCell ref="C2:F2"/>
    <mergeCell ref="H2:K2"/>
    <mergeCell ref="C5:D5"/>
    <mergeCell ref="N2:AZ2"/>
    <mergeCell ref="BB2:BI2"/>
    <mergeCell ref="H3:BI3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BC27:BC28"/>
    <mergeCell ref="BH27:BI27"/>
    <mergeCell ref="L31:S31"/>
    <mergeCell ref="AT4:AW4"/>
    <mergeCell ref="AX4:BA4"/>
    <mergeCell ref="BB4:BE4"/>
    <mergeCell ref="AD13:AG13"/>
    <mergeCell ref="AH13:AK13"/>
    <mergeCell ref="BF4:BI4"/>
    <mergeCell ref="L60:U60"/>
    <mergeCell ref="L73:S73"/>
    <mergeCell ref="T73:U73"/>
    <mergeCell ref="O74:S74"/>
    <mergeCell ref="T74:U74"/>
  </mergeCells>
  <conditionalFormatting sqref="M62:R71">
    <cfRule type="cellIs" dxfId="32" priority="1" operator="equal">
      <formula>0</formula>
    </cfRule>
  </conditionalFormatting>
  <pageMargins left="0.24" right="0.33" top="0.75" bottom="0.75" header="0.3" footer="0.3"/>
  <pageSetup paperSize="9" scale="23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4">
    <pageSetUpPr fitToPage="1"/>
  </sheetPr>
  <dimension ref="A1:BI80"/>
  <sheetViews>
    <sheetView showGridLines="0" topLeftCell="G1" zoomScale="57" zoomScaleNormal="57" workbookViewId="0">
      <pane xSplit="3" ySplit="5" topLeftCell="AG6" activePane="bottomRight" state="frozen"/>
      <selection activeCell="AF18" sqref="AF18"/>
      <selection pane="topRight" activeCell="AF18" sqref="AF18"/>
      <selection pane="bottomLeft" activeCell="AF18" sqref="AF18"/>
      <selection pane="bottomRight" activeCell="AS20" sqref="AS20"/>
    </sheetView>
  </sheetViews>
  <sheetFormatPr defaultColWidth="9.140625" defaultRowHeight="15"/>
  <cols>
    <col min="1" max="2" width="9.140625" style="23" hidden="1" customWidth="1"/>
    <col min="3" max="3" width="14.5703125" style="23" hidden="1" customWidth="1"/>
    <col min="4" max="4" width="11.42578125" style="27" hidden="1" customWidth="1"/>
    <col min="5" max="5" width="6.85546875" style="27" hidden="1" customWidth="1"/>
    <col min="6" max="6" width="9.140625" style="27" hidden="1" customWidth="1"/>
    <col min="7" max="7" width="3.42578125" style="23" hidden="1" customWidth="1"/>
    <col min="8" max="8" width="6.140625" style="23" customWidth="1"/>
    <col min="9" max="9" width="15.28515625" style="27" bestFit="1" customWidth="1"/>
    <col min="10" max="10" width="10.5703125" style="26" customWidth="1"/>
    <col min="11" max="11" width="10.5703125" style="24" customWidth="1"/>
    <col min="12" max="12" width="14.42578125" style="24" bestFit="1" customWidth="1"/>
    <col min="13" max="13" width="11.85546875" style="24" bestFit="1" customWidth="1"/>
    <col min="14" max="14" width="10.5703125" style="26" customWidth="1"/>
    <col min="15" max="15" width="10.28515625" style="24" customWidth="1"/>
    <col min="16" max="17" width="10.5703125" style="24" customWidth="1"/>
    <col min="18" max="18" width="8.5703125" style="26" customWidth="1"/>
    <col min="19" max="19" width="11.5703125" style="24" customWidth="1"/>
    <col min="20" max="21" width="11" style="24" customWidth="1"/>
    <col min="22" max="22" width="13.7109375" style="26" bestFit="1" customWidth="1"/>
    <col min="23" max="23" width="11" style="24" bestFit="1" customWidth="1"/>
    <col min="24" max="24" width="9.7109375" style="24" customWidth="1"/>
    <col min="25" max="25" width="9.28515625" style="24" customWidth="1"/>
    <col min="26" max="26" width="9.28515625" style="26" customWidth="1"/>
    <col min="27" max="29" width="9.28515625" style="24" customWidth="1"/>
    <col min="30" max="30" width="11" style="26" bestFit="1" customWidth="1"/>
    <col min="31" max="31" width="11.7109375" style="24" bestFit="1" customWidth="1"/>
    <col min="32" max="32" width="14.42578125" style="24" bestFit="1" customWidth="1"/>
    <col min="33" max="33" width="10.5703125" style="24" customWidth="1"/>
    <col min="34" max="34" width="11.5703125" style="26" bestFit="1" customWidth="1"/>
    <col min="35" max="35" width="13.5703125" style="24" customWidth="1"/>
    <col min="36" max="37" width="11.5703125" style="24" customWidth="1"/>
    <col min="38" max="38" width="10.5703125" style="49" customWidth="1"/>
    <col min="39" max="39" width="10.85546875" style="24" bestFit="1" customWidth="1"/>
    <col min="40" max="40" width="12" style="24" bestFit="1" customWidth="1"/>
    <col min="41" max="41" width="12" style="24" customWidth="1"/>
    <col min="42" max="42" width="8.42578125" style="26" customWidth="1"/>
    <col min="43" max="43" width="10" style="24" bestFit="1" customWidth="1"/>
    <col min="44" max="44" width="13.85546875" style="24" bestFit="1" customWidth="1"/>
    <col min="45" max="45" width="13.85546875" style="24" customWidth="1"/>
    <col min="46" max="46" width="11.7109375" style="26" customWidth="1"/>
    <col min="47" max="47" width="11.7109375" style="24" customWidth="1"/>
    <col min="48" max="48" width="10.5703125" style="24" bestFit="1" customWidth="1"/>
    <col min="49" max="49" width="10.5703125" style="24" customWidth="1"/>
    <col min="50" max="50" width="9.140625" style="26" bestFit="1" customWidth="1"/>
    <col min="51" max="51" width="9.140625" style="50" bestFit="1" customWidth="1"/>
    <col min="52" max="52" width="10.5703125" style="50" bestFit="1" customWidth="1"/>
    <col min="53" max="53" width="10.5703125" style="50" customWidth="1"/>
    <col min="54" max="54" width="10.7109375" style="26" bestFit="1" customWidth="1"/>
    <col min="55" max="55" width="12.85546875" style="24" bestFit="1" customWidth="1"/>
    <col min="56" max="56" width="10.5703125" style="24" bestFit="1" customWidth="1"/>
    <col min="57" max="57" width="10.5703125" style="24" customWidth="1"/>
    <col min="58" max="58" width="16" style="25" bestFit="1" customWidth="1"/>
    <col min="59" max="59" width="10.7109375" style="24" bestFit="1" customWidth="1"/>
    <col min="60" max="60" width="13" style="23" bestFit="1" customWidth="1"/>
    <col min="61" max="16384" width="9.140625" style="23"/>
  </cols>
  <sheetData>
    <row r="1" spans="3:61" ht="15" customHeight="1" thickBot="1"/>
    <row r="2" spans="3:61" ht="21.75" thickBot="1">
      <c r="C2" s="1899" t="s">
        <v>45</v>
      </c>
      <c r="D2" s="1900"/>
      <c r="E2" s="1900"/>
      <c r="F2" s="1901"/>
      <c r="H2" s="1915"/>
      <c r="I2" s="1567"/>
      <c r="J2" s="1567"/>
      <c r="K2" s="1567"/>
      <c r="L2" s="1020"/>
      <c r="M2" s="1020"/>
      <c r="N2" s="1916" t="s">
        <v>249</v>
      </c>
      <c r="O2" s="1916"/>
      <c r="P2" s="1916"/>
      <c r="Q2" s="1916"/>
      <c r="R2" s="1916"/>
      <c r="S2" s="1916"/>
      <c r="T2" s="1916"/>
      <c r="U2" s="1916"/>
      <c r="V2" s="1916"/>
      <c r="W2" s="1916"/>
      <c r="X2" s="1916"/>
      <c r="Y2" s="1916"/>
      <c r="Z2" s="1916"/>
      <c r="AA2" s="1916"/>
      <c r="AB2" s="1916"/>
      <c r="AC2" s="1916"/>
      <c r="AD2" s="1916"/>
      <c r="AE2" s="1916"/>
      <c r="AF2" s="1916"/>
      <c r="AG2" s="1916"/>
      <c r="AH2" s="1916"/>
      <c r="AI2" s="1916"/>
      <c r="AJ2" s="1916"/>
      <c r="AK2" s="1916"/>
      <c r="AL2" s="1916"/>
      <c r="AM2" s="1916"/>
      <c r="AN2" s="1916"/>
      <c r="AO2" s="1916"/>
      <c r="AP2" s="1916"/>
      <c r="AQ2" s="1916"/>
      <c r="AR2" s="1916"/>
      <c r="AS2" s="1916"/>
      <c r="AT2" s="1916"/>
      <c r="AU2" s="1916"/>
      <c r="AV2" s="1916"/>
      <c r="AW2" s="1916"/>
      <c r="AX2" s="1916"/>
      <c r="AY2" s="1916"/>
      <c r="AZ2" s="1916"/>
      <c r="BA2" s="1020"/>
      <c r="BB2" s="1902" t="s">
        <v>118</v>
      </c>
      <c r="BC2" s="1903"/>
      <c r="BD2" s="1903"/>
      <c r="BE2" s="1903"/>
      <c r="BF2" s="1903"/>
      <c r="BG2" s="1903"/>
      <c r="BH2" s="1903"/>
      <c r="BI2" s="1904"/>
    </row>
    <row r="3" spans="3:61" ht="19.5" thickBot="1">
      <c r="C3" s="1019"/>
      <c r="D3" s="1017"/>
      <c r="E3" s="1017"/>
      <c r="F3" s="1023"/>
      <c r="H3" s="1905" t="s">
        <v>115</v>
      </c>
      <c r="I3" s="1906"/>
      <c r="J3" s="1906"/>
      <c r="K3" s="1906"/>
      <c r="L3" s="1906"/>
      <c r="M3" s="1906"/>
      <c r="N3" s="1906"/>
      <c r="O3" s="1906"/>
      <c r="P3" s="1906"/>
      <c r="Q3" s="1906"/>
      <c r="R3" s="1906"/>
      <c r="S3" s="1906"/>
      <c r="T3" s="1906"/>
      <c r="U3" s="1906"/>
      <c r="V3" s="1906"/>
      <c r="W3" s="1906"/>
      <c r="X3" s="1906"/>
      <c r="Y3" s="1906"/>
      <c r="Z3" s="1906"/>
      <c r="AA3" s="1906"/>
      <c r="AB3" s="1906"/>
      <c r="AC3" s="1906"/>
      <c r="AD3" s="1906"/>
      <c r="AE3" s="1906"/>
      <c r="AF3" s="1906"/>
      <c r="AG3" s="1906"/>
      <c r="AH3" s="1906"/>
      <c r="AI3" s="1906"/>
      <c r="AJ3" s="1906"/>
      <c r="AK3" s="1906"/>
      <c r="AL3" s="1906"/>
      <c r="AM3" s="1906"/>
      <c r="AN3" s="1906"/>
      <c r="AO3" s="1906"/>
      <c r="AP3" s="1906"/>
      <c r="AQ3" s="1906"/>
      <c r="AR3" s="1906"/>
      <c r="AS3" s="1906"/>
      <c r="AT3" s="1906"/>
      <c r="AU3" s="1906"/>
      <c r="AV3" s="1906"/>
      <c r="AW3" s="1906"/>
      <c r="AX3" s="1906"/>
      <c r="AY3" s="1906"/>
      <c r="AZ3" s="1906"/>
      <c r="BA3" s="1906"/>
      <c r="BB3" s="1906"/>
      <c r="BC3" s="1906"/>
      <c r="BD3" s="1906"/>
      <c r="BE3" s="1906"/>
      <c r="BF3" s="1906"/>
      <c r="BG3" s="1906"/>
      <c r="BH3" s="1906"/>
      <c r="BI3" s="1907"/>
    </row>
    <row r="4" spans="3:61" ht="18.75">
      <c r="C4" s="37" t="s">
        <v>44</v>
      </c>
      <c r="D4" s="1869"/>
      <c r="E4" s="1869"/>
      <c r="F4" s="1870"/>
      <c r="H4" s="1908" t="s">
        <v>33</v>
      </c>
      <c r="I4" s="1909"/>
      <c r="J4" s="1871" t="s">
        <v>43</v>
      </c>
      <c r="K4" s="1872"/>
      <c r="L4" s="1872"/>
      <c r="M4" s="1873"/>
      <c r="N4" s="1871" t="s">
        <v>42</v>
      </c>
      <c r="O4" s="1872"/>
      <c r="P4" s="1872"/>
      <c r="Q4" s="1873"/>
      <c r="R4" s="1871" t="s">
        <v>41</v>
      </c>
      <c r="S4" s="1872"/>
      <c r="T4" s="1872"/>
      <c r="U4" s="1873"/>
      <c r="V4" s="1871" t="s">
        <v>40</v>
      </c>
      <c r="W4" s="1872"/>
      <c r="X4" s="1872"/>
      <c r="Y4" s="1873"/>
      <c r="Z4" s="1871" t="s">
        <v>39</v>
      </c>
      <c r="AA4" s="1872"/>
      <c r="AB4" s="1872"/>
      <c r="AC4" s="1873"/>
      <c r="AD4" s="1871" t="s">
        <v>38</v>
      </c>
      <c r="AE4" s="1872"/>
      <c r="AF4" s="1872"/>
      <c r="AG4" s="1873"/>
      <c r="AH4" s="1874" t="s">
        <v>122</v>
      </c>
      <c r="AI4" s="1875"/>
      <c r="AJ4" s="1875"/>
      <c r="AK4" s="1876"/>
      <c r="AL4" s="1871" t="s">
        <v>37</v>
      </c>
      <c r="AM4" s="1872"/>
      <c r="AN4" s="1872"/>
      <c r="AO4" s="1873"/>
      <c r="AP4" s="1871" t="s">
        <v>36</v>
      </c>
      <c r="AQ4" s="1872"/>
      <c r="AR4" s="1872"/>
      <c r="AS4" s="1873"/>
      <c r="AT4" s="1871" t="s">
        <v>35</v>
      </c>
      <c r="AU4" s="1872"/>
      <c r="AV4" s="1872"/>
      <c r="AW4" s="1873"/>
      <c r="AX4" s="1871" t="s">
        <v>34</v>
      </c>
      <c r="AY4" s="1872"/>
      <c r="AZ4" s="1872"/>
      <c r="BA4" s="1873"/>
      <c r="BB4" s="1874" t="s">
        <v>123</v>
      </c>
      <c r="BC4" s="1875"/>
      <c r="BD4" s="1875"/>
      <c r="BE4" s="1876"/>
      <c r="BF4" s="1877" t="s">
        <v>17</v>
      </c>
      <c r="BG4" s="1878"/>
      <c r="BH4" s="1878"/>
      <c r="BI4" s="1878"/>
    </row>
    <row r="5" spans="3:61" ht="15.75" customHeight="1">
      <c r="C5" s="1879" t="s">
        <v>33</v>
      </c>
      <c r="D5" s="1869"/>
      <c r="E5" s="1017" t="s">
        <v>1</v>
      </c>
      <c r="F5" s="1023" t="s">
        <v>2</v>
      </c>
      <c r="H5" s="1910"/>
      <c r="I5" s="1911"/>
      <c r="J5" s="36" t="s">
        <v>1</v>
      </c>
      <c r="K5" s="271" t="s">
        <v>2</v>
      </c>
      <c r="L5" s="693" t="s">
        <v>182</v>
      </c>
      <c r="M5" s="35" t="s">
        <v>247</v>
      </c>
      <c r="N5" s="36" t="s">
        <v>1</v>
      </c>
      <c r="O5" s="271" t="s">
        <v>2</v>
      </c>
      <c r="P5" s="693" t="s">
        <v>182</v>
      </c>
      <c r="Q5" s="35" t="s">
        <v>247</v>
      </c>
      <c r="R5" s="36" t="s">
        <v>1</v>
      </c>
      <c r="S5" s="271" t="s">
        <v>2</v>
      </c>
      <c r="T5" s="693" t="s">
        <v>182</v>
      </c>
      <c r="U5" s="35" t="s">
        <v>247</v>
      </c>
      <c r="V5" s="36" t="s">
        <v>1</v>
      </c>
      <c r="W5" s="271" t="s">
        <v>2</v>
      </c>
      <c r="X5" s="693" t="s">
        <v>182</v>
      </c>
      <c r="Y5" s="35" t="s">
        <v>247</v>
      </c>
      <c r="Z5" s="36" t="s">
        <v>1</v>
      </c>
      <c r="AA5" s="271" t="s">
        <v>2</v>
      </c>
      <c r="AB5" s="693" t="s">
        <v>182</v>
      </c>
      <c r="AC5" s="35" t="s">
        <v>247</v>
      </c>
      <c r="AD5" s="36" t="s">
        <v>1</v>
      </c>
      <c r="AE5" s="271" t="s">
        <v>2</v>
      </c>
      <c r="AF5" s="693" t="s">
        <v>182</v>
      </c>
      <c r="AG5" s="35" t="s">
        <v>247</v>
      </c>
      <c r="AH5" s="36" t="s">
        <v>1</v>
      </c>
      <c r="AI5" s="271" t="s">
        <v>2</v>
      </c>
      <c r="AJ5" s="271" t="s">
        <v>182</v>
      </c>
      <c r="AK5" s="690" t="s">
        <v>196</v>
      </c>
      <c r="AL5" s="36" t="s">
        <v>1</v>
      </c>
      <c r="AM5" s="271" t="s">
        <v>2</v>
      </c>
      <c r="AN5" s="693" t="s">
        <v>182</v>
      </c>
      <c r="AO5" s="35" t="s">
        <v>247</v>
      </c>
      <c r="AP5" s="36" t="s">
        <v>1</v>
      </c>
      <c r="AQ5" s="271" t="s">
        <v>2</v>
      </c>
      <c r="AR5" s="693" t="s">
        <v>182</v>
      </c>
      <c r="AS5" s="35" t="s">
        <v>247</v>
      </c>
      <c r="AT5" s="36" t="s">
        <v>1</v>
      </c>
      <c r="AU5" s="271" t="s">
        <v>2</v>
      </c>
      <c r="AV5" s="693" t="s">
        <v>182</v>
      </c>
      <c r="AW5" s="35" t="s">
        <v>247</v>
      </c>
      <c r="AX5" s="36" t="s">
        <v>1</v>
      </c>
      <c r="AY5" s="271" t="s">
        <v>2</v>
      </c>
      <c r="AZ5" s="693" t="s">
        <v>182</v>
      </c>
      <c r="BA5" s="35" t="s">
        <v>247</v>
      </c>
      <c r="BB5" s="36" t="s">
        <v>1</v>
      </c>
      <c r="BC5" s="271" t="s">
        <v>2</v>
      </c>
      <c r="BD5" s="271" t="s">
        <v>182</v>
      </c>
      <c r="BE5" s="690" t="s">
        <v>196</v>
      </c>
      <c r="BF5" s="274" t="s">
        <v>1</v>
      </c>
      <c r="BG5" s="275" t="s">
        <v>2</v>
      </c>
      <c r="BH5" s="275" t="s">
        <v>182</v>
      </c>
      <c r="BI5" s="698" t="s">
        <v>196</v>
      </c>
    </row>
    <row r="6" spans="3:61" s="28" customFormat="1" ht="20.100000000000001" customHeight="1">
      <c r="C6" s="1879" t="s">
        <v>19</v>
      </c>
      <c r="D6" s="1017" t="s">
        <v>32</v>
      </c>
      <c r="E6" s="1017"/>
      <c r="F6" s="1018"/>
      <c r="H6" s="1886" t="s">
        <v>32</v>
      </c>
      <c r="I6" s="33" t="s">
        <v>32</v>
      </c>
      <c r="J6" s="462">
        <v>3</v>
      </c>
      <c r="K6" s="463">
        <v>5</v>
      </c>
      <c r="L6" s="463">
        <v>5</v>
      </c>
      <c r="M6" s="691">
        <v>24</v>
      </c>
      <c r="N6" s="462">
        <v>6</v>
      </c>
      <c r="O6" s="463">
        <v>17</v>
      </c>
      <c r="P6" s="463"/>
      <c r="Q6" s="691"/>
      <c r="R6" s="462"/>
      <c r="S6" s="463"/>
      <c r="T6" s="463"/>
      <c r="U6" s="691"/>
      <c r="V6" s="462">
        <v>2</v>
      </c>
      <c r="W6" s="463"/>
      <c r="X6" s="463"/>
      <c r="Y6" s="691"/>
      <c r="Z6" s="462"/>
      <c r="AA6" s="463"/>
      <c r="AB6" s="463"/>
      <c r="AC6" s="691"/>
      <c r="AD6" s="462">
        <v>10</v>
      </c>
      <c r="AE6" s="463"/>
      <c r="AF6" s="463"/>
      <c r="AG6" s="691"/>
      <c r="AH6" s="128">
        <f>J6+N6+R6+V6+Z6+AD6</f>
        <v>21</v>
      </c>
      <c r="AI6" s="273">
        <f>K6+O6+S6+W6+AA6+AE6</f>
        <v>22</v>
      </c>
      <c r="AJ6" s="273">
        <f>L6+P6+T6+X6+AB6+AF6</f>
        <v>5</v>
      </c>
      <c r="AK6" s="694">
        <f>M6+Q6+U6+Y6+AC6+AG6</f>
        <v>24</v>
      </c>
      <c r="AL6" s="462">
        <v>25.5</v>
      </c>
      <c r="AM6" s="463"/>
      <c r="AN6" s="1212"/>
      <c r="AO6" s="691"/>
      <c r="AP6" s="462"/>
      <c r="AQ6" s="463"/>
      <c r="AR6" s="463"/>
      <c r="AS6" s="691"/>
      <c r="AT6" s="462">
        <v>5</v>
      </c>
      <c r="AU6" s="463"/>
      <c r="AV6" s="1211"/>
      <c r="AW6" s="691"/>
      <c r="AX6" s="462"/>
      <c r="AY6" s="463"/>
      <c r="AZ6" s="463"/>
      <c r="BA6" s="691"/>
      <c r="BB6" s="128">
        <f>AL6+AP6+AT6+AX6</f>
        <v>30.5</v>
      </c>
      <c r="BC6" s="273">
        <f>AM6+AQ6+AU6+AY6</f>
        <v>0</v>
      </c>
      <c r="BD6" s="273">
        <f>AN6+AR6+AV6+AZ6</f>
        <v>0</v>
      </c>
      <c r="BE6" s="273">
        <f>AO6+AS6+AW6+BA6</f>
        <v>0</v>
      </c>
      <c r="BF6" s="276">
        <f>AH6+BB6</f>
        <v>51.5</v>
      </c>
      <c r="BG6" s="277">
        <f>AI6+BC6</f>
        <v>22</v>
      </c>
      <c r="BH6" s="701">
        <f>AJ6+BD6</f>
        <v>5</v>
      </c>
      <c r="BI6" s="699">
        <f>AK6+BE6</f>
        <v>24</v>
      </c>
    </row>
    <row r="7" spans="3:61" s="28" customFormat="1" ht="20.100000000000001" customHeight="1">
      <c r="C7" s="1879"/>
      <c r="D7" s="1017" t="s">
        <v>31</v>
      </c>
      <c r="E7" s="1017"/>
      <c r="F7" s="1018"/>
      <c r="H7" s="1887"/>
      <c r="I7" s="33" t="s">
        <v>31</v>
      </c>
      <c r="J7" s="462"/>
      <c r="K7" s="463"/>
      <c r="L7" s="463"/>
      <c r="M7" s="691"/>
      <c r="N7" s="462"/>
      <c r="O7" s="463"/>
      <c r="P7" s="463"/>
      <c r="Q7" s="691"/>
      <c r="R7" s="462"/>
      <c r="S7" s="463"/>
      <c r="T7" s="463"/>
      <c r="U7" s="691"/>
      <c r="V7" s="462"/>
      <c r="W7" s="463"/>
      <c r="X7" s="463"/>
      <c r="Y7" s="691"/>
      <c r="Z7" s="462"/>
      <c r="AA7" s="463"/>
      <c r="AB7" s="463"/>
      <c r="AC7" s="691"/>
      <c r="AD7" s="462"/>
      <c r="AE7" s="463"/>
      <c r="AF7" s="463"/>
      <c r="AG7" s="691"/>
      <c r="AH7" s="128">
        <f t="shared" ref="AH7:AK9" si="0">J7+N7+R7+V7+Z7+AD7</f>
        <v>0</v>
      </c>
      <c r="AI7" s="273">
        <f t="shared" si="0"/>
        <v>0</v>
      </c>
      <c r="AJ7" s="273">
        <f t="shared" si="0"/>
        <v>0</v>
      </c>
      <c r="AK7" s="694">
        <f t="shared" si="0"/>
        <v>0</v>
      </c>
      <c r="AL7" s="462"/>
      <c r="AM7" s="463"/>
      <c r="AN7" s="463"/>
      <c r="AO7" s="691"/>
      <c r="AP7" s="462"/>
      <c r="AQ7" s="463"/>
      <c r="AR7" s="463"/>
      <c r="AS7" s="691"/>
      <c r="AT7" s="462"/>
      <c r="AU7" s="463"/>
      <c r="AV7" s="463"/>
      <c r="AW7" s="691"/>
      <c r="AX7" s="462"/>
      <c r="AY7" s="463"/>
      <c r="AZ7" s="463"/>
      <c r="BA7" s="691"/>
      <c r="BB7" s="128">
        <f t="shared" ref="BB7:BE9" si="1">AL7+AP7+AT7+AX7</f>
        <v>0</v>
      </c>
      <c r="BC7" s="273">
        <f t="shared" si="1"/>
        <v>0</v>
      </c>
      <c r="BD7" s="273">
        <f t="shared" si="1"/>
        <v>0</v>
      </c>
      <c r="BE7" s="273">
        <f t="shared" si="1"/>
        <v>0</v>
      </c>
      <c r="BF7" s="276">
        <f t="shared" ref="BF7:BI9" si="2">AH7+BB7</f>
        <v>0</v>
      </c>
      <c r="BG7" s="277">
        <f t="shared" si="2"/>
        <v>0</v>
      </c>
      <c r="BH7" s="277">
        <f t="shared" si="2"/>
        <v>0</v>
      </c>
      <c r="BI7" s="699">
        <f t="shared" si="2"/>
        <v>0</v>
      </c>
    </row>
    <row r="8" spans="3:61" s="28" customFormat="1" ht="20.100000000000001" customHeight="1">
      <c r="C8" s="1879"/>
      <c r="D8" s="1017" t="s">
        <v>30</v>
      </c>
      <c r="E8" s="1017"/>
      <c r="F8" s="1018"/>
      <c r="H8" s="1887"/>
      <c r="I8" s="33" t="s">
        <v>30</v>
      </c>
      <c r="J8" s="462"/>
      <c r="K8" s="463"/>
      <c r="L8" s="463"/>
      <c r="M8" s="691"/>
      <c r="N8" s="462"/>
      <c r="O8" s="463"/>
      <c r="P8" s="463"/>
      <c r="Q8" s="691"/>
      <c r="R8" s="462"/>
      <c r="S8" s="463"/>
      <c r="T8" s="463"/>
      <c r="U8" s="691"/>
      <c r="V8" s="462"/>
      <c r="W8" s="463"/>
      <c r="X8" s="463"/>
      <c r="Y8" s="691"/>
      <c r="Z8" s="462"/>
      <c r="AA8" s="463"/>
      <c r="AB8" s="463"/>
      <c r="AC8" s="691"/>
      <c r="AD8" s="462"/>
      <c r="AE8" s="463"/>
      <c r="AF8" s="463"/>
      <c r="AG8" s="691"/>
      <c r="AH8" s="128">
        <f t="shared" si="0"/>
        <v>0</v>
      </c>
      <c r="AI8" s="273">
        <f t="shared" si="0"/>
        <v>0</v>
      </c>
      <c r="AJ8" s="273">
        <f t="shared" si="0"/>
        <v>0</v>
      </c>
      <c r="AK8" s="694">
        <f t="shared" si="0"/>
        <v>0</v>
      </c>
      <c r="AL8" s="462">
        <v>2</v>
      </c>
      <c r="AM8" s="463"/>
      <c r="AN8" s="463"/>
      <c r="AO8" s="691"/>
      <c r="AP8" s="462"/>
      <c r="AQ8" s="463"/>
      <c r="AR8" s="463"/>
      <c r="AS8" s="691"/>
      <c r="AT8" s="462"/>
      <c r="AU8" s="463"/>
      <c r="AV8" s="463"/>
      <c r="AW8" s="691"/>
      <c r="AX8" s="462"/>
      <c r="AY8" s="463"/>
      <c r="AZ8" s="463"/>
      <c r="BA8" s="691"/>
      <c r="BB8" s="128">
        <f t="shared" si="1"/>
        <v>2</v>
      </c>
      <c r="BC8" s="273">
        <f t="shared" si="1"/>
        <v>0</v>
      </c>
      <c r="BD8" s="273">
        <f t="shared" si="1"/>
        <v>0</v>
      </c>
      <c r="BE8" s="273">
        <f t="shared" si="1"/>
        <v>0</v>
      </c>
      <c r="BF8" s="276">
        <f t="shared" si="2"/>
        <v>2</v>
      </c>
      <c r="BG8" s="277">
        <f t="shared" si="2"/>
        <v>0</v>
      </c>
      <c r="BH8" s="277">
        <f t="shared" si="2"/>
        <v>0</v>
      </c>
      <c r="BI8" s="699">
        <f t="shared" si="2"/>
        <v>0</v>
      </c>
    </row>
    <row r="9" spans="3:61" s="28" customFormat="1" ht="20.100000000000001" customHeight="1">
      <c r="C9" s="1885"/>
      <c r="D9" s="1017" t="s">
        <v>29</v>
      </c>
      <c r="E9" s="1017"/>
      <c r="F9" s="1018"/>
      <c r="H9" s="1887"/>
      <c r="I9" s="33" t="s">
        <v>109</v>
      </c>
      <c r="J9" s="462">
        <v>2</v>
      </c>
      <c r="K9" s="463"/>
      <c r="L9" s="463"/>
      <c r="M9" s="691"/>
      <c r="N9" s="462"/>
      <c r="O9" s="463"/>
      <c r="P9" s="463"/>
      <c r="Q9" s="691"/>
      <c r="R9" s="462"/>
      <c r="S9" s="463"/>
      <c r="T9" s="463"/>
      <c r="U9" s="691"/>
      <c r="V9" s="462">
        <v>3</v>
      </c>
      <c r="W9" s="463">
        <v>1</v>
      </c>
      <c r="X9" s="463">
        <v>1</v>
      </c>
      <c r="Y9" s="691"/>
      <c r="Z9" s="462"/>
      <c r="AA9" s="463"/>
      <c r="AB9" s="463"/>
      <c r="AC9" s="691"/>
      <c r="AD9" s="462"/>
      <c r="AE9" s="463"/>
      <c r="AF9" s="463"/>
      <c r="AG9" s="691"/>
      <c r="AH9" s="128">
        <f t="shared" si="0"/>
        <v>5</v>
      </c>
      <c r="AI9" s="273">
        <f t="shared" si="0"/>
        <v>1</v>
      </c>
      <c r="AJ9" s="273">
        <f t="shared" si="0"/>
        <v>1</v>
      </c>
      <c r="AK9" s="694">
        <f t="shared" si="0"/>
        <v>0</v>
      </c>
      <c r="AL9" s="462"/>
      <c r="AM9" s="463"/>
      <c r="AN9" s="463"/>
      <c r="AO9" s="691"/>
      <c r="AP9" s="462"/>
      <c r="AQ9" s="463"/>
      <c r="AR9" s="463"/>
      <c r="AS9" s="691"/>
      <c r="AT9" s="462"/>
      <c r="AU9" s="463">
        <v>1</v>
      </c>
      <c r="AV9" s="463">
        <v>1</v>
      </c>
      <c r="AW9" s="691"/>
      <c r="AX9" s="462"/>
      <c r="AY9" s="463"/>
      <c r="AZ9" s="463"/>
      <c r="BA9" s="691"/>
      <c r="BB9" s="128">
        <f t="shared" si="1"/>
        <v>0</v>
      </c>
      <c r="BC9" s="273">
        <f t="shared" si="1"/>
        <v>1</v>
      </c>
      <c r="BD9" s="273">
        <f t="shared" si="1"/>
        <v>1</v>
      </c>
      <c r="BE9" s="273">
        <f t="shared" si="1"/>
        <v>0</v>
      </c>
      <c r="BF9" s="276">
        <f t="shared" si="2"/>
        <v>5</v>
      </c>
      <c r="BG9" s="277">
        <f t="shared" si="2"/>
        <v>2</v>
      </c>
      <c r="BH9" s="277">
        <f t="shared" si="2"/>
        <v>2</v>
      </c>
      <c r="BI9" s="699">
        <f t="shared" si="2"/>
        <v>0</v>
      </c>
    </row>
    <row r="10" spans="3:61" s="28" customFormat="1" ht="19.5" customHeight="1" thickBot="1">
      <c r="C10" s="32"/>
      <c r="D10" s="31" t="s">
        <v>18</v>
      </c>
      <c r="E10" s="31"/>
      <c r="F10" s="30"/>
      <c r="H10" s="1865" t="s">
        <v>47</v>
      </c>
      <c r="I10" s="1866"/>
      <c r="J10" s="118">
        <f t="shared" ref="J10:BG10" si="3">SUM(J6:J9)</f>
        <v>5</v>
      </c>
      <c r="K10" s="272">
        <f>SUM(K6:K9)</f>
        <v>5</v>
      </c>
      <c r="L10" s="272">
        <f t="shared" si="3"/>
        <v>5</v>
      </c>
      <c r="M10" s="272">
        <f t="shared" si="3"/>
        <v>24</v>
      </c>
      <c r="N10" s="118">
        <f t="shared" si="3"/>
        <v>6</v>
      </c>
      <c r="O10" s="272">
        <f t="shared" si="3"/>
        <v>17</v>
      </c>
      <c r="P10" s="272">
        <f>SUM(P6:P9)</f>
        <v>0</v>
      </c>
      <c r="Q10" s="272">
        <f t="shared" si="3"/>
        <v>0</v>
      </c>
      <c r="R10" s="118">
        <f t="shared" si="3"/>
        <v>0</v>
      </c>
      <c r="S10" s="272">
        <f t="shared" si="3"/>
        <v>0</v>
      </c>
      <c r="T10" s="272">
        <f t="shared" si="3"/>
        <v>0</v>
      </c>
      <c r="U10" s="272">
        <f t="shared" si="3"/>
        <v>0</v>
      </c>
      <c r="V10" s="118">
        <f t="shared" si="3"/>
        <v>5</v>
      </c>
      <c r="W10" s="272">
        <f t="shared" si="3"/>
        <v>1</v>
      </c>
      <c r="X10" s="272">
        <f t="shared" si="3"/>
        <v>1</v>
      </c>
      <c r="Y10" s="272">
        <f t="shared" si="3"/>
        <v>0</v>
      </c>
      <c r="Z10" s="118">
        <f t="shared" si="3"/>
        <v>0</v>
      </c>
      <c r="AA10" s="272">
        <f t="shared" si="3"/>
        <v>0</v>
      </c>
      <c r="AB10" s="272">
        <f t="shared" si="3"/>
        <v>0</v>
      </c>
      <c r="AC10" s="272">
        <f t="shared" si="3"/>
        <v>0</v>
      </c>
      <c r="AD10" s="118">
        <f t="shared" si="3"/>
        <v>10</v>
      </c>
      <c r="AE10" s="272">
        <f t="shared" si="3"/>
        <v>0</v>
      </c>
      <c r="AF10" s="272">
        <f t="shared" si="3"/>
        <v>0</v>
      </c>
      <c r="AG10" s="272">
        <f t="shared" si="3"/>
        <v>0</v>
      </c>
      <c r="AH10" s="118">
        <f t="shared" si="3"/>
        <v>26</v>
      </c>
      <c r="AI10" s="272">
        <f t="shared" si="3"/>
        <v>23</v>
      </c>
      <c r="AJ10" s="272">
        <f>SUM(AJ6:AJ9)</f>
        <v>6</v>
      </c>
      <c r="AK10" s="695">
        <f>SUM(AK6:AK9)</f>
        <v>24</v>
      </c>
      <c r="AL10" s="118">
        <f t="shared" si="3"/>
        <v>27.5</v>
      </c>
      <c r="AM10" s="272">
        <f t="shared" si="3"/>
        <v>0</v>
      </c>
      <c r="AN10" s="272">
        <f t="shared" si="3"/>
        <v>0</v>
      </c>
      <c r="AO10" s="272">
        <f t="shared" si="3"/>
        <v>0</v>
      </c>
      <c r="AP10" s="118">
        <f t="shared" si="3"/>
        <v>0</v>
      </c>
      <c r="AQ10" s="272">
        <f t="shared" si="3"/>
        <v>0</v>
      </c>
      <c r="AR10" s="272">
        <f t="shared" si="3"/>
        <v>0</v>
      </c>
      <c r="AS10" s="272">
        <f t="shared" si="3"/>
        <v>0</v>
      </c>
      <c r="AT10" s="118">
        <f t="shared" si="3"/>
        <v>5</v>
      </c>
      <c r="AU10" s="272">
        <f t="shared" si="3"/>
        <v>1</v>
      </c>
      <c r="AV10" s="272">
        <f>SUM(AV6:AV9)</f>
        <v>1</v>
      </c>
      <c r="AW10" s="272">
        <f t="shared" si="3"/>
        <v>0</v>
      </c>
      <c r="AX10" s="118">
        <f t="shared" si="3"/>
        <v>0</v>
      </c>
      <c r="AY10" s="272">
        <f t="shared" si="3"/>
        <v>0</v>
      </c>
      <c r="AZ10" s="272">
        <f t="shared" si="3"/>
        <v>0</v>
      </c>
      <c r="BA10" s="272">
        <f t="shared" si="3"/>
        <v>0</v>
      </c>
      <c r="BB10" s="118">
        <f t="shared" si="3"/>
        <v>32.5</v>
      </c>
      <c r="BC10" s="272">
        <f t="shared" si="3"/>
        <v>1</v>
      </c>
      <c r="BD10" s="272">
        <f t="shared" si="3"/>
        <v>1</v>
      </c>
      <c r="BE10" s="272">
        <f t="shared" si="3"/>
        <v>0</v>
      </c>
      <c r="BF10" s="278">
        <f t="shared" si="3"/>
        <v>58.5</v>
      </c>
      <c r="BG10" s="279">
        <f t="shared" si="3"/>
        <v>24</v>
      </c>
      <c r="BH10" s="702">
        <f>AJ10+BD10</f>
        <v>7</v>
      </c>
      <c r="BI10" s="700">
        <f>AK10+BE10</f>
        <v>24</v>
      </c>
    </row>
    <row r="11" spans="3:61" s="119" customFormat="1" ht="5.25" customHeight="1">
      <c r="D11" s="120"/>
      <c r="E11" s="120"/>
      <c r="F11" s="120"/>
      <c r="H11" s="122"/>
      <c r="I11" s="122"/>
      <c r="J11" s="125"/>
      <c r="K11" s="126"/>
      <c r="L11" s="126"/>
      <c r="M11" s="126"/>
      <c r="N11" s="125"/>
      <c r="O11" s="126"/>
      <c r="P11" s="126"/>
      <c r="Q11" s="126"/>
      <c r="R11" s="125"/>
      <c r="S11" s="126"/>
      <c r="T11" s="126"/>
      <c r="U11" s="126"/>
      <c r="V11" s="125"/>
      <c r="W11" s="126"/>
      <c r="X11" s="126"/>
      <c r="Y11" s="126"/>
      <c r="Z11" s="125"/>
      <c r="AA11" s="126"/>
      <c r="AB11" s="126"/>
      <c r="AC11" s="126"/>
      <c r="AD11" s="125"/>
      <c r="AE11" s="126"/>
      <c r="AF11" s="126"/>
      <c r="AG11" s="126"/>
      <c r="AH11" s="125"/>
      <c r="AI11" s="126"/>
      <c r="AJ11" s="126"/>
      <c r="AK11" s="126"/>
      <c r="AL11" s="125"/>
      <c r="AM11" s="126"/>
      <c r="AN11" s="126"/>
      <c r="AO11" s="126"/>
      <c r="AP11" s="125"/>
      <c r="AQ11" s="126"/>
      <c r="AR11" s="126"/>
      <c r="AS11" s="126"/>
      <c r="AT11" s="125"/>
      <c r="AU11" s="126"/>
      <c r="AV11" s="126"/>
      <c r="AW11" s="126"/>
      <c r="AX11" s="125"/>
      <c r="AY11" s="126"/>
      <c r="AZ11" s="126"/>
      <c r="BA11" s="126"/>
      <c r="BB11" s="125"/>
      <c r="BC11" s="126"/>
      <c r="BD11" s="126"/>
      <c r="BE11" s="126"/>
      <c r="BF11" s="125"/>
      <c r="BG11" s="126"/>
    </row>
    <row r="12" spans="3:61" ht="19.5" thickBot="1">
      <c r="C12" s="1019"/>
      <c r="D12" s="1017"/>
      <c r="E12" s="1017"/>
      <c r="F12" s="1023"/>
      <c r="H12" s="1867" t="s">
        <v>114</v>
      </c>
      <c r="I12" s="1868"/>
      <c r="J12" s="1868"/>
      <c r="K12" s="1868"/>
      <c r="L12" s="1868"/>
      <c r="M12" s="1868"/>
      <c r="N12" s="1868"/>
      <c r="O12" s="1868"/>
      <c r="P12" s="1868"/>
      <c r="Q12" s="1868"/>
      <c r="R12" s="1868"/>
      <c r="S12" s="1868"/>
      <c r="T12" s="1868"/>
      <c r="U12" s="1868"/>
      <c r="V12" s="1868"/>
      <c r="W12" s="1868"/>
      <c r="X12" s="1868"/>
      <c r="Y12" s="1868"/>
      <c r="Z12" s="1868"/>
      <c r="AA12" s="1868"/>
      <c r="AB12" s="1868"/>
      <c r="AC12" s="1868"/>
      <c r="AD12" s="1868"/>
      <c r="AE12" s="1868"/>
      <c r="AF12" s="1868"/>
      <c r="AG12" s="1868"/>
      <c r="AH12" s="1868"/>
      <c r="AI12" s="1868"/>
      <c r="AJ12" s="1868"/>
      <c r="AK12" s="1868"/>
      <c r="AL12" s="1868"/>
      <c r="AM12" s="1868"/>
      <c r="AN12" s="1868"/>
      <c r="AO12" s="1868"/>
      <c r="AP12" s="1868"/>
      <c r="AQ12" s="1868"/>
      <c r="AR12" s="1868"/>
      <c r="AS12" s="1868"/>
      <c r="AT12" s="1868"/>
      <c r="AU12" s="1868"/>
      <c r="AV12" s="1868"/>
      <c r="AW12" s="1868"/>
      <c r="AX12" s="1868"/>
      <c r="AY12" s="1868"/>
      <c r="AZ12" s="1868"/>
      <c r="BA12" s="1868"/>
      <c r="BB12" s="1868"/>
      <c r="BC12" s="1868"/>
      <c r="BD12" s="1868"/>
      <c r="BE12" s="1868"/>
      <c r="BF12" s="1868"/>
      <c r="BG12" s="1868"/>
      <c r="BH12" s="1868"/>
      <c r="BI12" s="1868"/>
    </row>
    <row r="13" spans="3:61" ht="18.75" customHeight="1">
      <c r="C13" s="37" t="s">
        <v>44</v>
      </c>
      <c r="D13" s="1869"/>
      <c r="E13" s="1869"/>
      <c r="F13" s="1870"/>
      <c r="H13" s="1895" t="s">
        <v>117</v>
      </c>
      <c r="I13" s="1896"/>
      <c r="J13" s="1890" t="s">
        <v>43</v>
      </c>
      <c r="K13" s="1891"/>
      <c r="L13" s="1891"/>
      <c r="M13" s="1892"/>
      <c r="N13" s="1890" t="s">
        <v>42</v>
      </c>
      <c r="O13" s="1891"/>
      <c r="P13" s="1891"/>
      <c r="Q13" s="1892"/>
      <c r="R13" s="1890" t="s">
        <v>41</v>
      </c>
      <c r="S13" s="1891"/>
      <c r="T13" s="1891"/>
      <c r="U13" s="1892"/>
      <c r="V13" s="1890" t="s">
        <v>40</v>
      </c>
      <c r="W13" s="1891"/>
      <c r="X13" s="1891"/>
      <c r="Y13" s="1892"/>
      <c r="Z13" s="1890" t="s">
        <v>39</v>
      </c>
      <c r="AA13" s="1891"/>
      <c r="AB13" s="1891"/>
      <c r="AC13" s="1892"/>
      <c r="AD13" s="1890" t="s">
        <v>38</v>
      </c>
      <c r="AE13" s="1891"/>
      <c r="AF13" s="1891"/>
      <c r="AG13" s="1892"/>
      <c r="AH13" s="1882" t="s">
        <v>122</v>
      </c>
      <c r="AI13" s="1883"/>
      <c r="AJ13" s="1883"/>
      <c r="AK13" s="1884"/>
      <c r="AL13" s="1890" t="s">
        <v>37</v>
      </c>
      <c r="AM13" s="1891"/>
      <c r="AN13" s="1891"/>
      <c r="AO13" s="1892"/>
      <c r="AP13" s="1890" t="s">
        <v>36</v>
      </c>
      <c r="AQ13" s="1891"/>
      <c r="AR13" s="1891"/>
      <c r="AS13" s="1892"/>
      <c r="AT13" s="1890" t="s">
        <v>35</v>
      </c>
      <c r="AU13" s="1891"/>
      <c r="AV13" s="1891"/>
      <c r="AW13" s="1892"/>
      <c r="AX13" s="1890" t="s">
        <v>34</v>
      </c>
      <c r="AY13" s="1891"/>
      <c r="AZ13" s="1891"/>
      <c r="BA13" s="1892"/>
      <c r="BB13" s="1882" t="s">
        <v>123</v>
      </c>
      <c r="BC13" s="1883"/>
      <c r="BD13" s="1883"/>
      <c r="BE13" s="1884"/>
      <c r="BF13" s="1880" t="s">
        <v>17</v>
      </c>
      <c r="BG13" s="1881"/>
      <c r="BH13" s="1881"/>
      <c r="BI13" s="1881"/>
    </row>
    <row r="14" spans="3:61" ht="27" customHeight="1">
      <c r="C14" s="1879" t="s">
        <v>33</v>
      </c>
      <c r="D14" s="1869"/>
      <c r="E14" s="1017" t="s">
        <v>1</v>
      </c>
      <c r="F14" s="1023" t="s">
        <v>2</v>
      </c>
      <c r="H14" s="1897"/>
      <c r="I14" s="1898"/>
      <c r="J14" s="36" t="s">
        <v>1</v>
      </c>
      <c r="K14" s="271" t="s">
        <v>2</v>
      </c>
      <c r="L14" s="271" t="s">
        <v>182</v>
      </c>
      <c r="M14" s="35" t="s">
        <v>247</v>
      </c>
      <c r="N14" s="36" t="s">
        <v>1</v>
      </c>
      <c r="O14" s="271" t="s">
        <v>2</v>
      </c>
      <c r="P14" s="271" t="s">
        <v>182</v>
      </c>
      <c r="Q14" s="35" t="s">
        <v>247</v>
      </c>
      <c r="R14" s="36" t="s">
        <v>1</v>
      </c>
      <c r="S14" s="271" t="s">
        <v>2</v>
      </c>
      <c r="T14" s="271" t="s">
        <v>182</v>
      </c>
      <c r="U14" s="35" t="s">
        <v>247</v>
      </c>
      <c r="V14" s="36" t="s">
        <v>1</v>
      </c>
      <c r="W14" s="271" t="s">
        <v>2</v>
      </c>
      <c r="X14" s="271" t="s">
        <v>182</v>
      </c>
      <c r="Y14" s="35" t="s">
        <v>247</v>
      </c>
      <c r="Z14" s="36" t="s">
        <v>1</v>
      </c>
      <c r="AA14" s="271" t="s">
        <v>2</v>
      </c>
      <c r="AB14" s="271" t="s">
        <v>182</v>
      </c>
      <c r="AC14" s="35" t="s">
        <v>247</v>
      </c>
      <c r="AD14" s="36" t="s">
        <v>1</v>
      </c>
      <c r="AE14" s="271" t="s">
        <v>2</v>
      </c>
      <c r="AF14" s="271" t="s">
        <v>182</v>
      </c>
      <c r="AG14" s="35" t="s">
        <v>247</v>
      </c>
      <c r="AH14" s="36" t="s">
        <v>1</v>
      </c>
      <c r="AI14" s="271" t="s">
        <v>2</v>
      </c>
      <c r="AJ14" s="271" t="s">
        <v>182</v>
      </c>
      <c r="AK14" s="690" t="s">
        <v>196</v>
      </c>
      <c r="AL14" s="36" t="s">
        <v>1</v>
      </c>
      <c r="AM14" s="271" t="s">
        <v>2</v>
      </c>
      <c r="AN14" s="271" t="s">
        <v>182</v>
      </c>
      <c r="AO14" s="35" t="s">
        <v>247</v>
      </c>
      <c r="AP14" s="36" t="s">
        <v>1</v>
      </c>
      <c r="AQ14" s="271" t="s">
        <v>2</v>
      </c>
      <c r="AR14" s="271" t="s">
        <v>182</v>
      </c>
      <c r="AS14" s="35" t="s">
        <v>247</v>
      </c>
      <c r="AT14" s="36" t="s">
        <v>1</v>
      </c>
      <c r="AU14" s="271" t="s">
        <v>2</v>
      </c>
      <c r="AV14" s="271" t="s">
        <v>182</v>
      </c>
      <c r="AW14" s="35" t="s">
        <v>247</v>
      </c>
      <c r="AX14" s="36" t="s">
        <v>1</v>
      </c>
      <c r="AY14" s="271" t="s">
        <v>2</v>
      </c>
      <c r="AZ14" s="271" t="s">
        <v>182</v>
      </c>
      <c r="BA14" s="35" t="s">
        <v>247</v>
      </c>
      <c r="BB14" s="36" t="s">
        <v>1</v>
      </c>
      <c r="BC14" s="271" t="s">
        <v>2</v>
      </c>
      <c r="BD14" s="271" t="s">
        <v>182</v>
      </c>
      <c r="BE14" s="690" t="s">
        <v>196</v>
      </c>
      <c r="BF14" s="274" t="s">
        <v>1</v>
      </c>
      <c r="BG14" s="275" t="s">
        <v>2</v>
      </c>
      <c r="BH14" s="275" t="s">
        <v>182</v>
      </c>
      <c r="BI14" s="703" t="s">
        <v>196</v>
      </c>
    </row>
    <row r="15" spans="3:61" s="28" customFormat="1" ht="20.100000000000001" customHeight="1">
      <c r="C15" s="1879" t="s">
        <v>28</v>
      </c>
      <c r="D15" s="1017" t="s">
        <v>27</v>
      </c>
      <c r="E15" s="1021"/>
      <c r="F15" s="34"/>
      <c r="H15" s="1888" t="s">
        <v>112</v>
      </c>
      <c r="I15" s="33" t="s">
        <v>27</v>
      </c>
      <c r="J15" s="462"/>
      <c r="K15" s="463"/>
      <c r="L15" s="463"/>
      <c r="M15" s="692"/>
      <c r="N15" s="462"/>
      <c r="O15" s="463"/>
      <c r="P15" s="463"/>
      <c r="Q15" s="692"/>
      <c r="R15" s="462"/>
      <c r="S15" s="463"/>
      <c r="T15" s="463"/>
      <c r="U15" s="692"/>
      <c r="V15" s="462"/>
      <c r="W15" s="463"/>
      <c r="X15" s="463"/>
      <c r="Y15" s="692"/>
      <c r="Z15" s="462"/>
      <c r="AA15" s="463"/>
      <c r="AB15" s="463"/>
      <c r="AC15" s="692"/>
      <c r="AD15" s="462"/>
      <c r="AE15" s="463"/>
      <c r="AF15" s="463"/>
      <c r="AG15" s="692"/>
      <c r="AH15" s="128">
        <f>J15+N15+R15+V15+Z15+AD15</f>
        <v>0</v>
      </c>
      <c r="AI15" s="273">
        <f>K15+O15+S15+W15+AA15+AE15</f>
        <v>0</v>
      </c>
      <c r="AJ15" s="273">
        <f>L15+P15+T15+X15+AB15+AF15</f>
        <v>0</v>
      </c>
      <c r="AK15" s="694">
        <f>M15+Q15+U15+Y15+AC15+AG15</f>
        <v>0</v>
      </c>
      <c r="AL15" s="462"/>
      <c r="AM15" s="463"/>
      <c r="AN15" s="463"/>
      <c r="AO15" s="692"/>
      <c r="AP15" s="462"/>
      <c r="AQ15" s="463"/>
      <c r="AR15" s="463"/>
      <c r="AS15" s="692"/>
      <c r="AT15" s="462"/>
      <c r="AU15" s="463"/>
      <c r="AV15" s="463"/>
      <c r="AW15" s="692"/>
      <c r="AX15" s="462"/>
      <c r="AY15" s="463"/>
      <c r="AZ15" s="463"/>
      <c r="BA15" s="692"/>
      <c r="BB15" s="128">
        <f>AL15+AP15+AT15+AX15</f>
        <v>0</v>
      </c>
      <c r="BC15" s="273">
        <f>AM15+AQ15+AU15+AY15</f>
        <v>0</v>
      </c>
      <c r="BD15" s="273">
        <f>AN15+AR15+AV15+AZ15</f>
        <v>0</v>
      </c>
      <c r="BE15" s="273">
        <f>AO15+AS15+AW15+BA15</f>
        <v>0</v>
      </c>
      <c r="BF15" s="276">
        <f t="shared" ref="BF15:BI23" si="4">AH15+BB15</f>
        <v>0</v>
      </c>
      <c r="BG15" s="277">
        <f t="shared" si="4"/>
        <v>0</v>
      </c>
      <c r="BH15" s="277">
        <f t="shared" si="4"/>
        <v>0</v>
      </c>
      <c r="BI15" s="704">
        <f t="shared" si="4"/>
        <v>0</v>
      </c>
    </row>
    <row r="16" spans="3:61" s="28" customFormat="1" ht="19.5" customHeight="1">
      <c r="C16" s="1879"/>
      <c r="D16" s="1017" t="s">
        <v>26</v>
      </c>
      <c r="E16" s="1017"/>
      <c r="F16" s="1018"/>
      <c r="H16" s="1889"/>
      <c r="I16" s="33" t="s">
        <v>26</v>
      </c>
      <c r="J16" s="462"/>
      <c r="K16" s="463"/>
      <c r="L16" s="463"/>
      <c r="M16" s="692"/>
      <c r="N16" s="462">
        <v>8</v>
      </c>
      <c r="O16" s="463"/>
      <c r="P16" s="463"/>
      <c r="Q16" s="692"/>
      <c r="R16" s="462"/>
      <c r="S16" s="463"/>
      <c r="T16" s="463"/>
      <c r="U16" s="692"/>
      <c r="V16" s="462"/>
      <c r="W16" s="463"/>
      <c r="X16" s="463"/>
      <c r="Y16" s="692"/>
      <c r="Z16" s="462"/>
      <c r="AA16" s="463"/>
      <c r="AB16" s="463"/>
      <c r="AC16" s="692"/>
      <c r="AD16" s="462"/>
      <c r="AE16" s="463"/>
      <c r="AF16" s="463"/>
      <c r="AG16" s="692"/>
      <c r="AH16" s="128">
        <f t="shared" ref="AH16:AK23" si="5">J16+N16+R16+V16+Z16+AD16</f>
        <v>8</v>
      </c>
      <c r="AI16" s="273">
        <f t="shared" si="5"/>
        <v>0</v>
      </c>
      <c r="AJ16" s="273">
        <f t="shared" si="5"/>
        <v>0</v>
      </c>
      <c r="AK16" s="694">
        <f t="shared" si="5"/>
        <v>0</v>
      </c>
      <c r="AL16" s="462"/>
      <c r="AM16" s="463"/>
      <c r="AN16" s="463"/>
      <c r="AO16" s="692"/>
      <c r="AP16" s="462"/>
      <c r="AQ16" s="463"/>
      <c r="AR16" s="463"/>
      <c r="AS16" s="692"/>
      <c r="AT16" s="462"/>
      <c r="AU16" s="463"/>
      <c r="AV16" s="463"/>
      <c r="AW16" s="692"/>
      <c r="AX16" s="462"/>
      <c r="AY16" s="463"/>
      <c r="AZ16" s="463"/>
      <c r="BA16" s="692"/>
      <c r="BB16" s="128">
        <f t="shared" ref="BB16:BE23" si="6">AL16+AP16+AT16+AX16</f>
        <v>0</v>
      </c>
      <c r="BC16" s="273">
        <f t="shared" si="6"/>
        <v>0</v>
      </c>
      <c r="BD16" s="273">
        <f t="shared" si="6"/>
        <v>0</v>
      </c>
      <c r="BE16" s="273">
        <f t="shared" si="6"/>
        <v>0</v>
      </c>
      <c r="BF16" s="276">
        <f t="shared" si="4"/>
        <v>8</v>
      </c>
      <c r="BG16" s="277">
        <f t="shared" si="4"/>
        <v>0</v>
      </c>
      <c r="BH16" s="277">
        <f t="shared" si="4"/>
        <v>0</v>
      </c>
      <c r="BI16" s="704">
        <f t="shared" si="4"/>
        <v>0</v>
      </c>
    </row>
    <row r="17" spans="3:61" s="28" customFormat="1" ht="23.25" customHeight="1">
      <c r="C17" s="1879"/>
      <c r="D17" s="1017" t="s">
        <v>25</v>
      </c>
      <c r="E17" s="1017"/>
      <c r="F17" s="1018"/>
      <c r="H17" s="1889"/>
      <c r="I17" s="33" t="s">
        <v>25</v>
      </c>
      <c r="J17" s="462">
        <v>5</v>
      </c>
      <c r="K17" s="463"/>
      <c r="L17" s="463"/>
      <c r="M17" s="692"/>
      <c r="N17" s="462"/>
      <c r="O17" s="463"/>
      <c r="P17" s="463"/>
      <c r="Q17" s="692"/>
      <c r="R17" s="462"/>
      <c r="S17" s="463"/>
      <c r="T17" s="463"/>
      <c r="U17" s="692"/>
      <c r="V17" s="462"/>
      <c r="W17" s="463"/>
      <c r="X17" s="463"/>
      <c r="Y17" s="692"/>
      <c r="Z17" s="462"/>
      <c r="AA17" s="463"/>
      <c r="AB17" s="463"/>
      <c r="AC17" s="692"/>
      <c r="AD17" s="462"/>
      <c r="AE17" s="463"/>
      <c r="AF17" s="463"/>
      <c r="AG17" s="692"/>
      <c r="AH17" s="128">
        <f t="shared" si="5"/>
        <v>5</v>
      </c>
      <c r="AI17" s="273">
        <f t="shared" si="5"/>
        <v>0</v>
      </c>
      <c r="AJ17" s="273">
        <f t="shared" si="5"/>
        <v>0</v>
      </c>
      <c r="AK17" s="694">
        <f t="shared" si="5"/>
        <v>0</v>
      </c>
      <c r="AL17" s="462"/>
      <c r="AM17" s="463"/>
      <c r="AN17" s="463"/>
      <c r="AO17" s="692"/>
      <c r="AP17" s="462"/>
      <c r="AQ17" s="463"/>
      <c r="AR17" s="463"/>
      <c r="AS17" s="692"/>
      <c r="AT17" s="462"/>
      <c r="AU17" s="463"/>
      <c r="AV17" s="463"/>
      <c r="AW17" s="692"/>
      <c r="AX17" s="462"/>
      <c r="AY17" s="463"/>
      <c r="AZ17" s="463"/>
      <c r="BA17" s="692"/>
      <c r="BB17" s="128">
        <f t="shared" si="6"/>
        <v>0</v>
      </c>
      <c r="BC17" s="273">
        <f t="shared" si="6"/>
        <v>0</v>
      </c>
      <c r="BD17" s="273">
        <f t="shared" si="6"/>
        <v>0</v>
      </c>
      <c r="BE17" s="273">
        <f t="shared" si="6"/>
        <v>0</v>
      </c>
      <c r="BF17" s="276">
        <f t="shared" si="4"/>
        <v>5</v>
      </c>
      <c r="BG17" s="277">
        <f t="shared" si="4"/>
        <v>0</v>
      </c>
      <c r="BH17" s="277">
        <f t="shared" si="4"/>
        <v>0</v>
      </c>
      <c r="BI17" s="704">
        <f t="shared" si="4"/>
        <v>0</v>
      </c>
    </row>
    <row r="18" spans="3:61" s="28" customFormat="1" ht="21">
      <c r="C18" s="1879"/>
      <c r="D18" s="1017" t="s">
        <v>24</v>
      </c>
      <c r="E18" s="1017"/>
      <c r="F18" s="1018"/>
      <c r="H18" s="1889"/>
      <c r="I18" s="33" t="s">
        <v>24</v>
      </c>
      <c r="J18" s="462"/>
      <c r="K18" s="463"/>
      <c r="L18" s="463"/>
      <c r="M18" s="692"/>
      <c r="N18" s="462"/>
      <c r="O18" s="463"/>
      <c r="P18" s="463"/>
      <c r="Q18" s="692"/>
      <c r="R18" s="462"/>
      <c r="S18" s="463"/>
      <c r="T18" s="463"/>
      <c r="U18" s="692"/>
      <c r="V18" s="462"/>
      <c r="W18" s="463"/>
      <c r="X18" s="463"/>
      <c r="Y18" s="692"/>
      <c r="Z18" s="462"/>
      <c r="AA18" s="463"/>
      <c r="AB18" s="463"/>
      <c r="AC18" s="692"/>
      <c r="AD18" s="462"/>
      <c r="AE18" s="463"/>
      <c r="AF18" s="463"/>
      <c r="AG18" s="692"/>
      <c r="AH18" s="128">
        <f t="shared" si="5"/>
        <v>0</v>
      </c>
      <c r="AI18" s="273">
        <f t="shared" si="5"/>
        <v>0</v>
      </c>
      <c r="AJ18" s="273">
        <f t="shared" si="5"/>
        <v>0</v>
      </c>
      <c r="AK18" s="694">
        <f t="shared" si="5"/>
        <v>0</v>
      </c>
      <c r="AL18" s="462"/>
      <c r="AM18" s="463">
        <v>25.5</v>
      </c>
      <c r="AN18" s="463"/>
      <c r="AO18" s="692"/>
      <c r="AP18" s="462"/>
      <c r="AQ18" s="463"/>
      <c r="AR18" s="463"/>
      <c r="AS18" s="692"/>
      <c r="AT18" s="462"/>
      <c r="AU18" s="463"/>
      <c r="AV18" s="463"/>
      <c r="AW18" s="692"/>
      <c r="AX18" s="462"/>
      <c r="AY18" s="463"/>
      <c r="AZ18" s="463"/>
      <c r="BA18" s="692"/>
      <c r="BB18" s="128">
        <f t="shared" si="6"/>
        <v>0</v>
      </c>
      <c r="BC18" s="273">
        <f t="shared" si="6"/>
        <v>25.5</v>
      </c>
      <c r="BD18" s="273">
        <f t="shared" si="6"/>
        <v>0</v>
      </c>
      <c r="BE18" s="273">
        <f t="shared" si="6"/>
        <v>0</v>
      </c>
      <c r="BF18" s="276">
        <f t="shared" si="4"/>
        <v>0</v>
      </c>
      <c r="BG18" s="277">
        <f t="shared" si="4"/>
        <v>25.5</v>
      </c>
      <c r="BH18" s="277">
        <f t="shared" si="4"/>
        <v>0</v>
      </c>
      <c r="BI18" s="704">
        <f t="shared" si="4"/>
        <v>0</v>
      </c>
    </row>
    <row r="19" spans="3:61" s="28" customFormat="1" ht="20.100000000000001" customHeight="1">
      <c r="C19" s="1879"/>
      <c r="D19" s="1017" t="s">
        <v>23</v>
      </c>
      <c r="E19" s="1017"/>
      <c r="F19" s="1018"/>
      <c r="H19" s="1889"/>
      <c r="I19" s="33" t="s">
        <v>23</v>
      </c>
      <c r="J19" s="462"/>
      <c r="K19" s="463"/>
      <c r="L19" s="463"/>
      <c r="M19" s="692"/>
      <c r="N19" s="462"/>
      <c r="O19" s="463"/>
      <c r="P19" s="463"/>
      <c r="Q19" s="692"/>
      <c r="R19" s="462"/>
      <c r="S19" s="463"/>
      <c r="T19" s="463"/>
      <c r="U19" s="692"/>
      <c r="V19" s="462"/>
      <c r="W19" s="463"/>
      <c r="X19" s="463"/>
      <c r="Y19" s="692"/>
      <c r="Z19" s="462"/>
      <c r="AA19" s="463"/>
      <c r="AB19" s="463"/>
      <c r="AC19" s="692"/>
      <c r="AD19" s="462"/>
      <c r="AE19" s="463"/>
      <c r="AF19" s="463"/>
      <c r="AG19" s="692"/>
      <c r="AH19" s="128">
        <f t="shared" si="5"/>
        <v>0</v>
      </c>
      <c r="AI19" s="273">
        <f t="shared" si="5"/>
        <v>0</v>
      </c>
      <c r="AJ19" s="273">
        <f t="shared" si="5"/>
        <v>0</v>
      </c>
      <c r="AK19" s="694">
        <f t="shared" si="5"/>
        <v>0</v>
      </c>
      <c r="AL19" s="1012"/>
      <c r="AM19" s="463"/>
      <c r="AN19" s="463"/>
      <c r="AO19" s="692"/>
      <c r="AP19" s="462">
        <v>10</v>
      </c>
      <c r="AQ19" s="463"/>
      <c r="AR19" s="463"/>
      <c r="AS19" s="692"/>
      <c r="AT19" s="462"/>
      <c r="AU19" s="463"/>
      <c r="AV19" s="463"/>
      <c r="AW19" s="692"/>
      <c r="AX19" s="462"/>
      <c r="AY19" s="463"/>
      <c r="AZ19" s="463"/>
      <c r="BA19" s="692"/>
      <c r="BB19" s="128">
        <f t="shared" si="6"/>
        <v>10</v>
      </c>
      <c r="BC19" s="273">
        <f t="shared" si="6"/>
        <v>0</v>
      </c>
      <c r="BD19" s="273">
        <f t="shared" si="6"/>
        <v>0</v>
      </c>
      <c r="BE19" s="273">
        <f t="shared" si="6"/>
        <v>0</v>
      </c>
      <c r="BF19" s="276">
        <f t="shared" si="4"/>
        <v>10</v>
      </c>
      <c r="BG19" s="277">
        <f t="shared" si="4"/>
        <v>0</v>
      </c>
      <c r="BH19" s="277">
        <f t="shared" si="4"/>
        <v>0</v>
      </c>
      <c r="BI19" s="704">
        <f t="shared" si="4"/>
        <v>0</v>
      </c>
    </row>
    <row r="20" spans="3:61" s="28" customFormat="1" ht="20.100000000000001" customHeight="1">
      <c r="C20" s="1879"/>
      <c r="D20" s="1017" t="s">
        <v>22</v>
      </c>
      <c r="E20" s="1017"/>
      <c r="F20" s="1018"/>
      <c r="H20" s="1889"/>
      <c r="I20" s="33" t="s">
        <v>22</v>
      </c>
      <c r="J20" s="462"/>
      <c r="K20" s="463"/>
      <c r="L20" s="463"/>
      <c r="M20" s="692"/>
      <c r="N20" s="462"/>
      <c r="O20" s="463"/>
      <c r="P20" s="463"/>
      <c r="Q20" s="692"/>
      <c r="R20" s="462"/>
      <c r="S20" s="463"/>
      <c r="T20" s="463"/>
      <c r="U20" s="692"/>
      <c r="V20" s="462"/>
      <c r="W20" s="463"/>
      <c r="X20" s="463"/>
      <c r="Y20" s="692"/>
      <c r="Z20" s="462"/>
      <c r="AA20" s="463"/>
      <c r="AB20" s="463"/>
      <c r="AC20" s="692"/>
      <c r="AD20" s="462"/>
      <c r="AE20" s="463"/>
      <c r="AF20" s="463"/>
      <c r="AG20" s="692"/>
      <c r="AH20" s="128">
        <f t="shared" si="5"/>
        <v>0</v>
      </c>
      <c r="AI20" s="273">
        <f t="shared" si="5"/>
        <v>0</v>
      </c>
      <c r="AJ20" s="273">
        <f t="shared" si="5"/>
        <v>0</v>
      </c>
      <c r="AK20" s="694">
        <f t="shared" si="5"/>
        <v>0</v>
      </c>
      <c r="AL20" s="462"/>
      <c r="AM20" s="463"/>
      <c r="AN20" s="463"/>
      <c r="AO20" s="692"/>
      <c r="AP20" s="462"/>
      <c r="AQ20" s="463">
        <v>4</v>
      </c>
      <c r="AR20" s="463">
        <v>4</v>
      </c>
      <c r="AS20" s="692"/>
      <c r="AT20" s="462">
        <v>20</v>
      </c>
      <c r="AU20" s="463">
        <v>20</v>
      </c>
      <c r="AV20" s="463"/>
      <c r="AW20" s="692"/>
      <c r="AX20" s="462"/>
      <c r="AY20" s="463"/>
      <c r="AZ20" s="463"/>
      <c r="BA20" s="692"/>
      <c r="BB20" s="128">
        <f t="shared" si="6"/>
        <v>20</v>
      </c>
      <c r="BC20" s="273">
        <f t="shared" si="6"/>
        <v>24</v>
      </c>
      <c r="BD20" s="273">
        <f t="shared" si="6"/>
        <v>4</v>
      </c>
      <c r="BE20" s="273">
        <f t="shared" si="6"/>
        <v>0</v>
      </c>
      <c r="BF20" s="276">
        <f t="shared" si="4"/>
        <v>20</v>
      </c>
      <c r="BG20" s="277">
        <f t="shared" si="4"/>
        <v>24</v>
      </c>
      <c r="BH20" s="277">
        <f t="shared" si="4"/>
        <v>4</v>
      </c>
      <c r="BI20" s="704">
        <f t="shared" si="4"/>
        <v>0</v>
      </c>
    </row>
    <row r="21" spans="3:61" s="28" customFormat="1" ht="20.100000000000001" customHeight="1">
      <c r="C21" s="1885"/>
      <c r="D21" s="1017"/>
      <c r="E21" s="1017"/>
      <c r="F21" s="1018"/>
      <c r="H21" s="1889"/>
      <c r="I21" s="33" t="s">
        <v>21</v>
      </c>
      <c r="J21" s="462"/>
      <c r="K21" s="463"/>
      <c r="L21" s="463"/>
      <c r="M21" s="692"/>
      <c r="N21" s="462"/>
      <c r="O21" s="463"/>
      <c r="P21" s="463"/>
      <c r="Q21" s="692"/>
      <c r="R21" s="462"/>
      <c r="S21" s="463"/>
      <c r="T21" s="463"/>
      <c r="U21" s="692"/>
      <c r="V21" s="462"/>
      <c r="W21" s="463"/>
      <c r="X21" s="463"/>
      <c r="Y21" s="692"/>
      <c r="Z21" s="462"/>
      <c r="AA21" s="463"/>
      <c r="AB21" s="463"/>
      <c r="AC21" s="692"/>
      <c r="AD21" s="462"/>
      <c r="AE21" s="463"/>
      <c r="AF21" s="463"/>
      <c r="AG21" s="692"/>
      <c r="AH21" s="128">
        <f t="shared" si="5"/>
        <v>0</v>
      </c>
      <c r="AI21" s="273">
        <f t="shared" si="5"/>
        <v>0</v>
      </c>
      <c r="AJ21" s="273">
        <f t="shared" si="5"/>
        <v>0</v>
      </c>
      <c r="AK21" s="694">
        <f t="shared" si="5"/>
        <v>0</v>
      </c>
      <c r="AL21" s="462"/>
      <c r="AM21" s="463"/>
      <c r="AN21" s="463"/>
      <c r="AO21" s="692"/>
      <c r="AP21" s="462"/>
      <c r="AQ21" s="463"/>
      <c r="AR21" s="463"/>
      <c r="AS21" s="692"/>
      <c r="AT21" s="462"/>
      <c r="AU21" s="463"/>
      <c r="AV21" s="463"/>
      <c r="AW21" s="692"/>
      <c r="AX21" s="462"/>
      <c r="AY21" s="463"/>
      <c r="AZ21" s="463"/>
      <c r="BA21" s="692"/>
      <c r="BB21" s="128">
        <f t="shared" si="6"/>
        <v>0</v>
      </c>
      <c r="BC21" s="273">
        <f t="shared" si="6"/>
        <v>0</v>
      </c>
      <c r="BD21" s="273">
        <f t="shared" si="6"/>
        <v>0</v>
      </c>
      <c r="BE21" s="273">
        <f t="shared" si="6"/>
        <v>0</v>
      </c>
      <c r="BF21" s="276">
        <f t="shared" si="4"/>
        <v>0</v>
      </c>
      <c r="BG21" s="277">
        <f t="shared" si="4"/>
        <v>0</v>
      </c>
      <c r="BH21" s="277">
        <f t="shared" si="4"/>
        <v>0</v>
      </c>
      <c r="BI21" s="704">
        <f t="shared" si="4"/>
        <v>0</v>
      </c>
    </row>
    <row r="22" spans="3:61" s="28" customFormat="1" ht="20.100000000000001" customHeight="1">
      <c r="C22" s="1885"/>
      <c r="D22" s="1017"/>
      <c r="E22" s="1017"/>
      <c r="F22" s="1018"/>
      <c r="H22" s="1889"/>
      <c r="I22" s="33" t="s">
        <v>20</v>
      </c>
      <c r="J22" s="462"/>
      <c r="K22" s="463"/>
      <c r="L22" s="463"/>
      <c r="M22" s="692"/>
      <c r="N22" s="462"/>
      <c r="O22" s="463"/>
      <c r="P22" s="463"/>
      <c r="Q22" s="692"/>
      <c r="R22" s="462"/>
      <c r="S22" s="463"/>
      <c r="T22" s="463"/>
      <c r="U22" s="692"/>
      <c r="V22" s="462"/>
      <c r="W22" s="463"/>
      <c r="X22" s="463"/>
      <c r="Y22" s="692"/>
      <c r="Z22" s="462"/>
      <c r="AA22" s="463"/>
      <c r="AB22" s="463"/>
      <c r="AC22" s="692"/>
      <c r="AD22" s="462"/>
      <c r="AE22" s="463"/>
      <c r="AF22" s="463"/>
      <c r="AG22" s="692"/>
      <c r="AH22" s="128">
        <f t="shared" si="5"/>
        <v>0</v>
      </c>
      <c r="AI22" s="273">
        <f t="shared" si="5"/>
        <v>0</v>
      </c>
      <c r="AJ22" s="273">
        <f t="shared" si="5"/>
        <v>0</v>
      </c>
      <c r="AK22" s="694">
        <f t="shared" si="5"/>
        <v>0</v>
      </c>
      <c r="AL22" s="462"/>
      <c r="AM22" s="463"/>
      <c r="AN22" s="463"/>
      <c r="AO22" s="692"/>
      <c r="AP22" s="462"/>
      <c r="AQ22" s="463"/>
      <c r="AR22" s="463"/>
      <c r="AS22" s="692"/>
      <c r="AT22" s="462"/>
      <c r="AU22" s="463"/>
      <c r="AV22" s="463"/>
      <c r="AW22" s="692"/>
      <c r="AX22" s="462"/>
      <c r="AY22" s="463"/>
      <c r="AZ22" s="463"/>
      <c r="BA22" s="692"/>
      <c r="BB22" s="128">
        <f t="shared" si="6"/>
        <v>0</v>
      </c>
      <c r="BC22" s="273">
        <f t="shared" si="6"/>
        <v>0</v>
      </c>
      <c r="BD22" s="273">
        <f t="shared" si="6"/>
        <v>0</v>
      </c>
      <c r="BE22" s="273">
        <f t="shared" si="6"/>
        <v>0</v>
      </c>
      <c r="BF22" s="276">
        <f t="shared" si="4"/>
        <v>0</v>
      </c>
      <c r="BG22" s="277">
        <f t="shared" si="4"/>
        <v>0</v>
      </c>
      <c r="BH22" s="277">
        <f t="shared" si="4"/>
        <v>0</v>
      </c>
      <c r="BI22" s="704">
        <f t="shared" si="4"/>
        <v>0</v>
      </c>
    </row>
    <row r="23" spans="3:61" s="28" customFormat="1" ht="20.100000000000001" customHeight="1">
      <c r="C23" s="1885"/>
      <c r="D23" s="1017"/>
      <c r="E23" s="1017"/>
      <c r="F23" s="1018"/>
      <c r="H23" s="1889"/>
      <c r="I23" s="33" t="s">
        <v>19</v>
      </c>
      <c r="J23" s="462"/>
      <c r="K23" s="463"/>
      <c r="L23" s="463"/>
      <c r="M23" s="692"/>
      <c r="N23" s="462"/>
      <c r="O23" s="463"/>
      <c r="P23" s="463"/>
      <c r="Q23" s="692"/>
      <c r="R23" s="462"/>
      <c r="S23" s="463"/>
      <c r="T23" s="463"/>
      <c r="U23" s="692"/>
      <c r="V23" s="462"/>
      <c r="W23" s="463"/>
      <c r="X23" s="463"/>
      <c r="Y23" s="692"/>
      <c r="Z23" s="462"/>
      <c r="AA23" s="463"/>
      <c r="AB23" s="463"/>
      <c r="AC23" s="692"/>
      <c r="AD23" s="462"/>
      <c r="AE23" s="463"/>
      <c r="AF23" s="463"/>
      <c r="AG23" s="692"/>
      <c r="AH23" s="128">
        <f t="shared" si="5"/>
        <v>0</v>
      </c>
      <c r="AI23" s="273">
        <f t="shared" si="5"/>
        <v>0</v>
      </c>
      <c r="AJ23" s="273">
        <f t="shared" si="5"/>
        <v>0</v>
      </c>
      <c r="AK23" s="694">
        <f t="shared" si="5"/>
        <v>0</v>
      </c>
      <c r="AL23" s="462"/>
      <c r="AM23" s="463"/>
      <c r="AN23" s="463"/>
      <c r="AO23" s="692"/>
      <c r="AP23" s="462"/>
      <c r="AQ23" s="463"/>
      <c r="AR23" s="463"/>
      <c r="AS23" s="692"/>
      <c r="AT23" s="462"/>
      <c r="AU23" s="463"/>
      <c r="AV23" s="463"/>
      <c r="AW23" s="692"/>
      <c r="AX23" s="462"/>
      <c r="AY23" s="463"/>
      <c r="AZ23" s="463"/>
      <c r="BA23" s="692"/>
      <c r="BB23" s="128">
        <f t="shared" si="6"/>
        <v>0</v>
      </c>
      <c r="BC23" s="273">
        <f t="shared" si="6"/>
        <v>0</v>
      </c>
      <c r="BD23" s="273">
        <f t="shared" si="6"/>
        <v>0</v>
      </c>
      <c r="BE23" s="273">
        <f t="shared" si="6"/>
        <v>0</v>
      </c>
      <c r="BF23" s="276">
        <f t="shared" si="4"/>
        <v>0</v>
      </c>
      <c r="BG23" s="277">
        <f t="shared" si="4"/>
        <v>0</v>
      </c>
      <c r="BH23" s="277">
        <f t="shared" si="4"/>
        <v>0</v>
      </c>
      <c r="BI23" s="704">
        <f t="shared" si="4"/>
        <v>0</v>
      </c>
    </row>
    <row r="24" spans="3:61" s="28" customFormat="1" ht="20.100000000000001" customHeight="1" thickBot="1">
      <c r="C24" s="1885"/>
      <c r="D24" s="1017"/>
      <c r="E24" s="1017"/>
      <c r="F24" s="1018"/>
      <c r="H24" s="1865" t="s">
        <v>116</v>
      </c>
      <c r="I24" s="1866"/>
      <c r="J24" s="118">
        <f t="shared" ref="J24:BI24" si="7">SUM(J15:J23)</f>
        <v>5</v>
      </c>
      <c r="K24" s="272">
        <f t="shared" si="7"/>
        <v>0</v>
      </c>
      <c r="L24" s="272">
        <f>SUM(L15:L23)</f>
        <v>0</v>
      </c>
      <c r="M24" s="272">
        <f>SUM(M15:M23)</f>
        <v>0</v>
      </c>
      <c r="N24" s="118">
        <f t="shared" ref="N24:AI24" si="8">SUM(N15:N23)</f>
        <v>8</v>
      </c>
      <c r="O24" s="272">
        <f t="shared" si="8"/>
        <v>0</v>
      </c>
      <c r="P24" s="272">
        <f t="shared" si="8"/>
        <v>0</v>
      </c>
      <c r="Q24" s="272">
        <f t="shared" si="8"/>
        <v>0</v>
      </c>
      <c r="R24" s="118">
        <f t="shared" si="8"/>
        <v>0</v>
      </c>
      <c r="S24" s="272">
        <f t="shared" si="8"/>
        <v>0</v>
      </c>
      <c r="T24" s="272">
        <f t="shared" si="8"/>
        <v>0</v>
      </c>
      <c r="U24" s="272">
        <f t="shared" si="8"/>
        <v>0</v>
      </c>
      <c r="V24" s="118">
        <f t="shared" si="8"/>
        <v>0</v>
      </c>
      <c r="W24" s="272">
        <f t="shared" si="8"/>
        <v>0</v>
      </c>
      <c r="X24" s="272">
        <f t="shared" si="8"/>
        <v>0</v>
      </c>
      <c r="Y24" s="272">
        <f t="shared" si="8"/>
        <v>0</v>
      </c>
      <c r="Z24" s="118">
        <f t="shared" si="8"/>
        <v>0</v>
      </c>
      <c r="AA24" s="272">
        <f t="shared" si="8"/>
        <v>0</v>
      </c>
      <c r="AB24" s="272">
        <f t="shared" si="8"/>
        <v>0</v>
      </c>
      <c r="AC24" s="272">
        <f t="shared" si="8"/>
        <v>0</v>
      </c>
      <c r="AD24" s="118">
        <f t="shared" si="8"/>
        <v>0</v>
      </c>
      <c r="AE24" s="272">
        <f t="shared" si="8"/>
        <v>0</v>
      </c>
      <c r="AF24" s="272">
        <f t="shared" si="8"/>
        <v>0</v>
      </c>
      <c r="AG24" s="272">
        <f t="shared" si="8"/>
        <v>0</v>
      </c>
      <c r="AH24" s="118">
        <f t="shared" si="8"/>
        <v>13</v>
      </c>
      <c r="AI24" s="272">
        <f t="shared" si="8"/>
        <v>0</v>
      </c>
      <c r="AJ24" s="272">
        <f>SUM(AJ15:AJ23)</f>
        <v>0</v>
      </c>
      <c r="AK24" s="695">
        <f>SUM(AK15:AK23)</f>
        <v>0</v>
      </c>
      <c r="AL24" s="118">
        <f>SUM(AL15:AL23)</f>
        <v>0</v>
      </c>
      <c r="AM24" s="118">
        <f t="shared" ref="AM24:AW24" si="9">SUM(AM15:AM23)</f>
        <v>25.5</v>
      </c>
      <c r="AN24" s="118">
        <f t="shared" si="9"/>
        <v>0</v>
      </c>
      <c r="AO24" s="118">
        <f t="shared" si="9"/>
        <v>0</v>
      </c>
      <c r="AP24" s="118">
        <f t="shared" si="9"/>
        <v>10</v>
      </c>
      <c r="AQ24" s="118">
        <f t="shared" si="9"/>
        <v>4</v>
      </c>
      <c r="AR24" s="118">
        <f t="shared" si="9"/>
        <v>4</v>
      </c>
      <c r="AS24" s="118">
        <f t="shared" si="9"/>
        <v>0</v>
      </c>
      <c r="AT24" s="118">
        <f t="shared" si="9"/>
        <v>20</v>
      </c>
      <c r="AU24" s="118">
        <f t="shared" si="9"/>
        <v>20</v>
      </c>
      <c r="AV24" s="118">
        <f t="shared" si="9"/>
        <v>0</v>
      </c>
      <c r="AW24" s="118">
        <f t="shared" si="9"/>
        <v>0</v>
      </c>
      <c r="AX24" s="118">
        <f t="shared" ref="AX24:BC24" si="10">SUM(AX15:AX23)</f>
        <v>0</v>
      </c>
      <c r="AY24" s="272">
        <f t="shared" si="10"/>
        <v>0</v>
      </c>
      <c r="AZ24" s="272">
        <f t="shared" si="10"/>
        <v>0</v>
      </c>
      <c r="BA24" s="272">
        <f t="shared" si="10"/>
        <v>0</v>
      </c>
      <c r="BB24" s="118">
        <f t="shared" si="10"/>
        <v>30</v>
      </c>
      <c r="BC24" s="272">
        <f t="shared" si="10"/>
        <v>49.5</v>
      </c>
      <c r="BD24" s="272">
        <f>SUM(BD15:BD23)</f>
        <v>4</v>
      </c>
      <c r="BE24" s="272">
        <f>SUM(BE15:BE23)</f>
        <v>0</v>
      </c>
      <c r="BF24" s="278">
        <f t="shared" si="7"/>
        <v>43</v>
      </c>
      <c r="BG24" s="279">
        <f t="shared" si="7"/>
        <v>49.5</v>
      </c>
      <c r="BH24" s="279">
        <f t="shared" si="7"/>
        <v>4</v>
      </c>
      <c r="BI24" s="705">
        <f t="shared" si="7"/>
        <v>0</v>
      </c>
    </row>
    <row r="25" spans="3:61" s="119" customFormat="1" ht="9" customHeight="1" thickBot="1">
      <c r="C25" s="121"/>
      <c r="D25" s="121"/>
      <c r="E25" s="121"/>
      <c r="F25" s="121"/>
      <c r="H25" s="122"/>
      <c r="I25" s="122"/>
      <c r="J25" s="125"/>
      <c r="K25" s="126"/>
      <c r="L25" s="126"/>
      <c r="M25" s="126"/>
      <c r="N25" s="125"/>
      <c r="O25" s="126"/>
      <c r="P25" s="126"/>
      <c r="Q25" s="126"/>
      <c r="R25" s="125"/>
      <c r="S25" s="126"/>
      <c r="T25" s="126"/>
      <c r="U25" s="126"/>
      <c r="V25" s="125"/>
      <c r="W25" s="126"/>
      <c r="X25" s="126"/>
      <c r="Y25" s="126"/>
      <c r="Z25" s="125"/>
      <c r="AA25" s="126"/>
      <c r="AB25" s="126"/>
      <c r="AC25" s="126"/>
      <c r="AD25" s="125"/>
      <c r="AE25" s="126"/>
      <c r="AF25" s="126"/>
      <c r="AG25" s="126"/>
      <c r="AH25" s="125"/>
      <c r="AI25" s="126"/>
      <c r="AJ25" s="126"/>
      <c r="AK25" s="126"/>
      <c r="AL25" s="125"/>
      <c r="AM25" s="126"/>
      <c r="AN25" s="126"/>
      <c r="AO25" s="126"/>
      <c r="AP25" s="125"/>
      <c r="AQ25" s="126"/>
      <c r="AR25" s="126"/>
      <c r="AS25" s="126"/>
      <c r="AT25" s="125"/>
      <c r="AU25" s="126"/>
      <c r="AV25" s="126"/>
      <c r="AW25" s="126"/>
      <c r="AX25" s="125"/>
      <c r="AY25" s="126"/>
      <c r="AZ25" s="126"/>
      <c r="BA25" s="126"/>
      <c r="BB25" s="125"/>
      <c r="BC25" s="126"/>
      <c r="BD25" s="126"/>
      <c r="BE25" s="126"/>
      <c r="BF25" s="125"/>
      <c r="BG25" s="126"/>
    </row>
    <row r="26" spans="3:61" s="28" customFormat="1" ht="26.25" customHeight="1" thickBot="1">
      <c r="D26" s="29"/>
      <c r="E26" s="29"/>
      <c r="F26" s="29"/>
      <c r="H26" s="1893" t="s">
        <v>49</v>
      </c>
      <c r="I26" s="1894"/>
      <c r="J26" s="123">
        <f t="shared" ref="J26:BI26" si="11">J10+J24</f>
        <v>10</v>
      </c>
      <c r="K26" s="280">
        <f t="shared" si="11"/>
        <v>5</v>
      </c>
      <c r="L26" s="280">
        <f>L10+L24</f>
        <v>5</v>
      </c>
      <c r="M26" s="280">
        <f>M10+M24</f>
        <v>24</v>
      </c>
      <c r="N26" s="123">
        <f t="shared" ref="N26:O26" si="12">N10+N24</f>
        <v>14</v>
      </c>
      <c r="O26" s="280">
        <f t="shared" si="12"/>
        <v>17</v>
      </c>
      <c r="P26" s="280">
        <f>P10+P24</f>
        <v>0</v>
      </c>
      <c r="Q26" s="280">
        <f>Q10+Q24</f>
        <v>0</v>
      </c>
      <c r="R26" s="123">
        <f t="shared" ref="R26:S26" si="13">R10+R24</f>
        <v>0</v>
      </c>
      <c r="S26" s="280">
        <f t="shared" si="13"/>
        <v>0</v>
      </c>
      <c r="T26" s="280">
        <f>T10+T24</f>
        <v>0</v>
      </c>
      <c r="U26" s="280">
        <f>U10+U24</f>
        <v>0</v>
      </c>
      <c r="V26" s="123">
        <f t="shared" ref="V26:W26" si="14">V10+V24</f>
        <v>5</v>
      </c>
      <c r="W26" s="280">
        <f t="shared" si="14"/>
        <v>1</v>
      </c>
      <c r="X26" s="280">
        <f>X10+X24</f>
        <v>1</v>
      </c>
      <c r="Y26" s="280">
        <f>Y10+Y24</f>
        <v>0</v>
      </c>
      <c r="Z26" s="123">
        <f t="shared" ref="Z26:AA26" si="15">Z10+Z24</f>
        <v>0</v>
      </c>
      <c r="AA26" s="280">
        <f t="shared" si="15"/>
        <v>0</v>
      </c>
      <c r="AB26" s="280">
        <f>AB10+AB24</f>
        <v>0</v>
      </c>
      <c r="AC26" s="280">
        <f>AC10+AC24</f>
        <v>0</v>
      </c>
      <c r="AD26" s="123">
        <f t="shared" ref="AD26:AE26" si="16">AD10+AD24</f>
        <v>10</v>
      </c>
      <c r="AE26" s="280">
        <f t="shared" si="16"/>
        <v>0</v>
      </c>
      <c r="AF26" s="280">
        <f>AF10+AF24</f>
        <v>0</v>
      </c>
      <c r="AG26" s="280">
        <f>AG10+AG24</f>
        <v>0</v>
      </c>
      <c r="AH26" s="127">
        <f t="shared" ref="AH26:AI26" si="17">AH10+AH24</f>
        <v>39</v>
      </c>
      <c r="AI26" s="280">
        <f t="shared" si="17"/>
        <v>23</v>
      </c>
      <c r="AJ26" s="697">
        <f>AJ10+AJ24</f>
        <v>6</v>
      </c>
      <c r="AK26" s="696">
        <f>AK10+AK24</f>
        <v>24</v>
      </c>
      <c r="AL26" s="123">
        <f>AL10+AL24</f>
        <v>27.5</v>
      </c>
      <c r="AM26" s="280">
        <f t="shared" ref="AM26" si="18">AM10+AM24</f>
        <v>25.5</v>
      </c>
      <c r="AN26" s="280">
        <f>AN10+AN24</f>
        <v>0</v>
      </c>
      <c r="AO26" s="280">
        <f>AO10+AO24</f>
        <v>0</v>
      </c>
      <c r="AP26" s="123">
        <f t="shared" ref="AP26:AQ26" si="19">AP10+AP24</f>
        <v>10</v>
      </c>
      <c r="AQ26" s="280">
        <f t="shared" si="19"/>
        <v>4</v>
      </c>
      <c r="AR26" s="280">
        <f>AR10+AR24</f>
        <v>4</v>
      </c>
      <c r="AS26" s="280">
        <f>AS10+AS24</f>
        <v>0</v>
      </c>
      <c r="AT26" s="123">
        <f t="shared" ref="AT26:AU26" si="20">AT10+AT24</f>
        <v>25</v>
      </c>
      <c r="AU26" s="280">
        <f t="shared" si="20"/>
        <v>21</v>
      </c>
      <c r="AV26" s="280">
        <f>AV10+AV24</f>
        <v>1</v>
      </c>
      <c r="AW26" s="280">
        <f>AW10+AW24</f>
        <v>0</v>
      </c>
      <c r="AX26" s="123">
        <f t="shared" ref="AX26:AY26" si="21">AX10+AX24</f>
        <v>0</v>
      </c>
      <c r="AY26" s="280">
        <f t="shared" si="21"/>
        <v>0</v>
      </c>
      <c r="AZ26" s="280">
        <f>AZ10+AZ24</f>
        <v>0</v>
      </c>
      <c r="BA26" s="280">
        <f>BA10+BA24</f>
        <v>0</v>
      </c>
      <c r="BB26" s="127">
        <f t="shared" ref="BB26:BC26" si="22">BB10+BB24</f>
        <v>62.5</v>
      </c>
      <c r="BC26" s="280">
        <f t="shared" si="22"/>
        <v>50.5</v>
      </c>
      <c r="BD26" s="697">
        <f>BD10+BD24</f>
        <v>5</v>
      </c>
      <c r="BE26" s="697">
        <f>BE10+BE24</f>
        <v>0</v>
      </c>
      <c r="BF26" s="124">
        <f>BF10+BF24</f>
        <v>101.5</v>
      </c>
      <c r="BG26" s="707">
        <f t="shared" si="11"/>
        <v>73.5</v>
      </c>
      <c r="BH26" s="706">
        <f t="shared" si="11"/>
        <v>11</v>
      </c>
      <c r="BI26" s="284">
        <f t="shared" si="11"/>
        <v>24</v>
      </c>
    </row>
    <row r="27" spans="3:61" ht="21" customHeight="1">
      <c r="H27" s="320"/>
      <c r="I27" s="320"/>
      <c r="J27" s="321"/>
      <c r="K27" s="321"/>
      <c r="L27" s="321"/>
      <c r="M27" s="321"/>
      <c r="N27" s="321"/>
      <c r="O27" s="321"/>
      <c r="P27" s="321"/>
      <c r="Q27" s="321"/>
      <c r="R27" s="321"/>
      <c r="S27" s="321"/>
      <c r="T27" s="321"/>
      <c r="U27" s="321"/>
      <c r="V27" s="321"/>
      <c r="W27" s="321"/>
      <c r="X27" s="323"/>
      <c r="Y27" s="323"/>
      <c r="Z27" s="321"/>
      <c r="AA27" s="321"/>
      <c r="AB27" s="323"/>
      <c r="AC27" s="323"/>
      <c r="AD27" s="321"/>
      <c r="AE27" s="321"/>
      <c r="AF27" s="321"/>
      <c r="AG27" s="321"/>
      <c r="AH27" s="321"/>
      <c r="AI27" s="321"/>
      <c r="AJ27" s="321"/>
      <c r="AK27" s="321"/>
      <c r="AL27" s="321"/>
      <c r="AM27" s="321"/>
      <c r="AN27" s="321"/>
      <c r="AO27" s="321"/>
      <c r="AP27" s="321"/>
      <c r="AQ27" s="321"/>
      <c r="AR27" s="321"/>
      <c r="AS27" s="321"/>
      <c r="AT27" s="321"/>
      <c r="AU27" s="321"/>
      <c r="AV27" s="321"/>
      <c r="AW27" s="321"/>
      <c r="AX27" s="321"/>
      <c r="AY27" s="321"/>
      <c r="AZ27" s="321"/>
      <c r="BA27" s="321"/>
      <c r="BB27" s="335"/>
      <c r="BC27" s="1918">
        <f>SUM(I27:AZ29)</f>
        <v>0</v>
      </c>
      <c r="BD27" s="335"/>
      <c r="BE27" s="335"/>
      <c r="BF27" s="335"/>
      <c r="BG27" s="335"/>
      <c r="BH27" s="1917">
        <f>BH26+BI26</f>
        <v>35</v>
      </c>
      <c r="BI27" s="1917"/>
    </row>
    <row r="28" spans="3:61" ht="21" customHeight="1">
      <c r="H28" s="320"/>
      <c r="I28" s="320"/>
      <c r="J28" s="322"/>
      <c r="K28" s="323"/>
      <c r="L28" s="323"/>
      <c r="M28" s="323"/>
      <c r="N28" s="322"/>
      <c r="O28" s="323"/>
      <c r="P28" s="323"/>
      <c r="Q28" s="323"/>
      <c r="R28" s="322"/>
      <c r="S28" s="323"/>
      <c r="T28" s="323"/>
      <c r="U28" s="323"/>
      <c r="V28" s="321"/>
      <c r="W28" s="323"/>
      <c r="X28" s="323"/>
      <c r="Y28" s="323"/>
      <c r="Z28" s="322"/>
      <c r="AA28" s="323"/>
      <c r="AB28" s="323"/>
      <c r="AC28" s="323"/>
      <c r="AD28" s="322"/>
      <c r="AE28" s="323"/>
      <c r="AF28" s="323"/>
      <c r="AG28" s="322"/>
      <c r="AH28" s="322"/>
      <c r="AI28" s="323"/>
      <c r="AJ28" s="323"/>
      <c r="AK28" s="323"/>
      <c r="AL28" s="321"/>
      <c r="AM28" s="323"/>
      <c r="AN28" s="622"/>
      <c r="AO28" s="622"/>
      <c r="AP28" s="321"/>
      <c r="AQ28" s="323"/>
      <c r="AR28" s="323"/>
      <c r="AS28" s="323"/>
      <c r="AT28" s="322"/>
      <c r="AU28" s="323"/>
      <c r="AV28" s="323"/>
      <c r="AW28" s="323"/>
      <c r="AX28" s="322"/>
      <c r="AY28" s="468"/>
      <c r="AZ28" s="468"/>
      <c r="BA28" s="468"/>
      <c r="BB28" s="392"/>
      <c r="BC28" s="1919"/>
      <c r="BD28" s="434"/>
      <c r="BE28" s="434"/>
      <c r="BF28" s="435"/>
      <c r="BG28" s="434"/>
      <c r="BH28" s="726"/>
      <c r="BI28" s="434"/>
    </row>
    <row r="29" spans="3:61" ht="23.25">
      <c r="H29" s="320"/>
      <c r="I29" s="320"/>
      <c r="J29" s="322"/>
      <c r="K29" s="323"/>
      <c r="L29" s="323"/>
      <c r="M29" s="323"/>
      <c r="N29" s="322"/>
      <c r="O29" s="323"/>
      <c r="P29" s="323"/>
      <c r="Q29" s="323"/>
      <c r="R29" s="322"/>
      <c r="S29" s="323"/>
      <c r="T29" s="323"/>
      <c r="U29" s="323"/>
      <c r="V29" s="322"/>
      <c r="W29" s="323"/>
      <c r="X29" s="323"/>
      <c r="Y29" s="323"/>
      <c r="Z29" s="322"/>
      <c r="AA29" s="323"/>
      <c r="AB29" s="323"/>
      <c r="AC29" s="323"/>
      <c r="AD29" s="322"/>
      <c r="AE29" s="323"/>
      <c r="AF29" s="688"/>
      <c r="AG29" s="688"/>
      <c r="AH29" s="322"/>
      <c r="AI29" s="322"/>
      <c r="AJ29" s="323"/>
      <c r="AK29" s="323"/>
      <c r="AL29" s="321"/>
      <c r="AM29" s="323"/>
      <c r="AN29" s="321"/>
      <c r="AO29" s="321"/>
      <c r="AP29" s="322"/>
      <c r="AQ29" s="323"/>
      <c r="AR29" s="323"/>
      <c r="AS29" s="323"/>
      <c r="AT29" s="322"/>
      <c r="AU29" s="323"/>
      <c r="AV29" s="323"/>
      <c r="AW29" s="323"/>
      <c r="AX29" s="322"/>
      <c r="AY29" s="468"/>
      <c r="AZ29" s="468"/>
      <c r="BA29" s="468"/>
      <c r="BB29" s="392"/>
      <c r="BC29" s="434"/>
      <c r="BD29" s="434"/>
      <c r="BE29" s="434"/>
      <c r="BF29" s="435"/>
      <c r="BG29" s="434"/>
      <c r="BH29" s="682"/>
      <c r="BI29" s="434"/>
    </row>
    <row r="30" spans="3:61" s="464" customFormat="1" ht="21.75" thickBot="1">
      <c r="D30" s="576"/>
      <c r="E30" s="576"/>
      <c r="F30" s="576"/>
      <c r="I30" s="577"/>
      <c r="J30" s="578"/>
      <c r="K30" s="579"/>
      <c r="L30" s="579"/>
      <c r="M30" s="579"/>
      <c r="N30" s="578"/>
      <c r="O30" s="579"/>
      <c r="P30" s="579"/>
      <c r="Q30" s="579"/>
      <c r="R30" s="578"/>
      <c r="S30" s="579"/>
      <c r="T30" s="579"/>
      <c r="U30" s="579"/>
      <c r="V30" s="578"/>
      <c r="W30" s="578"/>
      <c r="X30" s="579"/>
      <c r="Y30" s="579"/>
      <c r="Z30" s="579"/>
      <c r="AA30" s="578"/>
      <c r="AB30" s="579"/>
      <c r="AC30" s="579"/>
      <c r="AD30" s="579"/>
      <c r="AE30" s="578"/>
      <c r="AF30" s="579"/>
      <c r="AG30" s="579"/>
      <c r="AH30" s="621"/>
      <c r="AI30" s="578"/>
      <c r="AJ30" s="579"/>
      <c r="AK30" s="579"/>
      <c r="AM30" s="580"/>
      <c r="AN30" s="579"/>
      <c r="AO30" s="579"/>
      <c r="AP30" s="579"/>
      <c r="AQ30" s="578"/>
      <c r="AR30" s="579"/>
      <c r="AS30" s="579"/>
      <c r="AT30" s="579"/>
      <c r="AU30" s="578"/>
      <c r="AV30" s="579"/>
      <c r="AW30" s="579"/>
      <c r="AZ30" s="581"/>
      <c r="BA30" s="581"/>
      <c r="BB30" s="581"/>
      <c r="BC30" s="582"/>
      <c r="BD30" s="583"/>
      <c r="BE30" s="583"/>
      <c r="BF30" s="583"/>
      <c r="BG30" s="584"/>
      <c r="BH30" s="583"/>
      <c r="BI30" s="585"/>
    </row>
    <row r="31" spans="3:61" ht="35.25" customHeight="1" thickBot="1">
      <c r="L31" s="1951" t="s">
        <v>397</v>
      </c>
      <c r="M31" s="1952"/>
      <c r="N31" s="1952"/>
      <c r="O31" s="1952"/>
      <c r="P31" s="1952"/>
      <c r="Q31" s="1952"/>
      <c r="R31" s="1952"/>
      <c r="S31" s="1953"/>
      <c r="T31" s="579"/>
      <c r="U31" s="579"/>
      <c r="V31" s="1929" t="s">
        <v>204</v>
      </c>
      <c r="W31" s="1930"/>
      <c r="X31" s="1930"/>
      <c r="Y31" s="1930"/>
      <c r="Z31" s="1930"/>
      <c r="AA31" s="1930"/>
      <c r="AB31" s="1930"/>
      <c r="AC31" s="1935"/>
      <c r="AD31" s="1936"/>
      <c r="AE31" s="579"/>
      <c r="AF31" s="579"/>
      <c r="AG31" s="26"/>
      <c r="AH31" s="24"/>
      <c r="AJ31" s="685"/>
      <c r="AL31" s="24"/>
      <c r="AM31" s="599"/>
      <c r="AN31" s="1014"/>
      <c r="AO31" s="579"/>
      <c r="AP31" s="579"/>
      <c r="AQ31" s="578"/>
      <c r="AR31" s="579"/>
      <c r="AS31" s="579"/>
      <c r="AT31" s="579"/>
      <c r="AX31" s="24"/>
      <c r="AY31" s="25"/>
      <c r="AZ31" s="25"/>
      <c r="BA31" s="24"/>
      <c r="BB31" s="24"/>
      <c r="BE31" s="23"/>
      <c r="BF31" s="23"/>
      <c r="BG31" s="23"/>
    </row>
    <row r="32" spans="3:61" s="24" customFormat="1" ht="28.5" customHeight="1" thickBot="1">
      <c r="C32" s="23"/>
      <c r="D32" s="27"/>
      <c r="E32" s="27"/>
      <c r="F32" s="27"/>
      <c r="G32" s="23"/>
      <c r="H32" s="23"/>
      <c r="I32" s="27"/>
      <c r="L32" s="450" t="s">
        <v>0</v>
      </c>
      <c r="M32" s="439" t="s">
        <v>200</v>
      </c>
      <c r="N32" s="454" t="s">
        <v>205</v>
      </c>
      <c r="O32" s="439" t="s">
        <v>31</v>
      </c>
      <c r="P32" s="448" t="s">
        <v>201</v>
      </c>
      <c r="Q32" s="455" t="s">
        <v>206</v>
      </c>
      <c r="R32" s="436" t="s">
        <v>22</v>
      </c>
      <c r="S32" s="438" t="s">
        <v>191</v>
      </c>
      <c r="T32" s="579"/>
      <c r="U32" s="579"/>
      <c r="V32" s="571" t="s">
        <v>0</v>
      </c>
      <c r="W32" s="572" t="s">
        <v>200</v>
      </c>
      <c r="X32" s="623" t="s">
        <v>205</v>
      </c>
      <c r="Y32" s="572" t="s">
        <v>31</v>
      </c>
      <c r="Z32" s="573" t="s">
        <v>201</v>
      </c>
      <c r="AA32" s="574" t="s">
        <v>206</v>
      </c>
      <c r="AB32" s="717" t="s">
        <v>22</v>
      </c>
      <c r="AC32" s="721" t="s">
        <v>191</v>
      </c>
      <c r="AD32" s="722" t="s">
        <v>226</v>
      </c>
      <c r="AE32" s="579"/>
      <c r="AF32" s="579"/>
      <c r="AG32" s="599"/>
      <c r="AH32" s="599"/>
      <c r="AI32" s="599"/>
      <c r="AN32" s="26"/>
      <c r="AO32" s="579"/>
      <c r="AP32" s="579"/>
      <c r="AQ32" s="578"/>
      <c r="AR32" s="579"/>
      <c r="AS32" s="579"/>
      <c r="AT32" s="579"/>
      <c r="AU32" s="25"/>
      <c r="AW32" s="23"/>
      <c r="AX32" s="23"/>
    </row>
    <row r="33" spans="1:59" ht="23.25">
      <c r="L33" s="441" t="s">
        <v>189</v>
      </c>
      <c r="M33" s="470">
        <f>$J$6</f>
        <v>3</v>
      </c>
      <c r="N33" s="430">
        <f>$J9</f>
        <v>2</v>
      </c>
      <c r="O33" s="430">
        <f>$J7</f>
        <v>0</v>
      </c>
      <c r="P33" s="430">
        <f>$J8</f>
        <v>0</v>
      </c>
      <c r="Q33" s="430">
        <f>J15+J16+J17+J18+J19+J21+J22+J23</f>
        <v>5</v>
      </c>
      <c r="R33" s="430">
        <f>$J20</f>
        <v>0</v>
      </c>
      <c r="S33" s="446">
        <f t="shared" ref="S33:S42" si="23">SUM(M33:R33)</f>
        <v>10</v>
      </c>
      <c r="T33" s="579"/>
      <c r="U33" s="579"/>
      <c r="V33" s="447" t="s">
        <v>189</v>
      </c>
      <c r="W33" s="569">
        <f>L$6</f>
        <v>5</v>
      </c>
      <c r="X33" s="570">
        <f>$L9</f>
        <v>0</v>
      </c>
      <c r="Y33" s="570">
        <f>$L7</f>
        <v>0</v>
      </c>
      <c r="Z33" s="570">
        <f>$L8</f>
        <v>0</v>
      </c>
      <c r="AA33" s="570">
        <f>L$15+L$16+L$17+L$18+L$19+L$21+L$22+L$23</f>
        <v>0</v>
      </c>
      <c r="AB33" s="718">
        <f>$L20</f>
        <v>0</v>
      </c>
      <c r="AC33" s="723">
        <f t="shared" ref="AC33:AC42" si="24">SUM(W33:AB33)</f>
        <v>5</v>
      </c>
      <c r="AD33" s="587">
        <f>M6+M7+M8++M9+M15+M16+M17+M18+M19+M21+M20+M22+M23</f>
        <v>24</v>
      </c>
      <c r="AE33" s="579">
        <f>AC33+AD33</f>
        <v>29</v>
      </c>
      <c r="AF33" s="579"/>
      <c r="AG33" s="599"/>
      <c r="AH33" s="599"/>
      <c r="AI33" s="599"/>
      <c r="AL33" s="24"/>
      <c r="AN33" s="26"/>
      <c r="AO33" s="579"/>
      <c r="AP33" s="579"/>
      <c r="AQ33" s="578"/>
      <c r="AR33" s="579"/>
      <c r="AS33" s="579"/>
      <c r="AT33" s="579"/>
      <c r="AU33" s="25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</row>
    <row r="34" spans="1:59" s="24" customFormat="1" ht="23.25">
      <c r="A34" s="23"/>
      <c r="B34" s="23"/>
      <c r="C34" s="23"/>
      <c r="D34" s="27"/>
      <c r="E34" s="27"/>
      <c r="F34" s="27"/>
      <c r="G34" s="23"/>
      <c r="H34" s="23"/>
      <c r="I34" s="27"/>
      <c r="L34" s="441" t="s">
        <v>183</v>
      </c>
      <c r="M34" s="470">
        <f>$N$6</f>
        <v>6</v>
      </c>
      <c r="N34" s="430">
        <f>$N9</f>
        <v>0</v>
      </c>
      <c r="O34" s="430">
        <f>$N7</f>
        <v>0</v>
      </c>
      <c r="P34" s="430">
        <f>$N8</f>
        <v>0</v>
      </c>
      <c r="Q34" s="430">
        <f>N15+N16+N17+N18+N19+N21+N22+N23</f>
        <v>8</v>
      </c>
      <c r="R34" s="430">
        <f>$N20</f>
        <v>0</v>
      </c>
      <c r="S34" s="446">
        <f t="shared" si="23"/>
        <v>14</v>
      </c>
      <c r="T34" s="686"/>
      <c r="U34" s="26"/>
      <c r="V34" s="441" t="s">
        <v>183</v>
      </c>
      <c r="W34" s="440">
        <f>P$6</f>
        <v>0</v>
      </c>
      <c r="X34" s="430">
        <f>$P9</f>
        <v>0</v>
      </c>
      <c r="Y34" s="430">
        <f>$P7</f>
        <v>0</v>
      </c>
      <c r="Z34" s="430">
        <f>$P8</f>
        <v>0</v>
      </c>
      <c r="AA34" s="430">
        <f>P$15+P$16+P$17+P$18+P$19+P$21+P$22+P$23</f>
        <v>0</v>
      </c>
      <c r="AB34" s="719">
        <f>$P20</f>
        <v>0</v>
      </c>
      <c r="AC34" s="723">
        <f t="shared" si="24"/>
        <v>0</v>
      </c>
      <c r="AD34" s="587">
        <f>Q6+Q7+Q8+Q9+Q15+Q16+Q17+Q18+Q19+Q20+Q21+Q22+Q23</f>
        <v>0</v>
      </c>
      <c r="AE34" s="579">
        <f t="shared" ref="AE34:AE43" si="25">AC34+AD34</f>
        <v>0</v>
      </c>
      <c r="AG34" s="599"/>
      <c r="AH34" s="599"/>
      <c r="AI34" s="599"/>
      <c r="AN34" s="26"/>
      <c r="AO34" s="579"/>
      <c r="AP34" s="579"/>
      <c r="AQ34" s="578"/>
      <c r="AR34" s="579"/>
      <c r="AS34" s="579"/>
      <c r="AT34" s="579"/>
      <c r="AU34" s="25"/>
    </row>
    <row r="35" spans="1:59" ht="23.25">
      <c r="L35" s="441" t="s">
        <v>184</v>
      </c>
      <c r="M35" s="470">
        <f>$R$6</f>
        <v>0</v>
      </c>
      <c r="N35" s="430">
        <f>$R9</f>
        <v>0</v>
      </c>
      <c r="O35" s="430">
        <f>$R7</f>
        <v>0</v>
      </c>
      <c r="P35" s="430">
        <f>$R8</f>
        <v>0</v>
      </c>
      <c r="Q35" s="430">
        <f>R15+R16+R17+R18+R19+R21+R22+R23</f>
        <v>0</v>
      </c>
      <c r="R35" s="430">
        <f>$R20</f>
        <v>0</v>
      </c>
      <c r="S35" s="446">
        <f t="shared" si="23"/>
        <v>0</v>
      </c>
      <c r="T35" s="686"/>
      <c r="U35" s="26"/>
      <c r="V35" s="441" t="s">
        <v>184</v>
      </c>
      <c r="W35" s="440">
        <f>T$6</f>
        <v>0</v>
      </c>
      <c r="X35" s="430">
        <f>$T9</f>
        <v>0</v>
      </c>
      <c r="Y35" s="430">
        <f>$T7</f>
        <v>0</v>
      </c>
      <c r="Z35" s="430">
        <f>$T8</f>
        <v>0</v>
      </c>
      <c r="AA35" s="430">
        <f>T$15+T$16+T$17+T$18+T$19+T$21+T$22+T$23</f>
        <v>0</v>
      </c>
      <c r="AB35" s="719">
        <f>$T20</f>
        <v>0</v>
      </c>
      <c r="AC35" s="723">
        <f t="shared" si="24"/>
        <v>0</v>
      </c>
      <c r="AD35" s="587">
        <f>U6+U7+U8+U9+U15+U16+U17+U18+U19+U20+U21+U22+U23</f>
        <v>0</v>
      </c>
      <c r="AE35" s="579">
        <f t="shared" si="25"/>
        <v>0</v>
      </c>
      <c r="AF35" s="26"/>
      <c r="AG35" s="599"/>
      <c r="AH35" s="599"/>
      <c r="AI35" s="599"/>
      <c r="AL35" s="24"/>
      <c r="AN35" s="26"/>
      <c r="AO35" s="579"/>
      <c r="AP35" s="579"/>
      <c r="AQ35" s="578"/>
      <c r="AR35" s="579"/>
      <c r="AS35" s="579"/>
      <c r="AT35" s="579"/>
      <c r="AU35" s="25"/>
      <c r="AX35" s="23"/>
      <c r="AY35" s="23"/>
      <c r="AZ35" s="23"/>
      <c r="BA35" s="23"/>
      <c r="BB35" s="23"/>
      <c r="BC35" s="23"/>
      <c r="BD35" s="23"/>
      <c r="BE35" s="23"/>
      <c r="BF35" s="23"/>
      <c r="BG35" s="23"/>
    </row>
    <row r="36" spans="1:59" ht="23.25">
      <c r="L36" s="441" t="s">
        <v>170</v>
      </c>
      <c r="M36" s="470">
        <f>$V$6</f>
        <v>2</v>
      </c>
      <c r="N36" s="430">
        <f>$V9</f>
        <v>3</v>
      </c>
      <c r="O36" s="430">
        <f>$V7</f>
        <v>0</v>
      </c>
      <c r="P36" s="430">
        <f>$V8</f>
        <v>0</v>
      </c>
      <c r="Q36" s="430">
        <f>V15+V16+V17+V18+V19+V21++V22+V23</f>
        <v>0</v>
      </c>
      <c r="R36" s="430">
        <f>$V20</f>
        <v>0</v>
      </c>
      <c r="S36" s="446">
        <f t="shared" si="23"/>
        <v>5</v>
      </c>
      <c r="T36" s="686"/>
      <c r="U36" s="26"/>
      <c r="V36" s="441" t="s">
        <v>170</v>
      </c>
      <c r="W36" s="440">
        <f>X$6</f>
        <v>0</v>
      </c>
      <c r="X36" s="430">
        <f>$X9</f>
        <v>1</v>
      </c>
      <c r="Y36" s="430">
        <f>$X7</f>
        <v>0</v>
      </c>
      <c r="Z36" s="430">
        <f>$X8</f>
        <v>0</v>
      </c>
      <c r="AA36" s="430">
        <f>X$15+X$16+X$17+X$18+X$19+X$21+X$22+X$23</f>
        <v>0</v>
      </c>
      <c r="AB36" s="719">
        <f>$X20</f>
        <v>0</v>
      </c>
      <c r="AC36" s="723">
        <f t="shared" si="24"/>
        <v>1</v>
      </c>
      <c r="AD36" s="587">
        <f>Y6+Y7+Y8+Y9+Y15+Y16+Y17+Y18+Y19+Y20+Y21+Y22+Y23</f>
        <v>0</v>
      </c>
      <c r="AE36" s="579">
        <f t="shared" si="25"/>
        <v>1</v>
      </c>
      <c r="AF36" s="26"/>
      <c r="AG36" s="599"/>
      <c r="AH36" s="599"/>
      <c r="AI36" s="599"/>
      <c r="AL36" s="24"/>
      <c r="AN36" s="26"/>
      <c r="AP36" s="24"/>
      <c r="AT36" s="25"/>
      <c r="AU36" s="25"/>
      <c r="AX36" s="23"/>
      <c r="AY36" s="23"/>
      <c r="AZ36" s="23"/>
      <c r="BA36" s="23"/>
      <c r="BB36" s="23"/>
      <c r="BC36" s="23"/>
      <c r="BD36" s="23"/>
      <c r="BE36" s="23"/>
      <c r="BF36" s="23"/>
      <c r="BG36" s="23"/>
    </row>
    <row r="37" spans="1:59" ht="23.25">
      <c r="L37" s="441" t="s">
        <v>171</v>
      </c>
      <c r="M37" s="470">
        <f>$Z$6</f>
        <v>0</v>
      </c>
      <c r="N37" s="430">
        <f>$Z9</f>
        <v>0</v>
      </c>
      <c r="O37" s="430">
        <f>$Z7</f>
        <v>0</v>
      </c>
      <c r="P37" s="430">
        <f>$Z8</f>
        <v>0</v>
      </c>
      <c r="Q37" s="430">
        <f>Z15+Z16+Z17+Z18+Z19+Z21+Z22+Z23</f>
        <v>0</v>
      </c>
      <c r="R37" s="430">
        <f>$Z20</f>
        <v>0</v>
      </c>
      <c r="S37" s="446">
        <f t="shared" si="23"/>
        <v>0</v>
      </c>
      <c r="T37" s="686"/>
      <c r="U37" s="26"/>
      <c r="V37" s="441" t="s">
        <v>171</v>
      </c>
      <c r="W37" s="440">
        <f>AB$6</f>
        <v>0</v>
      </c>
      <c r="X37" s="430">
        <f>$AB9</f>
        <v>0</v>
      </c>
      <c r="Y37" s="430">
        <f>$AB7</f>
        <v>0</v>
      </c>
      <c r="Z37" s="430">
        <f>$AB8</f>
        <v>0</v>
      </c>
      <c r="AA37" s="430">
        <f>AB$15+AB$16+AB$17+AB$18+AB$19+AB$21+AB$22+AB$23</f>
        <v>0</v>
      </c>
      <c r="AB37" s="719">
        <f>$AB20</f>
        <v>0</v>
      </c>
      <c r="AC37" s="723">
        <f t="shared" si="24"/>
        <v>0</v>
      </c>
      <c r="AD37" s="587">
        <f>AC6+AC7+AC8+AC9+AC15+AC17+AC16+AC18+AC19+AC20+AC21+AC22+AC23</f>
        <v>0</v>
      </c>
      <c r="AE37" s="579">
        <f t="shared" si="25"/>
        <v>0</v>
      </c>
      <c r="AF37" s="26"/>
      <c r="AG37" s="26"/>
      <c r="AI37" s="26"/>
      <c r="AJ37" s="26"/>
      <c r="AK37" s="26"/>
      <c r="AL37" s="24"/>
      <c r="AN37" s="26"/>
      <c r="AP37" s="24"/>
      <c r="AT37" s="24"/>
      <c r="AX37" s="23"/>
      <c r="AY37" s="23"/>
      <c r="AZ37" s="23"/>
      <c r="BA37" s="23"/>
      <c r="BB37" s="23"/>
      <c r="BC37" s="23"/>
      <c r="BD37" s="23"/>
      <c r="BE37" s="23"/>
      <c r="BF37" s="23"/>
      <c r="BG37" s="23"/>
    </row>
    <row r="38" spans="1:59" ht="23.25">
      <c r="L38" s="441" t="s">
        <v>190</v>
      </c>
      <c r="M38" s="492">
        <f>$AD$6</f>
        <v>10</v>
      </c>
      <c r="N38" s="471">
        <f>$AD9</f>
        <v>0</v>
      </c>
      <c r="O38" s="471">
        <f>$AD7</f>
        <v>0</v>
      </c>
      <c r="P38" s="471">
        <f>$AD8</f>
        <v>0</v>
      </c>
      <c r="Q38" s="430">
        <f>AD15+AD16+AD17+AD18+AD19+AD21+AD22+AD23</f>
        <v>0</v>
      </c>
      <c r="R38" s="471">
        <f>$AD20</f>
        <v>0</v>
      </c>
      <c r="S38" s="446">
        <f t="shared" si="23"/>
        <v>10</v>
      </c>
      <c r="T38" s="686"/>
      <c r="U38" s="26"/>
      <c r="V38" s="441" t="s">
        <v>190</v>
      </c>
      <c r="W38" s="440">
        <f>AF$6</f>
        <v>0</v>
      </c>
      <c r="X38" s="430">
        <f>$AF9</f>
        <v>0</v>
      </c>
      <c r="Y38" s="430">
        <f>$AF7</f>
        <v>0</v>
      </c>
      <c r="Z38" s="430">
        <f>$AF8</f>
        <v>0</v>
      </c>
      <c r="AA38" s="430">
        <f>AF$15+AF$16+AF$17+AF$18+AF$19+AF$21+AF$22+AF$23</f>
        <v>0</v>
      </c>
      <c r="AB38" s="719">
        <f>$AF20</f>
        <v>0</v>
      </c>
      <c r="AC38" s="723">
        <f t="shared" si="24"/>
        <v>0</v>
      </c>
      <c r="AD38" s="587">
        <f>AG6+AG7+AG8+AG9+AG15+AG16+AG17+AG18+AG19+AG20+AG21+AG22+AG23</f>
        <v>0</v>
      </c>
      <c r="AE38" s="579">
        <f t="shared" si="25"/>
        <v>0</v>
      </c>
      <c r="AF38" s="26"/>
      <c r="AG38" s="26"/>
      <c r="AI38" s="26"/>
      <c r="AJ38" s="26"/>
      <c r="AK38" s="26"/>
      <c r="AL38" s="24"/>
      <c r="AN38" s="26"/>
      <c r="AP38" s="24"/>
      <c r="AT38" s="24"/>
      <c r="AX38" s="23"/>
      <c r="AY38" s="23"/>
      <c r="AZ38" s="23"/>
      <c r="BA38" s="23"/>
      <c r="BB38" s="23"/>
      <c r="BC38" s="23"/>
      <c r="BD38" s="23"/>
      <c r="BE38" s="23"/>
      <c r="BF38" s="23"/>
      <c r="BG38" s="23"/>
    </row>
    <row r="39" spans="1:59" ht="23.25">
      <c r="L39" s="441" t="s">
        <v>185</v>
      </c>
      <c r="M39" s="470">
        <f>$AL$6</f>
        <v>25.5</v>
      </c>
      <c r="N39" s="430">
        <f>$AL9</f>
        <v>0</v>
      </c>
      <c r="O39" s="430">
        <f>$AL7</f>
        <v>0</v>
      </c>
      <c r="P39" s="430">
        <f>$AL8</f>
        <v>2</v>
      </c>
      <c r="Q39" s="430">
        <f>AL15+AL16+AL17+AL18+AL19+AL21+AL22+AL23</f>
        <v>0</v>
      </c>
      <c r="R39" s="430">
        <f>$AL20</f>
        <v>0</v>
      </c>
      <c r="S39" s="446">
        <f t="shared" si="23"/>
        <v>27.5</v>
      </c>
      <c r="T39" s="686"/>
      <c r="U39" s="26"/>
      <c r="V39" s="441" t="s">
        <v>185</v>
      </c>
      <c r="W39" s="469">
        <f>AN$6</f>
        <v>0</v>
      </c>
      <c r="X39" s="430">
        <f>$AN9</f>
        <v>0</v>
      </c>
      <c r="Y39" s="430">
        <f>$AN7</f>
        <v>0</v>
      </c>
      <c r="Z39" s="430">
        <f>$AN8</f>
        <v>0</v>
      </c>
      <c r="AA39" s="430">
        <f>AN$15+AN$16+AN$17+AN$18+AN$19+AN$21+AN$22+AN$23</f>
        <v>0</v>
      </c>
      <c r="AB39" s="719">
        <f>$AN20</f>
        <v>0</v>
      </c>
      <c r="AC39" s="723">
        <f t="shared" si="24"/>
        <v>0</v>
      </c>
      <c r="AD39" s="587">
        <f>AO6+AO7+AO8+AO9+AO15+AO16+AO17+AO18+AO19+AO20+AO21+AO22+AO23</f>
        <v>0</v>
      </c>
      <c r="AE39" s="579">
        <f t="shared" si="25"/>
        <v>0</v>
      </c>
      <c r="AF39" s="23"/>
      <c r="AG39" s="26"/>
      <c r="AI39" s="26"/>
      <c r="AJ39" s="26"/>
      <c r="AK39" s="26"/>
      <c r="AL39" s="24"/>
      <c r="AN39" s="26"/>
      <c r="AP39" s="24"/>
      <c r="AT39" s="24"/>
      <c r="AX39" s="23"/>
      <c r="AY39" s="23"/>
      <c r="AZ39" s="23"/>
      <c r="BA39" s="23"/>
      <c r="BB39" s="23"/>
      <c r="BC39" s="23"/>
      <c r="BD39" s="23"/>
      <c r="BE39" s="23"/>
      <c r="BF39" s="23"/>
      <c r="BG39" s="23"/>
    </row>
    <row r="40" spans="1:59" ht="23.25">
      <c r="L40" s="441" t="s">
        <v>202</v>
      </c>
      <c r="M40" s="470">
        <f>$AP$6</f>
        <v>0</v>
      </c>
      <c r="N40" s="430">
        <f>$AP9</f>
        <v>0</v>
      </c>
      <c r="O40" s="430">
        <f>$AP7</f>
        <v>0</v>
      </c>
      <c r="P40" s="430">
        <f>$AP8</f>
        <v>0</v>
      </c>
      <c r="Q40" s="430">
        <f>AP15+AP16+AP17+AP18+AP19+AP21+AP22+AP23</f>
        <v>10</v>
      </c>
      <c r="R40" s="430">
        <f>$AP20</f>
        <v>0</v>
      </c>
      <c r="S40" s="446">
        <f t="shared" si="23"/>
        <v>10</v>
      </c>
      <c r="T40" s="686"/>
      <c r="U40" s="26"/>
      <c r="V40" s="441" t="s">
        <v>202</v>
      </c>
      <c r="W40" s="440">
        <f>AR$6</f>
        <v>0</v>
      </c>
      <c r="X40" s="430">
        <f>$AR9</f>
        <v>0</v>
      </c>
      <c r="Y40" s="430">
        <f>$AR7</f>
        <v>0</v>
      </c>
      <c r="Z40" s="430">
        <f>$AR8</f>
        <v>0</v>
      </c>
      <c r="AA40" s="430">
        <f>AR$15+AR$16+AR$17+AR$18+AR$19+AR$21+AR$22+AR$23</f>
        <v>0</v>
      </c>
      <c r="AB40" s="719">
        <f>$AR20</f>
        <v>4</v>
      </c>
      <c r="AC40" s="723">
        <f t="shared" si="24"/>
        <v>4</v>
      </c>
      <c r="AD40" s="587">
        <f>AS6+AS7+AS8+AS9+AS15+AS16+AS17+AS18+AS19+AS20+AS21+AS22+AS23</f>
        <v>0</v>
      </c>
      <c r="AE40" s="579">
        <f t="shared" si="25"/>
        <v>4</v>
      </c>
      <c r="AF40" s="28"/>
      <c r="AG40" s="26"/>
      <c r="AI40" s="26"/>
      <c r="AJ40" s="26"/>
      <c r="AK40" s="26"/>
      <c r="AL40" s="24"/>
      <c r="AN40" s="26"/>
      <c r="AP40" s="24"/>
      <c r="AS40" s="23"/>
      <c r="AT40" s="24"/>
      <c r="AX40" s="23"/>
      <c r="AY40" s="23"/>
      <c r="AZ40" s="23"/>
      <c r="BA40" s="23"/>
      <c r="BB40" s="23"/>
      <c r="BC40" s="23"/>
      <c r="BD40" s="23"/>
      <c r="BE40" s="23"/>
      <c r="BF40" s="23"/>
      <c r="BG40" s="23"/>
    </row>
    <row r="41" spans="1:59" ht="23.25">
      <c r="L41" s="441" t="s">
        <v>186</v>
      </c>
      <c r="M41" s="470">
        <f>$AT$6</f>
        <v>5</v>
      </c>
      <c r="N41" s="430">
        <f>$AT9</f>
        <v>0</v>
      </c>
      <c r="O41" s="430">
        <f>$AT7</f>
        <v>0</v>
      </c>
      <c r="P41" s="430">
        <f>$AT8</f>
        <v>0</v>
      </c>
      <c r="Q41" s="430">
        <f>AT15+AT16+AT17+AT18+AT19+AT21+AT22+AT23</f>
        <v>0</v>
      </c>
      <c r="R41" s="430">
        <f>$AT20</f>
        <v>20</v>
      </c>
      <c r="S41" s="446">
        <f t="shared" si="23"/>
        <v>25</v>
      </c>
      <c r="T41" s="686"/>
      <c r="U41" s="26"/>
      <c r="V41" s="441" t="s">
        <v>186</v>
      </c>
      <c r="W41" s="440">
        <f>AV$6</f>
        <v>0</v>
      </c>
      <c r="X41" s="430">
        <f>$AV9</f>
        <v>1</v>
      </c>
      <c r="Y41" s="430">
        <f>$AV7</f>
        <v>0</v>
      </c>
      <c r="Z41" s="430">
        <f>$AV8</f>
        <v>0</v>
      </c>
      <c r="AA41" s="430">
        <f>AV$15+AV$16+AV$17+AV$18+AV$19+AV$21+AV$22+AV$23</f>
        <v>0</v>
      </c>
      <c r="AB41" s="719">
        <f>$AV20</f>
        <v>0</v>
      </c>
      <c r="AC41" s="723">
        <f t="shared" si="24"/>
        <v>1</v>
      </c>
      <c r="AD41" s="587">
        <f>AW6+AW7+AW8+AW9+AW15+AW16+AW17+AW18+AW20+AW19+AW21+AW22+AW23</f>
        <v>0</v>
      </c>
      <c r="AE41" s="579">
        <f t="shared" si="25"/>
        <v>1</v>
      </c>
      <c r="AH41" s="24"/>
      <c r="AJ41" s="25"/>
      <c r="AL41" s="24"/>
      <c r="AN41" s="25"/>
      <c r="AP41" s="24"/>
      <c r="AR41" s="25"/>
      <c r="AT41" s="24"/>
      <c r="AX41" s="23"/>
      <c r="AY41" s="23"/>
      <c r="AZ41" s="23"/>
      <c r="BA41" s="23"/>
      <c r="BB41" s="23"/>
      <c r="BC41" s="23"/>
      <c r="BD41" s="23"/>
      <c r="BE41" s="23"/>
      <c r="BF41" s="23"/>
      <c r="BG41" s="23"/>
    </row>
    <row r="42" spans="1:59" ht="23.25">
      <c r="L42" s="441" t="s">
        <v>203</v>
      </c>
      <c r="M42" s="470">
        <f>$AX$6</f>
        <v>0</v>
      </c>
      <c r="N42" s="430">
        <f>$AX9</f>
        <v>0</v>
      </c>
      <c r="O42" s="430">
        <f>$AX7</f>
        <v>0</v>
      </c>
      <c r="P42" s="430">
        <f>$AX8</f>
        <v>0</v>
      </c>
      <c r="Q42" s="430">
        <f>AX15+AX16+AX17+AX18+AX19+AX21+AX22+AX23</f>
        <v>0</v>
      </c>
      <c r="R42" s="430">
        <f>$AX20</f>
        <v>0</v>
      </c>
      <c r="S42" s="446">
        <f t="shared" si="23"/>
        <v>0</v>
      </c>
      <c r="T42" s="686"/>
      <c r="U42" s="26"/>
      <c r="V42" s="441" t="s">
        <v>203</v>
      </c>
      <c r="W42" s="440">
        <f>AZ$6</f>
        <v>0</v>
      </c>
      <c r="X42" s="430">
        <f>$AZ9</f>
        <v>0</v>
      </c>
      <c r="Y42" s="430">
        <f>$AZ7</f>
        <v>0</v>
      </c>
      <c r="Z42" s="430">
        <f>$AZ8</f>
        <v>0</v>
      </c>
      <c r="AA42" s="430">
        <f>AZ$15+AZ$16+AZ$17+AZ$18+AZ$19+AZ$21+AZ$22+AZ$23</f>
        <v>0</v>
      </c>
      <c r="AB42" s="719">
        <f>$AZ20</f>
        <v>0</v>
      </c>
      <c r="AC42" s="723">
        <f t="shared" si="24"/>
        <v>0</v>
      </c>
      <c r="AD42" s="587">
        <f>BA6+BA7+BA8+BA9+BA15+BA16+BA17+BA18+BA19+BA20+BA21+BA22+BA23</f>
        <v>0</v>
      </c>
      <c r="AE42" s="579">
        <f t="shared" si="25"/>
        <v>0</v>
      </c>
      <c r="AH42" s="24"/>
      <c r="AJ42" s="25"/>
      <c r="AL42" s="24"/>
      <c r="AN42" s="25"/>
      <c r="AP42" s="24"/>
      <c r="AR42" s="25"/>
      <c r="AT42" s="24"/>
      <c r="AV42" s="25"/>
      <c r="AX42" s="23"/>
      <c r="AY42" s="23"/>
      <c r="AZ42" s="23"/>
      <c r="BA42" s="23"/>
      <c r="BB42" s="23"/>
      <c r="BC42" s="23"/>
      <c r="BD42" s="23"/>
      <c r="BE42" s="23"/>
      <c r="BF42" s="23"/>
      <c r="BG42" s="23"/>
    </row>
    <row r="43" spans="1:59" ht="24" thickBot="1">
      <c r="L43" s="442" t="s">
        <v>191</v>
      </c>
      <c r="M43" s="443">
        <f t="shared" ref="M43" si="26">SUM(M33:M42)</f>
        <v>51.5</v>
      </c>
      <c r="N43" s="444">
        <f>SUM(N33:N42)</f>
        <v>5</v>
      </c>
      <c r="O43" s="443">
        <f t="shared" ref="O43" si="27">SUM(O33:O42)</f>
        <v>0</v>
      </c>
      <c r="P43" s="444">
        <f>SUM(P33:P42)</f>
        <v>2</v>
      </c>
      <c r="Q43" s="444">
        <f>SUM(Q33:Q42)</f>
        <v>23</v>
      </c>
      <c r="R43" s="445">
        <f>SUM(R33:R42)</f>
        <v>20</v>
      </c>
      <c r="S43" s="451">
        <f>SUM(S33:S42)</f>
        <v>101.5</v>
      </c>
      <c r="T43" s="687"/>
      <c r="U43" s="26"/>
      <c r="V43" s="442" t="s">
        <v>191</v>
      </c>
      <c r="W43" s="443">
        <f t="shared" ref="W43:Y43" si="28">SUM(W33:W42)</f>
        <v>5</v>
      </c>
      <c r="X43" s="444">
        <f>SUM(X33:X42)</f>
        <v>2</v>
      </c>
      <c r="Y43" s="443">
        <f t="shared" si="28"/>
        <v>0</v>
      </c>
      <c r="Z43" s="444">
        <f>SUM(Z33:Z42)</f>
        <v>0</v>
      </c>
      <c r="AA43" s="444">
        <f>SUM(AA33:AA42)</f>
        <v>0</v>
      </c>
      <c r="AB43" s="720">
        <f>SUM(AB33:AB42)</f>
        <v>4</v>
      </c>
      <c r="AC43" s="724">
        <f>SUM(AC33:AC42)</f>
        <v>11</v>
      </c>
      <c r="AD43" s="725">
        <f>SUM(AD33:AD42)</f>
        <v>24</v>
      </c>
      <c r="AE43" s="579">
        <f t="shared" si="25"/>
        <v>35</v>
      </c>
      <c r="AH43" s="24"/>
      <c r="AJ43" s="25"/>
      <c r="AL43" s="24"/>
      <c r="AN43" s="25"/>
      <c r="AP43" s="24"/>
      <c r="AR43" s="25"/>
      <c r="AT43" s="24"/>
      <c r="AV43" s="25"/>
      <c r="AX43" s="23"/>
      <c r="AY43" s="23"/>
      <c r="AZ43" s="23"/>
      <c r="BA43" s="23"/>
      <c r="BB43" s="23"/>
      <c r="BC43" s="23"/>
      <c r="BD43" s="23"/>
      <c r="BE43" s="23"/>
      <c r="BF43" s="23"/>
      <c r="BG43" s="23"/>
    </row>
    <row r="44" spans="1:59" ht="15" customHeight="1" thickBot="1">
      <c r="L44" s="26"/>
      <c r="M44" s="26"/>
      <c r="N44" s="24"/>
      <c r="P44" s="26"/>
      <c r="Q44" s="26"/>
      <c r="R44" s="24"/>
      <c r="T44" s="26"/>
      <c r="U44" s="26"/>
      <c r="V44" s="24"/>
      <c r="Z44" s="24"/>
      <c r="AD44" s="24"/>
      <c r="AE44" s="26"/>
      <c r="AF44" s="466"/>
      <c r="AG44" s="466"/>
      <c r="AH44" s="466"/>
      <c r="AI44" s="467"/>
      <c r="AL44" s="24"/>
      <c r="AM44" s="25"/>
      <c r="AP44" s="24"/>
      <c r="AQ44" s="25"/>
      <c r="AT44" s="24"/>
      <c r="AU44" s="25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</row>
    <row r="45" spans="1:59" ht="27" thickBot="1">
      <c r="L45" s="1929" t="str">
        <f>L31</f>
        <v>Mode wise Collection Plan-20-01-2022</v>
      </c>
      <c r="M45" s="1930"/>
      <c r="N45" s="1930"/>
      <c r="O45" s="1930"/>
      <c r="P45" s="1930"/>
      <c r="Q45" s="1930"/>
      <c r="R45" s="1930"/>
      <c r="S45" s="1930"/>
      <c r="T45" s="1931"/>
      <c r="U45" s="26"/>
      <c r="V45" s="1923" t="s">
        <v>311</v>
      </c>
      <c r="W45" s="1937"/>
      <c r="X45" s="1937"/>
      <c r="Y45" s="1937"/>
      <c r="Z45" s="1937"/>
      <c r="AA45" s="1937"/>
      <c r="AB45" s="1937"/>
      <c r="AC45" s="1937"/>
      <c r="AD45" s="1937"/>
      <c r="AE45" s="1938"/>
      <c r="AF45" s="466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</row>
    <row r="46" spans="1:59" s="28" customFormat="1" ht="48" customHeight="1">
      <c r="D46" s="29"/>
      <c r="E46" s="29"/>
      <c r="F46" s="29"/>
      <c r="I46" s="29"/>
      <c r="J46" s="1011" t="s">
        <v>270</v>
      </c>
      <c r="K46" s="1011" t="s">
        <v>196</v>
      </c>
      <c r="L46" s="450" t="s">
        <v>0</v>
      </c>
      <c r="M46" s="439" t="s">
        <v>200</v>
      </c>
      <c r="N46" s="454" t="s">
        <v>205</v>
      </c>
      <c r="O46" s="439" t="s">
        <v>31</v>
      </c>
      <c r="P46" s="448" t="s">
        <v>201</v>
      </c>
      <c r="Q46" s="455" t="s">
        <v>206</v>
      </c>
      <c r="R46" s="436" t="s">
        <v>22</v>
      </c>
      <c r="S46" s="438" t="s">
        <v>191</v>
      </c>
      <c r="T46" s="438" t="s">
        <v>355</v>
      </c>
      <c r="U46" s="26"/>
      <c r="V46" s="596" t="s">
        <v>0</v>
      </c>
      <c r="W46" s="436" t="s">
        <v>200</v>
      </c>
      <c r="X46" s="454" t="s">
        <v>205</v>
      </c>
      <c r="Y46" s="436" t="s">
        <v>31</v>
      </c>
      <c r="Z46" s="448" t="s">
        <v>201</v>
      </c>
      <c r="AA46" s="453" t="s">
        <v>206</v>
      </c>
      <c r="AB46" s="453" t="s">
        <v>210</v>
      </c>
      <c r="AC46" s="436" t="s">
        <v>22</v>
      </c>
      <c r="AD46" s="437" t="s">
        <v>191</v>
      </c>
      <c r="AE46" s="438" t="s">
        <v>244</v>
      </c>
      <c r="AF46" s="1108" t="s">
        <v>32</v>
      </c>
      <c r="AG46" s="1104" t="s">
        <v>25</v>
      </c>
      <c r="AH46" s="1104" t="s">
        <v>22</v>
      </c>
      <c r="AI46" s="1104" t="s">
        <v>271</v>
      </c>
      <c r="AJ46" s="23"/>
      <c r="AK46" s="23"/>
      <c r="AL46" s="23"/>
      <c r="AM46" s="23"/>
      <c r="AN46" s="23"/>
      <c r="AO46" s="23"/>
      <c r="AP46" s="23"/>
      <c r="AQ46" s="23"/>
      <c r="AR46" s="23"/>
    </row>
    <row r="47" spans="1:59" ht="24" customHeight="1">
      <c r="J47" s="441">
        <v>19.899999999999999</v>
      </c>
      <c r="K47" s="441">
        <v>19</v>
      </c>
      <c r="L47" s="441" t="s">
        <v>189</v>
      </c>
      <c r="M47" s="470">
        <v>3</v>
      </c>
      <c r="N47" s="430">
        <v>2</v>
      </c>
      <c r="O47" s="430">
        <v>0</v>
      </c>
      <c r="P47" s="430">
        <v>0</v>
      </c>
      <c r="Q47" s="430">
        <v>5</v>
      </c>
      <c r="R47" s="430">
        <v>0</v>
      </c>
      <c r="S47" s="446">
        <f t="shared" ref="S47:S56" si="29">SUM(M47:R47)</f>
        <v>10</v>
      </c>
      <c r="T47" s="446">
        <v>24</v>
      </c>
      <c r="U47" s="26"/>
      <c r="V47" s="586" t="s">
        <v>189</v>
      </c>
      <c r="W47" s="430"/>
      <c r="X47" s="430"/>
      <c r="Y47" s="430"/>
      <c r="Z47" s="430"/>
      <c r="AA47" s="430"/>
      <c r="AB47" s="655"/>
      <c r="AC47" s="430"/>
      <c r="AD47" s="568">
        <f t="shared" ref="AD47:AD56" si="30">SUM(W47:AC47)</f>
        <v>0</v>
      </c>
      <c r="AE47" s="1025">
        <f>L27+L28+L29</f>
        <v>0</v>
      </c>
      <c r="AF47" s="1109">
        <v>74</v>
      </c>
      <c r="AG47" s="1111"/>
      <c r="AH47" s="1111"/>
      <c r="AI47" s="1111"/>
      <c r="AJ47" s="28"/>
      <c r="AK47" s="28"/>
      <c r="AL47" s="28"/>
      <c r="AM47" s="28"/>
      <c r="AN47" s="28"/>
      <c r="AO47" s="28"/>
      <c r="AP47" s="28"/>
      <c r="AQ47" s="28"/>
      <c r="AR47" s="28"/>
      <c r="AT47" s="24"/>
      <c r="AU47" s="25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</row>
    <row r="48" spans="1:59" ht="24" customHeight="1">
      <c r="J48" s="441">
        <v>9</v>
      </c>
      <c r="K48" s="441"/>
      <c r="L48" s="441" t="s">
        <v>183</v>
      </c>
      <c r="M48" s="470">
        <v>6</v>
      </c>
      <c r="N48" s="430">
        <v>0</v>
      </c>
      <c r="O48" s="430">
        <v>0</v>
      </c>
      <c r="P48" s="430">
        <v>0</v>
      </c>
      <c r="Q48" s="430">
        <v>8</v>
      </c>
      <c r="R48" s="430">
        <v>0</v>
      </c>
      <c r="S48" s="446">
        <f t="shared" si="29"/>
        <v>14</v>
      </c>
      <c r="T48" s="446"/>
      <c r="U48" s="466"/>
      <c r="V48" s="586" t="s">
        <v>183</v>
      </c>
      <c r="W48" s="430"/>
      <c r="X48" s="430"/>
      <c r="Y48" s="430"/>
      <c r="Z48" s="430"/>
      <c r="AA48" s="430"/>
      <c r="AB48" s="655"/>
      <c r="AC48" s="430"/>
      <c r="AD48" s="568">
        <f t="shared" si="30"/>
        <v>0</v>
      </c>
      <c r="AE48" s="1025">
        <f>P27+P28+P29</f>
        <v>0</v>
      </c>
      <c r="AF48" s="1109">
        <v>30</v>
      </c>
      <c r="AG48" s="1111"/>
      <c r="AH48" s="1111"/>
      <c r="AI48" s="1111"/>
      <c r="AL48" s="24"/>
      <c r="AM48" s="25"/>
      <c r="AP48" s="24"/>
      <c r="AQ48" s="25"/>
      <c r="AT48" s="24"/>
      <c r="AU48" s="25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</row>
    <row r="49" spans="4:59" ht="24" customHeight="1">
      <c r="J49" s="441"/>
      <c r="K49" s="441">
        <v>18</v>
      </c>
      <c r="L49" s="441" t="s">
        <v>184</v>
      </c>
      <c r="M49" s="470">
        <v>0</v>
      </c>
      <c r="N49" s="430">
        <v>0</v>
      </c>
      <c r="O49" s="430">
        <v>0</v>
      </c>
      <c r="P49" s="430">
        <v>0</v>
      </c>
      <c r="Q49" s="430">
        <v>0</v>
      </c>
      <c r="R49" s="430">
        <v>0</v>
      </c>
      <c r="S49" s="446">
        <f t="shared" si="29"/>
        <v>0</v>
      </c>
      <c r="T49" s="446"/>
      <c r="U49" s="466"/>
      <c r="V49" s="586" t="s">
        <v>184</v>
      </c>
      <c r="W49" s="430"/>
      <c r="X49" s="430"/>
      <c r="Y49" s="430"/>
      <c r="Z49" s="430"/>
      <c r="AA49" s="430"/>
      <c r="AB49" s="655"/>
      <c r="AC49" s="430"/>
      <c r="AD49" s="568">
        <f t="shared" si="30"/>
        <v>0</v>
      </c>
      <c r="AE49" s="1025">
        <f>T27+T28+T29</f>
        <v>0</v>
      </c>
      <c r="AF49" s="1109"/>
      <c r="AG49" s="1111"/>
      <c r="AH49" s="1111"/>
      <c r="AI49" s="1111"/>
      <c r="AL49" s="24"/>
      <c r="AM49" s="25"/>
      <c r="AP49" s="24"/>
      <c r="AQ49" s="25"/>
      <c r="AT49" s="24"/>
      <c r="AU49" s="25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</row>
    <row r="50" spans="4:59" ht="24" customHeight="1">
      <c r="J50" s="441">
        <v>18</v>
      </c>
      <c r="K50" s="441"/>
      <c r="L50" s="441" t="s">
        <v>170</v>
      </c>
      <c r="M50" s="470">
        <v>2</v>
      </c>
      <c r="N50" s="430">
        <v>3</v>
      </c>
      <c r="O50" s="430">
        <v>0</v>
      </c>
      <c r="P50" s="430">
        <v>0</v>
      </c>
      <c r="Q50" s="430">
        <v>0</v>
      </c>
      <c r="R50" s="430">
        <v>0</v>
      </c>
      <c r="S50" s="446">
        <f t="shared" si="29"/>
        <v>5</v>
      </c>
      <c r="T50" s="446"/>
      <c r="U50" s="466"/>
      <c r="V50" s="586" t="s">
        <v>170</v>
      </c>
      <c r="W50" s="430"/>
      <c r="X50" s="430"/>
      <c r="Y50" s="430"/>
      <c r="Z50" s="430"/>
      <c r="AA50" s="430"/>
      <c r="AB50" s="655"/>
      <c r="AC50" s="430"/>
      <c r="AD50" s="568">
        <f t="shared" si="30"/>
        <v>0</v>
      </c>
      <c r="AE50" s="1025">
        <f>X27+X28+X29</f>
        <v>0</v>
      </c>
      <c r="AF50" s="1109">
        <v>60</v>
      </c>
      <c r="AG50" s="1111"/>
      <c r="AH50" s="1111"/>
      <c r="AI50" s="1111"/>
      <c r="AL50" s="24"/>
      <c r="AM50" s="25"/>
      <c r="AP50" s="24"/>
      <c r="AQ50" s="25"/>
      <c r="AT50" s="24"/>
      <c r="AU50" s="25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</row>
    <row r="51" spans="4:59" ht="24" customHeight="1">
      <c r="J51" s="441"/>
      <c r="K51" s="441"/>
      <c r="L51" s="441" t="s">
        <v>171</v>
      </c>
      <c r="M51" s="470">
        <v>0</v>
      </c>
      <c r="N51" s="430">
        <v>0</v>
      </c>
      <c r="O51" s="430">
        <v>0</v>
      </c>
      <c r="P51" s="430">
        <v>0</v>
      </c>
      <c r="Q51" s="430">
        <v>0</v>
      </c>
      <c r="R51" s="430">
        <v>0</v>
      </c>
      <c r="S51" s="446">
        <f t="shared" si="29"/>
        <v>0</v>
      </c>
      <c r="T51" s="446"/>
      <c r="U51" s="466"/>
      <c r="V51" s="586" t="s">
        <v>171</v>
      </c>
      <c r="W51" s="430"/>
      <c r="X51" s="430"/>
      <c r="Y51" s="430"/>
      <c r="Z51" s="430"/>
      <c r="AA51" s="430"/>
      <c r="AB51" s="655"/>
      <c r="AC51" s="430"/>
      <c r="AD51" s="568">
        <f t="shared" si="30"/>
        <v>0</v>
      </c>
      <c r="AE51" s="1025">
        <f>AB27+AB28+AB29</f>
        <v>0</v>
      </c>
      <c r="AF51" s="1109"/>
      <c r="AG51" s="1111"/>
      <c r="AH51" s="1111"/>
      <c r="AI51" s="1111"/>
      <c r="AL51" s="24"/>
      <c r="AM51" s="25"/>
      <c r="AP51" s="24"/>
      <c r="AQ51" s="25"/>
      <c r="AT51" s="24"/>
      <c r="AU51" s="25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</row>
    <row r="52" spans="4:59" ht="24" customHeight="1">
      <c r="J52" s="441"/>
      <c r="K52" s="441"/>
      <c r="L52" s="441" t="s">
        <v>190</v>
      </c>
      <c r="M52" s="492">
        <v>10</v>
      </c>
      <c r="N52" s="471">
        <v>0</v>
      </c>
      <c r="O52" s="471">
        <v>0</v>
      </c>
      <c r="P52" s="471">
        <v>0</v>
      </c>
      <c r="Q52" s="430">
        <v>0</v>
      </c>
      <c r="R52" s="471">
        <v>0</v>
      </c>
      <c r="S52" s="446">
        <f t="shared" si="29"/>
        <v>10</v>
      </c>
      <c r="T52" s="446"/>
      <c r="U52" s="466"/>
      <c r="V52" s="586" t="s">
        <v>190</v>
      </c>
      <c r="W52" s="430">
        <v>4.5</v>
      </c>
      <c r="X52" s="430"/>
      <c r="Y52" s="430"/>
      <c r="Z52" s="430">
        <v>19</v>
      </c>
      <c r="AA52" s="430"/>
      <c r="AB52" s="655"/>
      <c r="AC52" s="430"/>
      <c r="AD52" s="568">
        <f t="shared" si="30"/>
        <v>23.5</v>
      </c>
      <c r="AE52" s="1025">
        <f>AF27+AF28+AF29</f>
        <v>0</v>
      </c>
      <c r="AF52" s="1109">
        <v>34</v>
      </c>
      <c r="AG52" s="1111"/>
      <c r="AH52" s="1111"/>
      <c r="AI52" s="1111"/>
      <c r="AL52" s="24"/>
      <c r="AM52" s="25"/>
      <c r="AP52" s="24"/>
      <c r="AQ52" s="25"/>
      <c r="AT52" s="24"/>
      <c r="AU52" s="25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</row>
    <row r="53" spans="4:59" ht="24" customHeight="1">
      <c r="J53" s="441"/>
      <c r="K53" s="441">
        <v>19.8</v>
      </c>
      <c r="L53" s="441" t="s">
        <v>185</v>
      </c>
      <c r="M53" s="470">
        <v>25.5</v>
      </c>
      <c r="N53" s="430">
        <v>0</v>
      </c>
      <c r="O53" s="430">
        <v>0</v>
      </c>
      <c r="P53" s="430">
        <v>2</v>
      </c>
      <c r="Q53" s="430">
        <v>0</v>
      </c>
      <c r="R53" s="430">
        <v>0</v>
      </c>
      <c r="S53" s="446">
        <f t="shared" si="29"/>
        <v>27.5</v>
      </c>
      <c r="T53" s="446"/>
      <c r="U53" s="466"/>
      <c r="V53" s="586" t="s">
        <v>185</v>
      </c>
      <c r="W53" s="430"/>
      <c r="X53" s="430"/>
      <c r="Y53" s="430"/>
      <c r="Z53" s="430"/>
      <c r="AA53" s="430"/>
      <c r="AB53" s="655"/>
      <c r="AC53" s="430"/>
      <c r="AD53" s="568">
        <f t="shared" si="30"/>
        <v>0</v>
      </c>
      <c r="AE53" s="1025">
        <f>AN27+AN28+AN29</f>
        <v>0</v>
      </c>
      <c r="AF53" s="1109">
        <v>75</v>
      </c>
      <c r="AG53" s="1111"/>
      <c r="AH53" s="1111"/>
      <c r="AI53" s="1111"/>
      <c r="AL53" s="24"/>
      <c r="AM53" s="25"/>
      <c r="AP53" s="24"/>
      <c r="AQ53" s="25"/>
      <c r="AT53" s="24"/>
      <c r="AU53" s="25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</row>
    <row r="54" spans="4:59" ht="24" customHeight="1">
      <c r="J54" s="441"/>
      <c r="K54" s="441">
        <v>9</v>
      </c>
      <c r="L54" s="441" t="s">
        <v>202</v>
      </c>
      <c r="M54" s="470">
        <v>0</v>
      </c>
      <c r="N54" s="430">
        <v>0</v>
      </c>
      <c r="O54" s="430">
        <v>0</v>
      </c>
      <c r="P54" s="430">
        <v>0</v>
      </c>
      <c r="Q54" s="430">
        <v>10</v>
      </c>
      <c r="R54" s="430">
        <v>0</v>
      </c>
      <c r="S54" s="446">
        <f t="shared" si="29"/>
        <v>10</v>
      </c>
      <c r="T54" s="446"/>
      <c r="U54" s="466"/>
      <c r="V54" s="586" t="s">
        <v>202</v>
      </c>
      <c r="W54" s="430"/>
      <c r="X54" s="430"/>
      <c r="Y54" s="430"/>
      <c r="Z54" s="430"/>
      <c r="AA54" s="430"/>
      <c r="AB54" s="655"/>
      <c r="AC54" s="430"/>
      <c r="AD54" s="568">
        <f t="shared" si="30"/>
        <v>0</v>
      </c>
      <c r="AE54" s="1025">
        <f>AR27+AR28+AR29</f>
        <v>0</v>
      </c>
      <c r="AF54" s="1109">
        <v>15</v>
      </c>
      <c r="AG54" s="1111"/>
      <c r="AH54" s="1111"/>
      <c r="AI54" s="1111"/>
      <c r="AL54" s="24"/>
      <c r="AM54" s="25"/>
      <c r="AP54" s="24"/>
      <c r="AQ54" s="25"/>
      <c r="AT54" s="24"/>
      <c r="AU54" s="25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</row>
    <row r="55" spans="4:59" ht="24" customHeight="1">
      <c r="J55" s="441"/>
      <c r="K55" s="441"/>
      <c r="L55" s="441" t="s">
        <v>186</v>
      </c>
      <c r="M55" s="470">
        <v>5</v>
      </c>
      <c r="N55" s="430">
        <v>0</v>
      </c>
      <c r="O55" s="430">
        <v>0</v>
      </c>
      <c r="P55" s="430">
        <v>0</v>
      </c>
      <c r="Q55" s="430">
        <v>0</v>
      </c>
      <c r="R55" s="430">
        <v>20</v>
      </c>
      <c r="S55" s="446">
        <f t="shared" si="29"/>
        <v>25</v>
      </c>
      <c r="T55" s="446"/>
      <c r="U55" s="466"/>
      <c r="V55" s="586" t="s">
        <v>186</v>
      </c>
      <c r="W55" s="430"/>
      <c r="X55" s="430"/>
      <c r="Y55" s="430"/>
      <c r="Z55" s="430"/>
      <c r="AA55" s="430"/>
      <c r="AB55" s="655"/>
      <c r="AC55" s="430"/>
      <c r="AD55" s="568">
        <f t="shared" si="30"/>
        <v>0</v>
      </c>
      <c r="AE55" s="1025">
        <f>AV27+AV28+AV29</f>
        <v>0</v>
      </c>
      <c r="AF55" s="1109">
        <v>27</v>
      </c>
      <c r="AG55" s="1111"/>
      <c r="AH55" s="1111"/>
      <c r="AI55" s="1111"/>
      <c r="AL55" s="24"/>
      <c r="AM55" s="25"/>
      <c r="AP55" s="24"/>
      <c r="AQ55" s="25"/>
      <c r="AT55" s="24"/>
      <c r="AU55" s="25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</row>
    <row r="56" spans="4:59" ht="24" customHeight="1">
      <c r="J56" s="441">
        <v>15.5</v>
      </c>
      <c r="K56" s="441"/>
      <c r="L56" s="441" t="s">
        <v>203</v>
      </c>
      <c r="M56" s="470">
        <v>0</v>
      </c>
      <c r="N56" s="430">
        <v>0</v>
      </c>
      <c r="O56" s="430">
        <v>0</v>
      </c>
      <c r="P56" s="430">
        <v>0</v>
      </c>
      <c r="Q56" s="430">
        <v>0</v>
      </c>
      <c r="R56" s="430">
        <v>0</v>
      </c>
      <c r="S56" s="446">
        <f t="shared" si="29"/>
        <v>0</v>
      </c>
      <c r="T56" s="446"/>
      <c r="U56" s="466"/>
      <c r="V56" s="586" t="s">
        <v>203</v>
      </c>
      <c r="W56" s="430"/>
      <c r="X56" s="430"/>
      <c r="Y56" s="430"/>
      <c r="Z56" s="430"/>
      <c r="AA56" s="430"/>
      <c r="AB56" s="655"/>
      <c r="AC56" s="430"/>
      <c r="AD56" s="568">
        <f t="shared" si="30"/>
        <v>0</v>
      </c>
      <c r="AE56" s="1025">
        <f>AZ27+AZ28+AZ29</f>
        <v>0</v>
      </c>
      <c r="AF56" s="1109">
        <v>47</v>
      </c>
      <c r="AG56" s="1111"/>
      <c r="AH56" s="1111"/>
      <c r="AI56" s="1111"/>
      <c r="AL56" s="24"/>
      <c r="AM56" s="25"/>
      <c r="AP56" s="24"/>
      <c r="AQ56" s="25"/>
      <c r="AT56" s="24"/>
      <c r="AU56" s="25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</row>
    <row r="57" spans="4:59" ht="24" customHeight="1" thickBot="1">
      <c r="J57" s="442">
        <f t="shared" ref="J57:K57" si="31">SUM(J47:J56)</f>
        <v>62.4</v>
      </c>
      <c r="K57" s="442">
        <f t="shared" si="31"/>
        <v>65.8</v>
      </c>
      <c r="L57" s="442" t="s">
        <v>191</v>
      </c>
      <c r="M57" s="443">
        <f t="shared" ref="M57" si="32">SUM(M47:M56)</f>
        <v>51.5</v>
      </c>
      <c r="N57" s="444">
        <f>SUM(N47:N56)</f>
        <v>5</v>
      </c>
      <c r="O57" s="443">
        <f t="shared" ref="O57" si="33">SUM(O47:O56)</f>
        <v>0</v>
      </c>
      <c r="P57" s="444">
        <f>SUM(P47:P56)</f>
        <v>2</v>
      </c>
      <c r="Q57" s="444">
        <f>SUM(Q47:Q56)</f>
        <v>23</v>
      </c>
      <c r="R57" s="445">
        <f>SUM(R47:R56)</f>
        <v>20</v>
      </c>
      <c r="S57" s="451">
        <f>SUM(S47:S56)</f>
        <v>101.5</v>
      </c>
      <c r="T57" s="451">
        <f>SUM(T47:T56)</f>
        <v>24</v>
      </c>
      <c r="U57" s="466"/>
      <c r="V57" s="588" t="s">
        <v>191</v>
      </c>
      <c r="W57" s="589">
        <f t="shared" ref="W57" si="34">SUM(W47:W56)</f>
        <v>4.5</v>
      </c>
      <c r="X57" s="444">
        <f>SUM(X47:X56)</f>
        <v>0</v>
      </c>
      <c r="Y57" s="444">
        <f t="shared" ref="Y57" si="35">SUM(Y47:Y56)</f>
        <v>0</v>
      </c>
      <c r="Z57" s="444">
        <f>SUM(Z47:Z56)</f>
        <v>19</v>
      </c>
      <c r="AA57" s="444">
        <f>SUM(AA47:AA56)</f>
        <v>0</v>
      </c>
      <c r="AB57" s="444"/>
      <c r="AC57" s="444">
        <f t="shared" ref="AC57" si="36">SUM(AC47:AC56)</f>
        <v>0</v>
      </c>
      <c r="AD57" s="630">
        <f>SUM(AD47:AD56)</f>
        <v>23.5</v>
      </c>
      <c r="AE57" s="631">
        <f>SUM(AE47:AE56)</f>
        <v>0</v>
      </c>
      <c r="AF57" s="1110">
        <f t="shared" ref="AF57:AI57" si="37">SUM(AF47:AF56)</f>
        <v>362</v>
      </c>
      <c r="AG57" s="1015">
        <f t="shared" si="37"/>
        <v>0</v>
      </c>
      <c r="AH57" s="1015">
        <f t="shared" si="37"/>
        <v>0</v>
      </c>
      <c r="AI57" s="1015">
        <f t="shared" si="37"/>
        <v>0</v>
      </c>
      <c r="AL57" s="24"/>
      <c r="AM57" s="25"/>
      <c r="AP57" s="24"/>
      <c r="AQ57" s="25"/>
      <c r="AT57" s="24"/>
      <c r="AU57" s="25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</row>
    <row r="58" spans="4:59" ht="24" customHeight="1" thickBot="1">
      <c r="N58" s="24"/>
      <c r="O58" s="1924" t="s">
        <v>254</v>
      </c>
      <c r="P58" s="1925"/>
      <c r="Q58" s="1925"/>
      <c r="R58" s="1926"/>
      <c r="S58" s="1966">
        <f>S57+T57</f>
        <v>125.5</v>
      </c>
      <c r="T58" s="1967"/>
      <c r="U58" s="466"/>
      <c r="V58" s="1932" t="s">
        <v>221</v>
      </c>
      <c r="W58" s="1932"/>
      <c r="X58" s="1932"/>
      <c r="Y58" s="1932"/>
      <c r="Z58" s="1932"/>
      <c r="AA58" s="1932"/>
      <c r="AB58" s="1932"/>
      <c r="AC58" s="1932"/>
      <c r="AD58" s="1975">
        <f>AD57+AE57</f>
        <v>23.5</v>
      </c>
      <c r="AE58" s="1976"/>
      <c r="AF58" s="466"/>
      <c r="AH58" s="24"/>
      <c r="AI58" s="25"/>
      <c r="AL58" s="24"/>
      <c r="AM58" s="25"/>
      <c r="AP58" s="24"/>
      <c r="AQ58" s="25"/>
      <c r="AT58" s="24"/>
      <c r="AU58" s="25"/>
      <c r="AX58" s="24"/>
      <c r="AY58" s="24"/>
      <c r="AZ58" s="25"/>
      <c r="BA58" s="24"/>
      <c r="BB58" s="24"/>
      <c r="BC58" s="23"/>
      <c r="BD58" s="23"/>
      <c r="BE58" s="23"/>
      <c r="BF58" s="23"/>
      <c r="BG58" s="23"/>
    </row>
    <row r="59" spans="4:59" ht="24" customHeight="1" thickBot="1">
      <c r="J59" s="24"/>
      <c r="N59" s="24"/>
      <c r="R59" s="24"/>
      <c r="T59" s="26"/>
      <c r="U59" s="26"/>
      <c r="V59" s="966"/>
      <c r="W59" s="966"/>
      <c r="X59" s="966"/>
      <c r="Y59" s="1922" t="s">
        <v>235</v>
      </c>
      <c r="Z59" s="1922"/>
      <c r="AA59" s="1922"/>
      <c r="AB59" s="1922"/>
      <c r="AC59" s="1922"/>
      <c r="AD59" s="1920">
        <f>BH6+BI6+BD20+BE20+BI16+BH16</f>
        <v>33</v>
      </c>
      <c r="AE59" s="1921"/>
      <c r="AF59" s="466"/>
      <c r="AH59" s="24"/>
      <c r="AI59" s="25"/>
      <c r="AL59" s="24"/>
      <c r="AP59" s="25"/>
      <c r="AT59" s="25"/>
      <c r="AX59" s="25"/>
      <c r="AY59" s="24"/>
      <c r="AZ59" s="24"/>
      <c r="BA59" s="24"/>
      <c r="BB59" s="25"/>
      <c r="BE59" s="23"/>
      <c r="BF59" s="23"/>
      <c r="BG59" s="23"/>
    </row>
    <row r="60" spans="4:59" s="28" customFormat="1" ht="27" thickBot="1">
      <c r="D60" s="29"/>
      <c r="E60" s="29"/>
      <c r="F60" s="29"/>
      <c r="I60" s="29"/>
      <c r="J60" s="24"/>
      <c r="K60" s="24"/>
      <c r="L60" s="1923" t="s">
        <v>321</v>
      </c>
      <c r="M60" s="1937"/>
      <c r="N60" s="1937"/>
      <c r="O60" s="1937"/>
      <c r="P60" s="1937"/>
      <c r="Q60" s="1937"/>
      <c r="R60" s="1937"/>
      <c r="S60" s="1937"/>
      <c r="T60" s="1937"/>
      <c r="U60" s="1938"/>
      <c r="V60" s="966"/>
      <c r="W60" s="966"/>
      <c r="X60" s="966"/>
      <c r="Y60" s="1013"/>
      <c r="Z60" s="966"/>
      <c r="AA60" s="966"/>
      <c r="AB60" s="966"/>
      <c r="AC60" s="1013"/>
      <c r="AE60" s="964"/>
      <c r="AF60" s="966"/>
      <c r="AG60" s="964"/>
      <c r="AH60" s="964"/>
      <c r="AI60" s="967"/>
      <c r="AJ60" s="964"/>
      <c r="AK60" s="964"/>
      <c r="AL60" s="964"/>
      <c r="AM60" s="964"/>
      <c r="AN60" s="964"/>
      <c r="AO60" s="964"/>
      <c r="AP60" s="967"/>
      <c r="AQ60" s="964"/>
      <c r="AR60" s="964"/>
      <c r="AS60" s="964"/>
      <c r="AT60" s="967"/>
      <c r="AU60" s="964"/>
      <c r="AV60" s="964"/>
      <c r="AW60" s="964"/>
      <c r="AX60" s="967"/>
      <c r="AY60" s="965"/>
      <c r="AZ60" s="965"/>
      <c r="BA60" s="964"/>
      <c r="BB60" s="964"/>
      <c r="BC60" s="967"/>
      <c r="BD60" s="967"/>
      <c r="BE60" s="964"/>
    </row>
    <row r="61" spans="4:59" ht="31.5">
      <c r="J61" s="24"/>
      <c r="L61" s="596" t="s">
        <v>0</v>
      </c>
      <c r="M61" s="436" t="s">
        <v>200</v>
      </c>
      <c r="N61" s="454" t="s">
        <v>205</v>
      </c>
      <c r="O61" s="436" t="s">
        <v>31</v>
      </c>
      <c r="P61" s="448" t="s">
        <v>201</v>
      </c>
      <c r="Q61" s="453" t="s">
        <v>206</v>
      </c>
      <c r="R61" s="453" t="s">
        <v>210</v>
      </c>
      <c r="S61" s="436" t="s">
        <v>22</v>
      </c>
      <c r="T61" s="437" t="s">
        <v>191</v>
      </c>
      <c r="U61" s="438" t="s">
        <v>244</v>
      </c>
      <c r="V61" s="466"/>
      <c r="W61" s="466"/>
      <c r="X61" s="466"/>
      <c r="Y61" s="465"/>
      <c r="Z61" s="466"/>
      <c r="AA61" s="466"/>
      <c r="AB61" s="466"/>
      <c r="AC61" s="465"/>
      <c r="AF61" s="466"/>
      <c r="AH61" s="24"/>
      <c r="AI61" s="25"/>
      <c r="AL61" s="24"/>
      <c r="AM61" s="26"/>
      <c r="AN61" s="26"/>
      <c r="AP61" s="24"/>
      <c r="AQ61" s="26"/>
      <c r="AR61" s="26"/>
      <c r="AT61" s="24"/>
      <c r="AU61" s="26"/>
      <c r="AV61" s="26"/>
      <c r="AX61" s="24"/>
      <c r="AY61" s="26"/>
      <c r="AZ61" s="26"/>
      <c r="BA61" s="24"/>
      <c r="BB61" s="24"/>
      <c r="BC61" s="25"/>
      <c r="BD61" s="25"/>
      <c r="BF61" s="23"/>
      <c r="BG61" s="23"/>
    </row>
    <row r="62" spans="4:59" ht="26.25">
      <c r="J62" s="24"/>
      <c r="L62" s="586" t="s">
        <v>189</v>
      </c>
      <c r="M62" s="430">
        <v>5</v>
      </c>
      <c r="N62" s="430">
        <v>0</v>
      </c>
      <c r="O62" s="430">
        <v>0</v>
      </c>
      <c r="P62" s="430">
        <v>0</v>
      </c>
      <c r="Q62" s="430"/>
      <c r="R62" s="655"/>
      <c r="S62" s="430"/>
      <c r="T62" s="568">
        <f t="shared" ref="T62:T71" si="38">SUM(M62:S62)</f>
        <v>5</v>
      </c>
      <c r="U62" s="1025">
        <v>24</v>
      </c>
      <c r="V62" s="466"/>
      <c r="W62" s="466"/>
      <c r="X62" s="466"/>
      <c r="Y62" s="465"/>
      <c r="Z62" s="466"/>
      <c r="AA62" s="466"/>
      <c r="AB62" s="466"/>
      <c r="AC62" s="465"/>
      <c r="AD62" s="966"/>
      <c r="AF62" s="466"/>
      <c r="AH62" s="24"/>
      <c r="AI62" s="25"/>
      <c r="AL62" s="24"/>
      <c r="AM62" s="26"/>
      <c r="AN62" s="26"/>
      <c r="AP62" s="24"/>
      <c r="AQ62" s="26"/>
      <c r="AR62" s="26"/>
      <c r="AT62" s="24"/>
      <c r="AU62" s="26"/>
      <c r="AV62" s="26"/>
      <c r="AX62" s="24"/>
      <c r="AY62" s="26"/>
      <c r="AZ62" s="26"/>
      <c r="BA62" s="24"/>
      <c r="BB62" s="24"/>
      <c r="BC62" s="25"/>
      <c r="BD62" s="25"/>
      <c r="BF62" s="23"/>
      <c r="BG62" s="23"/>
    </row>
    <row r="63" spans="4:59" ht="26.25">
      <c r="J63" s="24"/>
      <c r="L63" s="586" t="s">
        <v>183</v>
      </c>
      <c r="M63" s="430">
        <v>0</v>
      </c>
      <c r="N63" s="430">
        <v>0</v>
      </c>
      <c r="O63" s="430">
        <v>0</v>
      </c>
      <c r="P63" s="430">
        <v>0</v>
      </c>
      <c r="Q63" s="430"/>
      <c r="R63" s="655"/>
      <c r="S63" s="430"/>
      <c r="T63" s="568">
        <f t="shared" si="38"/>
        <v>0</v>
      </c>
      <c r="U63" s="1025"/>
      <c r="V63" s="466"/>
      <c r="W63" s="466"/>
      <c r="X63" s="466"/>
      <c r="Y63" s="465"/>
      <c r="Z63" s="466"/>
      <c r="AA63" s="466"/>
      <c r="AB63" s="466"/>
      <c r="AC63" s="465"/>
      <c r="AD63" s="466"/>
      <c r="AG63" s="26"/>
      <c r="AH63" s="24"/>
      <c r="AK63" s="49"/>
      <c r="AL63" s="24"/>
      <c r="AM63" s="26"/>
      <c r="AN63" s="26"/>
      <c r="AP63" s="24"/>
      <c r="AQ63" s="26"/>
      <c r="AR63" s="26"/>
      <c r="AT63" s="24"/>
      <c r="AU63" s="26"/>
      <c r="AV63" s="26"/>
      <c r="AX63" s="24"/>
      <c r="AY63" s="26"/>
      <c r="AZ63" s="26"/>
      <c r="BA63" s="24"/>
      <c r="BB63" s="24"/>
      <c r="BC63" s="25"/>
      <c r="BD63" s="25"/>
      <c r="BF63" s="23"/>
      <c r="BG63" s="23"/>
    </row>
    <row r="64" spans="4:59" ht="26.25">
      <c r="J64" s="24"/>
      <c r="L64" s="586" t="s">
        <v>184</v>
      </c>
      <c r="M64" s="430">
        <v>0</v>
      </c>
      <c r="N64" s="430">
        <v>0</v>
      </c>
      <c r="O64" s="430">
        <v>0</v>
      </c>
      <c r="P64" s="430">
        <v>0</v>
      </c>
      <c r="Q64" s="430"/>
      <c r="R64" s="655"/>
      <c r="S64" s="430"/>
      <c r="T64" s="568">
        <f t="shared" si="38"/>
        <v>0</v>
      </c>
      <c r="U64" s="1025"/>
      <c r="V64" s="466"/>
      <c r="W64" s="466"/>
      <c r="X64" s="466"/>
      <c r="Y64" s="465"/>
      <c r="Z64" s="466"/>
      <c r="AA64" s="466"/>
      <c r="AB64" s="466"/>
      <c r="AC64" s="465"/>
      <c r="AD64" s="466"/>
      <c r="AG64" s="26"/>
      <c r="AH64" s="24"/>
      <c r="AK64" s="49"/>
      <c r="AL64" s="24"/>
      <c r="AO64" s="26"/>
      <c r="AP64" s="24"/>
      <c r="AQ64" s="26"/>
      <c r="AR64" s="26"/>
      <c r="AT64" s="24"/>
      <c r="AU64" s="26"/>
      <c r="AV64" s="26"/>
      <c r="AX64" s="24"/>
      <c r="AY64" s="26"/>
      <c r="AZ64" s="26"/>
      <c r="BA64" s="24"/>
      <c r="BB64" s="24"/>
      <c r="BE64" s="25"/>
      <c r="BF64" s="24"/>
      <c r="BG64" s="23"/>
    </row>
    <row r="65" spans="10:59" ht="26.25">
      <c r="J65" s="24"/>
      <c r="L65" s="586" t="s">
        <v>170</v>
      </c>
      <c r="M65" s="430">
        <v>0</v>
      </c>
      <c r="N65" s="430">
        <v>1</v>
      </c>
      <c r="O65" s="430">
        <v>0</v>
      </c>
      <c r="P65" s="430">
        <v>0</v>
      </c>
      <c r="Q65" s="430"/>
      <c r="R65" s="655"/>
      <c r="S65" s="430"/>
      <c r="T65" s="568">
        <f t="shared" si="38"/>
        <v>1</v>
      </c>
      <c r="U65" s="1025"/>
      <c r="V65" s="466"/>
      <c r="W65" s="466"/>
      <c r="X65" s="466"/>
      <c r="Y65" s="465"/>
      <c r="Z65" s="466"/>
      <c r="AA65" s="466"/>
      <c r="AB65" s="466"/>
      <c r="AC65" s="465"/>
      <c r="AD65" s="466"/>
      <c r="AG65" s="26"/>
      <c r="AH65" s="24"/>
      <c r="AK65" s="49"/>
      <c r="AL65" s="24"/>
      <c r="AO65" s="26"/>
      <c r="AP65" s="24"/>
      <c r="AQ65" s="26"/>
      <c r="AR65" s="26"/>
      <c r="AT65" s="24"/>
      <c r="AU65" s="26"/>
      <c r="AV65" s="26"/>
      <c r="AX65" s="24"/>
      <c r="AY65" s="26"/>
      <c r="AZ65" s="26"/>
      <c r="BA65" s="24"/>
      <c r="BB65" s="24"/>
      <c r="BE65" s="25"/>
      <c r="BF65" s="24"/>
      <c r="BG65" s="23"/>
    </row>
    <row r="66" spans="10:59" ht="26.25">
      <c r="J66" s="24"/>
      <c r="L66" s="586" t="s">
        <v>171</v>
      </c>
      <c r="M66" s="430">
        <v>0</v>
      </c>
      <c r="N66" s="430">
        <v>0</v>
      </c>
      <c r="O66" s="430">
        <v>0</v>
      </c>
      <c r="P66" s="430">
        <v>0</v>
      </c>
      <c r="Q66" s="430"/>
      <c r="R66" s="655"/>
      <c r="S66" s="430"/>
      <c r="T66" s="568">
        <f t="shared" si="38"/>
        <v>0</v>
      </c>
      <c r="U66" s="1025"/>
      <c r="V66" s="466"/>
      <c r="W66" s="466"/>
      <c r="X66" s="466"/>
      <c r="Y66" s="465"/>
      <c r="Z66" s="466"/>
      <c r="AA66" s="466"/>
      <c r="AB66" s="466"/>
      <c r="AC66" s="465"/>
      <c r="AD66" s="466"/>
      <c r="AG66" s="26"/>
      <c r="AH66" s="24"/>
      <c r="AK66" s="49"/>
      <c r="AL66" s="24"/>
      <c r="AO66" s="26"/>
      <c r="AP66" s="24"/>
      <c r="AQ66" s="26"/>
      <c r="AR66" s="26"/>
      <c r="AT66" s="24"/>
      <c r="AU66" s="26"/>
      <c r="AV66" s="26"/>
      <c r="AX66" s="24"/>
      <c r="AY66" s="26"/>
      <c r="AZ66" s="26"/>
      <c r="BA66" s="24"/>
      <c r="BB66" s="24"/>
      <c r="BE66" s="25"/>
      <c r="BF66" s="24"/>
      <c r="BG66" s="23"/>
    </row>
    <row r="67" spans="10:59" ht="26.25">
      <c r="J67" s="24"/>
      <c r="L67" s="586" t="s">
        <v>190</v>
      </c>
      <c r="M67" s="430">
        <v>0</v>
      </c>
      <c r="N67" s="430">
        <v>0</v>
      </c>
      <c r="O67" s="430">
        <v>0</v>
      </c>
      <c r="P67" s="430">
        <v>0</v>
      </c>
      <c r="Q67" s="430"/>
      <c r="R67" s="655"/>
      <c r="S67" s="430"/>
      <c r="T67" s="568">
        <f t="shared" si="38"/>
        <v>0</v>
      </c>
      <c r="U67" s="1025"/>
      <c r="V67" s="466"/>
      <c r="W67" s="466"/>
      <c r="X67" s="466"/>
      <c r="Y67" s="465"/>
      <c r="Z67" s="466"/>
      <c r="AA67" s="466"/>
      <c r="AB67" s="466"/>
      <c r="AC67" s="465"/>
      <c r="AD67" s="466"/>
      <c r="AG67" s="26"/>
      <c r="AH67" s="24"/>
      <c r="AK67" s="49"/>
      <c r="AL67" s="24"/>
      <c r="AO67" s="26"/>
      <c r="AP67" s="24"/>
      <c r="AQ67" s="26"/>
      <c r="AR67" s="26"/>
      <c r="AT67" s="24"/>
      <c r="AU67" s="26"/>
      <c r="AV67" s="26"/>
      <c r="AX67" s="24"/>
      <c r="AY67" s="26"/>
      <c r="AZ67" s="26"/>
      <c r="BA67" s="24"/>
      <c r="BB67" s="24"/>
      <c r="BE67" s="25"/>
      <c r="BF67" s="24"/>
      <c r="BG67" s="23"/>
    </row>
    <row r="68" spans="10:59" ht="26.25">
      <c r="J68" s="24"/>
      <c r="L68" s="586" t="s">
        <v>185</v>
      </c>
      <c r="M68" s="430">
        <v>0</v>
      </c>
      <c r="N68" s="430">
        <v>0</v>
      </c>
      <c r="O68" s="430">
        <v>0</v>
      </c>
      <c r="P68" s="430">
        <v>0</v>
      </c>
      <c r="Q68" s="430"/>
      <c r="R68" s="655"/>
      <c r="S68" s="430">
        <v>4</v>
      </c>
      <c r="T68" s="568">
        <f t="shared" si="38"/>
        <v>4</v>
      </c>
      <c r="U68" s="1025"/>
      <c r="V68" s="466"/>
      <c r="W68" s="466"/>
      <c r="X68" s="466"/>
      <c r="Y68" s="465"/>
      <c r="Z68" s="466"/>
      <c r="AA68" s="466"/>
      <c r="AB68" s="466"/>
      <c r="AC68" s="465"/>
      <c r="AD68" s="466"/>
      <c r="AG68" s="26"/>
      <c r="AH68" s="24"/>
      <c r="AK68" s="49"/>
      <c r="AL68" s="24"/>
      <c r="AO68" s="26"/>
      <c r="AP68" s="24"/>
      <c r="AQ68" s="26"/>
      <c r="AR68" s="26"/>
      <c r="AT68" s="24"/>
      <c r="AU68" s="26"/>
      <c r="AV68" s="26"/>
      <c r="AX68" s="24"/>
      <c r="AY68" s="26"/>
      <c r="AZ68" s="26"/>
      <c r="BA68" s="24"/>
      <c r="BB68" s="24"/>
      <c r="BE68" s="25"/>
      <c r="BF68" s="24"/>
      <c r="BG68" s="23"/>
    </row>
    <row r="69" spans="10:59" ht="26.25">
      <c r="L69" s="586" t="s">
        <v>202</v>
      </c>
      <c r="M69" s="430">
        <v>0</v>
      </c>
      <c r="N69" s="430">
        <v>0</v>
      </c>
      <c r="O69" s="430">
        <v>0</v>
      </c>
      <c r="P69" s="430">
        <v>0</v>
      </c>
      <c r="Q69" s="430"/>
      <c r="R69" s="655"/>
      <c r="S69" s="430"/>
      <c r="T69" s="568">
        <f t="shared" si="38"/>
        <v>0</v>
      </c>
      <c r="U69" s="1025"/>
      <c r="V69" s="466"/>
      <c r="W69" s="466"/>
      <c r="X69" s="466"/>
      <c r="Y69" s="465"/>
      <c r="Z69" s="466"/>
      <c r="AA69" s="466"/>
      <c r="AB69" s="466"/>
      <c r="AC69" s="465"/>
      <c r="AD69" s="466"/>
      <c r="AG69" s="26"/>
      <c r="AH69" s="24"/>
      <c r="AK69" s="49"/>
      <c r="AL69" s="24"/>
      <c r="AO69" s="26"/>
      <c r="AP69" s="24"/>
      <c r="AQ69" s="26"/>
      <c r="AR69" s="26"/>
      <c r="AT69" s="24"/>
      <c r="AU69" s="26"/>
      <c r="AV69" s="26"/>
      <c r="AX69" s="24"/>
      <c r="AY69" s="26"/>
      <c r="AZ69" s="26"/>
      <c r="BA69" s="24"/>
      <c r="BB69" s="24"/>
      <c r="BE69" s="25"/>
      <c r="BF69" s="24"/>
      <c r="BG69" s="23"/>
    </row>
    <row r="70" spans="10:59" ht="26.25">
      <c r="L70" s="586" t="s">
        <v>186</v>
      </c>
      <c r="M70" s="430">
        <v>0</v>
      </c>
      <c r="N70" s="430">
        <v>1</v>
      </c>
      <c r="O70" s="430">
        <v>0</v>
      </c>
      <c r="P70" s="430">
        <v>0</v>
      </c>
      <c r="Q70" s="430"/>
      <c r="R70" s="655"/>
      <c r="S70" s="430"/>
      <c r="T70" s="568">
        <f t="shared" si="38"/>
        <v>1</v>
      </c>
      <c r="U70" s="1025"/>
      <c r="V70" s="466"/>
      <c r="W70" s="466"/>
      <c r="X70" s="466"/>
      <c r="Y70" s="465"/>
      <c r="Z70" s="466"/>
      <c r="AA70" s="466"/>
      <c r="AB70" s="466"/>
      <c r="AC70" s="465"/>
      <c r="AD70" s="466"/>
      <c r="AG70" s="26"/>
      <c r="AH70" s="24"/>
      <c r="AK70" s="49"/>
      <c r="AL70" s="24"/>
      <c r="AM70" s="26"/>
      <c r="AN70" s="26"/>
      <c r="AY70" s="24"/>
      <c r="AZ70" s="24"/>
      <c r="BA70" s="24"/>
      <c r="BB70" s="24"/>
      <c r="BC70" s="25"/>
      <c r="BD70" s="25"/>
      <c r="BF70" s="23"/>
      <c r="BG70" s="23"/>
    </row>
    <row r="71" spans="10:59" ht="26.25">
      <c r="L71" s="586" t="s">
        <v>203</v>
      </c>
      <c r="M71" s="430">
        <v>0</v>
      </c>
      <c r="N71" s="430">
        <v>0</v>
      </c>
      <c r="O71" s="430">
        <v>0</v>
      </c>
      <c r="P71" s="430">
        <v>0</v>
      </c>
      <c r="Q71" s="430"/>
      <c r="R71" s="655"/>
      <c r="S71" s="430"/>
      <c r="T71" s="568">
        <f t="shared" si="38"/>
        <v>0</v>
      </c>
      <c r="U71" s="1025"/>
      <c r="V71" s="466"/>
      <c r="W71" s="466"/>
      <c r="X71" s="466"/>
      <c r="Y71" s="465"/>
      <c r="Z71" s="466"/>
      <c r="AA71" s="466"/>
      <c r="AB71" s="466"/>
      <c r="AC71" s="465"/>
      <c r="AD71" s="466"/>
      <c r="AG71" s="26"/>
      <c r="AH71" s="24"/>
      <c r="AK71" s="49"/>
      <c r="AL71" s="24"/>
      <c r="AM71" s="26"/>
      <c r="AN71" s="26"/>
      <c r="AY71" s="24"/>
      <c r="AZ71" s="24"/>
      <c r="BA71" s="24"/>
      <c r="BB71" s="24"/>
      <c r="BC71" s="25"/>
      <c r="BD71" s="25"/>
      <c r="BF71" s="23"/>
      <c r="BG71" s="23"/>
    </row>
    <row r="72" spans="10:59" ht="24" thickBot="1">
      <c r="L72" s="588" t="s">
        <v>191</v>
      </c>
      <c r="M72" s="589">
        <f t="shared" ref="M72" si="39">SUM(M62:M71)</f>
        <v>5</v>
      </c>
      <c r="N72" s="444">
        <f>SUM(N62:N71)</f>
        <v>2</v>
      </c>
      <c r="O72" s="444">
        <f t="shared" ref="O72" si="40">SUM(O62:O71)</f>
        <v>0</v>
      </c>
      <c r="P72" s="444">
        <f>SUM(P62:P71)</f>
        <v>0</v>
      </c>
      <c r="Q72" s="444">
        <f>SUM(Q62:Q71)</f>
        <v>0</v>
      </c>
      <c r="R72" s="444"/>
      <c r="S72" s="444">
        <f t="shared" ref="S72" si="41">SUM(S62:S71)</f>
        <v>4</v>
      </c>
      <c r="T72" s="630">
        <f>SUM(T62:T71)</f>
        <v>11</v>
      </c>
      <c r="U72" s="631">
        <f>SUM(U62:U71)</f>
        <v>24</v>
      </c>
      <c r="V72" s="466"/>
      <c r="W72" s="466"/>
      <c r="X72" s="466"/>
      <c r="Y72" s="465"/>
      <c r="Z72" s="466"/>
      <c r="AA72" s="466"/>
      <c r="AB72" s="466"/>
      <c r="AC72" s="465"/>
      <c r="AD72" s="466"/>
      <c r="AG72" s="26"/>
      <c r="AH72" s="24"/>
      <c r="AK72" s="49"/>
      <c r="AL72" s="24"/>
      <c r="AM72" s="26"/>
      <c r="AN72" s="26"/>
      <c r="AY72" s="24"/>
      <c r="AZ72" s="24"/>
      <c r="BA72" s="24"/>
      <c r="BB72" s="24"/>
      <c r="BC72" s="25"/>
      <c r="BD72" s="25"/>
      <c r="BF72" s="23"/>
      <c r="BG72" s="23"/>
    </row>
    <row r="73" spans="10:59" ht="27" thickBot="1">
      <c r="L73" s="1932" t="s">
        <v>221</v>
      </c>
      <c r="M73" s="1932"/>
      <c r="N73" s="1932"/>
      <c r="O73" s="1932"/>
      <c r="P73" s="1932"/>
      <c r="Q73" s="1932"/>
      <c r="R73" s="1932"/>
      <c r="S73" s="1932"/>
      <c r="T73" s="1975">
        <f>T72+U72</f>
        <v>35</v>
      </c>
      <c r="U73" s="1976"/>
      <c r="V73" s="466"/>
      <c r="W73" s="466"/>
      <c r="X73" s="466"/>
      <c r="Y73" s="465"/>
      <c r="Z73" s="466"/>
      <c r="AA73" s="466"/>
      <c r="AB73" s="466"/>
      <c r="AC73" s="465"/>
      <c r="AD73" s="466"/>
      <c r="AG73" s="26"/>
      <c r="AH73" s="24"/>
      <c r="AK73" s="49"/>
      <c r="AL73" s="24"/>
      <c r="AM73" s="26"/>
      <c r="AN73" s="26"/>
      <c r="AY73" s="24"/>
      <c r="AZ73" s="24"/>
      <c r="BA73" s="24"/>
      <c r="BB73" s="24"/>
      <c r="BC73" s="25"/>
      <c r="BD73" s="25"/>
      <c r="BF73" s="23"/>
      <c r="BG73" s="23"/>
    </row>
    <row r="74" spans="10:59" ht="25.5" customHeight="1">
      <c r="L74" s="966"/>
      <c r="M74" s="966"/>
      <c r="N74" s="966"/>
      <c r="O74" s="1922" t="s">
        <v>235</v>
      </c>
      <c r="P74" s="1922"/>
      <c r="Q74" s="1922"/>
      <c r="R74" s="1922"/>
      <c r="S74" s="1922"/>
      <c r="T74" s="1920">
        <f>M72+U72</f>
        <v>29</v>
      </c>
      <c r="U74" s="1921"/>
      <c r="V74" s="24"/>
      <c r="W74" s="466"/>
      <c r="X74" s="466"/>
      <c r="Y74" s="465"/>
      <c r="Z74" s="466"/>
      <c r="AA74" s="466"/>
      <c r="AB74" s="466"/>
      <c r="AC74" s="465"/>
      <c r="AD74" s="466"/>
      <c r="AG74" s="26"/>
      <c r="AH74" s="24"/>
      <c r="AK74" s="49"/>
      <c r="AL74" s="24"/>
      <c r="AM74" s="26"/>
      <c r="AN74" s="26"/>
      <c r="AP74" s="24"/>
      <c r="AQ74" s="26"/>
      <c r="AR74" s="26"/>
      <c r="AT74" s="24"/>
      <c r="AU74" s="26"/>
      <c r="AV74" s="26"/>
      <c r="AW74" s="50"/>
      <c r="AX74" s="50"/>
      <c r="AY74" s="26"/>
      <c r="AZ74" s="26"/>
      <c r="BA74" s="24"/>
      <c r="BB74" s="24"/>
      <c r="BC74" s="25"/>
      <c r="BD74" s="25"/>
      <c r="BF74" s="23"/>
      <c r="BG74" s="23"/>
    </row>
    <row r="75" spans="10:59" ht="27" customHeight="1">
      <c r="L75" s="26"/>
      <c r="M75" s="26"/>
      <c r="N75" s="24"/>
      <c r="P75" s="26"/>
      <c r="Q75" s="26"/>
      <c r="R75" s="24"/>
      <c r="T75" s="26"/>
      <c r="U75" s="26"/>
      <c r="V75" s="24"/>
      <c r="W75" s="466"/>
      <c r="X75" s="466"/>
      <c r="Y75" s="466"/>
      <c r="Z75" s="465"/>
      <c r="AA75" s="466"/>
      <c r="AB75" s="466"/>
      <c r="AC75" s="466"/>
      <c r="AD75" s="465"/>
      <c r="AE75" s="466"/>
      <c r="AN75" s="26"/>
      <c r="AO75" s="26"/>
      <c r="AP75" s="24"/>
      <c r="AR75" s="26"/>
      <c r="AS75" s="26"/>
      <c r="AT75" s="24"/>
      <c r="AV75" s="26"/>
      <c r="AW75" s="26"/>
      <c r="AX75" s="50"/>
      <c r="AZ75" s="26"/>
      <c r="BA75" s="26"/>
      <c r="BB75" s="24"/>
      <c r="BD75" s="25"/>
      <c r="BE75" s="25"/>
      <c r="BF75" s="24"/>
      <c r="BG75" s="23"/>
    </row>
    <row r="76" spans="10:59">
      <c r="L76" s="26"/>
      <c r="M76" s="26"/>
      <c r="N76" s="24"/>
      <c r="P76" s="26"/>
      <c r="Q76" s="26"/>
      <c r="R76" s="24"/>
      <c r="T76" s="26"/>
      <c r="U76" s="26"/>
      <c r="V76" s="24"/>
      <c r="W76" s="466"/>
      <c r="X76" s="466"/>
      <c r="Y76" s="466"/>
      <c r="Z76" s="465"/>
      <c r="AA76" s="466"/>
      <c r="AB76" s="466"/>
      <c r="AC76" s="466"/>
      <c r="AD76" s="465"/>
      <c r="AE76" s="466"/>
      <c r="AN76" s="26"/>
      <c r="AO76" s="26"/>
      <c r="AP76" s="24"/>
      <c r="AR76" s="26"/>
      <c r="AS76" s="26"/>
      <c r="AT76" s="24"/>
      <c r="AV76" s="26"/>
      <c r="AW76" s="26"/>
      <c r="AX76" s="50"/>
      <c r="AZ76" s="26"/>
      <c r="BA76" s="26"/>
      <c r="BB76" s="24"/>
      <c r="BD76" s="25"/>
      <c r="BE76" s="25"/>
      <c r="BF76" s="24"/>
      <c r="BG76" s="23"/>
    </row>
    <row r="77" spans="10:59">
      <c r="L77" s="26"/>
      <c r="M77" s="26"/>
      <c r="N77" s="24"/>
      <c r="P77" s="26"/>
      <c r="Q77" s="26"/>
      <c r="R77" s="24"/>
      <c r="T77" s="26"/>
      <c r="U77" s="26"/>
      <c r="V77" s="24"/>
      <c r="W77" s="466"/>
      <c r="X77" s="466"/>
      <c r="Y77" s="466"/>
      <c r="Z77" s="465"/>
      <c r="AA77" s="466"/>
      <c r="AB77" s="466"/>
      <c r="AC77" s="466"/>
      <c r="AD77" s="465"/>
      <c r="AE77" s="466"/>
      <c r="AN77" s="26"/>
      <c r="AO77" s="26"/>
      <c r="AP77" s="24"/>
      <c r="AR77" s="26"/>
      <c r="AS77" s="26"/>
      <c r="AT77" s="24"/>
      <c r="AV77" s="26"/>
      <c r="AW77" s="26"/>
      <c r="AX77" s="50"/>
      <c r="AZ77" s="26"/>
      <c r="BA77" s="26"/>
      <c r="BB77" s="24"/>
      <c r="BD77" s="25"/>
      <c r="BE77" s="25"/>
      <c r="BF77" s="24"/>
      <c r="BG77" s="23"/>
    </row>
    <row r="78" spans="10:59">
      <c r="L78" s="26"/>
      <c r="M78" s="26"/>
      <c r="N78" s="24"/>
      <c r="P78" s="26"/>
      <c r="Q78" s="26"/>
      <c r="R78" s="24"/>
      <c r="T78" s="26"/>
      <c r="U78" s="26"/>
      <c r="V78" s="24"/>
      <c r="X78" s="466"/>
      <c r="Y78" s="466"/>
      <c r="Z78" s="465"/>
      <c r="AA78" s="466"/>
      <c r="AB78" s="466"/>
      <c r="AC78" s="466"/>
      <c r="AD78" s="465"/>
      <c r="AE78" s="466"/>
      <c r="AN78" s="26"/>
      <c r="AO78" s="26"/>
      <c r="AP78" s="24"/>
      <c r="AR78" s="26"/>
      <c r="AS78" s="26"/>
      <c r="AT78" s="24"/>
      <c r="AV78" s="26"/>
      <c r="AW78" s="26"/>
      <c r="AX78" s="50"/>
      <c r="AZ78" s="26"/>
      <c r="BA78" s="26"/>
      <c r="BB78" s="24"/>
      <c r="BD78" s="25"/>
      <c r="BE78" s="25"/>
      <c r="BF78" s="24"/>
      <c r="BG78" s="23"/>
    </row>
    <row r="79" spans="10:59">
      <c r="L79" s="26"/>
      <c r="M79" s="26"/>
      <c r="N79" s="24"/>
      <c r="P79" s="26"/>
      <c r="Q79" s="26"/>
      <c r="R79" s="24"/>
      <c r="T79" s="26"/>
      <c r="U79" s="26"/>
      <c r="V79" s="24"/>
      <c r="X79" s="26"/>
      <c r="Y79" s="26"/>
      <c r="Z79" s="24"/>
      <c r="AB79" s="26"/>
      <c r="AC79" s="26"/>
      <c r="AD79" s="24"/>
      <c r="AF79" s="26"/>
      <c r="AG79" s="26"/>
      <c r="AH79" s="24"/>
      <c r="AJ79" s="49"/>
      <c r="AK79" s="49"/>
      <c r="AL79" s="24"/>
      <c r="AN79" s="26"/>
      <c r="AO79" s="26"/>
      <c r="AP79" s="24"/>
      <c r="AR79" s="26"/>
      <c r="AS79" s="26"/>
      <c r="AT79" s="24"/>
      <c r="AV79" s="26"/>
      <c r="AW79" s="26"/>
      <c r="AX79" s="50"/>
      <c r="AZ79" s="26"/>
      <c r="BA79" s="26"/>
      <c r="BB79" s="24"/>
      <c r="BD79" s="25"/>
      <c r="BE79" s="25"/>
      <c r="BF79" s="24"/>
      <c r="BG79" s="23"/>
    </row>
    <row r="80" spans="10:59">
      <c r="L80" s="26"/>
      <c r="M80" s="26"/>
      <c r="N80" s="24"/>
      <c r="P80" s="26"/>
      <c r="Q80" s="26"/>
      <c r="R80" s="24"/>
      <c r="X80" s="26"/>
      <c r="Y80" s="26"/>
      <c r="Z80" s="24"/>
      <c r="AB80" s="26"/>
      <c r="AC80" s="26"/>
      <c r="AD80" s="24"/>
      <c r="AF80" s="26"/>
      <c r="AG80" s="26"/>
      <c r="AH80" s="24"/>
      <c r="AJ80" s="49"/>
      <c r="AK80" s="49"/>
      <c r="AL80" s="24"/>
      <c r="AN80" s="26"/>
      <c r="AO80" s="26"/>
      <c r="AP80" s="24"/>
      <c r="AR80" s="26"/>
      <c r="AS80" s="26"/>
      <c r="AT80" s="24"/>
      <c r="AV80" s="26"/>
      <c r="AW80" s="26"/>
      <c r="AX80" s="50"/>
      <c r="AZ80" s="26"/>
      <c r="BA80" s="26"/>
      <c r="BB80" s="24"/>
      <c r="BD80" s="25"/>
      <c r="BE80" s="25"/>
      <c r="BF80" s="24"/>
      <c r="BG80" s="23"/>
    </row>
  </sheetData>
  <mergeCells count="62">
    <mergeCell ref="H26:I26"/>
    <mergeCell ref="S58:T58"/>
    <mergeCell ref="O58:R58"/>
    <mergeCell ref="H10:I10"/>
    <mergeCell ref="D13:F13"/>
    <mergeCell ref="H13:I14"/>
    <mergeCell ref="C14:D14"/>
    <mergeCell ref="H12:BI12"/>
    <mergeCell ref="J13:M13"/>
    <mergeCell ref="N13:Q13"/>
    <mergeCell ref="C15:C24"/>
    <mergeCell ref="H15:H23"/>
    <mergeCell ref="H24:I24"/>
    <mergeCell ref="BF13:BI13"/>
    <mergeCell ref="AL13:AO13"/>
    <mergeCell ref="AP13:AS13"/>
    <mergeCell ref="AT13:AW13"/>
    <mergeCell ref="AX13:BA13"/>
    <mergeCell ref="BB13:BE13"/>
    <mergeCell ref="R13:U13"/>
    <mergeCell ref="V13:Y13"/>
    <mergeCell ref="Z13:AC13"/>
    <mergeCell ref="AD13:AG13"/>
    <mergeCell ref="AH13:AK13"/>
    <mergeCell ref="C2:F2"/>
    <mergeCell ref="H2:K2"/>
    <mergeCell ref="C5:D5"/>
    <mergeCell ref="C6:C9"/>
    <mergeCell ref="H6:H9"/>
    <mergeCell ref="D4:F4"/>
    <mergeCell ref="H4:I5"/>
    <mergeCell ref="N2:AZ2"/>
    <mergeCell ref="BB2:BI2"/>
    <mergeCell ref="H3:BI3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H27:BI27"/>
    <mergeCell ref="L31:S31"/>
    <mergeCell ref="L45:T45"/>
    <mergeCell ref="V45:AE45"/>
    <mergeCell ref="V31:AD31"/>
    <mergeCell ref="L73:S73"/>
    <mergeCell ref="T73:U73"/>
    <mergeCell ref="O74:S74"/>
    <mergeCell ref="T74:U74"/>
    <mergeCell ref="BC27:BC28"/>
    <mergeCell ref="AD59:AE59"/>
    <mergeCell ref="V58:AC58"/>
    <mergeCell ref="AD58:AE58"/>
    <mergeCell ref="Y59:AC59"/>
    <mergeCell ref="L60:U60"/>
  </mergeCells>
  <conditionalFormatting sqref="M47:R56">
    <cfRule type="cellIs" priority="4" operator="equal">
      <formula>0</formula>
    </cfRule>
    <cfRule type="cellIs" dxfId="31" priority="3" operator="equal">
      <formula>0</formula>
    </cfRule>
  </conditionalFormatting>
  <conditionalFormatting sqref="M62:P71">
    <cfRule type="cellIs" priority="2" operator="equal">
      <formula>0</formula>
    </cfRule>
    <cfRule type="cellIs" dxfId="30" priority="1" operator="equal">
      <formula>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6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BW212"/>
  <sheetViews>
    <sheetView showGridLines="0" topLeftCell="B1" zoomScale="85" zoomScaleNormal="85" workbookViewId="0">
      <pane xSplit="1" topLeftCell="W1" activePane="topRight" state="frozen"/>
      <selection activeCell="B1" sqref="B1"/>
      <selection pane="topRight" activeCell="AS18" sqref="AS18:AT18"/>
    </sheetView>
  </sheetViews>
  <sheetFormatPr defaultColWidth="9.140625" defaultRowHeight="18.75"/>
  <cols>
    <col min="1" max="1" width="4.85546875" style="2" customWidth="1"/>
    <col min="2" max="2" width="15.42578125" style="1" bestFit="1" customWidth="1"/>
    <col min="3" max="3" width="5.140625" style="2" bestFit="1" customWidth="1"/>
    <col min="4" max="4" width="6.5703125" style="52" bestFit="1" customWidth="1"/>
    <col min="5" max="5" width="10.140625" style="52" bestFit="1" customWidth="1"/>
    <col min="6" max="6" width="7.85546875" style="52" bestFit="1" customWidth="1"/>
    <col min="7" max="7" width="6.42578125" style="52" customWidth="1"/>
    <col min="8" max="8" width="6.5703125" style="52" bestFit="1" customWidth="1"/>
    <col min="9" max="9" width="10.140625" style="2" bestFit="1" customWidth="1"/>
    <col min="10" max="10" width="7.85546875" style="2" bestFit="1" customWidth="1"/>
    <col min="11" max="11" width="8" style="2" customWidth="1"/>
    <col min="12" max="12" width="6.5703125" style="52" bestFit="1" customWidth="1"/>
    <col min="13" max="13" width="10.140625" style="52" bestFit="1" customWidth="1"/>
    <col min="14" max="14" width="7.85546875" style="52" bestFit="1" customWidth="1"/>
    <col min="15" max="15" width="5.140625" style="2" hidden="1" customWidth="1"/>
    <col min="16" max="16" width="6.5703125" style="52" hidden="1" customWidth="1"/>
    <col min="17" max="17" width="10.140625" style="52" hidden="1" customWidth="1"/>
    <col min="18" max="18" width="7.85546875" style="52" hidden="1" customWidth="1"/>
    <col min="19" max="19" width="6.42578125" style="2" customWidth="1"/>
    <col min="20" max="20" width="6.5703125" style="52" bestFit="1" customWidth="1"/>
    <col min="21" max="21" width="10.140625" style="52" bestFit="1" customWidth="1"/>
    <col min="22" max="22" width="7.85546875" style="52" bestFit="1" customWidth="1"/>
    <col min="23" max="23" width="6.7109375" style="2" customWidth="1"/>
    <col min="24" max="24" width="6.5703125" style="52" bestFit="1" customWidth="1"/>
    <col min="25" max="25" width="10.140625" style="52" bestFit="1" customWidth="1"/>
    <col min="26" max="26" width="7.85546875" style="52" bestFit="1" customWidth="1"/>
    <col min="27" max="27" width="4.85546875" style="2" customWidth="1"/>
    <col min="28" max="28" width="6.5703125" style="52" customWidth="1"/>
    <col min="29" max="29" width="10.140625" style="52" customWidth="1"/>
    <col min="30" max="30" width="7.85546875" style="52" customWidth="1"/>
    <col min="31" max="31" width="4.85546875" style="2" customWidth="1"/>
    <col min="32" max="32" width="6.5703125" style="52" customWidth="1"/>
    <col min="33" max="33" width="10.140625" style="52" customWidth="1"/>
    <col min="34" max="34" width="7.85546875" style="52" customWidth="1"/>
    <col min="35" max="35" width="4.85546875" style="2" customWidth="1"/>
    <col min="36" max="36" width="6.5703125" style="52" customWidth="1"/>
    <col min="37" max="37" width="10.140625" style="52" customWidth="1"/>
    <col min="38" max="38" width="7.85546875" style="52" customWidth="1"/>
    <col min="39" max="39" width="9.5703125" style="2" customWidth="1"/>
    <col min="40" max="40" width="6.5703125" style="2" customWidth="1"/>
    <col min="41" max="42" width="12.42578125" style="2" bestFit="1" customWidth="1"/>
    <col min="43" max="43" width="11.28515625" style="343" bestFit="1" customWidth="1"/>
    <col min="44" max="44" width="11.28515625" style="344" bestFit="1" customWidth="1"/>
    <col min="45" max="45" width="11" style="344" bestFit="1" customWidth="1"/>
    <col min="46" max="46" width="9.85546875" style="344" bestFit="1" customWidth="1"/>
    <col min="47" max="47" width="10.85546875" style="2" customWidth="1"/>
    <col min="48" max="48" width="9.42578125" style="2" customWidth="1"/>
    <col min="49" max="49" width="8.85546875" style="2" bestFit="1" customWidth="1"/>
    <col min="50" max="50" width="20.140625" style="955" bestFit="1" customWidth="1"/>
    <col min="51" max="51" width="6.5703125" style="2" bestFit="1" customWidth="1"/>
    <col min="52" max="52" width="8.7109375" style="2" customWidth="1"/>
    <col min="53" max="53" width="6.5703125" style="2" bestFit="1" customWidth="1"/>
    <col min="54" max="55" width="8.140625" style="2" customWidth="1"/>
    <col min="56" max="56" width="8.140625" style="3" customWidth="1"/>
    <col min="57" max="57" width="8.140625" style="4" customWidth="1"/>
    <col min="58" max="58" width="8.85546875" style="4" bestFit="1" customWidth="1"/>
    <col min="59" max="63" width="8.140625" style="4" customWidth="1"/>
    <col min="64" max="64" width="8.28515625" style="4" customWidth="1"/>
    <col min="65" max="65" width="8.5703125" style="4" customWidth="1"/>
    <col min="66" max="66" width="11.7109375" style="4" customWidth="1"/>
    <col min="67" max="67" width="5.28515625" style="4" bestFit="1" customWidth="1"/>
    <col min="68" max="68" width="4.28515625" style="4" bestFit="1" customWidth="1"/>
    <col min="69" max="69" width="4.140625" style="4" bestFit="1" customWidth="1"/>
    <col min="70" max="70" width="3.85546875" style="4" bestFit="1" customWidth="1"/>
    <col min="71" max="71" width="5.85546875" style="4" bestFit="1" customWidth="1"/>
    <col min="72" max="72" width="7.7109375" style="4" bestFit="1" customWidth="1"/>
    <col min="73" max="73" width="7.5703125" style="4" bestFit="1" customWidth="1"/>
    <col min="74" max="74" width="4.28515625" style="4" bestFit="1" customWidth="1"/>
    <col min="75" max="75" width="6.85546875" style="4" bestFit="1" customWidth="1"/>
    <col min="76" max="16384" width="9.140625" style="4"/>
  </cols>
  <sheetData>
    <row r="1" spans="2:75" ht="10.5" customHeight="1" thickBot="1"/>
    <row r="2" spans="2:75" ht="23.25" customHeight="1" thickBot="1">
      <c r="B2" s="1638" t="s">
        <v>276</v>
      </c>
      <c r="C2" s="1589"/>
      <c r="D2" s="1589"/>
      <c r="E2" s="1589"/>
      <c r="F2" s="1589"/>
      <c r="G2" s="1589"/>
      <c r="H2" s="1589"/>
      <c r="I2" s="1589"/>
      <c r="J2" s="1589"/>
      <c r="K2" s="1589"/>
      <c r="L2" s="1589"/>
      <c r="M2" s="1589"/>
      <c r="N2" s="1589"/>
      <c r="O2" s="1589"/>
      <c r="P2" s="1589"/>
      <c r="Q2" s="1589"/>
      <c r="R2" s="1589"/>
      <c r="S2" s="1589"/>
      <c r="T2" s="1589"/>
      <c r="U2" s="1589"/>
      <c r="V2" s="1589"/>
      <c r="W2" s="1589"/>
      <c r="X2" s="1589"/>
      <c r="Y2" s="1589"/>
      <c r="Z2" s="1589"/>
      <c r="AA2" s="1589"/>
      <c r="AB2" s="1589"/>
      <c r="AC2" s="1589"/>
      <c r="AD2" s="1589"/>
      <c r="AE2" s="1589"/>
      <c r="AF2" s="1589"/>
      <c r="AG2" s="1589"/>
      <c r="AH2" s="1589"/>
      <c r="AI2" s="1589"/>
      <c r="AJ2" s="1589"/>
      <c r="AK2" s="1589"/>
      <c r="AL2" s="1589"/>
      <c r="AM2" s="1589"/>
      <c r="AN2" s="1589"/>
      <c r="AO2" s="1589"/>
      <c r="AP2" s="1589"/>
      <c r="AQ2" s="1589"/>
      <c r="AR2" s="1589"/>
      <c r="AS2" s="796"/>
      <c r="AT2" s="796"/>
      <c r="AU2" s="679"/>
      <c r="AV2" s="680"/>
      <c r="AW2" s="5"/>
      <c r="AX2" s="1635" t="s">
        <v>334</v>
      </c>
      <c r="AY2" s="1636"/>
      <c r="AZ2" s="1636"/>
      <c r="BA2" s="1636"/>
      <c r="BB2" s="1636"/>
      <c r="BC2" s="1636"/>
      <c r="BD2" s="1636"/>
      <c r="BE2" s="1636"/>
      <c r="BF2" s="1625"/>
      <c r="BG2" s="1625"/>
      <c r="BH2" s="1627"/>
      <c r="BI2" s="1449"/>
      <c r="BJ2" s="1449"/>
      <c r="BK2" s="1449"/>
      <c r="BM2" s="1635" t="s">
        <v>251</v>
      </c>
      <c r="BN2" s="1636"/>
      <c r="BO2" s="1636"/>
      <c r="BP2" s="1636"/>
      <c r="BQ2" s="1636"/>
      <c r="BR2" s="1636"/>
      <c r="BS2" s="1636"/>
      <c r="BT2" s="1636"/>
      <c r="BU2" s="1636"/>
      <c r="BV2" s="1636"/>
      <c r="BW2" s="1637"/>
    </row>
    <row r="3" spans="2:75" ht="19.5" customHeight="1" thickBot="1">
      <c r="B3" s="1645" t="s">
        <v>0</v>
      </c>
      <c r="C3" s="1639" t="s">
        <v>60</v>
      </c>
      <c r="D3" s="1640"/>
      <c r="E3" s="1640"/>
      <c r="F3" s="1641"/>
      <c r="G3" s="1639" t="s">
        <v>75</v>
      </c>
      <c r="H3" s="1640"/>
      <c r="I3" s="1640"/>
      <c r="J3" s="1641"/>
      <c r="K3" s="1639" t="s">
        <v>74</v>
      </c>
      <c r="L3" s="1640"/>
      <c r="M3" s="1640"/>
      <c r="N3" s="1641"/>
      <c r="O3" s="1639" t="s">
        <v>72</v>
      </c>
      <c r="P3" s="1640"/>
      <c r="Q3" s="1640"/>
      <c r="R3" s="1641"/>
      <c r="S3" s="1639" t="s">
        <v>73</v>
      </c>
      <c r="T3" s="1640"/>
      <c r="U3" s="1640"/>
      <c r="V3" s="1641"/>
      <c r="W3" s="1639" t="s">
        <v>71</v>
      </c>
      <c r="X3" s="1640"/>
      <c r="Y3" s="1640"/>
      <c r="Z3" s="1641"/>
      <c r="AA3" s="1639" t="s">
        <v>72</v>
      </c>
      <c r="AB3" s="1640"/>
      <c r="AC3" s="1640"/>
      <c r="AD3" s="1641"/>
      <c r="AE3" s="1639"/>
      <c r="AF3" s="1640"/>
      <c r="AG3" s="1640"/>
      <c r="AH3" s="1641"/>
      <c r="AI3" s="1639"/>
      <c r="AJ3" s="1640"/>
      <c r="AK3" s="1640"/>
      <c r="AL3" s="1641"/>
      <c r="AM3" s="1639"/>
      <c r="AN3" s="1640"/>
      <c r="AO3" s="1640"/>
      <c r="AP3" s="1640"/>
      <c r="AQ3" s="1642" t="s">
        <v>274</v>
      </c>
      <c r="AR3" s="1643"/>
      <c r="AS3" s="1643"/>
      <c r="AT3" s="1644"/>
      <c r="AU3" s="1614" t="s">
        <v>255</v>
      </c>
      <c r="AV3" s="1609" t="s">
        <v>256</v>
      </c>
      <c r="AW3" s="730"/>
      <c r="AX3" s="1616" t="s">
        <v>0</v>
      </c>
      <c r="AY3" s="1450" t="s">
        <v>346</v>
      </c>
      <c r="AZ3" s="1450" t="s">
        <v>347</v>
      </c>
      <c r="BA3" s="1450" t="s">
        <v>348</v>
      </c>
      <c r="BB3" s="1450" t="s">
        <v>318</v>
      </c>
      <c r="BC3" s="1450" t="s">
        <v>71</v>
      </c>
      <c r="BD3" s="1450"/>
      <c r="BE3" s="1628" t="s">
        <v>191</v>
      </c>
      <c r="BF3" s="1630" t="s">
        <v>207</v>
      </c>
      <c r="BG3" s="1631" t="s">
        <v>270</v>
      </c>
      <c r="BH3" s="1601" t="s">
        <v>349</v>
      </c>
      <c r="BI3" s="1451"/>
      <c r="BJ3" s="1451"/>
      <c r="BK3" s="1451"/>
      <c r="BM3" s="1633" t="s">
        <v>0</v>
      </c>
      <c r="BN3" s="558" t="s">
        <v>56</v>
      </c>
      <c r="BO3" s="558" t="s">
        <v>65</v>
      </c>
      <c r="BP3" s="558" t="s">
        <v>57</v>
      </c>
      <c r="BQ3" s="558" t="s">
        <v>58</v>
      </c>
      <c r="BR3" s="558" t="s">
        <v>59</v>
      </c>
      <c r="BS3" s="558" t="s">
        <v>60</v>
      </c>
      <c r="BT3" s="1618" t="s">
        <v>191</v>
      </c>
      <c r="BU3" s="1620" t="s">
        <v>207</v>
      </c>
      <c r="BV3" s="1618" t="s">
        <v>27</v>
      </c>
      <c r="BW3" s="1618" t="s">
        <v>232</v>
      </c>
    </row>
    <row r="4" spans="2:75" ht="19.5" customHeight="1" thickBot="1">
      <c r="B4" s="1604"/>
      <c r="C4" s="291" t="s">
        <v>1</v>
      </c>
      <c r="D4" s="292" t="s">
        <v>2</v>
      </c>
      <c r="E4" s="292" t="s">
        <v>187</v>
      </c>
      <c r="F4" s="757" t="s">
        <v>247</v>
      </c>
      <c r="G4" s="291" t="s">
        <v>1</v>
      </c>
      <c r="H4" s="292" t="s">
        <v>2</v>
      </c>
      <c r="I4" s="292" t="s">
        <v>187</v>
      </c>
      <c r="J4" s="757" t="s">
        <v>247</v>
      </c>
      <c r="K4" s="291" t="s">
        <v>1</v>
      </c>
      <c r="L4" s="292" t="s">
        <v>2</v>
      </c>
      <c r="M4" s="292" t="s">
        <v>187</v>
      </c>
      <c r="N4" s="757" t="s">
        <v>247</v>
      </c>
      <c r="O4" s="291" t="s">
        <v>1</v>
      </c>
      <c r="P4" s="292" t="s">
        <v>2</v>
      </c>
      <c r="Q4" s="292" t="s">
        <v>187</v>
      </c>
      <c r="R4" s="757" t="s">
        <v>247</v>
      </c>
      <c r="S4" s="291" t="s">
        <v>1</v>
      </c>
      <c r="T4" s="292" t="s">
        <v>2</v>
      </c>
      <c r="U4" s="292" t="s">
        <v>187</v>
      </c>
      <c r="V4" s="757" t="s">
        <v>247</v>
      </c>
      <c r="W4" s="291" t="s">
        <v>1</v>
      </c>
      <c r="X4" s="292" t="s">
        <v>2</v>
      </c>
      <c r="Y4" s="292" t="s">
        <v>187</v>
      </c>
      <c r="Z4" s="757" t="s">
        <v>247</v>
      </c>
      <c r="AA4" s="291" t="s">
        <v>1</v>
      </c>
      <c r="AB4" s="292" t="s">
        <v>2</v>
      </c>
      <c r="AC4" s="292" t="s">
        <v>187</v>
      </c>
      <c r="AD4" s="757" t="s">
        <v>247</v>
      </c>
      <c r="AE4" s="291" t="s">
        <v>1</v>
      </c>
      <c r="AF4" s="292" t="s">
        <v>2</v>
      </c>
      <c r="AG4" s="292" t="s">
        <v>187</v>
      </c>
      <c r="AH4" s="757" t="s">
        <v>247</v>
      </c>
      <c r="AI4" s="291" t="s">
        <v>1</v>
      </c>
      <c r="AJ4" s="292" t="s">
        <v>2</v>
      </c>
      <c r="AK4" s="292" t="s">
        <v>187</v>
      </c>
      <c r="AL4" s="757" t="s">
        <v>247</v>
      </c>
      <c r="AM4" s="291" t="s">
        <v>1</v>
      </c>
      <c r="AN4" s="292" t="s">
        <v>2</v>
      </c>
      <c r="AO4" s="292" t="s">
        <v>187</v>
      </c>
      <c r="AP4" s="538" t="s">
        <v>247</v>
      </c>
      <c r="AQ4" s="801" t="s">
        <v>1</v>
      </c>
      <c r="AR4" s="802" t="s">
        <v>2</v>
      </c>
      <c r="AS4" s="802" t="s">
        <v>187</v>
      </c>
      <c r="AT4" s="803" t="s">
        <v>247</v>
      </c>
      <c r="AU4" s="1615"/>
      <c r="AV4" s="1610"/>
      <c r="AW4" s="730"/>
      <c r="AX4" s="1617"/>
      <c r="AY4" s="1346" t="s">
        <v>52</v>
      </c>
      <c r="AZ4" s="1346" t="s">
        <v>53</v>
      </c>
      <c r="BA4" s="1346" t="s">
        <v>54</v>
      </c>
      <c r="BB4" s="1346" t="s">
        <v>3</v>
      </c>
      <c r="BC4" s="1346" t="s">
        <v>50</v>
      </c>
      <c r="BD4" s="1346"/>
      <c r="BE4" s="1629"/>
      <c r="BF4" s="1587"/>
      <c r="BG4" s="1632"/>
      <c r="BH4" s="1602"/>
      <c r="BI4" s="657"/>
      <c r="BJ4" s="657"/>
      <c r="BK4" s="657"/>
      <c r="BM4" s="1634"/>
      <c r="BN4" s="557" t="s">
        <v>53</v>
      </c>
      <c r="BO4" s="557" t="s">
        <v>54</v>
      </c>
      <c r="BP4" s="557" t="s">
        <v>3</v>
      </c>
      <c r="BQ4" s="557" t="s">
        <v>50</v>
      </c>
      <c r="BR4" s="557" t="s">
        <v>51</v>
      </c>
      <c r="BS4" s="557" t="s">
        <v>51</v>
      </c>
      <c r="BT4" s="1619"/>
      <c r="BU4" s="1621"/>
      <c r="BV4" s="1619"/>
      <c r="BW4" s="1619"/>
    </row>
    <row r="5" spans="2:75" ht="19.5" customHeight="1">
      <c r="B5" s="286" t="s">
        <v>4</v>
      </c>
      <c r="C5" s="536"/>
      <c r="D5" s="535"/>
      <c r="E5" s="535"/>
      <c r="F5" s="658"/>
      <c r="G5" s="536">
        <f>'14'!$J$26</f>
        <v>0</v>
      </c>
      <c r="H5" s="535">
        <f>'14'!$K$26</f>
        <v>0</v>
      </c>
      <c r="I5" s="535">
        <f>'14'!$L$26</f>
        <v>0</v>
      </c>
      <c r="J5" s="658">
        <f>'14'!$M$26</f>
        <v>66.400000000000006</v>
      </c>
      <c r="K5" s="536">
        <f>'13'!$J$26</f>
        <v>50</v>
      </c>
      <c r="L5" s="535">
        <f>'13'!$K$26</f>
        <v>81.88000000000001</v>
      </c>
      <c r="M5" s="535">
        <f>'13'!$L$26</f>
        <v>15.48</v>
      </c>
      <c r="N5" s="658">
        <f>'13'!$M$26</f>
        <v>0</v>
      </c>
      <c r="O5" s="742"/>
      <c r="P5" s="743"/>
      <c r="Q5" s="743"/>
      <c r="R5" s="744"/>
      <c r="S5" s="536">
        <f>'12'!$J$26</f>
        <v>97</v>
      </c>
      <c r="T5" s="535">
        <f>'12'!$K$26</f>
        <v>55.75</v>
      </c>
      <c r="U5" s="535">
        <f>'12'!$L$26</f>
        <v>8.75</v>
      </c>
      <c r="V5" s="658">
        <f>'12'!$M$26</f>
        <v>0</v>
      </c>
      <c r="W5" s="536">
        <f>'10'!$J$26</f>
        <v>60</v>
      </c>
      <c r="X5" s="535">
        <f>'10'!$K$26</f>
        <v>21.21</v>
      </c>
      <c r="Y5" s="535">
        <f>'10'!$L$26</f>
        <v>21.21</v>
      </c>
      <c r="Z5" s="658">
        <f>'10'!$M$26</f>
        <v>9</v>
      </c>
      <c r="AA5" s="536">
        <f>'11'!$J$26</f>
        <v>60</v>
      </c>
      <c r="AB5" s="535">
        <f>'11'!$K$26</f>
        <v>10</v>
      </c>
      <c r="AC5" s="535">
        <f>'11'!$L$26</f>
        <v>10</v>
      </c>
      <c r="AD5" s="658">
        <f>'11'!$M$26</f>
        <v>0</v>
      </c>
      <c r="AE5" s="742"/>
      <c r="AF5" s="743"/>
      <c r="AG5" s="743"/>
      <c r="AH5" s="744"/>
      <c r="AI5" s="742"/>
      <c r="AJ5" s="743"/>
      <c r="AK5" s="743"/>
      <c r="AL5" s="744"/>
      <c r="AM5" s="742"/>
      <c r="AN5" s="743"/>
      <c r="AO5" s="486"/>
      <c r="AP5" s="744"/>
      <c r="AQ5" s="799">
        <f>C5+AA5+K5+O5+S5+G5+AE5+AI5+W5+AM5</f>
        <v>267</v>
      </c>
      <c r="AR5" s="800">
        <f>D5+AB5+L5+P5+T5+H5+AF5+AJ5+X5+AN5</f>
        <v>168.84</v>
      </c>
      <c r="AS5" s="800">
        <f>E5+AC5+M5+Q5+U5+I5+AG5+AK5+Y5+AO5</f>
        <v>55.440000000000005</v>
      </c>
      <c r="AT5" s="800">
        <f>F5+AD5+N5+R5+V5+J5+AH5+AL5+Z5+AP5</f>
        <v>75.400000000000006</v>
      </c>
      <c r="AU5" s="792">
        <f>AQ5-AS5</f>
        <v>211.56</v>
      </c>
      <c r="AV5" s="540">
        <f>AR5-AS5</f>
        <v>113.4</v>
      </c>
      <c r="AX5" s="956" t="s">
        <v>4</v>
      </c>
      <c r="AY5" s="727">
        <v>60</v>
      </c>
      <c r="AZ5" s="727">
        <v>60</v>
      </c>
      <c r="BA5" s="727">
        <v>75</v>
      </c>
      <c r="BB5" s="727">
        <v>90</v>
      </c>
      <c r="BC5" s="727">
        <v>90</v>
      </c>
      <c r="BD5" s="609"/>
      <c r="BE5" s="1178">
        <f>SUM(AY5:BD5)</f>
        <v>375</v>
      </c>
      <c r="BF5" s="1184">
        <f>BE5/BE$16</f>
        <v>0.43302540415704388</v>
      </c>
      <c r="BG5" s="1186"/>
      <c r="BH5" s="1187">
        <v>20</v>
      </c>
      <c r="BI5" s="1452">
        <v>150</v>
      </c>
      <c r="BJ5" s="1452">
        <v>500</v>
      </c>
      <c r="BK5" s="1461">
        <v>1.25</v>
      </c>
      <c r="BM5" s="6" t="s">
        <v>4</v>
      </c>
      <c r="BN5" s="7"/>
      <c r="BO5" s="7"/>
      <c r="BP5" s="7"/>
      <c r="BQ5" s="7"/>
      <c r="BR5" s="7"/>
      <c r="BS5" s="7">
        <v>400</v>
      </c>
      <c r="BT5" s="7">
        <f t="shared" ref="BT5:BT16" si="0">SUM(BN5:BS5)</f>
        <v>400</v>
      </c>
      <c r="BU5" s="40">
        <f>BT5/BT$16</f>
        <v>0.33057851239669422</v>
      </c>
      <c r="BV5" s="7"/>
      <c r="BW5" s="7"/>
    </row>
    <row r="6" spans="2:75" ht="19.5" customHeight="1">
      <c r="B6" s="287" t="s">
        <v>5</v>
      </c>
      <c r="C6" s="473"/>
      <c r="D6" s="474"/>
      <c r="E6" s="474"/>
      <c r="F6" s="533"/>
      <c r="G6" s="473">
        <f>'14'!$N$26</f>
        <v>0</v>
      </c>
      <c r="H6" s="474">
        <f>'14'!$O$26</f>
        <v>0</v>
      </c>
      <c r="I6" s="474">
        <f>'14'!$P$26</f>
        <v>0</v>
      </c>
      <c r="J6" s="533">
        <f>'14'!$Q$26</f>
        <v>0</v>
      </c>
      <c r="K6" s="473">
        <f>'13'!$N$26</f>
        <v>32</v>
      </c>
      <c r="L6" s="474">
        <f>'13'!$O$26</f>
        <v>6.15</v>
      </c>
      <c r="M6" s="474">
        <f>'13'!$P$26</f>
        <v>3.15</v>
      </c>
      <c r="N6" s="533">
        <f>'13'!$Q$26</f>
        <v>0</v>
      </c>
      <c r="O6" s="473"/>
      <c r="P6" s="474"/>
      <c r="Q6" s="474"/>
      <c r="R6" s="533"/>
      <c r="S6" s="473">
        <f>'12'!$N$26</f>
        <v>18</v>
      </c>
      <c r="T6" s="474">
        <f>'12'!$O$26</f>
        <v>6</v>
      </c>
      <c r="U6" s="474">
        <f>'12'!$P$26</f>
        <v>6</v>
      </c>
      <c r="V6" s="533">
        <f>'12'!$Q$26</f>
        <v>7</v>
      </c>
      <c r="W6" s="473">
        <f>'10'!$N$26</f>
        <v>20</v>
      </c>
      <c r="X6" s="474">
        <f>'10'!$O$26</f>
        <v>7</v>
      </c>
      <c r="Y6" s="474">
        <f>'10'!$P$26</f>
        <v>7</v>
      </c>
      <c r="Z6" s="533">
        <f>'10'!$Q$26</f>
        <v>0</v>
      </c>
      <c r="AA6" s="473">
        <f>'11'!$N$26</f>
        <v>10</v>
      </c>
      <c r="AB6" s="474">
        <f>'11'!$O$26</f>
        <v>3.4</v>
      </c>
      <c r="AC6" s="474">
        <f>'11'!$P$26</f>
        <v>3.4</v>
      </c>
      <c r="AD6" s="533">
        <f>'11'!$Q$26</f>
        <v>0</v>
      </c>
      <c r="AE6" s="473"/>
      <c r="AF6" s="474"/>
      <c r="AG6" s="474"/>
      <c r="AH6" s="533"/>
      <c r="AI6" s="473"/>
      <c r="AJ6" s="474"/>
      <c r="AK6" s="474"/>
      <c r="AL6" s="533"/>
      <c r="AM6" s="473"/>
      <c r="AN6" s="474"/>
      <c r="AO6" s="482"/>
      <c r="AP6" s="533"/>
      <c r="AQ6" s="799">
        <f t="shared" ref="AQ6:AQ10" si="1">C6+AA6+K6+O6+S6+G6+AE6+AI6+W6+AM6</f>
        <v>80</v>
      </c>
      <c r="AR6" s="800">
        <f t="shared" ref="AR6:AR10" si="2">D6+AB6+L6+P6+T6+H6+AF6+AJ6+X6+AN6</f>
        <v>22.55</v>
      </c>
      <c r="AS6" s="800">
        <f t="shared" ref="AS6:AS10" si="3">E6+AC6+M6+Q6+U6+I6+AG6+AK6+Y6+AO6</f>
        <v>19.55</v>
      </c>
      <c r="AT6" s="800">
        <f t="shared" ref="AT6:AT10" si="4">F6+AD6+N6+R6+V6+J6+AH6+AL6+Z6+AP6</f>
        <v>7</v>
      </c>
      <c r="AU6" s="792">
        <f t="shared" ref="AU6:AU15" si="5">AQ6-AS6</f>
        <v>60.45</v>
      </c>
      <c r="AV6" s="540">
        <f t="shared" ref="AV6:AV15" si="6">AR6-AS6</f>
        <v>3</v>
      </c>
      <c r="AX6" s="957" t="s">
        <v>5</v>
      </c>
      <c r="AY6" s="728">
        <v>40</v>
      </c>
      <c r="AZ6" s="728">
        <v>50</v>
      </c>
      <c r="BA6" s="728">
        <v>50</v>
      </c>
      <c r="BB6" s="728">
        <v>60</v>
      </c>
      <c r="BC6" s="728">
        <v>50</v>
      </c>
      <c r="BD6" s="610"/>
      <c r="BE6" s="1178">
        <f t="shared" ref="BE6:BE10" si="7">SUM(AY6:BD6)</f>
        <v>250</v>
      </c>
      <c r="BF6" s="1184">
        <f>BE6/BE$16</f>
        <v>0.28868360277136257</v>
      </c>
      <c r="BG6" s="1186"/>
      <c r="BH6" s="1187">
        <v>25</v>
      </c>
      <c r="BI6" s="1452">
        <v>100</v>
      </c>
      <c r="BJ6" s="1452">
        <v>300</v>
      </c>
      <c r="BK6" s="1461">
        <v>0.6</v>
      </c>
      <c r="BM6" s="9" t="s">
        <v>5</v>
      </c>
      <c r="BN6" s="10"/>
      <c r="BO6" s="10"/>
      <c r="BP6" s="10"/>
      <c r="BQ6" s="10"/>
      <c r="BR6" s="10"/>
      <c r="BS6" s="10">
        <v>300</v>
      </c>
      <c r="BT6" s="10">
        <f t="shared" si="0"/>
        <v>300</v>
      </c>
      <c r="BU6" s="41">
        <f>BT6/BT$16</f>
        <v>0.24793388429752067</v>
      </c>
      <c r="BV6" s="10"/>
      <c r="BW6" s="10"/>
    </row>
    <row r="7" spans="2:75" ht="20.100000000000001" customHeight="1">
      <c r="B7" s="287" t="s">
        <v>6</v>
      </c>
      <c r="C7" s="473"/>
      <c r="D7" s="474"/>
      <c r="E7" s="474"/>
      <c r="F7" s="533"/>
      <c r="G7" s="473">
        <f>'14'!$R$26</f>
        <v>0</v>
      </c>
      <c r="H7" s="474">
        <f>'14'!$S$26</f>
        <v>0</v>
      </c>
      <c r="I7" s="474">
        <f>'14'!$T$26</f>
        <v>0</v>
      </c>
      <c r="J7" s="533">
        <f>'14'!$U$26</f>
        <v>0</v>
      </c>
      <c r="K7" s="473">
        <f>'13'!$R$26</f>
        <v>40</v>
      </c>
      <c r="L7" s="474">
        <f>'13'!$S$26</f>
        <v>40</v>
      </c>
      <c r="M7" s="474">
        <f>'13'!$T$26</f>
        <v>40</v>
      </c>
      <c r="N7" s="533">
        <f>'13'!$U$26</f>
        <v>0</v>
      </c>
      <c r="O7" s="473"/>
      <c r="P7" s="474"/>
      <c r="Q7" s="474"/>
      <c r="R7" s="533"/>
      <c r="S7" s="473">
        <f>'12'!$R$26</f>
        <v>8</v>
      </c>
      <c r="T7" s="474">
        <f>'12'!$S$26</f>
        <v>0</v>
      </c>
      <c r="U7" s="474">
        <f>'12'!$T$26</f>
        <v>0</v>
      </c>
      <c r="V7" s="533">
        <f>'12'!$U$26</f>
        <v>0</v>
      </c>
      <c r="W7" s="473">
        <f>'10'!$R$26</f>
        <v>25</v>
      </c>
      <c r="X7" s="474">
        <f>'10'!$S$26</f>
        <v>20</v>
      </c>
      <c r="Y7" s="474">
        <f>'10'!$T$26</f>
        <v>0</v>
      </c>
      <c r="Z7" s="533">
        <f>'10'!$U$26</f>
        <v>32.299999999999997</v>
      </c>
      <c r="AA7" s="473">
        <f>'11'!$R$26</f>
        <v>0</v>
      </c>
      <c r="AB7" s="474">
        <f>'11'!$S$26</f>
        <v>0</v>
      </c>
      <c r="AC7" s="474">
        <f>'11'!$T$26</f>
        <v>0</v>
      </c>
      <c r="AD7" s="533">
        <f>'11'!$U$26</f>
        <v>7.8</v>
      </c>
      <c r="AE7" s="473"/>
      <c r="AF7" s="474"/>
      <c r="AG7" s="474"/>
      <c r="AH7" s="533"/>
      <c r="AI7" s="473"/>
      <c r="AJ7" s="474"/>
      <c r="AK7" s="474"/>
      <c r="AL7" s="533"/>
      <c r="AM7" s="473"/>
      <c r="AN7" s="474"/>
      <c r="AO7" s="482"/>
      <c r="AP7" s="533"/>
      <c r="AQ7" s="799">
        <f t="shared" si="1"/>
        <v>73</v>
      </c>
      <c r="AR7" s="800">
        <f t="shared" si="2"/>
        <v>60</v>
      </c>
      <c r="AS7" s="800">
        <f t="shared" si="3"/>
        <v>40</v>
      </c>
      <c r="AT7" s="800">
        <f t="shared" si="4"/>
        <v>40.099999999999994</v>
      </c>
      <c r="AU7" s="792">
        <f t="shared" si="5"/>
        <v>33</v>
      </c>
      <c r="AV7" s="540">
        <f t="shared" si="6"/>
        <v>20</v>
      </c>
      <c r="AX7" s="957" t="s">
        <v>6</v>
      </c>
      <c r="AY7" s="728">
        <v>20</v>
      </c>
      <c r="AZ7" s="728">
        <v>20</v>
      </c>
      <c r="BA7" s="728">
        <v>20</v>
      </c>
      <c r="BB7" s="728">
        <v>25</v>
      </c>
      <c r="BC7" s="728">
        <v>25</v>
      </c>
      <c r="BD7" s="610"/>
      <c r="BE7" s="1178">
        <f t="shared" si="7"/>
        <v>110</v>
      </c>
      <c r="BF7" s="1184">
        <f>BE7/BE$16</f>
        <v>0.12702078521939955</v>
      </c>
      <c r="BG7" s="1186">
        <v>7</v>
      </c>
      <c r="BH7" s="1187"/>
      <c r="BI7" s="1452">
        <v>50</v>
      </c>
      <c r="BJ7" s="1452">
        <v>150</v>
      </c>
      <c r="BK7" s="1461">
        <v>0.25</v>
      </c>
      <c r="BM7" s="9" t="s">
        <v>6</v>
      </c>
      <c r="BN7" s="10"/>
      <c r="BO7" s="10"/>
      <c r="BP7" s="10"/>
      <c r="BQ7" s="10"/>
      <c r="BR7" s="10"/>
      <c r="BS7" s="10">
        <v>200</v>
      </c>
      <c r="BT7" s="10">
        <f t="shared" si="0"/>
        <v>200</v>
      </c>
      <c r="BU7" s="41">
        <f>BT7/BT$16</f>
        <v>0.16528925619834711</v>
      </c>
      <c r="BV7" s="10"/>
      <c r="BW7" s="10"/>
    </row>
    <row r="8" spans="2:75" ht="20.100000000000001" customHeight="1">
      <c r="B8" s="287" t="s">
        <v>7</v>
      </c>
      <c r="C8" s="473"/>
      <c r="D8" s="474"/>
      <c r="E8" s="474"/>
      <c r="F8" s="533"/>
      <c r="G8" s="473">
        <f>'14'!$V$26</f>
        <v>0</v>
      </c>
      <c r="H8" s="474">
        <f>'14'!$W$26</f>
        <v>0</v>
      </c>
      <c r="I8" s="474">
        <f>'14'!$X$26</f>
        <v>0</v>
      </c>
      <c r="J8" s="533">
        <f>'14'!$Y$26</f>
        <v>0</v>
      </c>
      <c r="K8" s="473">
        <f>'13'!$V$26</f>
        <v>28</v>
      </c>
      <c r="L8" s="474">
        <f>'13'!$W$26</f>
        <v>28.5</v>
      </c>
      <c r="M8" s="474">
        <f>'13'!$X$26</f>
        <v>28.5</v>
      </c>
      <c r="N8" s="533">
        <f>'13'!$Y$26</f>
        <v>0</v>
      </c>
      <c r="O8" s="473"/>
      <c r="P8" s="474"/>
      <c r="Q8" s="474"/>
      <c r="R8" s="533"/>
      <c r="S8" s="473">
        <f>'12'!$V$26</f>
        <v>10</v>
      </c>
      <c r="T8" s="474">
        <f>'12'!$W$26</f>
        <v>8</v>
      </c>
      <c r="U8" s="474">
        <f>'12'!$X$26</f>
        <v>7</v>
      </c>
      <c r="V8" s="533">
        <f>'12'!$Y$26</f>
        <v>7.47</v>
      </c>
      <c r="W8" s="473">
        <f>'10'!$V$26</f>
        <v>10</v>
      </c>
      <c r="X8" s="474">
        <f>'10'!$W$26</f>
        <v>3</v>
      </c>
      <c r="Y8" s="474">
        <f>'10'!$X$26</f>
        <v>2</v>
      </c>
      <c r="Z8" s="533">
        <f>'10'!$Y$26</f>
        <v>0</v>
      </c>
      <c r="AA8" s="473">
        <f>'11'!$V$26</f>
        <v>15</v>
      </c>
      <c r="AB8" s="474">
        <f>'11'!$W$26</f>
        <v>8.5</v>
      </c>
      <c r="AC8" s="474">
        <f>'11'!$X$26</f>
        <v>0</v>
      </c>
      <c r="AD8" s="533">
        <f>'11'!$Y$26</f>
        <v>0</v>
      </c>
      <c r="AE8" s="473"/>
      <c r="AF8" s="474"/>
      <c r="AG8" s="474"/>
      <c r="AH8" s="533"/>
      <c r="AI8" s="473"/>
      <c r="AJ8" s="474"/>
      <c r="AK8" s="474"/>
      <c r="AL8" s="533"/>
      <c r="AM8" s="473"/>
      <c r="AN8" s="474"/>
      <c r="AO8" s="482"/>
      <c r="AP8" s="533"/>
      <c r="AQ8" s="799">
        <f t="shared" si="1"/>
        <v>63</v>
      </c>
      <c r="AR8" s="800">
        <f t="shared" si="2"/>
        <v>48</v>
      </c>
      <c r="AS8" s="800">
        <f t="shared" si="3"/>
        <v>37.5</v>
      </c>
      <c r="AT8" s="800">
        <f t="shared" si="4"/>
        <v>7.47</v>
      </c>
      <c r="AU8" s="792">
        <f>AQ6-AS6</f>
        <v>60.45</v>
      </c>
      <c r="AV8" s="1187">
        <f>AR6-AS6</f>
        <v>3</v>
      </c>
      <c r="AX8" s="957" t="s">
        <v>7</v>
      </c>
      <c r="AY8" s="728">
        <v>20</v>
      </c>
      <c r="AZ8" s="728">
        <v>25</v>
      </c>
      <c r="BA8" s="728">
        <v>30</v>
      </c>
      <c r="BB8" s="728">
        <v>35</v>
      </c>
      <c r="BC8" s="728">
        <v>40</v>
      </c>
      <c r="BD8" s="610"/>
      <c r="BE8" s="1178">
        <f t="shared" si="7"/>
        <v>150</v>
      </c>
      <c r="BF8" s="1184">
        <f>BE6/BE$16</f>
        <v>0.28868360277136257</v>
      </c>
      <c r="BG8" s="1186"/>
      <c r="BH8" s="1187"/>
      <c r="BI8" s="1452">
        <v>55</v>
      </c>
      <c r="BJ8" s="1452">
        <v>250</v>
      </c>
      <c r="BK8" s="1461">
        <v>0.5</v>
      </c>
      <c r="BM8" s="9" t="s">
        <v>7</v>
      </c>
      <c r="BN8" s="10"/>
      <c r="BO8" s="10"/>
      <c r="BP8" s="10"/>
      <c r="BQ8" s="10"/>
      <c r="BR8" s="10"/>
      <c r="BS8" s="10">
        <v>200</v>
      </c>
      <c r="BT8" s="10">
        <f>SUM(BN6:BS6)</f>
        <v>300</v>
      </c>
      <c r="BU8" s="41">
        <f>BT6/BT$16</f>
        <v>0.24793388429752067</v>
      </c>
      <c r="BV8" s="10"/>
      <c r="BW8" s="10"/>
    </row>
    <row r="9" spans="2:75" ht="20.100000000000001" customHeight="1">
      <c r="B9" s="287" t="s">
        <v>8</v>
      </c>
      <c r="C9" s="473"/>
      <c r="D9" s="474"/>
      <c r="E9" s="474"/>
      <c r="F9" s="533"/>
      <c r="G9" s="473">
        <f>'14'!$Z$26</f>
        <v>0</v>
      </c>
      <c r="H9" s="474">
        <f>'14'!$AA$26</f>
        <v>0</v>
      </c>
      <c r="I9" s="474">
        <f>'14'!$AB$26</f>
        <v>0</v>
      </c>
      <c r="J9" s="533">
        <f>'14'!$AC$26</f>
        <v>0</v>
      </c>
      <c r="K9" s="473">
        <f>'13'!$Z$26</f>
        <v>0</v>
      </c>
      <c r="L9" s="474">
        <f>'13'!$AA$26</f>
        <v>0</v>
      </c>
      <c r="M9" s="474">
        <f>'13'!$AB$26</f>
        <v>0</v>
      </c>
      <c r="N9" s="533">
        <f>'13'!$AC$26</f>
        <v>0</v>
      </c>
      <c r="O9" s="473"/>
      <c r="P9" s="474"/>
      <c r="Q9" s="474"/>
      <c r="R9" s="533"/>
      <c r="S9" s="473">
        <f>'12'!$Z$26</f>
        <v>3</v>
      </c>
      <c r="T9" s="474">
        <f>'12'!$AA$26</f>
        <v>3</v>
      </c>
      <c r="U9" s="474">
        <f>'12'!$AB$26</f>
        <v>3</v>
      </c>
      <c r="V9" s="533">
        <f>'12'!$AC$26</f>
        <v>0</v>
      </c>
      <c r="W9" s="473">
        <f>'10'!$Z$26</f>
        <v>2</v>
      </c>
      <c r="X9" s="474">
        <f>'10'!$AA$26</f>
        <v>0.5</v>
      </c>
      <c r="Y9" s="474">
        <f>'10'!$AB$26</f>
        <v>0</v>
      </c>
      <c r="Z9" s="533">
        <f>'10'!$AC$26</f>
        <v>0</v>
      </c>
      <c r="AA9" s="473">
        <f>'11'!$Z$26</f>
        <v>0</v>
      </c>
      <c r="AB9" s="474">
        <f>'11'!$AA$26</f>
        <v>0</v>
      </c>
      <c r="AC9" s="474">
        <f>'11'!$AB$26</f>
        <v>0</v>
      </c>
      <c r="AD9" s="533">
        <f>'11'!$AC$26</f>
        <v>38.21</v>
      </c>
      <c r="AE9" s="473"/>
      <c r="AF9" s="474"/>
      <c r="AG9" s="474"/>
      <c r="AH9" s="533"/>
      <c r="AI9" s="473"/>
      <c r="AJ9" s="474"/>
      <c r="AK9" s="474"/>
      <c r="AL9" s="533"/>
      <c r="AM9" s="473"/>
      <c r="AN9" s="474"/>
      <c r="AO9" s="482"/>
      <c r="AP9" s="533"/>
      <c r="AQ9" s="799">
        <f t="shared" si="1"/>
        <v>5</v>
      </c>
      <c r="AR9" s="800">
        <f t="shared" si="2"/>
        <v>3.5</v>
      </c>
      <c r="AS9" s="800">
        <f t="shared" si="3"/>
        <v>3</v>
      </c>
      <c r="AT9" s="800">
        <f t="shared" si="4"/>
        <v>38.21</v>
      </c>
      <c r="AU9" s="792">
        <f t="shared" si="5"/>
        <v>2</v>
      </c>
      <c r="AV9" s="540">
        <f t="shared" si="6"/>
        <v>0.5</v>
      </c>
      <c r="AX9" s="957" t="s">
        <v>8</v>
      </c>
      <c r="AY9" s="728">
        <v>10</v>
      </c>
      <c r="AZ9" s="728">
        <v>10</v>
      </c>
      <c r="BA9" s="728">
        <v>10</v>
      </c>
      <c r="BB9" s="728">
        <v>10</v>
      </c>
      <c r="BC9" s="728">
        <v>15</v>
      </c>
      <c r="BD9" s="610"/>
      <c r="BE9" s="1178">
        <f t="shared" si="7"/>
        <v>55</v>
      </c>
      <c r="BF9" s="1184">
        <f t="shared" ref="BF9:BF16" si="8">BE9/BE$16</f>
        <v>6.3510392609699776E-2</v>
      </c>
      <c r="BG9" s="1186"/>
      <c r="BH9" s="1187"/>
      <c r="BI9" s="1452">
        <v>30</v>
      </c>
      <c r="BJ9" s="1452">
        <v>75</v>
      </c>
      <c r="BK9" s="1461">
        <v>0.2</v>
      </c>
      <c r="BM9" s="9" t="s">
        <v>8</v>
      </c>
      <c r="BN9" s="10"/>
      <c r="BO9" s="10"/>
      <c r="BP9" s="10"/>
      <c r="BQ9" s="10"/>
      <c r="BR9" s="10"/>
      <c r="BS9" s="10">
        <v>100</v>
      </c>
      <c r="BT9" s="10">
        <f t="shared" si="0"/>
        <v>100</v>
      </c>
      <c r="BU9" s="41">
        <f t="shared" ref="BU9:BU16" si="9">BT9/BT$16</f>
        <v>8.2644628099173556E-2</v>
      </c>
      <c r="BV9" s="10"/>
      <c r="BW9" s="10"/>
    </row>
    <row r="10" spans="2:75" ht="20.100000000000001" customHeight="1">
      <c r="B10" s="288" t="s">
        <v>9</v>
      </c>
      <c r="C10" s="475"/>
      <c r="D10" s="484"/>
      <c r="E10" s="484"/>
      <c r="F10" s="534"/>
      <c r="G10" s="475">
        <f>'14'!$AD$26</f>
        <v>0</v>
      </c>
      <c r="H10" s="484">
        <f>'14'!$AE$26</f>
        <v>0</v>
      </c>
      <c r="I10" s="484">
        <f>'14'!$AF$26</f>
        <v>0</v>
      </c>
      <c r="J10" s="534">
        <f>'14'!$AG$26</f>
        <v>0</v>
      </c>
      <c r="K10" s="475">
        <f>'13'!$AD$26</f>
        <v>25</v>
      </c>
      <c r="L10" s="484">
        <f>'13'!$AE$26</f>
        <v>20</v>
      </c>
      <c r="M10" s="484">
        <f>'13'!$AF$26</f>
        <v>20</v>
      </c>
      <c r="N10" s="534">
        <f>'13'!$AG$26</f>
        <v>0</v>
      </c>
      <c r="O10" s="475"/>
      <c r="P10" s="484"/>
      <c r="Q10" s="484"/>
      <c r="R10" s="534"/>
      <c r="S10" s="475">
        <f>'12'!$AD$26</f>
        <v>20</v>
      </c>
      <c r="T10" s="484">
        <f>'12'!$AE$26</f>
        <v>49.35</v>
      </c>
      <c r="U10" s="484">
        <f>'12'!$AF$26</f>
        <v>49.35</v>
      </c>
      <c r="V10" s="534">
        <f>'12'!$AG$26</f>
        <v>0</v>
      </c>
      <c r="W10" s="475">
        <f>'10'!$AD$26</f>
        <v>70</v>
      </c>
      <c r="X10" s="484">
        <f>'10'!$AE$26</f>
        <v>20</v>
      </c>
      <c r="Y10" s="484">
        <f>'10'!$AF$26</f>
        <v>20</v>
      </c>
      <c r="Z10" s="534">
        <f>'10'!$AG$26</f>
        <v>0</v>
      </c>
      <c r="AA10" s="475">
        <f>'11'!$AD$26</f>
        <v>20</v>
      </c>
      <c r="AB10" s="484">
        <f>'11'!$AE$26</f>
        <v>0</v>
      </c>
      <c r="AC10" s="484">
        <f>'11'!$AF$26</f>
        <v>0</v>
      </c>
      <c r="AD10" s="534">
        <f>'11'!$AG$26</f>
        <v>0</v>
      </c>
      <c r="AE10" s="475"/>
      <c r="AF10" s="484"/>
      <c r="AG10" s="484"/>
      <c r="AH10" s="534"/>
      <c r="AI10" s="475"/>
      <c r="AJ10" s="484"/>
      <c r="AK10" s="484"/>
      <c r="AL10" s="534"/>
      <c r="AM10" s="475"/>
      <c r="AN10" s="484"/>
      <c r="AO10" s="483"/>
      <c r="AP10" s="534"/>
      <c r="AQ10" s="799">
        <f t="shared" si="1"/>
        <v>135</v>
      </c>
      <c r="AR10" s="800">
        <f t="shared" si="2"/>
        <v>89.35</v>
      </c>
      <c r="AS10" s="800">
        <f t="shared" si="3"/>
        <v>89.35</v>
      </c>
      <c r="AT10" s="800">
        <f t="shared" si="4"/>
        <v>0</v>
      </c>
      <c r="AU10" s="792">
        <f t="shared" si="5"/>
        <v>45.650000000000006</v>
      </c>
      <c r="AV10" s="540">
        <f t="shared" si="6"/>
        <v>0</v>
      </c>
      <c r="AX10" s="958" t="s">
        <v>9</v>
      </c>
      <c r="AY10" s="745">
        <v>50</v>
      </c>
      <c r="AZ10" s="745">
        <v>50</v>
      </c>
      <c r="BA10" s="745">
        <v>60</v>
      </c>
      <c r="BB10" s="745">
        <v>70</v>
      </c>
      <c r="BC10" s="745">
        <v>70</v>
      </c>
      <c r="BD10" s="746"/>
      <c r="BE10" s="1178">
        <f t="shared" si="7"/>
        <v>300</v>
      </c>
      <c r="BF10" s="1184">
        <f t="shared" si="8"/>
        <v>0.3464203233256351</v>
      </c>
      <c r="BG10" s="1186">
        <v>45</v>
      </c>
      <c r="BH10" s="1187"/>
      <c r="BI10" s="1452">
        <v>50</v>
      </c>
      <c r="BJ10" s="1452">
        <v>400</v>
      </c>
      <c r="BK10" s="1461">
        <v>1</v>
      </c>
      <c r="BM10" s="12" t="s">
        <v>9</v>
      </c>
      <c r="BN10" s="13"/>
      <c r="BO10" s="13"/>
      <c r="BP10" s="13"/>
      <c r="BQ10" s="13"/>
      <c r="BR10" s="13"/>
      <c r="BS10" s="13">
        <v>400</v>
      </c>
      <c r="BT10" s="13">
        <f t="shared" si="0"/>
        <v>400</v>
      </c>
      <c r="BU10" s="42">
        <f t="shared" si="9"/>
        <v>0.33057851239669422</v>
      </c>
      <c r="BV10" s="13">
        <v>50</v>
      </c>
      <c r="BW10" s="13"/>
    </row>
    <row r="11" spans="2:75" ht="20.100000000000001" customHeight="1">
      <c r="B11" s="105" t="s">
        <v>10</v>
      </c>
      <c r="C11" s="531">
        <f>SUM(C5:C10)</f>
        <v>0</v>
      </c>
      <c r="D11" s="531">
        <f t="shared" ref="D11:F11" si="10">SUM(D5:D10)</f>
        <v>0</v>
      </c>
      <c r="E11" s="531">
        <f t="shared" si="10"/>
        <v>0</v>
      </c>
      <c r="F11" s="531">
        <f t="shared" si="10"/>
        <v>0</v>
      </c>
      <c r="G11" s="531">
        <f>SUM(G5:G10)</f>
        <v>0</v>
      </c>
      <c r="H11" s="531">
        <f t="shared" ref="H11:J11" si="11">SUM(H5:H10)</f>
        <v>0</v>
      </c>
      <c r="I11" s="531">
        <f t="shared" si="11"/>
        <v>0</v>
      </c>
      <c r="J11" s="531">
        <f t="shared" si="11"/>
        <v>66.400000000000006</v>
      </c>
      <c r="K11" s="531">
        <f>SUM(K5:K10)</f>
        <v>175</v>
      </c>
      <c r="L11" s="531">
        <f t="shared" ref="L11:N11" si="12">SUM(L5:L10)</f>
        <v>176.53000000000003</v>
      </c>
      <c r="M11" s="531">
        <f t="shared" si="12"/>
        <v>107.13</v>
      </c>
      <c r="N11" s="531">
        <f t="shared" si="12"/>
        <v>0</v>
      </c>
      <c r="O11" s="478"/>
      <c r="P11" s="478"/>
      <c r="Q11" s="478"/>
      <c r="R11" s="478"/>
      <c r="S11" s="531">
        <f>SUM(S5:S10)</f>
        <v>156</v>
      </c>
      <c r="T11" s="531">
        <f t="shared" ref="T11:V11" si="13">SUM(T5:T10)</f>
        <v>122.1</v>
      </c>
      <c r="U11" s="531">
        <f t="shared" si="13"/>
        <v>74.099999999999994</v>
      </c>
      <c r="V11" s="531">
        <f t="shared" si="13"/>
        <v>14.469999999999999</v>
      </c>
      <c r="W11" s="531">
        <f>SUM(W5:W10)</f>
        <v>187</v>
      </c>
      <c r="X11" s="531">
        <f t="shared" ref="X11:Z11" si="14">SUM(X5:X10)</f>
        <v>71.710000000000008</v>
      </c>
      <c r="Y11" s="531">
        <f t="shared" si="14"/>
        <v>50.21</v>
      </c>
      <c r="Z11" s="531">
        <f t="shared" si="14"/>
        <v>41.3</v>
      </c>
      <c r="AA11" s="531">
        <f ca="1">SUM(AA5:AA11)</f>
        <v>0</v>
      </c>
      <c r="AB11" s="531">
        <f>SUM(AB5:AB10)</f>
        <v>21.9</v>
      </c>
      <c r="AC11" s="531">
        <f t="shared" ref="AC11:AD11" si="15">SUM(AC5:AC10)</f>
        <v>13.4</v>
      </c>
      <c r="AD11" s="531">
        <f t="shared" si="15"/>
        <v>46.01</v>
      </c>
      <c r="AE11" s="531"/>
      <c r="AF11" s="478"/>
      <c r="AG11" s="478"/>
      <c r="AH11" s="477"/>
      <c r="AI11" s="531"/>
      <c r="AJ11" s="478"/>
      <c r="AK11" s="478"/>
      <c r="AL11" s="477"/>
      <c r="AM11" s="531"/>
      <c r="AN11" s="478"/>
      <c r="AO11" s="485"/>
      <c r="AP11" s="477"/>
      <c r="AQ11" s="984">
        <f>SUM(AQ5:AQ10)</f>
        <v>623</v>
      </c>
      <c r="AR11" s="984">
        <f t="shared" ref="AR11:AT11" si="16">SUM(AR5:AR10)</f>
        <v>392.24</v>
      </c>
      <c r="AS11" s="984">
        <f t="shared" si="16"/>
        <v>244.84</v>
      </c>
      <c r="AT11" s="984">
        <f t="shared" si="16"/>
        <v>168.18</v>
      </c>
      <c r="AU11" s="539">
        <f t="shared" ref="AU11:AV11" si="17">SUM(AU5:AU10)</f>
        <v>413.11</v>
      </c>
      <c r="AV11" s="541">
        <f t="shared" si="17"/>
        <v>139.9</v>
      </c>
      <c r="AX11" s="959" t="s">
        <v>10</v>
      </c>
      <c r="AY11" s="747">
        <f t="shared" ref="AY11:BD11" si="18">SUM(AY5:AY10)</f>
        <v>200</v>
      </c>
      <c r="AZ11" s="747">
        <f t="shared" si="18"/>
        <v>215</v>
      </c>
      <c r="BA11" s="747">
        <f t="shared" si="18"/>
        <v>245</v>
      </c>
      <c r="BB11" s="747">
        <f t="shared" si="18"/>
        <v>290</v>
      </c>
      <c r="BC11" s="747">
        <f t="shared" si="18"/>
        <v>290</v>
      </c>
      <c r="BD11" s="747">
        <f t="shared" si="18"/>
        <v>0</v>
      </c>
      <c r="BE11" s="1181">
        <f t="shared" ref="BE11:BE16" si="19">SUM(AY11:BD11)</f>
        <v>1240</v>
      </c>
      <c r="BF11" s="1185">
        <f t="shared" si="8"/>
        <v>1.4318706697459584</v>
      </c>
      <c r="BG11" s="1188">
        <f>SUM(BG5:BG10)</f>
        <v>52</v>
      </c>
      <c r="BH11" s="1189">
        <f>SUM(BH5:BH10)</f>
        <v>45</v>
      </c>
      <c r="BI11" s="1453">
        <f>SUM(BI5:BI10)</f>
        <v>435</v>
      </c>
      <c r="BJ11" s="1453">
        <f>SUM(BJ5:BJ10)</f>
        <v>1675</v>
      </c>
      <c r="BK11" s="1453">
        <f>SUM(BK5:BK10)</f>
        <v>3.8000000000000003</v>
      </c>
      <c r="BM11" s="170" t="s">
        <v>10</v>
      </c>
      <c r="BN11" s="171">
        <f t="shared" ref="BN11:BS11" si="20">SUM(BN5:BN10)</f>
        <v>0</v>
      </c>
      <c r="BO11" s="171">
        <f t="shared" si="20"/>
        <v>0</v>
      </c>
      <c r="BP11" s="171">
        <f t="shared" si="20"/>
        <v>0</v>
      </c>
      <c r="BQ11" s="171">
        <f t="shared" si="20"/>
        <v>0</v>
      </c>
      <c r="BR11" s="171">
        <f t="shared" si="20"/>
        <v>0</v>
      </c>
      <c r="BS11" s="171">
        <f t="shared" si="20"/>
        <v>1600</v>
      </c>
      <c r="BT11" s="172">
        <f t="shared" si="0"/>
        <v>1600</v>
      </c>
      <c r="BU11" s="173">
        <f t="shared" si="9"/>
        <v>1.3223140495867769</v>
      </c>
      <c r="BV11" s="708">
        <f>SUM(BV5:BV10)</f>
        <v>50</v>
      </c>
      <c r="BW11" s="708">
        <f>SUM(BW5:BW10)</f>
        <v>0</v>
      </c>
    </row>
    <row r="12" spans="2:75" ht="20.100000000000001" customHeight="1">
      <c r="B12" s="286" t="s">
        <v>11</v>
      </c>
      <c r="C12" s="475"/>
      <c r="D12" s="484"/>
      <c r="E12" s="484"/>
      <c r="F12" s="534"/>
      <c r="G12" s="475">
        <f>'14'!$AL$26</f>
        <v>0</v>
      </c>
      <c r="H12" s="484">
        <f>'14'!$AM$26</f>
        <v>0</v>
      </c>
      <c r="I12" s="484">
        <f>'14'!$AN$26</f>
        <v>0</v>
      </c>
      <c r="J12" s="534">
        <f>'14'!$AO$26</f>
        <v>0</v>
      </c>
      <c r="K12" s="475">
        <f>'13'!$AL$26</f>
        <v>33</v>
      </c>
      <c r="L12" s="484">
        <f>'13'!$AM$26</f>
        <v>27.5</v>
      </c>
      <c r="M12" s="484">
        <f>'13'!$AN$26</f>
        <v>27.5</v>
      </c>
      <c r="N12" s="534">
        <f>'13'!$AO$26</f>
        <v>0</v>
      </c>
      <c r="O12" s="475"/>
      <c r="P12" s="484"/>
      <c r="Q12" s="484"/>
      <c r="R12" s="534"/>
      <c r="S12" s="475">
        <f>'12'!$AL$26</f>
        <v>36</v>
      </c>
      <c r="T12" s="484">
        <f>'12'!$AM$26</f>
        <v>30</v>
      </c>
      <c r="U12" s="484">
        <f>'12'!$AN$26</f>
        <v>2</v>
      </c>
      <c r="V12" s="534">
        <f>'12'!$AO$26</f>
        <v>0</v>
      </c>
      <c r="W12" s="475">
        <f>'10'!$AL$26</f>
        <v>51</v>
      </c>
      <c r="X12" s="484">
        <f>'10'!$AM$26</f>
        <v>22</v>
      </c>
      <c r="Y12" s="484">
        <f>'10'!$AN$26</f>
        <v>22</v>
      </c>
      <c r="Z12" s="534">
        <f>'10'!$AO$26</f>
        <v>0</v>
      </c>
      <c r="AA12" s="475">
        <f>'11'!$AL$26</f>
        <v>3.5</v>
      </c>
      <c r="AB12" s="484">
        <f>'11'!$AM$26</f>
        <v>20</v>
      </c>
      <c r="AC12" s="484">
        <f>'11'!$AN$26</f>
        <v>20</v>
      </c>
      <c r="AD12" s="534">
        <f>'11'!$AO$26</f>
        <v>0</v>
      </c>
      <c r="AE12" s="475"/>
      <c r="AF12" s="484"/>
      <c r="AG12" s="484"/>
      <c r="AH12" s="534"/>
      <c r="AI12" s="475"/>
      <c r="AJ12" s="484"/>
      <c r="AK12" s="484"/>
      <c r="AL12" s="534"/>
      <c r="AM12" s="475"/>
      <c r="AN12" s="484"/>
      <c r="AO12" s="483"/>
      <c r="AP12" s="534"/>
      <c r="AQ12" s="798">
        <f>C12+AA12+K12+O12+S12+G12+AE12+AI12+W12+AM12</f>
        <v>123.5</v>
      </c>
      <c r="AR12" s="797">
        <f>D12+AB12+L12+P12+T12+H12+AF12+AJ12+X12+AN12</f>
        <v>99.5</v>
      </c>
      <c r="AS12" s="797">
        <f>E12+AC12+M12+Q12+U12+I12+AG12+AK12+Y12+AO12</f>
        <v>71.5</v>
      </c>
      <c r="AT12" s="797">
        <f>F12+AD12+N12+R12+V12+J12+AH12+AL12+Z12+AP12</f>
        <v>0</v>
      </c>
      <c r="AU12" s="792">
        <f t="shared" si="5"/>
        <v>52</v>
      </c>
      <c r="AV12" s="540">
        <f t="shared" si="6"/>
        <v>28</v>
      </c>
      <c r="AX12" s="956" t="s">
        <v>11</v>
      </c>
      <c r="AY12" s="727">
        <v>45</v>
      </c>
      <c r="AZ12" s="727">
        <v>60</v>
      </c>
      <c r="BA12" s="727">
        <v>90</v>
      </c>
      <c r="BB12" s="727">
        <v>90</v>
      </c>
      <c r="BC12" s="727">
        <v>120</v>
      </c>
      <c r="BD12" s="609"/>
      <c r="BE12" s="1178">
        <f t="shared" si="19"/>
        <v>405</v>
      </c>
      <c r="BF12" s="1184">
        <f t="shared" si="8"/>
        <v>0.4676674364896074</v>
      </c>
      <c r="BG12" s="1186"/>
      <c r="BH12" s="1187">
        <v>20</v>
      </c>
      <c r="BI12" s="1452">
        <v>150</v>
      </c>
      <c r="BJ12" s="1452">
        <v>500</v>
      </c>
      <c r="BK12" s="1461">
        <v>1.25</v>
      </c>
      <c r="BM12" s="6" t="s">
        <v>11</v>
      </c>
      <c r="BN12" s="7"/>
      <c r="BO12" s="7"/>
      <c r="BP12" s="7"/>
      <c r="BQ12" s="7"/>
      <c r="BR12" s="7"/>
      <c r="BS12" s="7">
        <v>500</v>
      </c>
      <c r="BT12" s="7">
        <f t="shared" si="0"/>
        <v>500</v>
      </c>
      <c r="BU12" s="40">
        <f t="shared" si="9"/>
        <v>0.41322314049586778</v>
      </c>
      <c r="BV12" s="7"/>
      <c r="BW12" s="7">
        <v>50</v>
      </c>
    </row>
    <row r="13" spans="2:75" ht="20.100000000000001" customHeight="1">
      <c r="B13" s="287" t="s">
        <v>12</v>
      </c>
      <c r="C13" s="475"/>
      <c r="D13" s="484"/>
      <c r="E13" s="484"/>
      <c r="F13" s="534"/>
      <c r="G13" s="475">
        <f>'14'!$AP$26</f>
        <v>0</v>
      </c>
      <c r="H13" s="484">
        <f>'14'!$AQ$26</f>
        <v>0</v>
      </c>
      <c r="I13" s="484">
        <f>'14'!$AR$26</f>
        <v>0</v>
      </c>
      <c r="J13" s="534">
        <f>'14'!$AS$26</f>
        <v>0</v>
      </c>
      <c r="K13" s="475">
        <f>'13'!$AP$26</f>
        <v>25</v>
      </c>
      <c r="L13" s="484">
        <f>'13'!$AQ$26</f>
        <v>27.36</v>
      </c>
      <c r="M13" s="484">
        <f>'13'!$AR$26</f>
        <v>27.36</v>
      </c>
      <c r="N13" s="534">
        <f>'13'!$AS$26</f>
        <v>0</v>
      </c>
      <c r="O13" s="475"/>
      <c r="P13" s="484"/>
      <c r="Q13" s="484"/>
      <c r="R13" s="534"/>
      <c r="S13" s="475">
        <f>'12'!$AP$26</f>
        <v>10</v>
      </c>
      <c r="T13" s="484">
        <f>'12'!$AQ$26</f>
        <v>10.4</v>
      </c>
      <c r="U13" s="484">
        <f>'12'!$AR$26</f>
        <v>10.4</v>
      </c>
      <c r="V13" s="534">
        <f>'12'!$AS$26</f>
        <v>0</v>
      </c>
      <c r="W13" s="475">
        <f>'10'!$AP$26</f>
        <v>25</v>
      </c>
      <c r="X13" s="484">
        <f>'10'!$AQ$26</f>
        <v>8.35</v>
      </c>
      <c r="Y13" s="484">
        <f>'10'!$AR$26</f>
        <v>8.35</v>
      </c>
      <c r="Z13" s="534">
        <f>'10'!$AS$26</f>
        <v>0</v>
      </c>
      <c r="AA13" s="475">
        <f>'11'!$AP$26</f>
        <v>10</v>
      </c>
      <c r="AB13" s="484">
        <f>'11'!$AQ$26</f>
        <v>0</v>
      </c>
      <c r="AC13" s="484">
        <f>'11'!$AR$26</f>
        <v>0</v>
      </c>
      <c r="AD13" s="534">
        <f>'11'!$AS$26</f>
        <v>0</v>
      </c>
      <c r="AE13" s="475"/>
      <c r="AF13" s="484"/>
      <c r="AG13" s="484"/>
      <c r="AH13" s="534"/>
      <c r="AI13" s="475"/>
      <c r="AJ13" s="484"/>
      <c r="AK13" s="484"/>
      <c r="AL13" s="534"/>
      <c r="AM13" s="475"/>
      <c r="AN13" s="484"/>
      <c r="AO13" s="483"/>
      <c r="AP13" s="534"/>
      <c r="AQ13" s="798">
        <f t="shared" ref="AQ13:AQ15" si="21">C13+AA13+K13+O13+S13+G13+AE13+AI13+W13+AM13</f>
        <v>70</v>
      </c>
      <c r="AR13" s="797">
        <f t="shared" ref="AR13:AR15" si="22">D13+AB13+L13+P13+T13+H13+AF13+AJ13+X13+AN13</f>
        <v>46.11</v>
      </c>
      <c r="AS13" s="797">
        <f t="shared" ref="AS13:AS15" si="23">E13+AC13+M13+Q13+U13+I13+AG13+AK13+Y13+AO13</f>
        <v>46.11</v>
      </c>
      <c r="AT13" s="797">
        <f t="shared" ref="AT13:AT15" si="24">F13+AD13+N13+R13+V13+J13+AH13+AL13+Z13+AP13</f>
        <v>0</v>
      </c>
      <c r="AU13" s="792">
        <f t="shared" si="5"/>
        <v>23.89</v>
      </c>
      <c r="AV13" s="540">
        <f t="shared" si="6"/>
        <v>0</v>
      </c>
      <c r="AX13" s="957" t="s">
        <v>12</v>
      </c>
      <c r="AY13" s="728">
        <v>15</v>
      </c>
      <c r="AZ13" s="728">
        <v>10</v>
      </c>
      <c r="BA13" s="728">
        <v>30</v>
      </c>
      <c r="BB13" s="728">
        <v>30</v>
      </c>
      <c r="BC13" s="728">
        <v>15</v>
      </c>
      <c r="BD13" s="610">
        <v>5</v>
      </c>
      <c r="BE13" s="1179">
        <f t="shared" si="19"/>
        <v>105</v>
      </c>
      <c r="BF13" s="1184">
        <f t="shared" si="8"/>
        <v>0.12124711316397228</v>
      </c>
      <c r="BG13" s="1186"/>
      <c r="BH13" s="1187"/>
      <c r="BI13" s="1452">
        <v>60</v>
      </c>
      <c r="BJ13" s="1452">
        <v>125</v>
      </c>
      <c r="BK13" s="1461">
        <v>0.25</v>
      </c>
      <c r="BM13" s="9" t="s">
        <v>12</v>
      </c>
      <c r="BN13" s="10"/>
      <c r="BO13" s="10"/>
      <c r="BP13" s="10"/>
      <c r="BQ13" s="10"/>
      <c r="BR13" s="10"/>
      <c r="BS13" s="10">
        <v>150</v>
      </c>
      <c r="BT13" s="10">
        <f t="shared" si="0"/>
        <v>150</v>
      </c>
      <c r="BU13" s="41">
        <f t="shared" si="9"/>
        <v>0.12396694214876033</v>
      </c>
      <c r="BV13" s="10"/>
      <c r="BW13" s="10"/>
    </row>
    <row r="14" spans="2:75" ht="20.100000000000001" customHeight="1">
      <c r="B14" s="287" t="s">
        <v>13</v>
      </c>
      <c r="C14" s="475"/>
      <c r="D14" s="484"/>
      <c r="E14" s="484"/>
      <c r="F14" s="534"/>
      <c r="G14" s="475">
        <f>'14'!$AT$26</f>
        <v>0</v>
      </c>
      <c r="H14" s="484">
        <f>'14'!$AU$26</f>
        <v>5</v>
      </c>
      <c r="I14" s="484">
        <f>'14'!$AV$26</f>
        <v>5</v>
      </c>
      <c r="J14" s="534">
        <f>'14'!$AW$26</f>
        <v>0</v>
      </c>
      <c r="K14" s="475">
        <f>'13'!$AT$26</f>
        <v>20</v>
      </c>
      <c r="L14" s="484">
        <f>'13'!$AU$26</f>
        <v>14</v>
      </c>
      <c r="M14" s="484">
        <f>'13'!$AV$26</f>
        <v>2</v>
      </c>
      <c r="N14" s="534">
        <f>'13'!$AW$26</f>
        <v>12</v>
      </c>
      <c r="O14" s="475"/>
      <c r="P14" s="484"/>
      <c r="Q14" s="484"/>
      <c r="R14" s="534"/>
      <c r="S14" s="475">
        <f>'12'!$AT$26</f>
        <v>29</v>
      </c>
      <c r="T14" s="484">
        <f>'12'!$AU$26</f>
        <v>12.5</v>
      </c>
      <c r="U14" s="484">
        <f>'12'!$AV$26</f>
        <v>10.5</v>
      </c>
      <c r="V14" s="534">
        <f>'12'!$AW$26</f>
        <v>0</v>
      </c>
      <c r="W14" s="475">
        <f>'10'!$AT$26</f>
        <v>13</v>
      </c>
      <c r="X14" s="484">
        <f>'10'!$AU$26</f>
        <v>16</v>
      </c>
      <c r="Y14" s="484">
        <f>'10'!$AV$26</f>
        <v>2</v>
      </c>
      <c r="Z14" s="534">
        <f>'10'!$AW$26</f>
        <v>0</v>
      </c>
      <c r="AA14" s="475">
        <f>'11'!$AT$26</f>
        <v>22</v>
      </c>
      <c r="AB14" s="484">
        <f>'11'!$AU$26</f>
        <v>24</v>
      </c>
      <c r="AC14" s="484">
        <f>'11'!$AV$26</f>
        <v>24</v>
      </c>
      <c r="AD14" s="534">
        <f>'11'!$AW$26</f>
        <v>0</v>
      </c>
      <c r="AE14" s="475"/>
      <c r="AF14" s="484"/>
      <c r="AG14" s="484"/>
      <c r="AH14" s="534"/>
      <c r="AI14" s="475"/>
      <c r="AJ14" s="484"/>
      <c r="AK14" s="484"/>
      <c r="AL14" s="534"/>
      <c r="AM14" s="475"/>
      <c r="AN14" s="484"/>
      <c r="AO14" s="483"/>
      <c r="AP14" s="534"/>
      <c r="AQ14" s="798">
        <f t="shared" si="21"/>
        <v>84</v>
      </c>
      <c r="AR14" s="797">
        <f t="shared" si="22"/>
        <v>71.5</v>
      </c>
      <c r="AS14" s="797">
        <f t="shared" si="23"/>
        <v>43.5</v>
      </c>
      <c r="AT14" s="797">
        <f t="shared" si="24"/>
        <v>12</v>
      </c>
      <c r="AU14" s="792">
        <f t="shared" si="5"/>
        <v>40.5</v>
      </c>
      <c r="AV14" s="540">
        <f t="shared" si="6"/>
        <v>28</v>
      </c>
      <c r="AX14" s="957" t="s">
        <v>13</v>
      </c>
      <c r="AY14" s="728">
        <v>45</v>
      </c>
      <c r="AZ14" s="728">
        <v>35</v>
      </c>
      <c r="BA14" s="728">
        <v>55</v>
      </c>
      <c r="BB14" s="728">
        <v>55</v>
      </c>
      <c r="BC14" s="728">
        <v>60</v>
      </c>
      <c r="BD14" s="610"/>
      <c r="BE14" s="1179">
        <f t="shared" si="19"/>
        <v>250</v>
      </c>
      <c r="BF14" s="1184">
        <f t="shared" si="8"/>
        <v>0.28868360277136257</v>
      </c>
      <c r="BG14" s="1186"/>
      <c r="BH14" s="1187"/>
      <c r="BI14" s="1452">
        <v>120</v>
      </c>
      <c r="BJ14" s="1452">
        <v>325</v>
      </c>
      <c r="BK14" s="1461">
        <v>0.6</v>
      </c>
      <c r="BM14" s="9" t="s">
        <v>13</v>
      </c>
      <c r="BN14" s="10"/>
      <c r="BO14" s="10"/>
      <c r="BP14" s="10"/>
      <c r="BQ14" s="10"/>
      <c r="BR14" s="10"/>
      <c r="BS14" s="10">
        <v>400</v>
      </c>
      <c r="BT14" s="10">
        <f t="shared" si="0"/>
        <v>400</v>
      </c>
      <c r="BU14" s="41">
        <f t="shared" si="9"/>
        <v>0.33057851239669422</v>
      </c>
      <c r="BV14" s="10"/>
      <c r="BW14" s="10">
        <v>50</v>
      </c>
    </row>
    <row r="15" spans="2:75" ht="20.100000000000001" customHeight="1" thickBot="1">
      <c r="B15" s="288" t="s">
        <v>14</v>
      </c>
      <c r="C15" s="475"/>
      <c r="D15" s="484"/>
      <c r="E15" s="484"/>
      <c r="F15" s="534"/>
      <c r="G15" s="475">
        <f>'14'!$AX$26</f>
        <v>0</v>
      </c>
      <c r="H15" s="484">
        <f>'14'!$AY$26</f>
        <v>0</v>
      </c>
      <c r="I15" s="484">
        <f>'14'!$AZ$26</f>
        <v>0</v>
      </c>
      <c r="J15" s="534">
        <f>'14'!$BA$26</f>
        <v>8</v>
      </c>
      <c r="K15" s="475">
        <f>'13'!$AX$26</f>
        <v>13</v>
      </c>
      <c r="L15" s="484">
        <f>'13'!$AY$26</f>
        <v>6.5</v>
      </c>
      <c r="M15" s="484">
        <f>'13'!$AZ$26</f>
        <v>6.5</v>
      </c>
      <c r="N15" s="534">
        <f>'13'!$BA$26</f>
        <v>0</v>
      </c>
      <c r="O15" s="475"/>
      <c r="P15" s="484"/>
      <c r="Q15" s="484"/>
      <c r="R15" s="534"/>
      <c r="S15" s="475">
        <f>'12'!$AX$26</f>
        <v>25</v>
      </c>
      <c r="T15" s="484">
        <f>'12'!$AY$26</f>
        <v>20</v>
      </c>
      <c r="U15" s="484">
        <f>'12'!$AZ$26</f>
        <v>12</v>
      </c>
      <c r="V15" s="534">
        <f>'12'!$BA$26</f>
        <v>0</v>
      </c>
      <c r="W15" s="475">
        <f>'10'!$AX$26</f>
        <v>12</v>
      </c>
      <c r="X15" s="484">
        <f>'10'!$AY$26</f>
        <v>0</v>
      </c>
      <c r="Y15" s="484">
        <f>'10'!$AZ$26</f>
        <v>0</v>
      </c>
      <c r="Z15" s="534">
        <f>'10'!$BA$26</f>
        <v>0</v>
      </c>
      <c r="AA15" s="475">
        <f>'11'!$AX$26</f>
        <v>20</v>
      </c>
      <c r="AB15" s="484">
        <f>'11'!$AY$26</f>
        <v>10</v>
      </c>
      <c r="AC15" s="484">
        <f>'11'!$AZ$26</f>
        <v>10</v>
      </c>
      <c r="AD15" s="534">
        <f>'11'!$BA$26</f>
        <v>9</v>
      </c>
      <c r="AE15" s="475"/>
      <c r="AF15" s="484"/>
      <c r="AG15" s="484"/>
      <c r="AH15" s="534"/>
      <c r="AI15" s="475"/>
      <c r="AJ15" s="484"/>
      <c r="AK15" s="484"/>
      <c r="AL15" s="534"/>
      <c r="AM15" s="475"/>
      <c r="AN15" s="484"/>
      <c r="AO15" s="483"/>
      <c r="AP15" s="534"/>
      <c r="AQ15" s="798">
        <f t="shared" si="21"/>
        <v>70</v>
      </c>
      <c r="AR15" s="797">
        <f t="shared" si="22"/>
        <v>36.5</v>
      </c>
      <c r="AS15" s="797">
        <f t="shared" si="23"/>
        <v>28.5</v>
      </c>
      <c r="AT15" s="797">
        <f t="shared" si="24"/>
        <v>17</v>
      </c>
      <c r="AU15" s="792">
        <f t="shared" si="5"/>
        <v>41.5</v>
      </c>
      <c r="AV15" s="540">
        <f t="shared" si="6"/>
        <v>8</v>
      </c>
      <c r="AX15" s="958" t="s">
        <v>14</v>
      </c>
      <c r="AY15" s="745">
        <v>4</v>
      </c>
      <c r="AZ15" s="745">
        <v>13</v>
      </c>
      <c r="BA15" s="745">
        <v>47</v>
      </c>
      <c r="BB15" s="745">
        <v>23</v>
      </c>
      <c r="BC15" s="745">
        <v>19</v>
      </c>
      <c r="BD15" s="746"/>
      <c r="BE15" s="1180">
        <f t="shared" si="19"/>
        <v>106</v>
      </c>
      <c r="BF15" s="1184">
        <f t="shared" si="8"/>
        <v>0.12240184757505773</v>
      </c>
      <c r="BG15" s="1190"/>
      <c r="BH15" s="1191"/>
      <c r="BI15" s="1452">
        <v>30</v>
      </c>
      <c r="BJ15" s="1452">
        <v>150</v>
      </c>
      <c r="BK15" s="1461">
        <v>0.25</v>
      </c>
      <c r="BM15" s="12" t="s">
        <v>14</v>
      </c>
      <c r="BN15" s="13"/>
      <c r="BO15" s="13"/>
      <c r="BP15" s="13"/>
      <c r="BQ15" s="13"/>
      <c r="BR15" s="13"/>
      <c r="BS15" s="13">
        <v>160</v>
      </c>
      <c r="BT15" s="13">
        <f t="shared" si="0"/>
        <v>160</v>
      </c>
      <c r="BU15" s="42">
        <f t="shared" si="9"/>
        <v>0.13223140495867769</v>
      </c>
      <c r="BV15" s="13"/>
      <c r="BW15" s="13"/>
    </row>
    <row r="16" spans="2:75" ht="19.5" customHeight="1" thickBot="1">
      <c r="B16" s="14" t="s">
        <v>15</v>
      </c>
      <c r="C16" s="488"/>
      <c r="D16" s="488"/>
      <c r="E16" s="488"/>
      <c r="F16" s="488"/>
      <c r="G16" s="488">
        <f>SUM(G12:G15)</f>
        <v>0</v>
      </c>
      <c r="H16" s="488">
        <f t="shared" ref="H16:J16" si="25">SUM(H12:H15)</f>
        <v>5</v>
      </c>
      <c r="I16" s="488">
        <f t="shared" si="25"/>
        <v>5</v>
      </c>
      <c r="J16" s="488">
        <f t="shared" si="25"/>
        <v>8</v>
      </c>
      <c r="K16" s="488">
        <f>SUM(K12:K15)</f>
        <v>91</v>
      </c>
      <c r="L16" s="488">
        <f t="shared" ref="L16:N16" si="26">SUM(L12:L15)</f>
        <v>75.36</v>
      </c>
      <c r="M16" s="488">
        <f t="shared" si="26"/>
        <v>63.36</v>
      </c>
      <c r="N16" s="488">
        <f t="shared" si="26"/>
        <v>12</v>
      </c>
      <c r="O16" s="488"/>
      <c r="P16" s="488"/>
      <c r="Q16" s="488"/>
      <c r="R16" s="488"/>
      <c r="S16" s="488">
        <f>SUM(S12:S15)</f>
        <v>100</v>
      </c>
      <c r="T16" s="488">
        <f t="shared" ref="T16:V16" si="27">SUM(T12:T15)</f>
        <v>72.900000000000006</v>
      </c>
      <c r="U16" s="488">
        <f t="shared" si="27"/>
        <v>34.9</v>
      </c>
      <c r="V16" s="488">
        <f t="shared" si="27"/>
        <v>0</v>
      </c>
      <c r="W16" s="488">
        <f>SUM(W12:W15)</f>
        <v>101</v>
      </c>
      <c r="X16" s="488">
        <f t="shared" ref="X16:Z16" si="28">SUM(X12:X15)</f>
        <v>46.35</v>
      </c>
      <c r="Y16" s="488">
        <f t="shared" si="28"/>
        <v>32.35</v>
      </c>
      <c r="Z16" s="488">
        <f t="shared" si="28"/>
        <v>0</v>
      </c>
      <c r="AA16" s="488">
        <f>SUM(AA12:AA15)</f>
        <v>55.5</v>
      </c>
      <c r="AB16" s="488">
        <f>SUM(AB12:AB15)</f>
        <v>54</v>
      </c>
      <c r="AC16" s="488">
        <f>SUM(AC12:AC15)</f>
        <v>54</v>
      </c>
      <c r="AD16" s="488">
        <f t="shared" ref="AD16" si="29">SUM(AD12:AD15)</f>
        <v>9</v>
      </c>
      <c r="AE16" s="488"/>
      <c r="AF16" s="488"/>
      <c r="AG16" s="488"/>
      <c r="AH16" s="488"/>
      <c r="AI16" s="488"/>
      <c r="AJ16" s="488"/>
      <c r="AK16" s="488"/>
      <c r="AL16" s="488"/>
      <c r="AM16" s="488"/>
      <c r="AN16" s="488"/>
      <c r="AO16" s="488"/>
      <c r="AP16" s="488"/>
      <c r="AQ16" s="1260">
        <f>SUM(AQ12:AQ15)</f>
        <v>347.5</v>
      </c>
      <c r="AR16" s="1260">
        <f t="shared" ref="AR16:AT16" si="30">SUM(AR12:AR15)</f>
        <v>253.61</v>
      </c>
      <c r="AS16" s="1260">
        <f t="shared" si="30"/>
        <v>189.61</v>
      </c>
      <c r="AT16" s="1260">
        <f t="shared" si="30"/>
        <v>29</v>
      </c>
      <c r="AU16" s="793">
        <f t="shared" ref="AU16:AV16" si="31">SUM(AU12:AU15)</f>
        <v>157.88999999999999</v>
      </c>
      <c r="AV16" s="542">
        <f t="shared" si="31"/>
        <v>64</v>
      </c>
      <c r="AX16" s="960" t="s">
        <v>15</v>
      </c>
      <c r="AY16" s="611">
        <f t="shared" ref="AY16:BD16" si="32">SUM(AY12:AY15)</f>
        <v>109</v>
      </c>
      <c r="AZ16" s="611">
        <f t="shared" si="32"/>
        <v>118</v>
      </c>
      <c r="BA16" s="611">
        <f t="shared" si="32"/>
        <v>222</v>
      </c>
      <c r="BB16" s="611">
        <f t="shared" si="32"/>
        <v>198</v>
      </c>
      <c r="BC16" s="611">
        <f t="shared" si="32"/>
        <v>214</v>
      </c>
      <c r="BD16" s="611">
        <f t="shared" si="32"/>
        <v>5</v>
      </c>
      <c r="BE16" s="1216">
        <f t="shared" si="19"/>
        <v>866</v>
      </c>
      <c r="BF16" s="1183">
        <f t="shared" si="8"/>
        <v>1</v>
      </c>
      <c r="BG16" s="1182">
        <f>SUM(BG12:BG15)</f>
        <v>0</v>
      </c>
      <c r="BH16" s="319">
        <f>SUM(BH12:BH15)</f>
        <v>20</v>
      </c>
      <c r="BI16" s="1454">
        <f>SUM(BI12:BI15)</f>
        <v>360</v>
      </c>
      <c r="BJ16" s="1454">
        <f>SUM(BJ12:BJ15)</f>
        <v>1100</v>
      </c>
      <c r="BK16" s="1454">
        <f>SUM(BK12:BK15)</f>
        <v>2.35</v>
      </c>
      <c r="BM16" s="17" t="s">
        <v>15</v>
      </c>
      <c r="BN16" s="18">
        <f t="shared" ref="BN16:BS16" si="33">SUM(BN12:BN15)</f>
        <v>0</v>
      </c>
      <c r="BO16" s="18">
        <f t="shared" si="33"/>
        <v>0</v>
      </c>
      <c r="BP16" s="18">
        <f t="shared" si="33"/>
        <v>0</v>
      </c>
      <c r="BQ16" s="18">
        <f t="shared" si="33"/>
        <v>0</v>
      </c>
      <c r="BR16" s="18">
        <f t="shared" si="33"/>
        <v>0</v>
      </c>
      <c r="BS16" s="18">
        <f t="shared" si="33"/>
        <v>1210</v>
      </c>
      <c r="BT16" s="319">
        <f t="shared" si="0"/>
        <v>1210</v>
      </c>
      <c r="BU16" s="43">
        <f t="shared" si="9"/>
        <v>1</v>
      </c>
      <c r="BV16" s="319">
        <f>SUM(BV12:BV15)</f>
        <v>0</v>
      </c>
      <c r="BW16" s="319">
        <f>SUM(BW12:BW15)</f>
        <v>100</v>
      </c>
    </row>
    <row r="17" spans="1:75" ht="15.75" hidden="1" customHeight="1">
      <c r="B17" s="19" t="s">
        <v>16</v>
      </c>
      <c r="C17" s="290"/>
      <c r="D17" s="60"/>
      <c r="E17" s="60"/>
      <c r="F17" s="332"/>
      <c r="G17" s="290"/>
      <c r="H17" s="60"/>
      <c r="I17" s="60"/>
      <c r="J17" s="332"/>
      <c r="K17" s="290"/>
      <c r="L17" s="60"/>
      <c r="M17" s="60"/>
      <c r="N17" s="332"/>
      <c r="O17" s="290"/>
      <c r="P17" s="60"/>
      <c r="Q17" s="60"/>
      <c r="R17" s="332"/>
      <c r="S17" s="290"/>
      <c r="T17" s="60"/>
      <c r="U17" s="60"/>
      <c r="V17" s="332"/>
      <c r="W17" s="290"/>
      <c r="X17" s="60"/>
      <c r="Y17" s="60"/>
      <c r="Z17" s="332"/>
      <c r="AA17" s="290"/>
      <c r="AB17" s="60"/>
      <c r="AC17" s="60"/>
      <c r="AD17" s="332"/>
      <c r="AE17" s="290"/>
      <c r="AF17" s="60"/>
      <c r="AG17" s="60"/>
      <c r="AH17" s="332"/>
      <c r="AI17" s="290"/>
      <c r="AJ17" s="60"/>
      <c r="AK17" s="60"/>
      <c r="AL17" s="332"/>
      <c r="AM17" s="290"/>
      <c r="AN17" s="60"/>
      <c r="AO17" s="332"/>
      <c r="AP17" s="66"/>
      <c r="AQ17" s="985"/>
      <c r="AR17" s="982"/>
      <c r="AS17" s="983"/>
      <c r="AT17" s="350">
        <f t="shared" ref="AT17" si="34">F17+AD17+N17+R17+V17+J17+AH17+AL17+Z17+AP17</f>
        <v>0</v>
      </c>
      <c r="AU17" s="794"/>
      <c r="AV17" s="540"/>
      <c r="AX17" s="960"/>
      <c r="AY17" s="611"/>
      <c r="AZ17" s="611"/>
      <c r="BA17" s="611"/>
      <c r="BB17" s="611"/>
      <c r="BC17" s="611"/>
      <c r="BD17" s="611"/>
      <c r="BE17" s="646"/>
      <c r="BF17" s="38"/>
      <c r="BG17" s="38"/>
      <c r="BH17" s="38"/>
      <c r="BI17" s="1455"/>
      <c r="BJ17" s="1455"/>
      <c r="BK17" s="1455"/>
      <c r="BM17" s="17"/>
      <c r="BN17" s="18"/>
      <c r="BO17" s="18"/>
      <c r="BP17" s="18"/>
      <c r="BQ17" s="18"/>
      <c r="BR17" s="18"/>
      <c r="BS17" s="18"/>
      <c r="BT17" s="38"/>
      <c r="BU17" s="38"/>
      <c r="BV17" s="38"/>
      <c r="BW17" s="38"/>
    </row>
    <row r="18" spans="1:75" ht="20.100000000000001" customHeight="1" thickBot="1">
      <c r="B18" s="20" t="s">
        <v>17</v>
      </c>
      <c r="C18" s="532">
        <f>C16+C11</f>
        <v>0</v>
      </c>
      <c r="D18" s="532">
        <f t="shared" ref="D18:J18" si="35">D16+D11</f>
        <v>0</v>
      </c>
      <c r="E18" s="532">
        <f t="shared" si="35"/>
        <v>0</v>
      </c>
      <c r="F18" s="532">
        <f t="shared" si="35"/>
        <v>0</v>
      </c>
      <c r="G18" s="532">
        <f>G16+G11</f>
        <v>0</v>
      </c>
      <c r="H18" s="532">
        <f t="shared" si="35"/>
        <v>5</v>
      </c>
      <c r="I18" s="532">
        <f t="shared" si="35"/>
        <v>5</v>
      </c>
      <c r="J18" s="532">
        <f t="shared" si="35"/>
        <v>74.400000000000006</v>
      </c>
      <c r="K18" s="532">
        <f>K16+K11</f>
        <v>266</v>
      </c>
      <c r="L18" s="532">
        <f t="shared" ref="L18:Z18" si="36">L16+L11</f>
        <v>251.89000000000004</v>
      </c>
      <c r="M18" s="532">
        <f t="shared" si="36"/>
        <v>170.49</v>
      </c>
      <c r="N18" s="532">
        <f t="shared" si="36"/>
        <v>12</v>
      </c>
      <c r="O18" s="532">
        <f t="shared" si="36"/>
        <v>0</v>
      </c>
      <c r="P18" s="532">
        <f t="shared" si="36"/>
        <v>0</v>
      </c>
      <c r="Q18" s="532">
        <f t="shared" si="36"/>
        <v>0</v>
      </c>
      <c r="R18" s="532">
        <f t="shared" si="36"/>
        <v>0</v>
      </c>
      <c r="S18" s="532">
        <f t="shared" si="36"/>
        <v>256</v>
      </c>
      <c r="T18" s="532">
        <f t="shared" si="36"/>
        <v>195</v>
      </c>
      <c r="U18" s="532">
        <f t="shared" si="36"/>
        <v>109</v>
      </c>
      <c r="V18" s="532">
        <f t="shared" si="36"/>
        <v>14.469999999999999</v>
      </c>
      <c r="W18" s="532">
        <f t="shared" si="36"/>
        <v>288</v>
      </c>
      <c r="X18" s="532">
        <f t="shared" si="36"/>
        <v>118.06</v>
      </c>
      <c r="Y18" s="532">
        <f t="shared" si="36"/>
        <v>82.56</v>
      </c>
      <c r="Z18" s="532">
        <f t="shared" si="36"/>
        <v>41.3</v>
      </c>
      <c r="AA18" s="532">
        <f ca="1">AA11+AA16</f>
        <v>0</v>
      </c>
      <c r="AB18" s="532">
        <f t="shared" ref="AB18:AD18" si="37">AB11+AB16</f>
        <v>75.900000000000006</v>
      </c>
      <c r="AC18" s="532">
        <f t="shared" si="37"/>
        <v>67.400000000000006</v>
      </c>
      <c r="AD18" s="532">
        <f t="shared" si="37"/>
        <v>55.01</v>
      </c>
      <c r="AE18" s="532"/>
      <c r="AF18" s="491"/>
      <c r="AG18" s="491"/>
      <c r="AH18" s="302"/>
      <c r="AI18" s="532"/>
      <c r="AJ18" s="491"/>
      <c r="AK18" s="491"/>
      <c r="AL18" s="302"/>
      <c r="AM18" s="532"/>
      <c r="AN18" s="491"/>
      <c r="AO18" s="302"/>
      <c r="AP18" s="791"/>
      <c r="AQ18" s="1261">
        <f t="shared" ref="AQ18:AT18" si="38">AQ11+AQ16+AQ17</f>
        <v>970.5</v>
      </c>
      <c r="AR18" s="1261">
        <f t="shared" si="38"/>
        <v>645.85</v>
      </c>
      <c r="AS18" s="22">
        <f t="shared" si="38"/>
        <v>434.45000000000005</v>
      </c>
      <c r="AT18" s="22">
        <f t="shared" si="38"/>
        <v>197.18</v>
      </c>
      <c r="AU18" s="795">
        <f>AU11+AU16</f>
        <v>571</v>
      </c>
      <c r="AV18" s="543">
        <f>AV11+AV16</f>
        <v>203.9</v>
      </c>
      <c r="AX18" s="961" t="s">
        <v>17</v>
      </c>
      <c r="AY18" s="748">
        <f t="shared" ref="AY18:BE18" si="39">AY11+AY16</f>
        <v>309</v>
      </c>
      <c r="AZ18" s="748">
        <f t="shared" si="39"/>
        <v>333</v>
      </c>
      <c r="BA18" s="748">
        <f t="shared" si="39"/>
        <v>467</v>
      </c>
      <c r="BB18" s="748">
        <f t="shared" si="39"/>
        <v>488</v>
      </c>
      <c r="BC18" s="748">
        <f t="shared" si="39"/>
        <v>504</v>
      </c>
      <c r="BD18" s="748">
        <f t="shared" si="39"/>
        <v>5</v>
      </c>
      <c r="BE18" s="748">
        <f t="shared" si="39"/>
        <v>2106</v>
      </c>
      <c r="BF18" s="39"/>
      <c r="BG18" s="39">
        <f>BG11+BG16</f>
        <v>52</v>
      </c>
      <c r="BH18" s="39">
        <f>BH11+BH16</f>
        <v>65</v>
      </c>
      <c r="BI18" s="1456">
        <f>BI16+BI11</f>
        <v>795</v>
      </c>
      <c r="BJ18" s="1456">
        <f>BJ16+BJ11</f>
        <v>2775</v>
      </c>
      <c r="BK18" s="1456">
        <f>BK16+BK11</f>
        <v>6.15</v>
      </c>
      <c r="BM18" s="21" t="s">
        <v>17</v>
      </c>
      <c r="BN18" s="22">
        <f t="shared" ref="BN18:BS18" si="40">BN11+BN16</f>
        <v>0</v>
      </c>
      <c r="BO18" s="22">
        <f t="shared" si="40"/>
        <v>0</v>
      </c>
      <c r="BP18" s="22">
        <f t="shared" si="40"/>
        <v>0</v>
      </c>
      <c r="BQ18" s="22">
        <f t="shared" si="40"/>
        <v>0</v>
      </c>
      <c r="BR18" s="22">
        <f t="shared" si="40"/>
        <v>0</v>
      </c>
      <c r="BS18" s="22">
        <f t="shared" si="40"/>
        <v>2810</v>
      </c>
      <c r="BT18" s="39">
        <f>SUM(BN16:BS16)</f>
        <v>1210</v>
      </c>
      <c r="BU18" s="39"/>
      <c r="BV18" s="39">
        <f>BV11+BV16</f>
        <v>50</v>
      </c>
      <c r="BW18" s="39">
        <f>BW11+BW16</f>
        <v>100</v>
      </c>
    </row>
    <row r="19" spans="1:75" s="625" customFormat="1" ht="24.75" customHeight="1" thickBot="1">
      <c r="A19" s="2"/>
      <c r="B19" s="677"/>
      <c r="C19" s="678"/>
      <c r="D19" s="678"/>
      <c r="E19" s="678"/>
      <c r="F19" s="678"/>
      <c r="G19" s="749"/>
      <c r="H19" s="749"/>
      <c r="I19" s="749"/>
      <c r="J19" s="749"/>
      <c r="K19" s="678"/>
      <c r="L19" s="678"/>
      <c r="M19" s="678"/>
      <c r="N19" s="678"/>
      <c r="O19" s="678"/>
      <c r="P19" s="678"/>
      <c r="Q19" s="678"/>
      <c r="R19" s="678"/>
      <c r="S19" s="749"/>
      <c r="T19" s="749"/>
      <c r="U19" s="749"/>
      <c r="V19" s="749"/>
      <c r="W19" s="678"/>
      <c r="X19" s="749"/>
      <c r="Y19" s="749"/>
      <c r="Z19" s="749"/>
      <c r="AA19" s="749"/>
      <c r="AB19" s="678"/>
      <c r="AC19" s="678"/>
      <c r="AD19" s="678"/>
      <c r="AE19" s="750"/>
      <c r="AF19" s="751"/>
      <c r="AG19" s="751"/>
      <c r="AH19" s="751"/>
      <c r="AI19" s="750"/>
      <c r="AJ19" s="751"/>
      <c r="AK19" s="751"/>
      <c r="AL19" s="751"/>
      <c r="AM19" s="750"/>
      <c r="AN19" s="624"/>
      <c r="AO19" s="624"/>
      <c r="AP19" s="624"/>
      <c r="AQ19" s="752"/>
      <c r="AR19" s="753"/>
      <c r="AS19" s="753"/>
      <c r="AT19" s="753"/>
      <c r="AU19" s="624"/>
      <c r="AV19" s="624"/>
      <c r="AW19" s="624"/>
      <c r="AX19" s="962"/>
      <c r="AY19" s="754"/>
      <c r="AZ19" s="754"/>
      <c r="BA19" s="1622" t="s">
        <v>248</v>
      </c>
      <c r="BB19" s="1623"/>
      <c r="BC19" s="1623"/>
      <c r="BD19" s="1623"/>
      <c r="BE19" s="1624">
        <f>BE18+BG18+BH18</f>
        <v>2223</v>
      </c>
      <c r="BF19" s="1625"/>
      <c r="BG19" s="1625"/>
      <c r="BH19" s="1625"/>
      <c r="BI19" s="1449"/>
      <c r="BJ19" s="1449"/>
      <c r="BK19" s="1449"/>
      <c r="BN19" s="4"/>
      <c r="BO19" s="4"/>
      <c r="BP19" s="4"/>
      <c r="BQ19" s="4"/>
      <c r="BR19" s="4"/>
      <c r="BT19" s="1626">
        <f>BT16+BV16+BW16</f>
        <v>1310</v>
      </c>
      <c r="BU19" s="1625"/>
      <c r="BV19" s="1625"/>
      <c r="BW19" s="1627"/>
    </row>
    <row r="20" spans="1:75" s="625" customFormat="1" ht="20.100000000000001" customHeight="1" thickBot="1">
      <c r="A20" s="2"/>
      <c r="B20" s="677"/>
      <c r="C20" s="678"/>
      <c r="D20" s="678"/>
      <c r="E20" s="678"/>
      <c r="F20" s="678"/>
      <c r="G20" s="749"/>
      <c r="H20" s="749"/>
      <c r="I20" s="749"/>
      <c r="J20" s="749"/>
      <c r="K20" s="678"/>
      <c r="L20" s="678"/>
      <c r="M20" s="678"/>
      <c r="N20" s="678"/>
      <c r="O20" s="678"/>
      <c r="P20" s="678"/>
      <c r="Q20" s="678"/>
      <c r="R20" s="678"/>
      <c r="S20" s="749"/>
      <c r="T20" s="749"/>
      <c r="U20" s="749"/>
      <c r="V20" s="749"/>
      <c r="W20" s="678"/>
      <c r="X20" s="749"/>
      <c r="Y20" s="749"/>
      <c r="Z20" s="749"/>
      <c r="AA20" s="749"/>
      <c r="AB20" s="678"/>
      <c r="AC20" s="678"/>
      <c r="AD20" s="678"/>
      <c r="AE20" s="624"/>
      <c r="AF20" s="751"/>
      <c r="AG20" s="751"/>
      <c r="AH20" s="751"/>
      <c r="AI20" s="624"/>
      <c r="AJ20" s="751"/>
      <c r="AK20" s="751"/>
      <c r="AL20" s="751"/>
      <c r="AM20" s="624"/>
      <c r="AN20" s="624"/>
      <c r="AO20" s="624"/>
      <c r="AP20" s="753"/>
      <c r="AQ20" s="753"/>
      <c r="AR20" s="753"/>
      <c r="AS20" s="624"/>
      <c r="AT20" s="755"/>
      <c r="AU20" s="624"/>
      <c r="AV20" s="963"/>
      <c r="AW20" s="652"/>
      <c r="AX20" s="652"/>
      <c r="AY20" s="652"/>
      <c r="AZ20" s="652"/>
      <c r="BA20" s="652"/>
      <c r="BB20" s="652"/>
      <c r="BC20" s="612"/>
      <c r="BD20" s="612"/>
      <c r="BL20" s="4"/>
      <c r="BM20" s="4"/>
      <c r="BN20" s="4"/>
      <c r="BO20" s="4"/>
      <c r="BP20" s="4"/>
      <c r="BR20" s="713" t="s">
        <v>196</v>
      </c>
      <c r="BS20" s="714">
        <f>75</f>
        <v>75</v>
      </c>
      <c r="BT20" s="654"/>
      <c r="BU20" s="709"/>
    </row>
    <row r="21" spans="1:75" ht="24" thickBot="1">
      <c r="B21" s="624"/>
      <c r="C21" s="624"/>
      <c r="D21" s="751"/>
      <c r="E21" s="751"/>
      <c r="F21" s="751"/>
      <c r="G21" s="751"/>
      <c r="H21" s="751"/>
      <c r="I21" s="624"/>
      <c r="J21" s="624"/>
      <c r="K21" s="624"/>
      <c r="L21" s="751"/>
      <c r="M21" s="751"/>
      <c r="N21" s="751"/>
      <c r="O21" s="624"/>
      <c r="P21" s="751"/>
      <c r="Q21" s="751"/>
      <c r="R21" s="751"/>
      <c r="S21" s="624"/>
      <c r="T21" s="751"/>
      <c r="U21" s="751"/>
      <c r="V21" s="751"/>
      <c r="W21" s="678"/>
      <c r="X21" s="749"/>
      <c r="Y21" s="749"/>
      <c r="Z21" s="749"/>
      <c r="AA21" s="749"/>
      <c r="AB21" s="678"/>
      <c r="AC21" s="751"/>
      <c r="AD21" s="751"/>
      <c r="AE21" s="624"/>
      <c r="AF21" s="751"/>
      <c r="AG21" s="751"/>
      <c r="AH21" s="751"/>
      <c r="AI21" s="624"/>
      <c r="AU21" s="624"/>
      <c r="AV21" s="624"/>
      <c r="AW21" s="1635" t="s">
        <v>333</v>
      </c>
      <c r="AX21" s="1636"/>
      <c r="AY21" s="1636"/>
      <c r="AZ21" s="1636"/>
      <c r="BA21" s="1636"/>
      <c r="BB21" s="1636"/>
      <c r="BC21" s="1636"/>
      <c r="BD21" s="1636"/>
      <c r="BE21" s="1636"/>
      <c r="BF21" s="1636"/>
      <c r="BG21" s="1636"/>
      <c r="BH21" s="1636"/>
      <c r="BI21" s="1636"/>
      <c r="BJ21" s="1636"/>
      <c r="BK21" s="1637"/>
      <c r="BS21" s="710" t="s">
        <v>191</v>
      </c>
      <c r="BT21" s="715">
        <f>BT19+BS20</f>
        <v>1385</v>
      </c>
      <c r="BU21" s="711"/>
      <c r="BV21" s="712"/>
    </row>
    <row r="22" spans="1:75" ht="16.5" customHeight="1">
      <c r="B22" s="756"/>
      <c r="C22" s="624"/>
      <c r="D22" s="751"/>
      <c r="E22" s="751"/>
      <c r="F22" s="751"/>
      <c r="G22" s="751"/>
      <c r="H22" s="751"/>
      <c r="I22" s="624"/>
      <c r="J22" s="624"/>
      <c r="K22" s="750"/>
      <c r="L22" s="751"/>
      <c r="M22" s="751"/>
      <c r="N22" s="751"/>
      <c r="O22" s="750"/>
      <c r="P22" s="751"/>
      <c r="Q22" s="751"/>
      <c r="R22" s="751"/>
      <c r="S22" s="624"/>
      <c r="T22" s="751"/>
      <c r="U22" s="751"/>
      <c r="V22" s="751"/>
      <c r="W22" s="624"/>
      <c r="X22" s="751"/>
      <c r="Y22" s="751"/>
      <c r="Z22" s="751"/>
      <c r="AA22" s="750"/>
      <c r="AB22" s="751"/>
      <c r="AC22" s="661"/>
      <c r="AD22" s="661"/>
      <c r="AE22" s="624"/>
      <c r="AF22" s="751"/>
      <c r="AG22" s="751"/>
      <c r="AH22" s="751"/>
      <c r="AI22" s="624"/>
      <c r="AU22" s="624"/>
      <c r="AV22" s="624"/>
      <c r="AW22" s="1651" t="s">
        <v>0</v>
      </c>
      <c r="AX22" s="1450" t="s">
        <v>346</v>
      </c>
      <c r="AY22" s="1450" t="s">
        <v>347</v>
      </c>
      <c r="AZ22" s="1450" t="s">
        <v>348</v>
      </c>
      <c r="BA22" s="1450" t="s">
        <v>318</v>
      </c>
      <c r="BB22" s="1450" t="s">
        <v>71</v>
      </c>
      <c r="BC22" s="1354"/>
      <c r="BD22" s="1653" t="s">
        <v>191</v>
      </c>
      <c r="BE22" s="1655" t="s">
        <v>207</v>
      </c>
      <c r="BF22" s="1655" t="s">
        <v>27</v>
      </c>
      <c r="BG22" s="1646" t="s">
        <v>232</v>
      </c>
      <c r="BH22" s="1447"/>
      <c r="BI22" s="1447"/>
      <c r="BJ22" s="1447"/>
      <c r="BK22" s="1646" t="s">
        <v>320</v>
      </c>
    </row>
    <row r="23" spans="1:75">
      <c r="B23" s="756"/>
      <c r="C23" s="624"/>
      <c r="D23" s="751"/>
      <c r="E23" s="751"/>
      <c r="F23" s="751"/>
      <c r="G23" s="751"/>
      <c r="H23" s="751"/>
      <c r="I23" s="624"/>
      <c r="J23" s="624"/>
      <c r="K23" s="750"/>
      <c r="L23" s="751"/>
      <c r="M23" s="751"/>
      <c r="N23" s="751"/>
      <c r="O23" s="750"/>
      <c r="P23" s="751"/>
      <c r="Q23" s="751"/>
      <c r="R23" s="751"/>
      <c r="S23" s="624"/>
      <c r="T23" s="751"/>
      <c r="U23" s="751"/>
      <c r="V23" s="751"/>
      <c r="W23" s="624"/>
      <c r="X23" s="751"/>
      <c r="Y23" s="751"/>
      <c r="Z23" s="751"/>
      <c r="AA23" s="750"/>
      <c r="AB23" s="751"/>
      <c r="AC23" s="661"/>
      <c r="AD23" s="661"/>
      <c r="AE23" s="624"/>
      <c r="AF23" s="751"/>
      <c r="AG23" s="751"/>
      <c r="AH23" s="751"/>
      <c r="AI23" s="624"/>
      <c r="AU23" s="624"/>
      <c r="AV23" s="624"/>
      <c r="AW23" s="1652"/>
      <c r="AX23" s="1346" t="s">
        <v>52</v>
      </c>
      <c r="AY23" s="1346" t="s">
        <v>53</v>
      </c>
      <c r="AZ23" s="1346" t="s">
        <v>54</v>
      </c>
      <c r="BA23" s="1346" t="s">
        <v>3</v>
      </c>
      <c r="BB23" s="1346" t="s">
        <v>50</v>
      </c>
      <c r="BC23" s="1346"/>
      <c r="BD23" s="1654"/>
      <c r="BE23" s="1656"/>
      <c r="BF23" s="1656"/>
      <c r="BG23" s="1602"/>
      <c r="BH23" s="1448"/>
      <c r="BI23" s="1448"/>
      <c r="BJ23" s="1448"/>
      <c r="BK23" s="1602"/>
    </row>
    <row r="24" spans="1:75">
      <c r="B24" s="756"/>
      <c r="C24" s="624"/>
      <c r="D24" s="751"/>
      <c r="E24" s="751"/>
      <c r="F24" s="751"/>
      <c r="G24" s="751"/>
      <c r="H24" s="751"/>
      <c r="I24" s="624"/>
      <c r="J24" s="624"/>
      <c r="K24" s="750"/>
      <c r="L24" s="751"/>
      <c r="M24" s="751"/>
      <c r="N24" s="751"/>
      <c r="O24" s="750"/>
      <c r="P24" s="751"/>
      <c r="Q24" s="751"/>
      <c r="R24" s="751"/>
      <c r="S24" s="624"/>
      <c r="T24" s="751"/>
      <c r="U24" s="751"/>
      <c r="V24" s="751"/>
      <c r="W24" s="624"/>
      <c r="X24" s="751"/>
      <c r="Y24" s="751"/>
      <c r="Z24" s="751"/>
      <c r="AA24" s="750"/>
      <c r="AB24" s="751"/>
      <c r="AC24" s="661"/>
      <c r="AD24" s="661"/>
      <c r="AE24" s="624"/>
      <c r="AF24" s="751"/>
      <c r="AG24" s="751"/>
      <c r="AH24" s="751"/>
      <c r="AI24" s="624"/>
      <c r="AU24" s="624"/>
      <c r="AV24" s="624"/>
      <c r="AW24" s="1351" t="s">
        <v>4</v>
      </c>
      <c r="AX24" s="1347">
        <v>60</v>
      </c>
      <c r="AY24" s="1347">
        <v>60</v>
      </c>
      <c r="AZ24" s="1347">
        <v>90</v>
      </c>
      <c r="BA24" s="1347">
        <v>90</v>
      </c>
      <c r="BB24" s="1347">
        <v>90</v>
      </c>
      <c r="BC24" s="1347"/>
      <c r="BD24" s="1348">
        <f>SUM(AX24:BB24)</f>
        <v>390</v>
      </c>
      <c r="BE24" s="1349">
        <f>BD24/$BE$36</f>
        <v>0.16142384105960264</v>
      </c>
      <c r="BF24" s="303"/>
      <c r="BG24" s="1187"/>
      <c r="BH24" s="1187"/>
      <c r="BI24" s="1187"/>
      <c r="BJ24" s="1187"/>
      <c r="BK24" s="1187"/>
      <c r="BL24" s="1315"/>
      <c r="BN24" s="1315"/>
    </row>
    <row r="25" spans="1:75">
      <c r="B25" s="756"/>
      <c r="C25" s="624"/>
      <c r="D25" s="751"/>
      <c r="E25" s="751"/>
      <c r="F25" s="751"/>
      <c r="G25" s="751"/>
      <c r="H25" s="751"/>
      <c r="I25" s="624"/>
      <c r="J25" s="624"/>
      <c r="K25" s="750"/>
      <c r="L25" s="751"/>
      <c r="M25" s="751"/>
      <c r="N25" s="751"/>
      <c r="O25" s="750"/>
      <c r="P25" s="751"/>
      <c r="Q25" s="751"/>
      <c r="R25" s="751"/>
      <c r="S25" s="624"/>
      <c r="T25" s="751"/>
      <c r="U25" s="751"/>
      <c r="V25" s="751"/>
      <c r="W25" s="624"/>
      <c r="X25" s="751"/>
      <c r="Y25" s="751"/>
      <c r="Z25" s="751"/>
      <c r="AA25" s="750"/>
      <c r="AB25" s="751"/>
      <c r="AC25" s="661"/>
      <c r="AD25" s="661"/>
      <c r="AE25" s="624"/>
      <c r="AF25" s="751"/>
      <c r="AG25" s="751"/>
      <c r="AH25" s="751"/>
      <c r="AI25" s="624"/>
      <c r="AU25" s="624"/>
      <c r="AV25" s="624"/>
      <c r="AW25" s="1351" t="s">
        <v>5</v>
      </c>
      <c r="AX25" s="1347">
        <v>40</v>
      </c>
      <c r="AY25" s="1347">
        <v>60</v>
      </c>
      <c r="AZ25" s="1347">
        <v>60</v>
      </c>
      <c r="BA25" s="1347">
        <v>70</v>
      </c>
      <c r="BB25" s="1347">
        <v>60</v>
      </c>
      <c r="BC25" s="1347"/>
      <c r="BD25" s="1348">
        <f t="shared" ref="BD25:BD29" si="41">SUM(AX25:BB25)</f>
        <v>290</v>
      </c>
      <c r="BE25" s="1349">
        <f t="shared" ref="BE25:BE34" si="42">BD25/$BE$36</f>
        <v>0.12003311258278146</v>
      </c>
      <c r="BF25" s="303"/>
      <c r="BG25" s="1187"/>
      <c r="BH25" s="1187"/>
      <c r="BI25" s="1187"/>
      <c r="BJ25" s="1187"/>
      <c r="BK25" s="1187"/>
      <c r="BL25" s="1315"/>
      <c r="BN25" s="1315"/>
    </row>
    <row r="26" spans="1:75">
      <c r="B26" s="756"/>
      <c r="C26" s="624"/>
      <c r="D26" s="751"/>
      <c r="E26" s="751"/>
      <c r="F26" s="751"/>
      <c r="G26" s="751"/>
      <c r="H26" s="751"/>
      <c r="I26" s="624"/>
      <c r="J26" s="624"/>
      <c r="K26" s="750"/>
      <c r="L26" s="751"/>
      <c r="M26" s="751"/>
      <c r="N26" s="751"/>
      <c r="O26" s="750"/>
      <c r="P26" s="751"/>
      <c r="Q26" s="751"/>
      <c r="R26" s="751"/>
      <c r="S26" s="624"/>
      <c r="T26" s="751"/>
      <c r="U26" s="751"/>
      <c r="V26" s="751"/>
      <c r="W26" s="624"/>
      <c r="X26" s="751"/>
      <c r="Y26" s="751"/>
      <c r="Z26" s="751"/>
      <c r="AA26" s="750"/>
      <c r="AB26" s="751"/>
      <c r="AC26" s="661"/>
      <c r="AD26" s="661"/>
      <c r="AE26" s="624"/>
      <c r="AF26" s="751"/>
      <c r="AG26" s="751"/>
      <c r="AH26" s="751"/>
      <c r="AI26" s="624"/>
      <c r="AU26" s="624"/>
      <c r="AV26" s="624"/>
      <c r="AW26" s="1351" t="s">
        <v>6</v>
      </c>
      <c r="AX26" s="1347"/>
      <c r="AY26" s="1347">
        <v>30</v>
      </c>
      <c r="AZ26" s="1347">
        <v>40</v>
      </c>
      <c r="BA26" s="1347">
        <v>40</v>
      </c>
      <c r="BB26" s="1347">
        <v>40</v>
      </c>
      <c r="BC26" s="1347"/>
      <c r="BD26" s="1348">
        <f t="shared" si="41"/>
        <v>150</v>
      </c>
      <c r="BE26" s="1349">
        <f t="shared" si="42"/>
        <v>6.2086092715231786E-2</v>
      </c>
      <c r="BF26" s="303"/>
      <c r="BG26" s="1187"/>
      <c r="BH26" s="1187"/>
      <c r="BI26" s="1187"/>
      <c r="BJ26" s="1187"/>
      <c r="BK26" s="1187"/>
      <c r="BL26" s="1315"/>
      <c r="BN26" s="1315"/>
    </row>
    <row r="27" spans="1:75">
      <c r="B27" s="756"/>
      <c r="C27" s="624"/>
      <c r="D27" s="751"/>
      <c r="E27" s="751"/>
      <c r="F27" s="751"/>
      <c r="G27" s="751"/>
      <c r="H27" s="751"/>
      <c r="I27" s="624"/>
      <c r="J27" s="624"/>
      <c r="K27" s="750"/>
      <c r="L27" s="751"/>
      <c r="M27" s="751"/>
      <c r="N27" s="751"/>
      <c r="O27" s="750"/>
      <c r="P27" s="751"/>
      <c r="Q27" s="751"/>
      <c r="R27" s="751"/>
      <c r="S27" s="624"/>
      <c r="T27" s="751"/>
      <c r="U27" s="751"/>
      <c r="V27" s="751"/>
      <c r="W27" s="624"/>
      <c r="X27" s="751"/>
      <c r="Y27" s="751"/>
      <c r="Z27" s="751"/>
      <c r="AA27" s="750"/>
      <c r="AB27" s="751"/>
      <c r="AC27" s="661"/>
      <c r="AD27" s="661"/>
      <c r="AE27" s="624"/>
      <c r="AF27" s="751"/>
      <c r="AG27" s="751"/>
      <c r="AH27" s="751"/>
      <c r="AI27" s="624"/>
      <c r="AU27" s="624"/>
      <c r="AV27" s="624"/>
      <c r="AW27" s="1351" t="s">
        <v>7</v>
      </c>
      <c r="AX27" s="1347">
        <v>20</v>
      </c>
      <c r="AY27" s="1347">
        <v>35</v>
      </c>
      <c r="AZ27" s="1347">
        <v>45</v>
      </c>
      <c r="BA27" s="1347">
        <v>45</v>
      </c>
      <c r="BB27" s="1347">
        <v>55</v>
      </c>
      <c r="BC27" s="1347"/>
      <c r="BD27" s="1348">
        <f t="shared" si="41"/>
        <v>200</v>
      </c>
      <c r="BE27" s="1349">
        <f t="shared" si="42"/>
        <v>8.2781456953642391E-2</v>
      </c>
      <c r="BF27" s="303"/>
      <c r="BG27" s="1187"/>
      <c r="BH27" s="1187"/>
      <c r="BI27" s="1187"/>
      <c r="BJ27" s="1187"/>
      <c r="BK27" s="1187"/>
      <c r="BL27" s="1315"/>
      <c r="BN27" s="1315"/>
    </row>
    <row r="28" spans="1:75">
      <c r="B28" s="756"/>
      <c r="C28" s="624"/>
      <c r="D28" s="751"/>
      <c r="E28" s="751"/>
      <c r="F28" s="751"/>
      <c r="G28" s="751"/>
      <c r="H28" s="751"/>
      <c r="I28" s="624"/>
      <c r="J28" s="624"/>
      <c r="K28" s="750"/>
      <c r="L28" s="751"/>
      <c r="M28" s="751"/>
      <c r="N28" s="751"/>
      <c r="O28" s="750"/>
      <c r="P28" s="751"/>
      <c r="Q28" s="751"/>
      <c r="R28" s="751"/>
      <c r="S28" s="624"/>
      <c r="T28" s="751"/>
      <c r="U28" s="751"/>
      <c r="V28" s="751"/>
      <c r="W28" s="624"/>
      <c r="X28" s="751"/>
      <c r="Y28" s="751"/>
      <c r="Z28" s="751"/>
      <c r="AA28" s="750"/>
      <c r="AB28" s="751"/>
      <c r="AC28" s="661"/>
      <c r="AD28" s="661"/>
      <c r="AE28" s="624"/>
      <c r="AF28" s="751"/>
      <c r="AG28" s="751"/>
      <c r="AH28" s="751"/>
      <c r="AI28" s="624"/>
      <c r="AU28" s="624"/>
      <c r="AV28" s="624"/>
      <c r="AW28" s="1351" t="s">
        <v>8</v>
      </c>
      <c r="AX28" s="1347">
        <v>10</v>
      </c>
      <c r="AY28" s="1347">
        <v>10</v>
      </c>
      <c r="AZ28" s="1347">
        <v>10</v>
      </c>
      <c r="BA28" s="1347">
        <v>10</v>
      </c>
      <c r="BB28" s="1347">
        <v>15</v>
      </c>
      <c r="BC28" s="1347"/>
      <c r="BD28" s="1348">
        <f t="shared" si="41"/>
        <v>55</v>
      </c>
      <c r="BE28" s="1349">
        <f t="shared" si="42"/>
        <v>2.2764900662251654E-2</v>
      </c>
      <c r="BF28" s="303"/>
      <c r="BG28" s="1187"/>
      <c r="BH28" s="1187"/>
      <c r="BI28" s="1187"/>
      <c r="BJ28" s="1187"/>
      <c r="BK28" s="1187"/>
      <c r="BL28" s="1315"/>
      <c r="BN28" s="1315"/>
    </row>
    <row r="29" spans="1:75">
      <c r="B29" s="756"/>
      <c r="C29" s="624"/>
      <c r="D29" s="751"/>
      <c r="E29" s="751"/>
      <c r="F29" s="751"/>
      <c r="G29" s="751"/>
      <c r="H29" s="751"/>
      <c r="I29" s="624"/>
      <c r="J29" s="624"/>
      <c r="K29" s="750"/>
      <c r="L29" s="751"/>
      <c r="M29" s="751"/>
      <c r="N29" s="751"/>
      <c r="O29" s="750"/>
      <c r="P29" s="751"/>
      <c r="Q29" s="751"/>
      <c r="R29" s="751"/>
      <c r="S29" s="624"/>
      <c r="T29" s="751"/>
      <c r="U29" s="751"/>
      <c r="V29" s="751"/>
      <c r="W29" s="624"/>
      <c r="X29" s="751"/>
      <c r="Y29" s="751"/>
      <c r="Z29" s="751"/>
      <c r="AA29" s="750"/>
      <c r="AB29" s="751"/>
      <c r="AC29" s="661"/>
      <c r="AD29" s="661"/>
      <c r="AE29" s="624"/>
      <c r="AF29" s="751"/>
      <c r="AG29" s="751"/>
      <c r="AH29" s="751"/>
      <c r="AI29" s="624"/>
      <c r="AU29" s="624"/>
      <c r="AV29" s="624"/>
      <c r="AW29" s="1351" t="s">
        <v>9</v>
      </c>
      <c r="AX29" s="1347">
        <v>50</v>
      </c>
      <c r="AY29" s="1347">
        <v>55</v>
      </c>
      <c r="AZ29" s="1347">
        <v>75</v>
      </c>
      <c r="BA29" s="1347">
        <v>85</v>
      </c>
      <c r="BB29" s="1347">
        <v>85</v>
      </c>
      <c r="BC29" s="1347"/>
      <c r="BD29" s="1348">
        <f t="shared" si="41"/>
        <v>350</v>
      </c>
      <c r="BE29" s="1349">
        <f t="shared" si="42"/>
        <v>0.14486754966887416</v>
      </c>
      <c r="BF29" s="303"/>
      <c r="BG29" s="1187"/>
      <c r="BH29" s="1187"/>
      <c r="BI29" s="1187"/>
      <c r="BJ29" s="1187"/>
      <c r="BK29" s="1187"/>
      <c r="BL29" s="1315"/>
      <c r="BN29" s="1315"/>
    </row>
    <row r="30" spans="1:75">
      <c r="B30" s="756"/>
      <c r="C30" s="624"/>
      <c r="D30" s="751"/>
      <c r="E30" s="751"/>
      <c r="F30" s="751"/>
      <c r="G30" s="751"/>
      <c r="H30" s="751"/>
      <c r="I30" s="624"/>
      <c r="J30" s="624"/>
      <c r="K30" s="750"/>
      <c r="L30" s="751"/>
      <c r="M30" s="751"/>
      <c r="N30" s="751"/>
      <c r="O30" s="750"/>
      <c r="P30" s="751"/>
      <c r="Q30" s="751"/>
      <c r="R30" s="751"/>
      <c r="S30" s="624"/>
      <c r="T30" s="751"/>
      <c r="U30" s="751"/>
      <c r="V30" s="751"/>
      <c r="W30" s="624"/>
      <c r="X30" s="751"/>
      <c r="Y30" s="751"/>
      <c r="Z30" s="751"/>
      <c r="AA30" s="750"/>
      <c r="AB30" s="751"/>
      <c r="AC30" s="661"/>
      <c r="AD30" s="661"/>
      <c r="AE30" s="624"/>
      <c r="AF30" s="751"/>
      <c r="AG30" s="751"/>
      <c r="AH30" s="751"/>
      <c r="AI30" s="624"/>
      <c r="AU30" s="624"/>
      <c r="AV30" s="624"/>
      <c r="AW30" s="1352" t="s">
        <v>10</v>
      </c>
      <c r="AX30" s="1262">
        <v>200</v>
      </c>
      <c r="AY30" s="1262">
        <f t="shared" ref="AY30:BB30" si="43">SUM(AY24:AY29)</f>
        <v>250</v>
      </c>
      <c r="AZ30" s="1262">
        <f t="shared" si="43"/>
        <v>320</v>
      </c>
      <c r="BA30" s="1262">
        <f t="shared" si="43"/>
        <v>340</v>
      </c>
      <c r="BB30" s="1262">
        <f t="shared" si="43"/>
        <v>345</v>
      </c>
      <c r="BC30" s="1262">
        <f t="shared" ref="BC30" si="44">SUM(BC24:BC29)</f>
        <v>0</v>
      </c>
      <c r="BD30" s="1262">
        <f>SUM(BD24:BD29)</f>
        <v>1435</v>
      </c>
      <c r="BE30" s="1349">
        <f t="shared" si="42"/>
        <v>0.5939569536423841</v>
      </c>
      <c r="BF30" s="1350">
        <f>SUM(BF24:BF29)</f>
        <v>0</v>
      </c>
      <c r="BG30" s="1189">
        <f>SUM(BG24:BG29)</f>
        <v>0</v>
      </c>
      <c r="BH30" s="1189"/>
      <c r="BI30" s="1189"/>
      <c r="BJ30" s="1189"/>
      <c r="BK30" s="1189">
        <f>SUM(BK24:BK29)</f>
        <v>0</v>
      </c>
      <c r="BL30" s="1315"/>
      <c r="BN30" s="1315"/>
    </row>
    <row r="31" spans="1:75">
      <c r="B31" s="756"/>
      <c r="C31" s="624"/>
      <c r="D31" s="751"/>
      <c r="E31" s="751"/>
      <c r="F31" s="751"/>
      <c r="G31" s="751"/>
      <c r="H31" s="751"/>
      <c r="I31" s="624"/>
      <c r="J31" s="624"/>
      <c r="K31" s="750"/>
      <c r="L31" s="751"/>
      <c r="M31" s="751"/>
      <c r="N31" s="751"/>
      <c r="O31" s="750"/>
      <c r="P31" s="751"/>
      <c r="Q31" s="751"/>
      <c r="R31" s="751"/>
      <c r="S31" s="624"/>
      <c r="T31" s="751"/>
      <c r="U31" s="751"/>
      <c r="V31" s="751"/>
      <c r="W31" s="624"/>
      <c r="X31" s="751"/>
      <c r="Y31" s="751"/>
      <c r="Z31" s="751"/>
      <c r="AA31" s="750"/>
      <c r="AB31" s="751"/>
      <c r="AC31" s="661"/>
      <c r="AD31" s="661"/>
      <c r="AE31" s="624"/>
      <c r="AF31" s="751"/>
      <c r="AG31" s="751"/>
      <c r="AH31" s="751"/>
      <c r="AI31" s="624"/>
      <c r="AU31" s="624"/>
      <c r="AV31" s="624"/>
      <c r="AW31" s="1351" t="s">
        <v>11</v>
      </c>
      <c r="AX31" s="1347">
        <v>45</v>
      </c>
      <c r="AY31" s="1347">
        <v>60</v>
      </c>
      <c r="AZ31" s="1347">
        <v>90</v>
      </c>
      <c r="BA31" s="1347">
        <v>90</v>
      </c>
      <c r="BB31" s="1347">
        <v>120</v>
      </c>
      <c r="BC31" s="1347"/>
      <c r="BD31" s="1348">
        <f t="shared" ref="BD31:BD34" si="45">SUM(AX31:BC31)</f>
        <v>405</v>
      </c>
      <c r="BE31" s="1349">
        <f t="shared" si="42"/>
        <v>0.16763245033112584</v>
      </c>
      <c r="BF31" s="303"/>
      <c r="BG31" s="1187"/>
      <c r="BH31" s="1187"/>
      <c r="BI31" s="1187"/>
      <c r="BJ31" s="1187"/>
      <c r="BK31" s="1187"/>
      <c r="BL31" s="1315"/>
      <c r="BN31" s="1315"/>
    </row>
    <row r="32" spans="1:75">
      <c r="B32" s="756"/>
      <c r="C32" s="624"/>
      <c r="D32" s="751"/>
      <c r="E32" s="751"/>
      <c r="F32" s="751"/>
      <c r="G32" s="751"/>
      <c r="H32" s="751"/>
      <c r="I32" s="624"/>
      <c r="J32" s="624"/>
      <c r="K32" s="750"/>
      <c r="L32" s="751"/>
      <c r="M32" s="751"/>
      <c r="N32" s="751"/>
      <c r="O32" s="750"/>
      <c r="P32" s="751"/>
      <c r="Q32" s="751"/>
      <c r="R32" s="751"/>
      <c r="S32" s="624"/>
      <c r="T32" s="751"/>
      <c r="U32" s="751"/>
      <c r="V32" s="751"/>
      <c r="W32" s="624"/>
      <c r="X32" s="751"/>
      <c r="Y32" s="751"/>
      <c r="Z32" s="751"/>
      <c r="AA32" s="750"/>
      <c r="AB32" s="751"/>
      <c r="AC32" s="661"/>
      <c r="AD32" s="661"/>
      <c r="AE32" s="624"/>
      <c r="AF32" s="751"/>
      <c r="AG32" s="751"/>
      <c r="AH32" s="751"/>
      <c r="AI32" s="624"/>
      <c r="AU32" s="624"/>
      <c r="AV32" s="624"/>
      <c r="AW32" s="1351" t="s">
        <v>12</v>
      </c>
      <c r="AX32" s="1347">
        <v>15</v>
      </c>
      <c r="AY32" s="1347">
        <v>20</v>
      </c>
      <c r="AZ32" s="1347">
        <v>35</v>
      </c>
      <c r="BA32" s="1347">
        <v>35</v>
      </c>
      <c r="BB32" s="1347">
        <v>20</v>
      </c>
      <c r="BC32" s="1347"/>
      <c r="BD32" s="1348">
        <f t="shared" si="45"/>
        <v>125</v>
      </c>
      <c r="BE32" s="1349">
        <f t="shared" si="42"/>
        <v>5.1738410596026491E-2</v>
      </c>
      <c r="BF32" s="303"/>
      <c r="BG32" s="1187"/>
      <c r="BH32" s="1187"/>
      <c r="BI32" s="1187"/>
      <c r="BJ32" s="1187"/>
      <c r="BK32" s="1187"/>
      <c r="BL32" s="1315"/>
      <c r="BN32" s="1315"/>
    </row>
    <row r="33" spans="2:67" ht="26.25" customHeight="1">
      <c r="B33" s="756"/>
      <c r="C33" s="624"/>
      <c r="D33" s="751"/>
      <c r="E33" s="751"/>
      <c r="F33" s="751"/>
      <c r="G33" s="751"/>
      <c r="H33" s="751"/>
      <c r="I33" s="624"/>
      <c r="J33" s="624"/>
      <c r="K33" s="750"/>
      <c r="L33" s="751"/>
      <c r="M33" s="751"/>
      <c r="N33" s="751"/>
      <c r="O33" s="750"/>
      <c r="P33" s="751"/>
      <c r="Q33" s="751"/>
      <c r="R33" s="751"/>
      <c r="S33" s="624"/>
      <c r="T33" s="751"/>
      <c r="U33" s="751"/>
      <c r="V33" s="751"/>
      <c r="W33" s="624"/>
      <c r="X33" s="751"/>
      <c r="Y33" s="751"/>
      <c r="Z33" s="751"/>
      <c r="AA33" s="750"/>
      <c r="AB33" s="751"/>
      <c r="AC33" s="661"/>
      <c r="AD33" s="661"/>
      <c r="AE33" s="624"/>
      <c r="AF33" s="751"/>
      <c r="AG33" s="751"/>
      <c r="AH33" s="751"/>
      <c r="AI33" s="624"/>
      <c r="AU33" s="624"/>
      <c r="AV33" s="624">
        <v>150</v>
      </c>
      <c r="AW33" s="1351" t="s">
        <v>13</v>
      </c>
      <c r="AX33" s="1347">
        <v>45</v>
      </c>
      <c r="AY33" s="1347">
        <v>35</v>
      </c>
      <c r="AZ33" s="1347">
        <v>80</v>
      </c>
      <c r="BA33" s="1347">
        <v>80</v>
      </c>
      <c r="BB33" s="1347">
        <v>85</v>
      </c>
      <c r="BC33" s="1347"/>
      <c r="BD33" s="1348">
        <f t="shared" si="45"/>
        <v>325</v>
      </c>
      <c r="BE33" s="1349">
        <f t="shared" si="42"/>
        <v>0.13451986754966888</v>
      </c>
      <c r="BF33" s="303"/>
      <c r="BG33" s="1187"/>
      <c r="BH33" s="1187"/>
      <c r="BI33" s="1187"/>
      <c r="BJ33" s="1187"/>
      <c r="BK33" s="1187"/>
      <c r="BL33" s="1315"/>
      <c r="BN33" s="1315"/>
    </row>
    <row r="34" spans="2:67" ht="26.25" customHeight="1">
      <c r="B34" s="756"/>
      <c r="C34" s="624"/>
      <c r="D34" s="751"/>
      <c r="E34" s="751"/>
      <c r="F34" s="751"/>
      <c r="G34" s="751"/>
      <c r="H34" s="751"/>
      <c r="I34" s="624"/>
      <c r="J34" s="624"/>
      <c r="K34" s="750"/>
      <c r="L34" s="751"/>
      <c r="M34" s="751"/>
      <c r="N34" s="751"/>
      <c r="O34" s="750"/>
      <c r="P34" s="751"/>
      <c r="Q34" s="751"/>
      <c r="R34" s="751"/>
      <c r="S34" s="624"/>
      <c r="T34" s="751"/>
      <c r="U34" s="751"/>
      <c r="V34" s="751"/>
      <c r="W34" s="624"/>
      <c r="X34" s="751"/>
      <c r="Y34" s="751"/>
      <c r="Z34" s="751"/>
      <c r="AA34" s="750"/>
      <c r="AB34" s="751"/>
      <c r="AC34" s="661"/>
      <c r="AD34" s="661"/>
      <c r="AE34" s="624"/>
      <c r="AF34" s="751"/>
      <c r="AG34" s="751"/>
      <c r="AH34" s="751"/>
      <c r="AI34" s="624"/>
      <c r="AU34" s="624"/>
      <c r="AV34" s="624"/>
      <c r="AW34" s="1351" t="s">
        <v>14</v>
      </c>
      <c r="AX34" s="1347">
        <v>4</v>
      </c>
      <c r="AY34" s="1347">
        <v>23</v>
      </c>
      <c r="AZ34" s="1347">
        <v>47</v>
      </c>
      <c r="BA34" s="1347">
        <v>33</v>
      </c>
      <c r="BB34" s="1347">
        <v>19</v>
      </c>
      <c r="BC34" s="1347"/>
      <c r="BD34" s="1348">
        <f t="shared" si="45"/>
        <v>126</v>
      </c>
      <c r="BE34" s="1349">
        <f t="shared" si="42"/>
        <v>5.2152317880794705E-2</v>
      </c>
      <c r="BF34" s="303"/>
      <c r="BG34" s="1187"/>
      <c r="BH34" s="1187"/>
      <c r="BI34" s="1187"/>
      <c r="BJ34" s="1187"/>
      <c r="BK34" s="1187"/>
      <c r="BL34" s="1315"/>
      <c r="BN34" s="1315"/>
    </row>
    <row r="35" spans="2:67" ht="26.25" customHeight="1">
      <c r="B35" s="756"/>
      <c r="C35" s="624"/>
      <c r="D35" s="751"/>
      <c r="E35" s="751"/>
      <c r="F35" s="751"/>
      <c r="G35" s="751"/>
      <c r="H35" s="751"/>
      <c r="I35" s="624"/>
      <c r="J35" s="624"/>
      <c r="K35" s="750"/>
      <c r="L35" s="751"/>
      <c r="M35" s="751"/>
      <c r="N35" s="751"/>
      <c r="O35" s="750"/>
      <c r="P35" s="751"/>
      <c r="Q35" s="751"/>
      <c r="R35" s="751"/>
      <c r="S35" s="624"/>
      <c r="T35" s="751"/>
      <c r="U35" s="751"/>
      <c r="V35" s="751"/>
      <c r="W35" s="624"/>
      <c r="X35" s="751"/>
      <c r="Y35" s="751"/>
      <c r="Z35" s="751"/>
      <c r="AA35" s="750"/>
      <c r="AB35" s="751"/>
      <c r="AC35" s="661"/>
      <c r="AD35" s="661"/>
      <c r="AE35" s="624"/>
      <c r="AF35" s="751"/>
      <c r="AG35" s="751"/>
      <c r="AH35" s="751"/>
      <c r="AI35" s="624"/>
      <c r="AT35" s="624"/>
      <c r="AU35" s="624"/>
      <c r="AV35" s="1353" t="s">
        <v>15</v>
      </c>
      <c r="AW35" s="1259">
        <v>109</v>
      </c>
      <c r="AX35" s="1259">
        <f t="shared" ref="AX35:BC35" si="46">SUM(AY31:AY34)</f>
        <v>138</v>
      </c>
      <c r="AY35" s="1259">
        <f t="shared" si="46"/>
        <v>252</v>
      </c>
      <c r="AZ35" s="1259">
        <f t="shared" si="46"/>
        <v>238</v>
      </c>
      <c r="BA35" s="1259">
        <f t="shared" si="46"/>
        <v>244</v>
      </c>
      <c r="BB35" s="1259">
        <f t="shared" si="46"/>
        <v>0</v>
      </c>
      <c r="BC35" s="1259">
        <f t="shared" si="46"/>
        <v>981</v>
      </c>
      <c r="BD35" s="1349">
        <f>BC35/$BE$36</f>
        <v>0.4060430463576159</v>
      </c>
      <c r="BE35" s="1263">
        <f>SUM(BF31:BF34)</f>
        <v>0</v>
      </c>
      <c r="BF35" s="1265">
        <f>SUM(BG31:BG34)</f>
        <v>0</v>
      </c>
      <c r="BG35" s="1265"/>
      <c r="BH35" s="1265"/>
      <c r="BI35" s="1265"/>
      <c r="BJ35" s="1265">
        <f>SUM(BK31:BK34)</f>
        <v>0</v>
      </c>
      <c r="BK35" s="1315"/>
      <c r="BM35" s="1315"/>
    </row>
    <row r="36" spans="2:67" ht="26.25" customHeight="1" thickBot="1">
      <c r="B36" s="756"/>
      <c r="C36" s="624"/>
      <c r="D36" s="751"/>
      <c r="E36" s="751"/>
      <c r="F36" s="751"/>
      <c r="G36" s="751"/>
      <c r="H36" s="751"/>
      <c r="I36" s="624"/>
      <c r="J36" s="624"/>
      <c r="K36" s="750"/>
      <c r="L36" s="751"/>
      <c r="M36" s="751"/>
      <c r="N36" s="751"/>
      <c r="O36" s="750"/>
      <c r="P36" s="751"/>
      <c r="Q36" s="751"/>
      <c r="R36" s="751"/>
      <c r="S36" s="624"/>
      <c r="T36" s="751"/>
      <c r="U36" s="751"/>
      <c r="V36" s="751"/>
      <c r="W36" s="624"/>
      <c r="X36" s="751"/>
      <c r="Y36" s="751"/>
      <c r="Z36" s="751"/>
      <c r="AA36" s="750"/>
      <c r="AB36" s="751"/>
      <c r="AC36" s="661"/>
      <c r="AD36" s="661"/>
      <c r="AE36" s="624"/>
      <c r="AF36" s="751"/>
      <c r="AG36" s="751"/>
      <c r="AH36" s="751"/>
      <c r="AI36" s="624"/>
      <c r="AJ36" s="751"/>
      <c r="AK36" s="751"/>
      <c r="AL36" s="751"/>
      <c r="AM36" s="624"/>
      <c r="AN36" s="624"/>
      <c r="AO36" s="624"/>
      <c r="AP36" s="624"/>
      <c r="AQ36" s="737"/>
      <c r="AR36" s="753"/>
      <c r="AS36" s="753"/>
      <c r="AT36" s="753"/>
      <c r="AU36" s="624"/>
      <c r="AV36" s="624"/>
      <c r="AW36" s="624"/>
      <c r="AX36" s="961" t="s">
        <v>17</v>
      </c>
      <c r="AY36" s="748">
        <f t="shared" ref="AY36:BD36" si="47">AX30+AW35</f>
        <v>309</v>
      </c>
      <c r="AZ36" s="748">
        <f t="shared" si="47"/>
        <v>388</v>
      </c>
      <c r="BA36" s="748">
        <f t="shared" si="47"/>
        <v>572</v>
      </c>
      <c r="BB36" s="748">
        <f t="shared" si="47"/>
        <v>578</v>
      </c>
      <c r="BC36" s="748">
        <f t="shared" si="47"/>
        <v>589</v>
      </c>
      <c r="BD36" s="748">
        <f t="shared" si="47"/>
        <v>0</v>
      </c>
      <c r="BE36" s="748">
        <f>BC35+BD30</f>
        <v>2416</v>
      </c>
      <c r="BF36" s="748"/>
      <c r="BG36" s="748">
        <f>BF30+BE35</f>
        <v>0</v>
      </c>
      <c r="BH36" s="39">
        <f>BG30+BF35</f>
        <v>0</v>
      </c>
      <c r="BI36" s="39"/>
      <c r="BJ36" s="39"/>
      <c r="BK36" s="39"/>
      <c r="BL36" s="39">
        <f>BK30+BJ35</f>
        <v>0</v>
      </c>
      <c r="BM36" s="1315"/>
      <c r="BO36" s="1315"/>
    </row>
    <row r="37" spans="2:67" ht="26.25" customHeight="1">
      <c r="B37" s="756"/>
      <c r="C37" s="624"/>
      <c r="D37" s="751"/>
      <c r="E37" s="751"/>
      <c r="F37" s="751"/>
      <c r="G37" s="751"/>
      <c r="H37" s="751"/>
      <c r="I37" s="624"/>
      <c r="J37" s="624"/>
      <c r="K37" s="750"/>
      <c r="L37" s="751"/>
      <c r="M37" s="751"/>
      <c r="N37" s="751"/>
      <c r="O37" s="750"/>
      <c r="P37" s="751"/>
      <c r="Q37" s="751"/>
      <c r="R37" s="751"/>
      <c r="S37" s="624"/>
      <c r="T37" s="751"/>
      <c r="U37" s="751"/>
      <c r="V37" s="751"/>
      <c r="W37" s="624"/>
      <c r="X37" s="751"/>
      <c r="Y37" s="751"/>
      <c r="Z37" s="751"/>
      <c r="AA37" s="750"/>
      <c r="AB37" s="751"/>
      <c r="AC37" s="661"/>
      <c r="AD37" s="661"/>
      <c r="AE37" s="624"/>
      <c r="AF37" s="751"/>
      <c r="AG37" s="751"/>
      <c r="AH37" s="751"/>
      <c r="AI37" s="624"/>
      <c r="AJ37" s="751"/>
      <c r="AK37" s="751"/>
      <c r="AL37" s="751"/>
      <c r="AM37" s="624"/>
      <c r="AN37" s="624"/>
      <c r="AO37" s="624"/>
      <c r="AP37" s="624"/>
      <c r="AQ37" s="737"/>
      <c r="AR37" s="753"/>
      <c r="AS37" s="753"/>
      <c r="AT37" s="753"/>
      <c r="AU37" s="624"/>
      <c r="AV37" s="624"/>
      <c r="AW37" s="624"/>
      <c r="AX37" s="963"/>
      <c r="AY37" s="612"/>
      <c r="AZ37" s="612"/>
      <c r="BA37" s="1647" t="s">
        <v>248</v>
      </c>
      <c r="BB37" s="1648"/>
      <c r="BC37" s="1648"/>
      <c r="BD37" s="1648"/>
      <c r="BE37" s="1649">
        <f>BE36+BG36+BH36+BL36</f>
        <v>2416</v>
      </c>
      <c r="BF37" s="1650"/>
      <c r="BG37" s="1650"/>
      <c r="BH37" s="1650"/>
      <c r="BI37" s="1449"/>
      <c r="BJ37" s="1449"/>
      <c r="BK37" s="1449"/>
    </row>
    <row r="38" spans="2:67" ht="26.25" customHeight="1">
      <c r="B38" s="756"/>
      <c r="C38" s="624"/>
      <c r="D38" s="751"/>
      <c r="E38" s="751"/>
      <c r="F38" s="751"/>
      <c r="G38" s="751"/>
      <c r="H38" s="751"/>
      <c r="I38" s="624"/>
      <c r="J38" s="624"/>
      <c r="K38" s="750"/>
      <c r="L38" s="751"/>
      <c r="M38" s="751"/>
      <c r="N38" s="751"/>
      <c r="O38" s="750"/>
      <c r="P38" s="751"/>
      <c r="Q38" s="751"/>
      <c r="R38" s="751"/>
      <c r="S38" s="624"/>
      <c r="T38" s="751"/>
      <c r="U38" s="751"/>
      <c r="V38" s="751"/>
      <c r="W38" s="624"/>
      <c r="X38" s="751"/>
      <c r="Y38" s="751"/>
      <c r="Z38" s="751"/>
      <c r="AA38" s="750"/>
      <c r="AB38" s="751"/>
      <c r="AC38" s="661"/>
      <c r="AD38" s="661"/>
      <c r="AE38" s="624"/>
      <c r="AF38" s="751"/>
      <c r="AG38" s="751"/>
      <c r="AH38" s="751"/>
      <c r="AI38" s="624"/>
      <c r="AJ38" s="751"/>
      <c r="AK38" s="751"/>
      <c r="AL38" s="751"/>
      <c r="AM38" s="624"/>
      <c r="AN38" s="624"/>
      <c r="AO38" s="624"/>
      <c r="AP38" s="624"/>
      <c r="AQ38" s="737"/>
      <c r="AR38" s="753"/>
      <c r="AS38" s="753"/>
      <c r="AT38" s="753"/>
      <c r="AU38" s="624"/>
      <c r="AV38" s="624"/>
      <c r="AW38" s="624"/>
      <c r="BL38" s="654"/>
    </row>
    <row r="39" spans="2:67" ht="26.25" customHeight="1">
      <c r="B39" s="756"/>
      <c r="C39" s="624"/>
      <c r="D39" s="751"/>
      <c r="E39" s="751"/>
      <c r="F39" s="751"/>
      <c r="G39" s="751"/>
      <c r="H39" s="751"/>
      <c r="I39" s="624"/>
      <c r="J39" s="624"/>
      <c r="K39" s="750"/>
      <c r="L39" s="751"/>
      <c r="M39" s="751"/>
      <c r="N39" s="751"/>
      <c r="O39" s="750"/>
      <c r="P39" s="751"/>
      <c r="Q39" s="751"/>
      <c r="R39" s="751"/>
      <c r="S39" s="624"/>
      <c r="T39" s="751"/>
      <c r="U39" s="751"/>
      <c r="V39" s="751"/>
      <c r="W39" s="624"/>
      <c r="X39" s="751"/>
      <c r="Y39" s="751"/>
      <c r="Z39" s="751"/>
      <c r="AA39" s="750"/>
      <c r="AB39" s="751"/>
      <c r="AC39" s="661"/>
      <c r="AD39" s="661"/>
      <c r="AE39" s="624"/>
      <c r="AF39" s="751"/>
      <c r="AG39" s="751"/>
      <c r="AH39" s="751"/>
      <c r="AI39" s="624"/>
      <c r="AJ39" s="751"/>
      <c r="AK39" s="751"/>
      <c r="AL39" s="751"/>
      <c r="AM39" s="624"/>
      <c r="AN39" s="624"/>
      <c r="AO39" s="624"/>
      <c r="AP39" s="624"/>
      <c r="AQ39" s="737"/>
      <c r="AR39" s="753"/>
      <c r="AS39" s="753"/>
      <c r="AT39" s="753"/>
      <c r="AU39" s="624"/>
      <c r="AV39" s="624"/>
      <c r="AW39" s="624"/>
    </row>
    <row r="40" spans="2:67" ht="26.25" customHeight="1">
      <c r="B40" s="756"/>
      <c r="C40" s="624"/>
      <c r="D40" s="751"/>
      <c r="E40" s="751"/>
      <c r="F40" s="751"/>
      <c r="G40" s="751"/>
      <c r="H40" s="751"/>
      <c r="I40" s="624"/>
      <c r="J40" s="624"/>
      <c r="K40" s="750"/>
      <c r="L40" s="751"/>
      <c r="M40" s="751"/>
      <c r="N40" s="751"/>
      <c r="O40" s="750"/>
      <c r="P40" s="751"/>
      <c r="Q40" s="751"/>
      <c r="R40" s="751"/>
      <c r="S40" s="624"/>
      <c r="T40" s="751"/>
      <c r="U40" s="751"/>
      <c r="V40" s="751"/>
      <c r="W40" s="624"/>
      <c r="X40" s="751"/>
      <c r="Y40" s="751"/>
      <c r="Z40" s="751"/>
      <c r="AA40" s="750"/>
      <c r="AB40" s="751"/>
      <c r="AC40" s="661"/>
      <c r="AD40" s="661"/>
      <c r="AE40" s="624"/>
      <c r="AF40" s="751"/>
      <c r="AG40" s="751"/>
      <c r="AH40" s="751"/>
      <c r="AI40" s="624"/>
      <c r="AJ40" s="751"/>
      <c r="AK40" s="751"/>
      <c r="AL40" s="751"/>
      <c r="AM40" s="624"/>
      <c r="AN40" s="624"/>
      <c r="AO40" s="624"/>
      <c r="AP40" s="624"/>
      <c r="AQ40" s="737"/>
      <c r="AR40" s="753"/>
      <c r="AS40" s="753"/>
      <c r="AT40" s="753"/>
      <c r="AU40" s="624"/>
      <c r="AV40" s="624"/>
      <c r="AW40" s="624"/>
    </row>
    <row r="41" spans="2:67" ht="26.25" customHeight="1" thickBot="1">
      <c r="B41" s="756"/>
      <c r="C41" s="624"/>
      <c r="D41" s="751"/>
      <c r="E41" s="751"/>
      <c r="F41" s="751"/>
      <c r="G41" s="751"/>
      <c r="H41" s="751"/>
      <c r="I41" s="624"/>
      <c r="J41" s="624"/>
      <c r="K41" s="750"/>
      <c r="L41" s="751"/>
      <c r="M41" s="751"/>
      <c r="N41" s="751"/>
      <c r="O41" s="750"/>
      <c r="P41" s="751"/>
      <c r="Q41" s="751"/>
      <c r="R41" s="751"/>
      <c r="S41" s="624"/>
      <c r="T41" s="751"/>
      <c r="U41" s="751"/>
      <c r="V41" s="751"/>
      <c r="W41" s="624"/>
      <c r="X41" s="751"/>
      <c r="Y41" s="751"/>
      <c r="Z41" s="751"/>
      <c r="AA41" s="750"/>
      <c r="AB41" s="751"/>
      <c r="AC41" s="661"/>
      <c r="AD41" s="661"/>
      <c r="AE41" s="624"/>
      <c r="AF41" s="751"/>
      <c r="AG41" s="751"/>
      <c r="AH41" s="751"/>
      <c r="AI41" s="624"/>
      <c r="AJ41" s="751"/>
      <c r="AK41" s="751"/>
      <c r="AL41" s="751"/>
      <c r="AM41" s="624"/>
      <c r="AN41" s="624"/>
      <c r="AO41" s="624"/>
      <c r="AP41" s="624"/>
      <c r="AQ41" s="737"/>
      <c r="AR41" s="753"/>
      <c r="AS41" s="753"/>
      <c r="AT41" s="753"/>
      <c r="AU41" s="624"/>
      <c r="AV41" s="624"/>
      <c r="AW41" s="624"/>
    </row>
    <row r="42" spans="2:67" ht="26.25" customHeight="1" thickBot="1">
      <c r="B42" s="756"/>
      <c r="C42" s="624"/>
      <c r="D42" s="751"/>
      <c r="E42" s="751"/>
      <c r="F42" s="751"/>
      <c r="G42" s="751"/>
      <c r="H42" s="751"/>
      <c r="I42" s="624"/>
      <c r="J42" s="624"/>
      <c r="K42" s="750"/>
      <c r="L42" s="751"/>
      <c r="M42" s="751"/>
      <c r="N42" s="751"/>
      <c r="O42" s="750"/>
      <c r="P42" s="751"/>
      <c r="Q42" s="751"/>
      <c r="R42" s="751"/>
      <c r="S42" s="624"/>
      <c r="T42" s="751"/>
      <c r="U42" s="751"/>
      <c r="V42" s="751"/>
      <c r="W42" s="624"/>
      <c r="X42" s="751"/>
      <c r="Y42" s="751"/>
      <c r="Z42" s="751"/>
      <c r="AA42" s="750"/>
      <c r="AB42" s="751"/>
      <c r="AC42" s="661"/>
      <c r="AD42" s="661"/>
      <c r="AE42" s="624"/>
      <c r="AF42" s="751"/>
      <c r="AG42" s="751"/>
      <c r="AH42" s="751"/>
      <c r="AI42" s="624"/>
      <c r="AJ42" s="751"/>
      <c r="AK42" s="751"/>
      <c r="AL42" s="751"/>
      <c r="AM42" s="624"/>
      <c r="AN42" s="624"/>
      <c r="AO42" s="624"/>
      <c r="AP42" s="624"/>
      <c r="AQ42" s="737"/>
      <c r="AR42" s="753"/>
      <c r="AS42" s="753"/>
      <c r="AT42" s="753"/>
      <c r="AU42" s="624"/>
      <c r="AV42" s="624"/>
      <c r="AW42" s="624"/>
      <c r="AX42" s="1659" t="s">
        <v>335</v>
      </c>
      <c r="AY42" s="1660"/>
      <c r="AZ42" s="1660"/>
      <c r="BA42" s="1660"/>
      <c r="BB42" s="1660"/>
      <c r="BC42" s="1660"/>
      <c r="BD42" s="1660"/>
      <c r="BE42" s="1660"/>
      <c r="BF42" s="1660"/>
      <c r="BG42" s="1660"/>
      <c r="BH42" s="1660"/>
      <c r="BI42" s="1660"/>
      <c r="BJ42" s="1660"/>
      <c r="BK42" s="1660"/>
      <c r="BL42" s="1660"/>
      <c r="BM42" s="1660"/>
      <c r="BN42" s="1661"/>
    </row>
    <row r="43" spans="2:67" ht="26.25" customHeight="1">
      <c r="B43" s="756"/>
      <c r="C43" s="624"/>
      <c r="D43" s="751"/>
      <c r="E43" s="751"/>
      <c r="F43" s="751"/>
      <c r="G43" s="751"/>
      <c r="H43" s="751"/>
      <c r="I43" s="624"/>
      <c r="J43" s="624"/>
      <c r="K43" s="750"/>
      <c r="L43" s="751"/>
      <c r="M43" s="751"/>
      <c r="N43" s="751"/>
      <c r="O43" s="750"/>
      <c r="P43" s="751"/>
      <c r="Q43" s="751"/>
      <c r="R43" s="751"/>
      <c r="S43" s="624"/>
      <c r="T43" s="751"/>
      <c r="U43" s="751"/>
      <c r="V43" s="751"/>
      <c r="W43" s="624"/>
      <c r="X43" s="751"/>
      <c r="Y43" s="751"/>
      <c r="Z43" s="751"/>
      <c r="AA43" s="750"/>
      <c r="AB43" s="751"/>
      <c r="AC43" s="661"/>
      <c r="AD43" s="661"/>
      <c r="AE43" s="624"/>
      <c r="AF43" s="751"/>
      <c r="AG43" s="751"/>
      <c r="AH43" s="751"/>
      <c r="AI43" s="624"/>
      <c r="AJ43" s="751"/>
      <c r="AK43" s="751"/>
      <c r="AL43" s="751"/>
      <c r="AM43" s="624"/>
      <c r="AN43" s="624"/>
      <c r="AO43" s="624"/>
      <c r="AP43" s="624"/>
      <c r="AQ43" s="737"/>
      <c r="AR43" s="753"/>
      <c r="AS43" s="753"/>
      <c r="AT43" s="753"/>
      <c r="AU43" s="624"/>
      <c r="AV43" s="624"/>
      <c r="AW43" s="624"/>
      <c r="AX43" s="1663" t="s">
        <v>0</v>
      </c>
      <c r="AY43" s="1657" t="s">
        <v>72</v>
      </c>
      <c r="AZ43" s="1662"/>
      <c r="BA43" s="1657" t="s">
        <v>73</v>
      </c>
      <c r="BB43" s="1662"/>
      <c r="BC43" s="1657" t="s">
        <v>74</v>
      </c>
      <c r="BD43" s="1662"/>
      <c r="BE43" s="1657" t="s">
        <v>75</v>
      </c>
      <c r="BF43" s="1662"/>
      <c r="BG43" s="1657" t="s">
        <v>77</v>
      </c>
      <c r="BH43" s="1658"/>
      <c r="BI43" s="1457"/>
      <c r="BJ43" s="1457"/>
      <c r="BK43" s="1457"/>
      <c r="BL43" s="1657" t="s">
        <v>191</v>
      </c>
      <c r="BM43" s="1662"/>
      <c r="BN43" s="1665" t="s">
        <v>207</v>
      </c>
    </row>
    <row r="44" spans="2:67" ht="26.25" customHeight="1">
      <c r="B44" s="756"/>
      <c r="C44" s="624"/>
      <c r="D44" s="751"/>
      <c r="E44" s="751"/>
      <c r="F44" s="751"/>
      <c r="G44" s="751"/>
      <c r="H44" s="751"/>
      <c r="I44" s="624"/>
      <c r="J44" s="624"/>
      <c r="K44" s="750"/>
      <c r="L44" s="751"/>
      <c r="M44" s="751"/>
      <c r="N44" s="751"/>
      <c r="O44" s="750"/>
      <c r="P44" s="751"/>
      <c r="Q44" s="751"/>
      <c r="R44" s="751"/>
      <c r="S44" s="624"/>
      <c r="T44" s="751"/>
      <c r="U44" s="751"/>
      <c r="V44" s="751"/>
      <c r="W44" s="624"/>
      <c r="X44" s="751"/>
      <c r="Y44" s="751"/>
      <c r="Z44" s="751"/>
      <c r="AA44" s="750"/>
      <c r="AB44" s="751"/>
      <c r="AC44" s="661"/>
      <c r="AD44" s="661"/>
      <c r="AE44" s="624"/>
      <c r="AF44" s="751"/>
      <c r="AG44" s="751"/>
      <c r="AH44" s="751"/>
      <c r="AI44" s="624"/>
      <c r="AJ44" s="751"/>
      <c r="AK44" s="751"/>
      <c r="AL44" s="751"/>
      <c r="AM44" s="624"/>
      <c r="AN44" s="624"/>
      <c r="AO44" s="624"/>
      <c r="AP44" s="624"/>
      <c r="AQ44" s="737"/>
      <c r="AR44" s="753"/>
      <c r="AS44" s="753"/>
      <c r="AT44" s="753"/>
      <c r="AU44" s="624"/>
      <c r="AV44" s="624"/>
      <c r="AW44" s="624"/>
      <c r="AX44" s="1664"/>
      <c r="AY44" s="1400" t="s">
        <v>1</v>
      </c>
      <c r="AZ44" s="1401" t="s">
        <v>336</v>
      </c>
      <c r="BA44" s="1400" t="s">
        <v>1</v>
      </c>
      <c r="BB44" s="1401" t="s">
        <v>336</v>
      </c>
      <c r="BC44" s="1400" t="s">
        <v>1</v>
      </c>
      <c r="BD44" s="1401" t="s">
        <v>336</v>
      </c>
      <c r="BE44" s="1400" t="s">
        <v>1</v>
      </c>
      <c r="BF44" s="1401" t="s">
        <v>336</v>
      </c>
      <c r="BG44" s="1400" t="s">
        <v>1</v>
      </c>
      <c r="BH44" s="1396" t="s">
        <v>336</v>
      </c>
      <c r="BI44" s="1458"/>
      <c r="BJ44" s="1458"/>
      <c r="BK44" s="1458"/>
      <c r="BL44" s="1400" t="s">
        <v>1</v>
      </c>
      <c r="BM44" s="1401" t="s">
        <v>336</v>
      </c>
      <c r="BN44" s="1666"/>
    </row>
    <row r="45" spans="2:67" ht="21.75" customHeight="1">
      <c r="B45" s="756"/>
      <c r="C45" s="624"/>
      <c r="D45" s="751"/>
      <c r="E45" s="751"/>
      <c r="F45" s="751"/>
      <c r="G45" s="751"/>
      <c r="H45" s="751"/>
      <c r="I45" s="624"/>
      <c r="J45" s="624"/>
      <c r="K45" s="750"/>
      <c r="L45" s="751"/>
      <c r="M45" s="751"/>
      <c r="N45" s="751"/>
      <c r="O45" s="750"/>
      <c r="P45" s="751"/>
      <c r="Q45" s="751"/>
      <c r="R45" s="751"/>
      <c r="S45" s="624"/>
      <c r="T45" s="751"/>
      <c r="U45" s="751"/>
      <c r="V45" s="751"/>
      <c r="W45" s="624"/>
      <c r="X45" s="751"/>
      <c r="Y45" s="751"/>
      <c r="Z45" s="751"/>
      <c r="AA45" s="750"/>
      <c r="AB45" s="751"/>
      <c r="AC45" s="661"/>
      <c r="AD45" s="661"/>
      <c r="AE45" s="624"/>
      <c r="AF45" s="751"/>
      <c r="AG45" s="751"/>
      <c r="AH45" s="751"/>
      <c r="AI45" s="624"/>
      <c r="AJ45" s="751"/>
      <c r="AK45" s="751"/>
      <c r="AL45" s="751"/>
      <c r="AM45" s="624"/>
      <c r="AN45" s="624"/>
      <c r="AO45" s="624"/>
      <c r="AP45" s="624"/>
      <c r="AQ45" s="737"/>
      <c r="AR45" s="753"/>
      <c r="AS45" s="753"/>
      <c r="AT45" s="753"/>
      <c r="AU45" s="624"/>
      <c r="AV45" s="624"/>
      <c r="AW45" s="624"/>
      <c r="AX45" s="1398" t="s">
        <v>4</v>
      </c>
      <c r="AY45" s="1220">
        <v>125</v>
      </c>
      <c r="AZ45" s="1172">
        <v>26.65</v>
      </c>
      <c r="BA45" s="1220">
        <f>61+12</f>
        <v>73</v>
      </c>
      <c r="BB45" s="1172"/>
      <c r="BC45" s="1220">
        <v>125</v>
      </c>
      <c r="BD45" s="1172"/>
      <c r="BE45" s="1220">
        <v>125</v>
      </c>
      <c r="BF45" s="1172"/>
      <c r="BG45" s="1220">
        <v>100</v>
      </c>
      <c r="BH45" s="1397"/>
      <c r="BI45" s="1229"/>
      <c r="BJ45" s="1229"/>
      <c r="BK45" s="1229"/>
      <c r="BL45" s="1217">
        <f>AY45+BA45+BC45+BE45+BG45</f>
        <v>548</v>
      </c>
      <c r="BM45" s="1405">
        <f>AZ45+BB45+BD45+BF45+BH45</f>
        <v>26.65</v>
      </c>
      <c r="BN45" s="1404">
        <f>BL45/$BL$57</f>
        <v>0.18266666666666667</v>
      </c>
    </row>
    <row r="46" spans="2:67" ht="21.75" customHeight="1">
      <c r="B46" s="756"/>
      <c r="C46" s="624"/>
      <c r="D46" s="751"/>
      <c r="E46" s="751"/>
      <c r="F46" s="751"/>
      <c r="G46" s="751"/>
      <c r="H46" s="751"/>
      <c r="I46" s="624"/>
      <c r="J46" s="624"/>
      <c r="K46" s="750"/>
      <c r="L46" s="751"/>
      <c r="M46" s="751"/>
      <c r="N46" s="751"/>
      <c r="O46" s="750"/>
      <c r="P46" s="751"/>
      <c r="Q46" s="751"/>
      <c r="R46" s="751"/>
      <c r="S46" s="624"/>
      <c r="T46" s="751"/>
      <c r="U46" s="751"/>
      <c r="V46" s="751"/>
      <c r="W46" s="624"/>
      <c r="X46" s="751"/>
      <c r="Y46" s="751"/>
      <c r="Z46" s="751"/>
      <c r="AA46" s="750"/>
      <c r="AB46" s="751"/>
      <c r="AC46" s="661"/>
      <c r="AD46" s="661"/>
      <c r="AE46" s="624"/>
      <c r="AF46" s="751"/>
      <c r="AG46" s="751"/>
      <c r="AH46" s="751"/>
      <c r="AI46" s="624"/>
      <c r="AJ46" s="751"/>
      <c r="AK46" s="751"/>
      <c r="AL46" s="751"/>
      <c r="AM46" s="624"/>
      <c r="AN46" s="624"/>
      <c r="AO46" s="624"/>
      <c r="AP46" s="624"/>
      <c r="AQ46" s="737"/>
      <c r="AR46" s="753"/>
      <c r="AS46" s="753"/>
      <c r="AT46" s="753"/>
      <c r="AU46" s="624"/>
      <c r="AV46" s="624"/>
      <c r="AW46" s="624"/>
      <c r="AX46" s="1398" t="s">
        <v>5</v>
      </c>
      <c r="AY46" s="1220">
        <v>25</v>
      </c>
      <c r="AZ46" s="1172">
        <v>13.45</v>
      </c>
      <c r="BA46" s="1220">
        <v>30</v>
      </c>
      <c r="BB46" s="1172"/>
      <c r="BC46" s="1220">
        <v>70</v>
      </c>
      <c r="BD46" s="1172"/>
      <c r="BE46" s="1220">
        <v>70</v>
      </c>
      <c r="BF46" s="1172"/>
      <c r="BG46" s="1220">
        <v>30</v>
      </c>
      <c r="BH46" s="1397"/>
      <c r="BI46" s="1229"/>
      <c r="BJ46" s="1229"/>
      <c r="BK46" s="1229"/>
      <c r="BL46" s="1217">
        <f>AY46+BA46+BC46+BE46+BG46</f>
        <v>225</v>
      </c>
      <c r="BM46" s="1405">
        <f t="shared" ref="BM46:BM55" si="48">AZ46+BB46+BD46+BF46+BH46</f>
        <v>13.45</v>
      </c>
      <c r="BN46" s="1404">
        <f t="shared" ref="BN46:BN56" si="49">BL46/$BL$57</f>
        <v>7.4999999999999997E-2</v>
      </c>
    </row>
    <row r="47" spans="2:67" ht="21.75" customHeight="1">
      <c r="B47" s="756"/>
      <c r="C47" s="624"/>
      <c r="D47" s="751"/>
      <c r="E47" s="751"/>
      <c r="F47" s="751"/>
      <c r="G47" s="751"/>
      <c r="H47" s="751"/>
      <c r="I47" s="624"/>
      <c r="J47" s="624"/>
      <c r="K47" s="750"/>
      <c r="L47" s="751"/>
      <c r="M47" s="751"/>
      <c r="N47" s="751"/>
      <c r="O47" s="750"/>
      <c r="P47" s="751"/>
      <c r="Q47" s="751"/>
      <c r="R47" s="751"/>
      <c r="S47" s="624"/>
      <c r="T47" s="751"/>
      <c r="U47" s="751"/>
      <c r="V47" s="751"/>
      <c r="W47" s="624"/>
      <c r="X47" s="751"/>
      <c r="Y47" s="751"/>
      <c r="Z47" s="751"/>
      <c r="AA47" s="750"/>
      <c r="AB47" s="751"/>
      <c r="AC47" s="661"/>
      <c r="AD47" s="661"/>
      <c r="AE47" s="624"/>
      <c r="AF47" s="751"/>
      <c r="AG47" s="751"/>
      <c r="AH47" s="751"/>
      <c r="AI47" s="624"/>
      <c r="AJ47" s="751"/>
      <c r="AK47" s="751"/>
      <c r="AL47" s="751"/>
      <c r="AM47" s="624"/>
      <c r="AN47" s="624"/>
      <c r="AO47" s="624"/>
      <c r="AP47" s="624"/>
      <c r="AQ47" s="737"/>
      <c r="AR47" s="753"/>
      <c r="AS47" s="753"/>
      <c r="AT47" s="753"/>
      <c r="AU47" s="624"/>
      <c r="AV47" s="624"/>
      <c r="AW47" s="624"/>
      <c r="AX47" s="1398" t="s">
        <v>6</v>
      </c>
      <c r="AY47" s="1220">
        <v>20</v>
      </c>
      <c r="AZ47" s="1172">
        <v>10</v>
      </c>
      <c r="BA47" s="1220">
        <v>30</v>
      </c>
      <c r="BB47" s="1172"/>
      <c r="BC47" s="1220">
        <v>30</v>
      </c>
      <c r="BD47" s="1172"/>
      <c r="BE47" s="1220">
        <v>30</v>
      </c>
      <c r="BF47" s="1172"/>
      <c r="BG47" s="1220">
        <v>40</v>
      </c>
      <c r="BH47" s="1397"/>
      <c r="BI47" s="1229"/>
      <c r="BJ47" s="1229"/>
      <c r="BK47" s="1229"/>
      <c r="BL47" s="1217">
        <f>AY47+BA47+BC47+BE47+BG47</f>
        <v>150</v>
      </c>
      <c r="BM47" s="1405">
        <f t="shared" si="48"/>
        <v>10</v>
      </c>
      <c r="BN47" s="1404">
        <f t="shared" si="49"/>
        <v>0.05</v>
      </c>
    </row>
    <row r="48" spans="2:67" ht="21.75" customHeight="1">
      <c r="B48" s="756"/>
      <c r="C48" s="624"/>
      <c r="D48" s="751"/>
      <c r="E48" s="751"/>
      <c r="F48" s="751"/>
      <c r="G48" s="751"/>
      <c r="H48" s="751"/>
      <c r="I48" s="624"/>
      <c r="J48" s="624"/>
      <c r="K48" s="750"/>
      <c r="L48" s="751"/>
      <c r="M48" s="751"/>
      <c r="N48" s="751"/>
      <c r="O48" s="750"/>
      <c r="P48" s="751"/>
      <c r="Q48" s="751"/>
      <c r="R48" s="751"/>
      <c r="S48" s="624"/>
      <c r="T48" s="751"/>
      <c r="U48" s="751"/>
      <c r="V48" s="751"/>
      <c r="W48" s="624"/>
      <c r="X48" s="751"/>
      <c r="Y48" s="751"/>
      <c r="Z48" s="751"/>
      <c r="AA48" s="750"/>
      <c r="AB48" s="751"/>
      <c r="AC48" s="661"/>
      <c r="AD48" s="661"/>
      <c r="AE48" s="624"/>
      <c r="AF48" s="751"/>
      <c r="AG48" s="751"/>
      <c r="AH48" s="751"/>
      <c r="AI48" s="624"/>
      <c r="AJ48" s="751"/>
      <c r="AK48" s="751"/>
      <c r="AL48" s="751"/>
      <c r="AM48" s="624"/>
      <c r="AN48" s="624"/>
      <c r="AO48" s="624"/>
      <c r="AP48" s="624"/>
      <c r="AQ48" s="737"/>
      <c r="AR48" s="753"/>
      <c r="AS48" s="753"/>
      <c r="AT48" s="753"/>
      <c r="AU48" s="624"/>
      <c r="AV48" s="624"/>
      <c r="AW48" s="624"/>
      <c r="AX48" s="1398" t="s">
        <v>7</v>
      </c>
      <c r="AY48" s="1220">
        <v>35</v>
      </c>
      <c r="AZ48" s="1172">
        <v>38</v>
      </c>
      <c r="BA48" s="1220">
        <v>70</v>
      </c>
      <c r="BB48" s="1172"/>
      <c r="BC48" s="1220">
        <v>75</v>
      </c>
      <c r="BD48" s="1172"/>
      <c r="BE48" s="1220">
        <v>60</v>
      </c>
      <c r="BF48" s="1172"/>
      <c r="BG48" s="1220">
        <v>10</v>
      </c>
      <c r="BH48" s="1397"/>
      <c r="BI48" s="1229"/>
      <c r="BJ48" s="1229"/>
      <c r="BK48" s="1229"/>
      <c r="BL48" s="1217">
        <f>AY48+BA48+BC48+BE48+BG48</f>
        <v>250</v>
      </c>
      <c r="BM48" s="1405">
        <f t="shared" si="48"/>
        <v>38</v>
      </c>
      <c r="BN48" s="1404">
        <f t="shared" si="49"/>
        <v>8.3333333333333329E-2</v>
      </c>
    </row>
    <row r="49" spans="2:66" ht="21.75" customHeight="1">
      <c r="B49" s="756"/>
      <c r="C49" s="624"/>
      <c r="D49" s="751"/>
      <c r="E49" s="751"/>
      <c r="F49" s="751"/>
      <c r="G49" s="751"/>
      <c r="H49" s="751"/>
      <c r="I49" s="624"/>
      <c r="J49" s="624"/>
      <c r="K49" s="750"/>
      <c r="L49" s="751"/>
      <c r="M49" s="751"/>
      <c r="N49" s="751"/>
      <c r="O49" s="750"/>
      <c r="P49" s="751"/>
      <c r="Q49" s="751"/>
      <c r="R49" s="751"/>
      <c r="S49" s="624"/>
      <c r="T49" s="751"/>
      <c r="U49" s="751"/>
      <c r="V49" s="751"/>
      <c r="W49" s="624"/>
      <c r="X49" s="751"/>
      <c r="Y49" s="751"/>
      <c r="Z49" s="751"/>
      <c r="AA49" s="750"/>
      <c r="AB49" s="751"/>
      <c r="AC49" s="661"/>
      <c r="AD49" s="661"/>
      <c r="AE49" s="624"/>
      <c r="AF49" s="751"/>
      <c r="AG49" s="751"/>
      <c r="AH49" s="751"/>
      <c r="AI49" s="624"/>
      <c r="AJ49" s="751"/>
      <c r="AK49" s="751"/>
      <c r="AL49" s="751"/>
      <c r="AM49" s="624"/>
      <c r="AN49" s="624"/>
      <c r="AO49" s="624"/>
      <c r="AP49" s="624"/>
      <c r="AQ49" s="737"/>
      <c r="AR49" s="753"/>
      <c r="AS49" s="753"/>
      <c r="AT49" s="753"/>
      <c r="AU49" s="624"/>
      <c r="AV49" s="624"/>
      <c r="AW49" s="624"/>
      <c r="AX49" s="1398" t="s">
        <v>8</v>
      </c>
      <c r="AY49" s="1220">
        <v>10</v>
      </c>
      <c r="AZ49" s="1172">
        <v>40</v>
      </c>
      <c r="BA49" s="1220">
        <v>10</v>
      </c>
      <c r="BB49" s="1172"/>
      <c r="BC49" s="1220">
        <v>35</v>
      </c>
      <c r="BD49" s="1172"/>
      <c r="BE49" s="1220">
        <v>30</v>
      </c>
      <c r="BF49" s="1172"/>
      <c r="BG49" s="1220">
        <v>5</v>
      </c>
      <c r="BH49" s="1397"/>
      <c r="BI49" s="1229"/>
      <c r="BJ49" s="1229"/>
      <c r="BK49" s="1229"/>
      <c r="BL49" s="1217">
        <f>AY49+BA49+BC49+BE49+BG49</f>
        <v>90</v>
      </c>
      <c r="BM49" s="1405">
        <f t="shared" si="48"/>
        <v>40</v>
      </c>
      <c r="BN49" s="1404">
        <f t="shared" si="49"/>
        <v>0.03</v>
      </c>
    </row>
    <row r="50" spans="2:66" ht="21.75" customHeight="1">
      <c r="B50" s="756"/>
      <c r="C50" s="624"/>
      <c r="D50" s="751"/>
      <c r="E50" s="751"/>
      <c r="F50" s="751"/>
      <c r="G50" s="751"/>
      <c r="H50" s="751"/>
      <c r="I50" s="624"/>
      <c r="J50" s="624"/>
      <c r="K50" s="750"/>
      <c r="L50" s="751"/>
      <c r="M50" s="751"/>
      <c r="N50" s="751"/>
      <c r="O50" s="750"/>
      <c r="P50" s="751"/>
      <c r="Q50" s="751"/>
      <c r="R50" s="751"/>
      <c r="S50" s="624"/>
      <c r="T50" s="751"/>
      <c r="U50" s="751"/>
      <c r="V50" s="751"/>
      <c r="W50" s="624"/>
      <c r="X50" s="751"/>
      <c r="Y50" s="751"/>
      <c r="Z50" s="751"/>
      <c r="AA50" s="750"/>
      <c r="AB50" s="751"/>
      <c r="AC50" s="661"/>
      <c r="AD50" s="661"/>
      <c r="AE50" s="624"/>
      <c r="AF50" s="751"/>
      <c r="AG50" s="751"/>
      <c r="AH50" s="751"/>
      <c r="AI50" s="624"/>
      <c r="AJ50" s="751"/>
      <c r="AK50" s="751"/>
      <c r="AL50" s="751"/>
      <c r="AM50" s="624"/>
      <c r="AN50" s="624"/>
      <c r="AO50" s="624"/>
      <c r="AP50" s="624"/>
      <c r="AQ50" s="737"/>
      <c r="AR50" s="753"/>
      <c r="AS50" s="753"/>
      <c r="AT50" s="753"/>
      <c r="AU50" s="624"/>
      <c r="AV50" s="624"/>
      <c r="AW50" s="624"/>
      <c r="AX50" s="1398" t="s">
        <v>9</v>
      </c>
      <c r="AY50" s="1220">
        <v>100</v>
      </c>
      <c r="AZ50" s="1172">
        <v>35</v>
      </c>
      <c r="BA50" s="1220">
        <v>60</v>
      </c>
      <c r="BB50" s="1172"/>
      <c r="BC50" s="1220">
        <v>90</v>
      </c>
      <c r="BD50" s="1172"/>
      <c r="BE50" s="1220">
        <v>100</v>
      </c>
      <c r="BF50" s="1172"/>
      <c r="BG50" s="1220">
        <v>40</v>
      </c>
      <c r="BH50" s="1397"/>
      <c r="BI50" s="1229"/>
      <c r="BJ50" s="1229"/>
      <c r="BK50" s="1229"/>
      <c r="BL50" s="1217">
        <f>AY50+BA50+BC50+BE50+BG50</f>
        <v>390</v>
      </c>
      <c r="BM50" s="1405">
        <f t="shared" si="48"/>
        <v>35</v>
      </c>
      <c r="BN50" s="1404">
        <f t="shared" si="49"/>
        <v>0.13</v>
      </c>
    </row>
    <row r="51" spans="2:66" ht="21.75" customHeight="1">
      <c r="B51" s="756"/>
      <c r="C51" s="624"/>
      <c r="D51" s="751"/>
      <c r="E51" s="751"/>
      <c r="F51" s="751"/>
      <c r="G51" s="751"/>
      <c r="H51" s="751"/>
      <c r="I51" s="624"/>
      <c r="J51" s="624"/>
      <c r="K51" s="750"/>
      <c r="L51" s="751"/>
      <c r="M51" s="751"/>
      <c r="N51" s="751"/>
      <c r="O51" s="750"/>
      <c r="P51" s="751"/>
      <c r="Q51" s="751"/>
      <c r="R51" s="751"/>
      <c r="S51" s="624"/>
      <c r="T51" s="751"/>
      <c r="U51" s="751"/>
      <c r="V51" s="751"/>
      <c r="W51" s="624"/>
      <c r="X51" s="751"/>
      <c r="Y51" s="751"/>
      <c r="Z51" s="751"/>
      <c r="AA51" s="750"/>
      <c r="AB51" s="751"/>
      <c r="AC51" s="661"/>
      <c r="AD51" s="661"/>
      <c r="AE51" s="624"/>
      <c r="AF51" s="751"/>
      <c r="AG51" s="751"/>
      <c r="AH51" s="751"/>
      <c r="AI51" s="624"/>
      <c r="AJ51" s="751"/>
      <c r="AK51" s="751"/>
      <c r="AL51" s="751"/>
      <c r="AM51" s="624"/>
      <c r="AN51" s="624"/>
      <c r="AO51" s="624"/>
      <c r="AP51" s="624"/>
      <c r="AQ51" s="737"/>
      <c r="AR51" s="753"/>
      <c r="AS51" s="753"/>
      <c r="AT51" s="753"/>
      <c r="AU51" s="624"/>
      <c r="AV51" s="624"/>
      <c r="AW51" s="624"/>
      <c r="AX51" s="1399" t="s">
        <v>10</v>
      </c>
      <c r="AY51" s="1218">
        <f t="shared" ref="AY51:BE51" si="50">SUM(AY45:AY50)</f>
        <v>315</v>
      </c>
      <c r="AZ51" s="1264">
        <f>SUM(AZ45:AZ50)</f>
        <v>163.1</v>
      </c>
      <c r="BA51" s="1218">
        <f t="shared" si="50"/>
        <v>273</v>
      </c>
      <c r="BB51" s="1264">
        <f>SUM(BB45:BB50)</f>
        <v>0</v>
      </c>
      <c r="BC51" s="1218">
        <f t="shared" si="50"/>
        <v>425</v>
      </c>
      <c r="BD51" s="1264">
        <f>SUM(BD45:BD50)</f>
        <v>0</v>
      </c>
      <c r="BE51" s="1218">
        <f t="shared" si="50"/>
        <v>415</v>
      </c>
      <c r="BF51" s="1264">
        <f>SUM(BF45:BF50)</f>
        <v>0</v>
      </c>
      <c r="BG51" s="1218">
        <v>225</v>
      </c>
      <c r="BH51" s="1219">
        <f>SUM(BH45:BH50)</f>
        <v>0</v>
      </c>
      <c r="BI51" s="1459"/>
      <c r="BJ51" s="1459"/>
      <c r="BK51" s="1459"/>
      <c r="BL51" s="1218">
        <f>SUM(BL45:BL50)</f>
        <v>1653</v>
      </c>
      <c r="BM51" s="1264">
        <f>SUM(BM45:BM50)</f>
        <v>163.1</v>
      </c>
      <c r="BN51" s="1404">
        <f t="shared" si="49"/>
        <v>0.55100000000000005</v>
      </c>
    </row>
    <row r="52" spans="2:66" ht="21.75" customHeight="1">
      <c r="B52" s="756"/>
      <c r="C52" s="624"/>
      <c r="D52" s="751"/>
      <c r="E52" s="751"/>
      <c r="F52" s="751"/>
      <c r="G52" s="751"/>
      <c r="H52" s="751"/>
      <c r="I52" s="624"/>
      <c r="J52" s="624"/>
      <c r="K52" s="750"/>
      <c r="L52" s="751"/>
      <c r="M52" s="751"/>
      <c r="N52" s="751"/>
      <c r="O52" s="750"/>
      <c r="P52" s="751"/>
      <c r="Q52" s="751"/>
      <c r="R52" s="751"/>
      <c r="S52" s="624"/>
      <c r="T52" s="751"/>
      <c r="U52" s="751"/>
      <c r="V52" s="751"/>
      <c r="W52" s="624"/>
      <c r="X52" s="751"/>
      <c r="Y52" s="751"/>
      <c r="Z52" s="751"/>
      <c r="AA52" s="750"/>
      <c r="AB52" s="751"/>
      <c r="AC52" s="661"/>
      <c r="AD52" s="661"/>
      <c r="AE52" s="624"/>
      <c r="AF52" s="751"/>
      <c r="AG52" s="751"/>
      <c r="AH52" s="751"/>
      <c r="AI52" s="624"/>
      <c r="AJ52" s="751"/>
      <c r="AK52" s="751"/>
      <c r="AL52" s="751"/>
      <c r="AM52" s="624"/>
      <c r="AN52" s="624"/>
      <c r="AO52" s="624"/>
      <c r="AP52" s="624"/>
      <c r="AQ52" s="737"/>
      <c r="AR52" s="753"/>
      <c r="AS52" s="753"/>
      <c r="AT52" s="753"/>
      <c r="AU52" s="624"/>
      <c r="AV52" s="624"/>
      <c r="AW52" s="624"/>
      <c r="AX52" s="1398" t="s">
        <v>11</v>
      </c>
      <c r="AY52" s="1220">
        <v>150</v>
      </c>
      <c r="AZ52" s="1172">
        <f>118+35</f>
        <v>153</v>
      </c>
      <c r="BA52" s="1220">
        <v>147</v>
      </c>
      <c r="BB52" s="1172"/>
      <c r="BC52" s="1220">
        <v>165</v>
      </c>
      <c r="BD52" s="1172"/>
      <c r="BE52" s="1220">
        <v>155</v>
      </c>
      <c r="BF52" s="1172"/>
      <c r="BG52" s="1220">
        <v>80</v>
      </c>
      <c r="BH52" s="1397"/>
      <c r="BI52" s="1229"/>
      <c r="BJ52" s="1229"/>
      <c r="BK52" s="1229"/>
      <c r="BL52" s="1217">
        <f>AY52+BA52+BC52+BE52+BG52</f>
        <v>697</v>
      </c>
      <c r="BM52" s="1405">
        <f t="shared" si="48"/>
        <v>153</v>
      </c>
      <c r="BN52" s="1404">
        <f t="shared" si="49"/>
        <v>0.23233333333333334</v>
      </c>
    </row>
    <row r="53" spans="2:66" ht="21.75" customHeight="1">
      <c r="B53" s="756"/>
      <c r="C53" s="624"/>
      <c r="D53" s="751"/>
      <c r="E53" s="751"/>
      <c r="F53" s="751"/>
      <c r="G53" s="751"/>
      <c r="H53" s="751"/>
      <c r="I53" s="624"/>
      <c r="J53" s="624"/>
      <c r="K53" s="750"/>
      <c r="L53" s="751"/>
      <c r="M53" s="751"/>
      <c r="N53" s="751"/>
      <c r="O53" s="750"/>
      <c r="P53" s="751"/>
      <c r="Q53" s="751"/>
      <c r="R53" s="751"/>
      <c r="S53" s="624"/>
      <c r="T53" s="751"/>
      <c r="U53" s="751"/>
      <c r="V53" s="751"/>
      <c r="W53" s="624"/>
      <c r="X53" s="751"/>
      <c r="Y53" s="751"/>
      <c r="Z53" s="751"/>
      <c r="AA53" s="750"/>
      <c r="AB53" s="751"/>
      <c r="AC53" s="661"/>
      <c r="AD53" s="661"/>
      <c r="AE53" s="624"/>
      <c r="AF53" s="751"/>
      <c r="AG53" s="751"/>
      <c r="AH53" s="751"/>
      <c r="AI53" s="624"/>
      <c r="AJ53" s="751"/>
      <c r="AK53" s="751"/>
      <c r="AL53" s="751"/>
      <c r="AM53" s="624"/>
      <c r="AN53" s="624"/>
      <c r="AO53" s="624"/>
      <c r="AP53" s="624"/>
      <c r="AQ53" s="737"/>
      <c r="AR53" s="753"/>
      <c r="AS53" s="753"/>
      <c r="AT53" s="753"/>
      <c r="AU53" s="624"/>
      <c r="AV53" s="624"/>
      <c r="AW53" s="624"/>
      <c r="AX53" s="1398" t="s">
        <v>12</v>
      </c>
      <c r="AY53" s="1220">
        <v>25</v>
      </c>
      <c r="AZ53" s="1172">
        <v>24.2</v>
      </c>
      <c r="BA53" s="1220">
        <v>25</v>
      </c>
      <c r="BB53" s="1172"/>
      <c r="BC53" s="1220">
        <v>15</v>
      </c>
      <c r="BD53" s="1172"/>
      <c r="BE53" s="1220">
        <v>15</v>
      </c>
      <c r="BF53" s="1172"/>
      <c r="BG53" s="1220">
        <v>10</v>
      </c>
      <c r="BH53" s="1397"/>
      <c r="BI53" s="1229"/>
      <c r="BJ53" s="1229"/>
      <c r="BK53" s="1229"/>
      <c r="BL53" s="1217">
        <f>AY53+BA53+BC53+BE53+BG53</f>
        <v>90</v>
      </c>
      <c r="BM53" s="1405">
        <f t="shared" si="48"/>
        <v>24.2</v>
      </c>
      <c r="BN53" s="1404">
        <f t="shared" si="49"/>
        <v>0.03</v>
      </c>
    </row>
    <row r="54" spans="2:66" ht="21.75" customHeight="1">
      <c r="B54" s="756"/>
      <c r="C54" s="624"/>
      <c r="D54" s="751"/>
      <c r="E54" s="751"/>
      <c r="F54" s="751"/>
      <c r="G54" s="751"/>
      <c r="H54" s="751"/>
      <c r="I54" s="624"/>
      <c r="J54" s="624"/>
      <c r="K54" s="750"/>
      <c r="L54" s="751"/>
      <c r="M54" s="751"/>
      <c r="N54" s="751"/>
      <c r="O54" s="750"/>
      <c r="P54" s="751"/>
      <c r="Q54" s="751"/>
      <c r="R54" s="751"/>
      <c r="S54" s="624"/>
      <c r="T54" s="751"/>
      <c r="U54" s="751"/>
      <c r="V54" s="751"/>
      <c r="W54" s="624"/>
      <c r="X54" s="751"/>
      <c r="Y54" s="751"/>
      <c r="Z54" s="751"/>
      <c r="AA54" s="750"/>
      <c r="AB54" s="751"/>
      <c r="AC54" s="661"/>
      <c r="AD54" s="661"/>
      <c r="AE54" s="624"/>
      <c r="AF54" s="751"/>
      <c r="AG54" s="751"/>
      <c r="AH54" s="751"/>
      <c r="AI54" s="624"/>
      <c r="AJ54" s="751"/>
      <c r="AK54" s="751"/>
      <c r="AL54" s="751"/>
      <c r="AM54" s="624"/>
      <c r="AN54" s="624"/>
      <c r="AO54" s="624"/>
      <c r="AP54" s="624"/>
      <c r="AQ54" s="737"/>
      <c r="AR54" s="753"/>
      <c r="AS54" s="753"/>
      <c r="AT54" s="753"/>
      <c r="AU54" s="624"/>
      <c r="AV54" s="624"/>
      <c r="AW54" s="624"/>
      <c r="AX54" s="1398" t="s">
        <v>13</v>
      </c>
      <c r="AY54" s="1220">
        <v>70</v>
      </c>
      <c r="AZ54" s="1172">
        <v>60</v>
      </c>
      <c r="BA54" s="1220">
        <v>53</v>
      </c>
      <c r="BB54" s="1172"/>
      <c r="BC54" s="1220">
        <v>130</v>
      </c>
      <c r="BD54" s="1172"/>
      <c r="BE54" s="1220">
        <v>130</v>
      </c>
      <c r="BF54" s="1172"/>
      <c r="BG54" s="1220">
        <v>60</v>
      </c>
      <c r="BH54" s="1397"/>
      <c r="BI54" s="1229"/>
      <c r="BJ54" s="1229"/>
      <c r="BK54" s="1229"/>
      <c r="BL54" s="1217">
        <f>AY54+BA54+BC54+BE54+BG54</f>
        <v>443</v>
      </c>
      <c r="BM54" s="1405">
        <f t="shared" si="48"/>
        <v>60</v>
      </c>
      <c r="BN54" s="1404">
        <f t="shared" si="49"/>
        <v>0.14766666666666667</v>
      </c>
    </row>
    <row r="55" spans="2:66" ht="21.75" customHeight="1" thickBot="1">
      <c r="B55" s="756"/>
      <c r="C55" s="624"/>
      <c r="D55" s="751"/>
      <c r="E55" s="751"/>
      <c r="F55" s="751"/>
      <c r="G55" s="751"/>
      <c r="H55" s="751"/>
      <c r="I55" s="624"/>
      <c r="J55" s="624"/>
      <c r="K55" s="750"/>
      <c r="L55" s="751"/>
      <c r="M55" s="751"/>
      <c r="N55" s="751"/>
      <c r="O55" s="750"/>
      <c r="P55" s="751"/>
      <c r="Q55" s="751"/>
      <c r="R55" s="751"/>
      <c r="S55" s="624"/>
      <c r="T55" s="751"/>
      <c r="U55" s="751"/>
      <c r="V55" s="751"/>
      <c r="W55" s="624"/>
      <c r="X55" s="751"/>
      <c r="Y55" s="751"/>
      <c r="Z55" s="751"/>
      <c r="AA55" s="750"/>
      <c r="AB55" s="751"/>
      <c r="AC55" s="661"/>
      <c r="AD55" s="661"/>
      <c r="AE55" s="624"/>
      <c r="AF55" s="751"/>
      <c r="AG55" s="751"/>
      <c r="AH55" s="751"/>
      <c r="AI55" s="624"/>
      <c r="AJ55" s="751"/>
      <c r="AK55" s="751"/>
      <c r="AL55" s="751"/>
      <c r="AM55" s="624"/>
      <c r="AN55" s="624"/>
      <c r="AO55" s="624"/>
      <c r="AP55" s="624"/>
      <c r="AQ55" s="737"/>
      <c r="AR55" s="753"/>
      <c r="AS55" s="753"/>
      <c r="AT55" s="753"/>
      <c r="AU55" s="624"/>
      <c r="AV55" s="624"/>
      <c r="AW55" s="624"/>
      <c r="AX55" s="1402" t="s">
        <v>14</v>
      </c>
      <c r="AY55" s="1222">
        <v>25</v>
      </c>
      <c r="AZ55" s="1223">
        <v>23</v>
      </c>
      <c r="BA55" s="1222">
        <v>37</v>
      </c>
      <c r="BB55" s="1223"/>
      <c r="BC55" s="1222">
        <v>20</v>
      </c>
      <c r="BD55" s="1223"/>
      <c r="BE55" s="1222">
        <v>25</v>
      </c>
      <c r="BF55" s="1223"/>
      <c r="BG55" s="1222">
        <v>10</v>
      </c>
      <c r="BH55" s="1403"/>
      <c r="BI55" s="1230"/>
      <c r="BJ55" s="1230"/>
      <c r="BK55" s="1230"/>
      <c r="BL55" s="1406">
        <f>AY55+BA55+BC55+BE55+BG55</f>
        <v>117</v>
      </c>
      <c r="BM55" s="1407">
        <f t="shared" si="48"/>
        <v>23</v>
      </c>
      <c r="BN55" s="1404">
        <f t="shared" si="49"/>
        <v>3.9E-2</v>
      </c>
    </row>
    <row r="56" spans="2:66" ht="21.75" customHeight="1" thickBot="1">
      <c r="B56" s="756"/>
      <c r="C56" s="624"/>
      <c r="D56" s="751"/>
      <c r="E56" s="751"/>
      <c r="F56" s="751"/>
      <c r="G56" s="751"/>
      <c r="H56" s="751"/>
      <c r="I56" s="624"/>
      <c r="J56" s="624"/>
      <c r="K56" s="750"/>
      <c r="L56" s="751"/>
      <c r="M56" s="751"/>
      <c r="N56" s="751"/>
      <c r="O56" s="750"/>
      <c r="P56" s="751"/>
      <c r="Q56" s="751"/>
      <c r="R56" s="751"/>
      <c r="S56" s="624"/>
      <c r="T56" s="751"/>
      <c r="U56" s="751"/>
      <c r="V56" s="751"/>
      <c r="W56" s="624"/>
      <c r="X56" s="751"/>
      <c r="Y56" s="751"/>
      <c r="Z56" s="751"/>
      <c r="AA56" s="750"/>
      <c r="AB56" s="751"/>
      <c r="AC56" s="661"/>
      <c r="AD56" s="661"/>
      <c r="AE56" s="624"/>
      <c r="AF56" s="751"/>
      <c r="AG56" s="751"/>
      <c r="AH56" s="751"/>
      <c r="AI56" s="624"/>
      <c r="AJ56" s="751"/>
      <c r="AK56" s="751"/>
      <c r="AL56" s="751"/>
      <c r="AM56" s="624"/>
      <c r="AN56" s="624"/>
      <c r="AO56" s="624"/>
      <c r="AP56" s="624"/>
      <c r="AQ56" s="737"/>
      <c r="AR56" s="753"/>
      <c r="AS56" s="753"/>
      <c r="AT56" s="753"/>
      <c r="AU56" s="624"/>
      <c r="AV56" s="624"/>
      <c r="AW56" s="624"/>
      <c r="AX56" s="1408" t="s">
        <v>15</v>
      </c>
      <c r="AY56" s="1225">
        <f t="shared" ref="AY56:BG56" si="51">SUM(AY52:AY55)</f>
        <v>270</v>
      </c>
      <c r="AZ56" s="1226">
        <f>SUM(AZ52:AZ55)</f>
        <v>260.2</v>
      </c>
      <c r="BA56" s="1225">
        <f t="shared" si="51"/>
        <v>262</v>
      </c>
      <c r="BB56" s="1226">
        <f>SUM(BB52:BB55)</f>
        <v>0</v>
      </c>
      <c r="BC56" s="1225">
        <f t="shared" si="51"/>
        <v>330</v>
      </c>
      <c r="BD56" s="1226">
        <f>SUM(BD52:BD55)</f>
        <v>0</v>
      </c>
      <c r="BE56" s="1225">
        <f t="shared" si="51"/>
        <v>325</v>
      </c>
      <c r="BF56" s="1226">
        <f>SUM(BF52:BF55)</f>
        <v>0</v>
      </c>
      <c r="BG56" s="1225">
        <f t="shared" si="51"/>
        <v>160</v>
      </c>
      <c r="BH56" s="1409">
        <f>SUM(BH52:BH55)</f>
        <v>0</v>
      </c>
      <c r="BI56" s="1460"/>
      <c r="BJ56" s="1460"/>
      <c r="BK56" s="1460"/>
      <c r="BL56" s="1225">
        <f>SUM(BL52:BL55)</f>
        <v>1347</v>
      </c>
      <c r="BM56" s="1226">
        <f>SUM(BM52:BM55)</f>
        <v>260.2</v>
      </c>
      <c r="BN56" s="1410">
        <f t="shared" si="49"/>
        <v>0.44900000000000001</v>
      </c>
    </row>
    <row r="57" spans="2:66" ht="21.75" customHeight="1" thickBot="1">
      <c r="B57" s="756"/>
      <c r="C57" s="624"/>
      <c r="D57" s="751"/>
      <c r="E57" s="751"/>
      <c r="F57" s="751"/>
      <c r="G57" s="751"/>
      <c r="H57" s="751"/>
      <c r="I57" s="624"/>
      <c r="J57" s="624"/>
      <c r="K57" s="750"/>
      <c r="L57" s="751"/>
      <c r="M57" s="751"/>
      <c r="N57" s="751"/>
      <c r="O57" s="750"/>
      <c r="P57" s="751"/>
      <c r="Q57" s="751"/>
      <c r="R57" s="751"/>
      <c r="S57" s="624"/>
      <c r="T57" s="751"/>
      <c r="U57" s="751"/>
      <c r="V57" s="751"/>
      <c r="W57" s="624"/>
      <c r="X57" s="751"/>
      <c r="Y57" s="751"/>
      <c r="Z57" s="751"/>
      <c r="AA57" s="750"/>
      <c r="AB57" s="751"/>
      <c r="AC57" s="661"/>
      <c r="AD57" s="661"/>
      <c r="AE57" s="624"/>
      <c r="AF57" s="751"/>
      <c r="AG57" s="751"/>
      <c r="AH57" s="751"/>
      <c r="AI57" s="624"/>
      <c r="AJ57" s="751"/>
      <c r="AK57" s="751"/>
      <c r="AL57" s="751"/>
      <c r="AM57" s="624"/>
      <c r="AN57" s="624"/>
      <c r="AO57" s="624"/>
      <c r="AP57" s="624"/>
      <c r="AQ57" s="737"/>
      <c r="AR57" s="753"/>
      <c r="AS57" s="753"/>
      <c r="AT57" s="753"/>
      <c r="AU57" s="624"/>
      <c r="AV57" s="624"/>
      <c r="AW57" s="624"/>
      <c r="AX57" s="1411" t="s">
        <v>17</v>
      </c>
      <c r="AY57" s="1227">
        <f t="shared" ref="AY57:BH57" si="52">AY51+AY56</f>
        <v>585</v>
      </c>
      <c r="AZ57" s="1221">
        <f t="shared" si="52"/>
        <v>423.29999999999995</v>
      </c>
      <c r="BA57" s="1228">
        <f t="shared" si="52"/>
        <v>535</v>
      </c>
      <c r="BB57" s="1227">
        <f t="shared" si="52"/>
        <v>0</v>
      </c>
      <c r="BC57" s="1227">
        <f t="shared" si="52"/>
        <v>755</v>
      </c>
      <c r="BD57" s="1227">
        <f t="shared" si="52"/>
        <v>0</v>
      </c>
      <c r="BE57" s="1227">
        <f t="shared" si="52"/>
        <v>740</v>
      </c>
      <c r="BF57" s="1227">
        <f t="shared" si="52"/>
        <v>0</v>
      </c>
      <c r="BG57" s="1227">
        <f t="shared" si="52"/>
        <v>385</v>
      </c>
      <c r="BH57" s="1412">
        <f t="shared" si="52"/>
        <v>0</v>
      </c>
      <c r="BI57" s="1412"/>
      <c r="BJ57" s="1412"/>
      <c r="BK57" s="1412"/>
      <c r="BL57" s="1227">
        <f>BL56+BL51</f>
        <v>3000</v>
      </c>
      <c r="BM57" s="1221">
        <f>BM56+BM51</f>
        <v>423.29999999999995</v>
      </c>
      <c r="BN57" s="1413">
        <f>BL57/BL57</f>
        <v>1</v>
      </c>
    </row>
    <row r="58" spans="2:66" ht="26.25" customHeight="1">
      <c r="B58" s="756"/>
      <c r="C58" s="624"/>
      <c r="D58" s="751"/>
      <c r="E58" s="751"/>
      <c r="F58" s="751"/>
      <c r="G58" s="751"/>
      <c r="H58" s="751"/>
      <c r="I58" s="624"/>
      <c r="J58" s="624"/>
      <c r="K58" s="750"/>
      <c r="L58" s="751"/>
      <c r="M58" s="751"/>
      <c r="N58" s="751"/>
      <c r="O58" s="750"/>
      <c r="P58" s="751"/>
      <c r="Q58" s="751"/>
      <c r="R58" s="751"/>
      <c r="S58" s="624"/>
      <c r="T58" s="751"/>
      <c r="U58" s="751"/>
      <c r="V58" s="751"/>
      <c r="W58" s="624"/>
      <c r="X58" s="751"/>
      <c r="Y58" s="751"/>
      <c r="Z58" s="751"/>
      <c r="AA58" s="750"/>
      <c r="AB58" s="751"/>
      <c r="AC58" s="661"/>
      <c r="AD58" s="661"/>
      <c r="AE58" s="624"/>
      <c r="AF58" s="751"/>
      <c r="AG58" s="751"/>
      <c r="AH58" s="751"/>
      <c r="AI58" s="624"/>
      <c r="AJ58" s="751"/>
      <c r="AK58" s="751"/>
      <c r="AL58" s="751"/>
      <c r="AM58" s="624"/>
      <c r="AN58" s="624"/>
      <c r="AO58" s="624"/>
      <c r="AP58" s="624"/>
      <c r="AQ58" s="737"/>
      <c r="AR58" s="753"/>
      <c r="AS58" s="753"/>
      <c r="AT58" s="753"/>
      <c r="AU58" s="624"/>
      <c r="AV58" s="624"/>
      <c r="AW58" s="624"/>
    </row>
    <row r="59" spans="2:66" ht="26.25" customHeight="1">
      <c r="B59" s="756"/>
      <c r="C59" s="624"/>
      <c r="D59" s="751"/>
      <c r="E59" s="751"/>
      <c r="F59" s="751"/>
      <c r="G59" s="751"/>
      <c r="H59" s="751"/>
      <c r="I59" s="624"/>
      <c r="J59" s="624"/>
      <c r="K59" s="750"/>
      <c r="L59" s="751"/>
      <c r="M59" s="751"/>
      <c r="N59" s="751"/>
      <c r="O59" s="750"/>
      <c r="P59" s="751"/>
      <c r="Q59" s="751"/>
      <c r="R59" s="751"/>
      <c r="S59" s="624"/>
      <c r="T59" s="751"/>
      <c r="U59" s="751"/>
      <c r="V59" s="751"/>
      <c r="W59" s="624"/>
      <c r="X59" s="751"/>
      <c r="Y59" s="751"/>
      <c r="Z59" s="751"/>
      <c r="AA59" s="750"/>
      <c r="AB59" s="751"/>
      <c r="AC59" s="661"/>
      <c r="AD59" s="661"/>
      <c r="AE59" s="624"/>
      <c r="AF59" s="751"/>
      <c r="AG59" s="751"/>
      <c r="AH59" s="751"/>
      <c r="AI59" s="624"/>
      <c r="AJ59" s="751"/>
      <c r="AK59" s="751"/>
      <c r="AL59" s="751"/>
      <c r="AM59" s="624"/>
      <c r="AN59" s="624"/>
      <c r="AO59" s="624"/>
      <c r="AP59" s="624"/>
      <c r="AQ59" s="737"/>
      <c r="AR59" s="753"/>
      <c r="AS59" s="753"/>
      <c r="AT59" s="753"/>
      <c r="AU59" s="624"/>
      <c r="AV59" s="624"/>
      <c r="AW59" s="624"/>
    </row>
    <row r="60" spans="2:66" ht="26.25" customHeight="1">
      <c r="B60" s="756"/>
      <c r="C60" s="624"/>
      <c r="D60" s="751"/>
      <c r="E60" s="751"/>
      <c r="F60" s="751"/>
      <c r="G60" s="751"/>
      <c r="H60" s="751"/>
      <c r="I60" s="624"/>
      <c r="J60" s="624"/>
      <c r="K60" s="750"/>
      <c r="L60" s="751"/>
      <c r="M60" s="751"/>
      <c r="N60" s="751"/>
      <c r="O60" s="750"/>
      <c r="P60" s="751"/>
      <c r="Q60" s="751"/>
      <c r="R60" s="751"/>
      <c r="S60" s="624"/>
      <c r="T60" s="751"/>
      <c r="U60" s="751"/>
      <c r="V60" s="751"/>
      <c r="W60" s="624"/>
      <c r="X60" s="751"/>
      <c r="Y60" s="751"/>
      <c r="Z60" s="751"/>
      <c r="AA60" s="750"/>
      <c r="AB60" s="751"/>
      <c r="AC60" s="661"/>
      <c r="AD60" s="661"/>
      <c r="AE60" s="624"/>
      <c r="AF60" s="751"/>
      <c r="AG60" s="751"/>
      <c r="AH60" s="751"/>
      <c r="AI60" s="624"/>
      <c r="AJ60" s="751"/>
      <c r="AK60" s="751"/>
      <c r="AL60" s="751"/>
      <c r="AM60" s="624"/>
      <c r="AN60" s="624"/>
      <c r="AO60" s="624"/>
      <c r="AP60" s="624"/>
      <c r="AQ60" s="737"/>
      <c r="AR60" s="753"/>
      <c r="AS60" s="753"/>
      <c r="AT60" s="753"/>
      <c r="AU60" s="624"/>
      <c r="AV60" s="624"/>
      <c r="AW60" s="624"/>
    </row>
    <row r="61" spans="2:66" ht="26.25" customHeight="1">
      <c r="B61" s="756"/>
      <c r="C61" s="624"/>
      <c r="D61" s="751"/>
      <c r="E61" s="751"/>
      <c r="F61" s="751"/>
      <c r="G61" s="751"/>
      <c r="H61" s="751"/>
      <c r="I61" s="624"/>
      <c r="J61" s="624"/>
      <c r="K61" s="750"/>
      <c r="L61" s="751"/>
      <c r="M61" s="751"/>
      <c r="N61" s="751"/>
      <c r="O61" s="750"/>
      <c r="P61" s="751"/>
      <c r="Q61" s="751"/>
      <c r="R61" s="751"/>
      <c r="S61" s="624"/>
      <c r="T61" s="751"/>
      <c r="U61" s="751"/>
      <c r="V61" s="751"/>
      <c r="W61" s="624"/>
      <c r="X61" s="751"/>
      <c r="Y61" s="751"/>
      <c r="Z61" s="751"/>
      <c r="AA61" s="750"/>
      <c r="AB61" s="751"/>
      <c r="AC61" s="661"/>
      <c r="AD61" s="661"/>
      <c r="AE61" s="624"/>
      <c r="AF61" s="751"/>
      <c r="AG61" s="751"/>
      <c r="AH61" s="751"/>
      <c r="AI61" s="624"/>
      <c r="AJ61" s="751"/>
      <c r="AK61" s="751"/>
      <c r="AL61" s="751"/>
      <c r="AM61" s="624"/>
      <c r="AN61" s="624"/>
      <c r="AO61" s="624"/>
      <c r="AP61" s="624"/>
      <c r="AQ61" s="737"/>
      <c r="AR61" s="753"/>
      <c r="AS61" s="753"/>
      <c r="AT61" s="753"/>
      <c r="AU61" s="624"/>
      <c r="AV61" s="624"/>
      <c r="AW61" s="624"/>
    </row>
    <row r="62" spans="2:66" ht="26.25" customHeight="1">
      <c r="B62" s="756"/>
      <c r="C62" s="624"/>
      <c r="D62" s="751"/>
      <c r="E62" s="751"/>
      <c r="F62" s="751"/>
      <c r="G62" s="751"/>
      <c r="H62" s="751"/>
      <c r="I62" s="624"/>
      <c r="J62" s="624"/>
      <c r="K62" s="750"/>
      <c r="L62" s="751"/>
      <c r="M62" s="751"/>
      <c r="N62" s="751"/>
      <c r="O62" s="750"/>
      <c r="P62" s="751"/>
      <c r="Q62" s="751"/>
      <c r="R62" s="751"/>
      <c r="S62" s="624"/>
      <c r="T62" s="751"/>
      <c r="U62" s="751"/>
      <c r="V62" s="751"/>
      <c r="W62" s="624"/>
      <c r="X62" s="751"/>
      <c r="Y62" s="751"/>
      <c r="Z62" s="751"/>
      <c r="AA62" s="750"/>
      <c r="AB62" s="751"/>
      <c r="AC62" s="661"/>
      <c r="AD62" s="661"/>
      <c r="AE62" s="624"/>
      <c r="AF62" s="751"/>
      <c r="AG62" s="751"/>
      <c r="AH62" s="751"/>
      <c r="AI62" s="624"/>
      <c r="AJ62" s="751"/>
      <c r="AK62" s="751"/>
      <c r="AL62" s="751"/>
      <c r="AM62" s="624"/>
      <c r="AN62" s="624"/>
      <c r="AO62" s="624"/>
      <c r="AP62" s="624"/>
      <c r="AQ62" s="737"/>
      <c r="AR62" s="753"/>
      <c r="AS62" s="753"/>
      <c r="AT62" s="753"/>
      <c r="AU62" s="624"/>
      <c r="AV62" s="624"/>
      <c r="AW62" s="624"/>
    </row>
    <row r="63" spans="2:66" ht="26.25" customHeight="1">
      <c r="B63" s="756"/>
      <c r="C63" s="624"/>
      <c r="D63" s="751"/>
      <c r="E63" s="751"/>
      <c r="F63" s="751"/>
      <c r="G63" s="751"/>
      <c r="H63" s="751"/>
      <c r="I63" s="624"/>
      <c r="J63" s="624"/>
      <c r="K63" s="750"/>
      <c r="L63" s="751"/>
      <c r="M63" s="751"/>
      <c r="N63" s="751"/>
      <c r="O63" s="750"/>
      <c r="P63" s="751"/>
      <c r="Q63" s="751"/>
      <c r="R63" s="751"/>
      <c r="S63" s="624"/>
      <c r="T63" s="751"/>
      <c r="U63" s="751"/>
      <c r="V63" s="751"/>
      <c r="W63" s="624"/>
      <c r="X63" s="751"/>
      <c r="Y63" s="751"/>
      <c r="Z63" s="751"/>
      <c r="AA63" s="750"/>
      <c r="AB63" s="751"/>
      <c r="AC63" s="661"/>
      <c r="AD63" s="661"/>
      <c r="AE63" s="624"/>
      <c r="AF63" s="751"/>
      <c r="AG63" s="751"/>
      <c r="AH63" s="751"/>
      <c r="AI63" s="624"/>
      <c r="AJ63" s="751"/>
      <c r="AK63" s="751"/>
      <c r="AL63" s="751"/>
      <c r="AM63" s="624"/>
      <c r="AN63" s="624"/>
      <c r="AO63" s="624"/>
      <c r="AP63" s="624"/>
      <c r="AQ63" s="737"/>
      <c r="AR63" s="753"/>
      <c r="AS63" s="753"/>
      <c r="AT63" s="753"/>
      <c r="AU63" s="624"/>
      <c r="AV63" s="624"/>
      <c r="AW63" s="624"/>
    </row>
    <row r="64" spans="2:66" ht="26.25" customHeight="1">
      <c r="B64" s="756"/>
      <c r="C64" s="624"/>
      <c r="D64" s="751"/>
      <c r="E64" s="751"/>
      <c r="F64" s="751"/>
      <c r="G64" s="751"/>
      <c r="H64" s="751"/>
      <c r="I64" s="624"/>
      <c r="J64" s="624"/>
      <c r="K64" s="750"/>
      <c r="L64" s="751"/>
      <c r="M64" s="751"/>
      <c r="N64" s="751"/>
      <c r="O64" s="750"/>
      <c r="P64" s="751"/>
      <c r="Q64" s="751"/>
      <c r="R64" s="751"/>
      <c r="S64" s="624"/>
      <c r="T64" s="751"/>
      <c r="U64" s="751"/>
      <c r="V64" s="751"/>
      <c r="W64" s="624"/>
      <c r="X64" s="751"/>
      <c r="Y64" s="751"/>
      <c r="Z64" s="751"/>
      <c r="AA64" s="750"/>
      <c r="AB64" s="751"/>
      <c r="AC64" s="661"/>
      <c r="AD64" s="661"/>
      <c r="AE64" s="624"/>
      <c r="AF64" s="751"/>
      <c r="AG64" s="751"/>
      <c r="AH64" s="751"/>
      <c r="AI64" s="624"/>
      <c r="AJ64" s="751"/>
      <c r="AK64" s="751"/>
      <c r="AL64" s="751"/>
      <c r="AM64" s="624"/>
      <c r="AN64" s="624"/>
      <c r="AO64" s="624"/>
      <c r="AP64" s="624"/>
      <c r="AQ64" s="737"/>
      <c r="AR64" s="753"/>
      <c r="AS64" s="753"/>
      <c r="AT64" s="753"/>
      <c r="AU64" s="624"/>
      <c r="AV64" s="624"/>
      <c r="AW64" s="624"/>
    </row>
    <row r="65" spans="2:49" ht="26.25" customHeight="1">
      <c r="B65" s="756"/>
      <c r="C65" s="624"/>
      <c r="D65" s="751"/>
      <c r="E65" s="751"/>
      <c r="F65" s="751"/>
      <c r="G65" s="751"/>
      <c r="H65" s="751"/>
      <c r="I65" s="624"/>
      <c r="J65" s="624"/>
      <c r="K65" s="750"/>
      <c r="L65" s="751"/>
      <c r="M65" s="751"/>
      <c r="N65" s="751"/>
      <c r="O65" s="750"/>
      <c r="P65" s="751"/>
      <c r="Q65" s="751"/>
      <c r="R65" s="751"/>
      <c r="S65" s="624"/>
      <c r="T65" s="751"/>
      <c r="U65" s="751"/>
      <c r="V65" s="751"/>
      <c r="W65" s="624"/>
      <c r="X65" s="751"/>
      <c r="Y65" s="751"/>
      <c r="Z65" s="751"/>
      <c r="AA65" s="750"/>
      <c r="AB65" s="751"/>
      <c r="AC65" s="661"/>
      <c r="AD65" s="661"/>
      <c r="AE65" s="624"/>
      <c r="AF65" s="751"/>
      <c r="AG65" s="751"/>
      <c r="AH65" s="751"/>
      <c r="AI65" s="624"/>
      <c r="AJ65" s="751"/>
      <c r="AK65" s="751"/>
      <c r="AL65" s="751"/>
      <c r="AM65" s="624"/>
      <c r="AN65" s="624"/>
      <c r="AO65" s="624"/>
      <c r="AP65" s="624"/>
      <c r="AQ65" s="737"/>
      <c r="AR65" s="753"/>
      <c r="AS65" s="753"/>
      <c r="AT65" s="753"/>
      <c r="AU65" s="624"/>
      <c r="AV65" s="624"/>
      <c r="AW65" s="624"/>
    </row>
    <row r="66" spans="2:49" ht="26.25" customHeight="1">
      <c r="B66" s="756"/>
      <c r="C66" s="624"/>
      <c r="D66" s="751"/>
      <c r="E66" s="751"/>
      <c r="F66" s="751"/>
      <c r="G66" s="751"/>
      <c r="H66" s="751"/>
      <c r="I66" s="624"/>
      <c r="J66" s="624"/>
      <c r="K66" s="750"/>
      <c r="L66" s="751"/>
      <c r="M66" s="751"/>
      <c r="N66" s="751"/>
      <c r="O66" s="750"/>
      <c r="P66" s="751"/>
      <c r="Q66" s="751"/>
      <c r="R66" s="751"/>
      <c r="S66" s="624"/>
      <c r="T66" s="751"/>
      <c r="U66" s="751"/>
      <c r="V66" s="751"/>
      <c r="W66" s="624"/>
      <c r="X66" s="751"/>
      <c r="Y66" s="751"/>
      <c r="Z66" s="751"/>
      <c r="AA66" s="750"/>
      <c r="AB66" s="751"/>
      <c r="AC66" s="661"/>
      <c r="AD66" s="661"/>
      <c r="AE66" s="624"/>
      <c r="AF66" s="751"/>
      <c r="AG66" s="751"/>
      <c r="AH66" s="751"/>
      <c r="AI66" s="624"/>
      <c r="AJ66" s="751"/>
      <c r="AK66" s="751"/>
      <c r="AL66" s="751"/>
      <c r="AM66" s="624"/>
      <c r="AN66" s="624"/>
      <c r="AO66" s="624"/>
      <c r="AP66" s="624"/>
      <c r="AQ66" s="737"/>
      <c r="AR66" s="753"/>
      <c r="AS66" s="753"/>
      <c r="AT66" s="753"/>
      <c r="AU66" s="624"/>
      <c r="AV66" s="624"/>
      <c r="AW66" s="624"/>
    </row>
    <row r="67" spans="2:49" ht="26.25" customHeight="1">
      <c r="B67" s="756"/>
      <c r="C67" s="624"/>
      <c r="D67" s="751"/>
      <c r="E67" s="751"/>
      <c r="F67" s="751"/>
      <c r="G67" s="751"/>
      <c r="H67" s="751"/>
      <c r="I67" s="624"/>
      <c r="J67" s="624"/>
      <c r="K67" s="750"/>
      <c r="L67" s="751"/>
      <c r="M67" s="751"/>
      <c r="N67" s="751"/>
      <c r="O67" s="750"/>
      <c r="P67" s="751"/>
      <c r="Q67" s="751"/>
      <c r="R67" s="751"/>
      <c r="S67" s="624"/>
      <c r="T67" s="751"/>
      <c r="U67" s="751"/>
      <c r="V67" s="751"/>
      <c r="W67" s="624"/>
      <c r="X67" s="751"/>
      <c r="Y67" s="751"/>
      <c r="Z67" s="751"/>
      <c r="AA67" s="750"/>
      <c r="AB67" s="751"/>
      <c r="AC67" s="661"/>
      <c r="AD67" s="661"/>
      <c r="AE67" s="624"/>
      <c r="AF67" s="751"/>
      <c r="AG67" s="751"/>
      <c r="AH67" s="751"/>
      <c r="AI67" s="624"/>
      <c r="AJ67" s="751"/>
      <c r="AK67" s="751"/>
      <c r="AL67" s="751"/>
      <c r="AM67" s="624"/>
      <c r="AN67" s="624"/>
      <c r="AO67" s="624"/>
      <c r="AP67" s="624"/>
      <c r="AQ67" s="737"/>
      <c r="AR67" s="753"/>
      <c r="AS67" s="753"/>
      <c r="AT67" s="753"/>
      <c r="AU67" s="624"/>
      <c r="AV67" s="624"/>
      <c r="AW67" s="624"/>
    </row>
    <row r="68" spans="2:49" ht="26.25" customHeight="1">
      <c r="B68" s="756"/>
      <c r="C68" s="624"/>
      <c r="D68" s="751"/>
      <c r="E68" s="751"/>
      <c r="F68" s="751"/>
      <c r="G68" s="751"/>
      <c r="H68" s="751"/>
      <c r="I68" s="624"/>
      <c r="J68" s="624"/>
      <c r="K68" s="750"/>
      <c r="L68" s="751"/>
      <c r="M68" s="751"/>
      <c r="N68" s="751"/>
      <c r="O68" s="750"/>
      <c r="P68" s="751"/>
      <c r="Q68" s="751"/>
      <c r="R68" s="751"/>
      <c r="S68" s="624"/>
      <c r="T68" s="751"/>
      <c r="U68" s="751"/>
      <c r="V68" s="751"/>
      <c r="W68" s="624"/>
      <c r="X68" s="751"/>
      <c r="Y68" s="751"/>
      <c r="Z68" s="751"/>
      <c r="AA68" s="750"/>
      <c r="AB68" s="751"/>
      <c r="AC68" s="661"/>
      <c r="AD68" s="661"/>
      <c r="AE68" s="624"/>
      <c r="AF68" s="751"/>
      <c r="AG68" s="751"/>
      <c r="AH68" s="751"/>
      <c r="AI68" s="624"/>
      <c r="AJ68" s="751"/>
      <c r="AK68" s="751"/>
      <c r="AL68" s="751"/>
      <c r="AM68" s="624"/>
      <c r="AN68" s="624"/>
      <c r="AO68" s="624"/>
      <c r="AP68" s="624"/>
      <c r="AQ68" s="737"/>
      <c r="AR68" s="753"/>
      <c r="AS68" s="753"/>
      <c r="AT68" s="753"/>
      <c r="AU68" s="624"/>
      <c r="AV68" s="624"/>
      <c r="AW68" s="624"/>
    </row>
    <row r="69" spans="2:49" ht="26.25" customHeight="1">
      <c r="B69" s="756"/>
      <c r="C69" s="624"/>
      <c r="D69" s="751"/>
      <c r="E69" s="751"/>
      <c r="F69" s="751"/>
      <c r="G69" s="751"/>
      <c r="H69" s="751"/>
      <c r="I69" s="624"/>
      <c r="J69" s="624"/>
      <c r="K69" s="750"/>
      <c r="L69" s="751"/>
      <c r="M69" s="751"/>
      <c r="N69" s="751"/>
      <c r="O69" s="750"/>
      <c r="P69" s="751"/>
      <c r="Q69" s="751"/>
      <c r="R69" s="751"/>
      <c r="S69" s="624"/>
      <c r="T69" s="751"/>
      <c r="U69" s="751"/>
      <c r="V69" s="751"/>
      <c r="W69" s="624"/>
      <c r="X69" s="751"/>
      <c r="Y69" s="751"/>
      <c r="Z69" s="751"/>
      <c r="AA69" s="750"/>
      <c r="AB69" s="751"/>
      <c r="AC69" s="661"/>
      <c r="AD69" s="661"/>
      <c r="AE69" s="624"/>
      <c r="AF69" s="751"/>
      <c r="AG69" s="751"/>
      <c r="AH69" s="751"/>
      <c r="AI69" s="624"/>
      <c r="AJ69" s="751"/>
      <c r="AK69" s="751"/>
      <c r="AL69" s="751"/>
      <c r="AM69" s="624"/>
      <c r="AN69" s="624"/>
      <c r="AO69" s="624"/>
      <c r="AP69" s="624"/>
      <c r="AQ69" s="737"/>
      <c r="AR69" s="753"/>
      <c r="AS69" s="753"/>
      <c r="AT69" s="753"/>
      <c r="AU69" s="624"/>
      <c r="AV69" s="624"/>
      <c r="AW69" s="624"/>
    </row>
    <row r="70" spans="2:49" ht="26.25" customHeight="1">
      <c r="B70" s="756"/>
      <c r="C70" s="624"/>
      <c r="D70" s="751"/>
      <c r="E70" s="751"/>
      <c r="F70" s="751"/>
      <c r="G70" s="751"/>
      <c r="H70" s="751"/>
      <c r="I70" s="624"/>
      <c r="J70" s="624"/>
      <c r="K70" s="750"/>
      <c r="L70" s="751"/>
      <c r="M70" s="751"/>
      <c r="N70" s="751"/>
      <c r="O70" s="750"/>
      <c r="P70" s="751"/>
      <c r="Q70" s="751"/>
      <c r="R70" s="751"/>
      <c r="S70" s="624"/>
      <c r="T70" s="751"/>
      <c r="U70" s="751"/>
      <c r="V70" s="751"/>
      <c r="W70" s="624"/>
      <c r="X70" s="751"/>
      <c r="Y70" s="751"/>
      <c r="Z70" s="751"/>
      <c r="AA70" s="750"/>
      <c r="AB70" s="751"/>
      <c r="AC70" s="661"/>
      <c r="AD70" s="661"/>
      <c r="AE70" s="624"/>
      <c r="AF70" s="751"/>
      <c r="AG70" s="751"/>
      <c r="AH70" s="751"/>
      <c r="AI70" s="624"/>
      <c r="AJ70" s="751"/>
      <c r="AK70" s="751"/>
      <c r="AL70" s="751"/>
      <c r="AM70" s="624"/>
      <c r="AN70" s="624"/>
      <c r="AO70" s="624"/>
      <c r="AP70" s="624"/>
      <c r="AQ70" s="737"/>
      <c r="AR70" s="753"/>
      <c r="AS70" s="753"/>
      <c r="AT70" s="753"/>
      <c r="AU70" s="624"/>
      <c r="AV70" s="624"/>
      <c r="AW70" s="624"/>
    </row>
    <row r="71" spans="2:49" ht="26.25" customHeight="1">
      <c r="B71" s="756"/>
      <c r="C71" s="624"/>
      <c r="D71" s="751"/>
      <c r="E71" s="751"/>
      <c r="F71" s="751"/>
      <c r="G71" s="751"/>
      <c r="H71" s="751"/>
      <c r="I71" s="624"/>
      <c r="J71" s="624"/>
      <c r="K71" s="750"/>
      <c r="L71" s="751"/>
      <c r="M71" s="751"/>
      <c r="N71" s="751"/>
      <c r="O71" s="750"/>
      <c r="P71" s="751"/>
      <c r="Q71" s="751"/>
      <c r="R71" s="751"/>
      <c r="S71" s="624"/>
      <c r="T71" s="751"/>
      <c r="U71" s="751"/>
      <c r="V71" s="751"/>
      <c r="W71" s="624"/>
      <c r="X71" s="751"/>
      <c r="Y71" s="751"/>
      <c r="Z71" s="751"/>
      <c r="AA71" s="750"/>
      <c r="AB71" s="751"/>
      <c r="AC71" s="661"/>
      <c r="AD71" s="661"/>
      <c r="AE71" s="624"/>
      <c r="AF71" s="751"/>
      <c r="AG71" s="751"/>
      <c r="AH71" s="751"/>
      <c r="AI71" s="624"/>
      <c r="AJ71" s="751"/>
      <c r="AK71" s="751"/>
      <c r="AL71" s="751"/>
      <c r="AM71" s="624"/>
      <c r="AN71" s="624"/>
      <c r="AO71" s="624"/>
      <c r="AP71" s="624"/>
      <c r="AQ71" s="737"/>
      <c r="AR71" s="753"/>
      <c r="AS71" s="753"/>
      <c r="AT71" s="753"/>
      <c r="AU71" s="624"/>
      <c r="AV71" s="624"/>
      <c r="AW71" s="624"/>
    </row>
    <row r="72" spans="2:49" ht="26.25" customHeight="1">
      <c r="B72" s="756"/>
      <c r="C72" s="624"/>
      <c r="D72" s="751"/>
      <c r="E72" s="751"/>
      <c r="F72" s="751"/>
      <c r="G72" s="751"/>
      <c r="H72" s="751"/>
      <c r="I72" s="624"/>
      <c r="J72" s="624"/>
      <c r="K72" s="750"/>
      <c r="L72" s="751"/>
      <c r="M72" s="751"/>
      <c r="N72" s="751"/>
      <c r="O72" s="750"/>
      <c r="P72" s="751"/>
      <c r="Q72" s="751"/>
      <c r="R72" s="751"/>
      <c r="S72" s="624"/>
      <c r="T72" s="751"/>
      <c r="U72" s="751"/>
      <c r="V72" s="751"/>
      <c r="W72" s="624"/>
      <c r="X72" s="751"/>
      <c r="Y72" s="751"/>
      <c r="Z72" s="751"/>
      <c r="AA72" s="750"/>
      <c r="AB72" s="751"/>
      <c r="AC72" s="661"/>
      <c r="AD72" s="661"/>
      <c r="AE72" s="624"/>
      <c r="AF72" s="751"/>
      <c r="AG72" s="751"/>
      <c r="AH72" s="751"/>
      <c r="AI72" s="624"/>
      <c r="AJ72" s="751"/>
      <c r="AK72" s="751"/>
      <c r="AL72" s="751"/>
      <c r="AM72" s="624"/>
      <c r="AN72" s="624"/>
      <c r="AO72" s="624"/>
      <c r="AP72" s="624"/>
      <c r="AQ72" s="737"/>
      <c r="AR72" s="753"/>
      <c r="AS72" s="753"/>
      <c r="AT72" s="753"/>
      <c r="AU72" s="624"/>
      <c r="AV72" s="624"/>
      <c r="AW72" s="624"/>
    </row>
    <row r="73" spans="2:49" ht="26.25" customHeight="1">
      <c r="B73" s="756"/>
      <c r="C73" s="624"/>
      <c r="D73" s="751"/>
      <c r="E73" s="751"/>
      <c r="F73" s="751"/>
      <c r="G73" s="751"/>
      <c r="H73" s="751"/>
      <c r="I73" s="624"/>
      <c r="J73" s="624"/>
      <c r="K73" s="750"/>
      <c r="L73" s="751"/>
      <c r="M73" s="751"/>
      <c r="N73" s="751"/>
      <c r="O73" s="750"/>
      <c r="P73" s="751"/>
      <c r="Q73" s="751"/>
      <c r="R73" s="751"/>
      <c r="S73" s="624"/>
      <c r="T73" s="751"/>
      <c r="U73" s="751"/>
      <c r="V73" s="751"/>
      <c r="W73" s="624"/>
      <c r="X73" s="751"/>
      <c r="Y73" s="751"/>
      <c r="Z73" s="751"/>
      <c r="AA73" s="750"/>
      <c r="AB73" s="751"/>
      <c r="AC73" s="661"/>
      <c r="AD73" s="661"/>
      <c r="AE73" s="624"/>
      <c r="AF73" s="751"/>
      <c r="AG73" s="751"/>
      <c r="AH73" s="751"/>
      <c r="AI73" s="624"/>
      <c r="AJ73" s="751"/>
      <c r="AK73" s="751"/>
      <c r="AL73" s="751"/>
      <c r="AM73" s="624"/>
      <c r="AN73" s="624"/>
      <c r="AO73" s="624"/>
      <c r="AP73" s="624"/>
      <c r="AQ73" s="737"/>
      <c r="AR73" s="753"/>
      <c r="AS73" s="753"/>
      <c r="AT73" s="753"/>
      <c r="AU73" s="624"/>
      <c r="AV73" s="624"/>
      <c r="AW73" s="624"/>
    </row>
    <row r="74" spans="2:49" ht="26.25" customHeight="1">
      <c r="B74" s="756"/>
      <c r="C74" s="624"/>
      <c r="D74" s="751"/>
      <c r="E74" s="751"/>
      <c r="F74" s="751"/>
      <c r="G74" s="751"/>
      <c r="H74" s="751"/>
      <c r="I74" s="624"/>
      <c r="J74" s="624"/>
      <c r="K74" s="750"/>
      <c r="L74" s="751"/>
      <c r="M74" s="751"/>
      <c r="N74" s="751"/>
      <c r="O74" s="750"/>
      <c r="P74" s="751"/>
      <c r="Q74" s="751"/>
      <c r="R74" s="751"/>
      <c r="S74" s="624"/>
      <c r="T74" s="751"/>
      <c r="U74" s="751"/>
      <c r="V74" s="751"/>
      <c r="W74" s="624"/>
      <c r="X74" s="751"/>
      <c r="Y74" s="751"/>
      <c r="Z74" s="751"/>
      <c r="AA74" s="750"/>
      <c r="AB74" s="751"/>
      <c r="AC74" s="661"/>
      <c r="AD74" s="661"/>
      <c r="AE74" s="624"/>
      <c r="AF74" s="751"/>
      <c r="AG74" s="751"/>
      <c r="AH74" s="751"/>
      <c r="AI74" s="624"/>
      <c r="AJ74" s="751"/>
      <c r="AK74" s="751"/>
      <c r="AL74" s="751"/>
      <c r="AM74" s="624"/>
      <c r="AN74" s="624"/>
      <c r="AO74" s="624"/>
      <c r="AP74" s="624"/>
      <c r="AQ74" s="737"/>
      <c r="AR74" s="753"/>
      <c r="AS74" s="753"/>
      <c r="AT74" s="753"/>
      <c r="AU74" s="624"/>
      <c r="AV74" s="624"/>
      <c r="AW74" s="624"/>
    </row>
    <row r="75" spans="2:49" ht="26.25" customHeight="1">
      <c r="B75" s="756"/>
      <c r="C75" s="624"/>
      <c r="D75" s="751"/>
      <c r="E75" s="751"/>
      <c r="F75" s="751"/>
      <c r="G75" s="751"/>
      <c r="H75" s="751"/>
      <c r="I75" s="624"/>
      <c r="J75" s="624"/>
      <c r="K75" s="750"/>
      <c r="L75" s="751"/>
      <c r="M75" s="751"/>
      <c r="N75" s="751"/>
      <c r="O75" s="750"/>
      <c r="P75" s="751"/>
      <c r="Q75" s="751"/>
      <c r="R75" s="751"/>
      <c r="S75" s="624"/>
      <c r="T75" s="751"/>
      <c r="U75" s="751"/>
      <c r="V75" s="751"/>
      <c r="W75" s="624"/>
      <c r="X75" s="751"/>
      <c r="Y75" s="751"/>
      <c r="Z75" s="751"/>
      <c r="AA75" s="750"/>
      <c r="AB75" s="751"/>
      <c r="AC75" s="661"/>
      <c r="AD75" s="661"/>
      <c r="AE75" s="624"/>
      <c r="AF75" s="751"/>
      <c r="AG75" s="751"/>
      <c r="AH75" s="751"/>
      <c r="AI75" s="624"/>
      <c r="AJ75" s="751"/>
      <c r="AK75" s="751"/>
      <c r="AL75" s="751"/>
      <c r="AM75" s="624"/>
      <c r="AN75" s="624"/>
      <c r="AO75" s="624"/>
      <c r="AP75" s="624"/>
      <c r="AQ75" s="737"/>
      <c r="AR75" s="753"/>
      <c r="AS75" s="753"/>
      <c r="AT75" s="753"/>
      <c r="AU75" s="624"/>
      <c r="AV75" s="624"/>
      <c r="AW75" s="624"/>
    </row>
    <row r="76" spans="2:49" ht="26.25" customHeight="1">
      <c r="B76" s="756"/>
      <c r="C76" s="624"/>
      <c r="D76" s="751"/>
      <c r="E76" s="751"/>
      <c r="F76" s="751"/>
      <c r="G76" s="751"/>
      <c r="H76" s="751"/>
      <c r="I76" s="624"/>
      <c r="J76" s="624"/>
      <c r="K76" s="750"/>
      <c r="L76" s="751"/>
      <c r="M76" s="751"/>
      <c r="N76" s="751"/>
      <c r="O76" s="750"/>
      <c r="P76" s="751"/>
      <c r="Q76" s="751"/>
      <c r="R76" s="751"/>
      <c r="S76" s="624"/>
      <c r="T76" s="751"/>
      <c r="U76" s="751"/>
      <c r="V76" s="751"/>
      <c r="W76" s="624"/>
      <c r="X76" s="751"/>
      <c r="Y76" s="751"/>
      <c r="Z76" s="751"/>
      <c r="AA76" s="750"/>
      <c r="AB76" s="751"/>
      <c r="AC76" s="661"/>
      <c r="AD76" s="661"/>
      <c r="AE76" s="624"/>
      <c r="AF76" s="751"/>
      <c r="AG76" s="751"/>
      <c r="AH76" s="751"/>
      <c r="AI76" s="624"/>
      <c r="AJ76" s="751"/>
      <c r="AK76" s="751"/>
      <c r="AL76" s="751"/>
      <c r="AM76" s="624"/>
      <c r="AN76" s="624"/>
      <c r="AO76" s="624"/>
      <c r="AP76" s="624"/>
      <c r="AQ76" s="737"/>
      <c r="AR76" s="753"/>
      <c r="AS76" s="753"/>
      <c r="AT76" s="753"/>
      <c r="AU76" s="624"/>
      <c r="AV76" s="624"/>
      <c r="AW76" s="624"/>
    </row>
    <row r="77" spans="2:49" ht="26.25" customHeight="1">
      <c r="B77" s="756"/>
      <c r="C77" s="624"/>
      <c r="D77" s="751"/>
      <c r="E77" s="751"/>
      <c r="F77" s="751"/>
      <c r="G77" s="751"/>
      <c r="H77" s="751"/>
      <c r="I77" s="624"/>
      <c r="J77" s="624"/>
      <c r="K77" s="750"/>
      <c r="L77" s="751"/>
      <c r="M77" s="751"/>
      <c r="N77" s="751"/>
      <c r="O77" s="750"/>
      <c r="P77" s="751"/>
      <c r="Q77" s="751"/>
      <c r="R77" s="751"/>
      <c r="S77" s="624"/>
      <c r="T77" s="751"/>
      <c r="U77" s="751"/>
      <c r="V77" s="751"/>
      <c r="W77" s="624"/>
      <c r="X77" s="751"/>
      <c r="Y77" s="751"/>
      <c r="Z77" s="751"/>
      <c r="AA77" s="750"/>
      <c r="AB77" s="751"/>
      <c r="AC77" s="661"/>
      <c r="AD77" s="661"/>
      <c r="AE77" s="624"/>
      <c r="AF77" s="751"/>
      <c r="AG77" s="751"/>
      <c r="AH77" s="751"/>
      <c r="AI77" s="624"/>
      <c r="AJ77" s="751"/>
      <c r="AK77" s="751"/>
      <c r="AL77" s="751"/>
      <c r="AM77" s="624"/>
      <c r="AN77" s="624"/>
      <c r="AO77" s="624"/>
      <c r="AP77" s="624"/>
      <c r="AQ77" s="737"/>
      <c r="AR77" s="753"/>
      <c r="AS77" s="753"/>
      <c r="AT77" s="753"/>
      <c r="AU77" s="624"/>
      <c r="AV77" s="624"/>
      <c r="AW77" s="624"/>
    </row>
    <row r="78" spans="2:49" ht="26.25" customHeight="1">
      <c r="B78" s="756"/>
      <c r="C78" s="624"/>
      <c r="D78" s="751"/>
      <c r="E78" s="751"/>
      <c r="F78" s="751"/>
      <c r="G78" s="751"/>
      <c r="H78" s="751"/>
      <c r="I78" s="624"/>
      <c r="J78" s="624"/>
      <c r="K78" s="750"/>
      <c r="L78" s="751"/>
      <c r="M78" s="751"/>
      <c r="N78" s="751"/>
      <c r="O78" s="750"/>
      <c r="P78" s="751"/>
      <c r="Q78" s="751"/>
      <c r="R78" s="751"/>
      <c r="S78" s="624"/>
      <c r="T78" s="751"/>
      <c r="U78" s="751"/>
      <c r="V78" s="751"/>
      <c r="W78" s="624"/>
      <c r="X78" s="751"/>
      <c r="Y78" s="751"/>
      <c r="Z78" s="751"/>
      <c r="AA78" s="750"/>
      <c r="AB78" s="751"/>
      <c r="AC78" s="661"/>
      <c r="AD78" s="661"/>
      <c r="AE78" s="624"/>
      <c r="AF78" s="751"/>
      <c r="AG78" s="751"/>
      <c r="AH78" s="751"/>
      <c r="AI78" s="624"/>
      <c r="AJ78" s="751"/>
      <c r="AK78" s="751"/>
      <c r="AL78" s="751"/>
      <c r="AM78" s="624"/>
      <c r="AN78" s="624"/>
      <c r="AO78" s="624"/>
      <c r="AP78" s="624"/>
      <c r="AQ78" s="737"/>
      <c r="AR78" s="753"/>
      <c r="AS78" s="753"/>
      <c r="AT78" s="753"/>
      <c r="AU78" s="624"/>
      <c r="AV78" s="624"/>
      <c r="AW78" s="624"/>
    </row>
    <row r="79" spans="2:49" ht="26.25" customHeight="1">
      <c r="B79" s="756"/>
      <c r="C79" s="624"/>
      <c r="D79" s="751"/>
      <c r="E79" s="751"/>
      <c r="F79" s="751"/>
      <c r="G79" s="751"/>
      <c r="H79" s="751"/>
      <c r="I79" s="624"/>
      <c r="J79" s="624"/>
      <c r="K79" s="750"/>
      <c r="L79" s="751"/>
      <c r="M79" s="751"/>
      <c r="N79" s="751"/>
      <c r="O79" s="750"/>
      <c r="P79" s="751"/>
      <c r="Q79" s="751"/>
      <c r="R79" s="751"/>
      <c r="S79" s="624"/>
      <c r="T79" s="751"/>
      <c r="U79" s="751"/>
      <c r="V79" s="751"/>
      <c r="W79" s="624"/>
      <c r="X79" s="751"/>
      <c r="Y79" s="751"/>
      <c r="Z79" s="751"/>
      <c r="AA79" s="750"/>
      <c r="AB79" s="751"/>
      <c r="AC79" s="661"/>
      <c r="AD79" s="661"/>
      <c r="AE79" s="624"/>
      <c r="AF79" s="751"/>
      <c r="AG79" s="751"/>
      <c r="AH79" s="751"/>
      <c r="AI79" s="624"/>
      <c r="AJ79" s="751"/>
      <c r="AK79" s="751"/>
      <c r="AL79" s="751"/>
      <c r="AM79" s="624"/>
      <c r="AN79" s="624"/>
      <c r="AO79" s="624"/>
      <c r="AP79" s="624"/>
      <c r="AQ79" s="737"/>
      <c r="AR79" s="753"/>
      <c r="AS79" s="753"/>
      <c r="AT79" s="753"/>
      <c r="AU79" s="624"/>
      <c r="AV79" s="624"/>
      <c r="AW79" s="624"/>
    </row>
    <row r="80" spans="2:49" ht="26.25" customHeight="1">
      <c r="B80" s="756"/>
      <c r="C80" s="624"/>
      <c r="D80" s="751"/>
      <c r="E80" s="751"/>
      <c r="F80" s="751"/>
      <c r="G80" s="751"/>
      <c r="H80" s="751"/>
      <c r="I80" s="624"/>
      <c r="J80" s="624"/>
      <c r="K80" s="750"/>
      <c r="L80" s="751"/>
      <c r="M80" s="751"/>
      <c r="N80" s="751"/>
      <c r="O80" s="750"/>
      <c r="P80" s="751"/>
      <c r="Q80" s="751"/>
      <c r="R80" s="751"/>
      <c r="S80" s="624"/>
      <c r="T80" s="751"/>
      <c r="U80" s="751"/>
      <c r="V80" s="751"/>
      <c r="W80" s="624"/>
      <c r="X80" s="751"/>
      <c r="Y80" s="751"/>
      <c r="Z80" s="751"/>
      <c r="AA80" s="750"/>
      <c r="AB80" s="751"/>
      <c r="AC80" s="661"/>
      <c r="AD80" s="661"/>
      <c r="AE80" s="624"/>
      <c r="AF80" s="751"/>
      <c r="AG80" s="751"/>
      <c r="AH80" s="751"/>
      <c r="AI80" s="624"/>
      <c r="AJ80" s="751"/>
      <c r="AK80" s="751"/>
      <c r="AL80" s="751"/>
      <c r="AM80" s="624"/>
      <c r="AN80" s="624"/>
      <c r="AO80" s="624"/>
      <c r="AP80" s="624"/>
      <c r="AQ80" s="737"/>
      <c r="AR80" s="753"/>
      <c r="AS80" s="753"/>
      <c r="AT80" s="753"/>
      <c r="AU80" s="624"/>
      <c r="AV80" s="624"/>
      <c r="AW80" s="624"/>
    </row>
    <row r="81" spans="2:49" ht="26.25" customHeight="1">
      <c r="B81" s="756"/>
      <c r="C81" s="624"/>
      <c r="D81" s="751"/>
      <c r="E81" s="751"/>
      <c r="F81" s="751"/>
      <c r="G81" s="751"/>
      <c r="H81" s="751"/>
      <c r="I81" s="624"/>
      <c r="J81" s="624"/>
      <c r="K81" s="750"/>
      <c r="L81" s="751"/>
      <c r="M81" s="751"/>
      <c r="N81" s="751"/>
      <c r="O81" s="750"/>
      <c r="P81" s="751"/>
      <c r="Q81" s="751"/>
      <c r="R81" s="751"/>
      <c r="S81" s="624"/>
      <c r="T81" s="751"/>
      <c r="U81" s="751"/>
      <c r="V81" s="751"/>
      <c r="W81" s="624"/>
      <c r="X81" s="751"/>
      <c r="Y81" s="751"/>
      <c r="Z81" s="751"/>
      <c r="AA81" s="750"/>
      <c r="AB81" s="751"/>
      <c r="AC81" s="661"/>
      <c r="AD81" s="661"/>
      <c r="AE81" s="624"/>
      <c r="AF81" s="751"/>
      <c r="AG81" s="751"/>
      <c r="AH81" s="751"/>
      <c r="AI81" s="624"/>
      <c r="AJ81" s="751"/>
      <c r="AK81" s="751"/>
      <c r="AL81" s="751"/>
      <c r="AM81" s="624"/>
      <c r="AN81" s="624"/>
      <c r="AO81" s="624"/>
      <c r="AP81" s="624"/>
      <c r="AQ81" s="737"/>
      <c r="AR81" s="753"/>
      <c r="AS81" s="753"/>
      <c r="AT81" s="753"/>
      <c r="AU81" s="624"/>
      <c r="AV81" s="624"/>
      <c r="AW81" s="624"/>
    </row>
    <row r="82" spans="2:49" ht="26.25" customHeight="1">
      <c r="B82" s="756"/>
      <c r="C82" s="624"/>
      <c r="D82" s="751"/>
      <c r="E82" s="751"/>
      <c r="F82" s="751"/>
      <c r="G82" s="751"/>
      <c r="H82" s="751"/>
      <c r="I82" s="624"/>
      <c r="J82" s="624"/>
      <c r="K82" s="750"/>
      <c r="L82" s="751"/>
      <c r="M82" s="751"/>
      <c r="N82" s="751"/>
      <c r="O82" s="750"/>
      <c r="P82" s="751"/>
      <c r="Q82" s="751"/>
      <c r="R82" s="751"/>
      <c r="S82" s="624"/>
      <c r="T82" s="751"/>
      <c r="U82" s="751"/>
      <c r="V82" s="751"/>
      <c r="W82" s="624"/>
      <c r="X82" s="751"/>
      <c r="Y82" s="751"/>
      <c r="Z82" s="751"/>
      <c r="AA82" s="750"/>
      <c r="AB82" s="751"/>
      <c r="AC82" s="661"/>
      <c r="AD82" s="661"/>
      <c r="AE82" s="624"/>
      <c r="AF82" s="751"/>
      <c r="AG82" s="751"/>
      <c r="AH82" s="751"/>
      <c r="AI82" s="624"/>
      <c r="AJ82" s="751"/>
      <c r="AK82" s="751"/>
      <c r="AL82" s="751"/>
      <c r="AM82" s="624"/>
      <c r="AN82" s="624"/>
      <c r="AO82" s="624"/>
      <c r="AP82" s="624"/>
      <c r="AQ82" s="737"/>
      <c r="AR82" s="753"/>
      <c r="AS82" s="753"/>
      <c r="AT82" s="753"/>
      <c r="AU82" s="624"/>
      <c r="AV82" s="624"/>
      <c r="AW82" s="624"/>
    </row>
    <row r="83" spans="2:49" ht="26.25" customHeight="1">
      <c r="B83" s="756"/>
      <c r="C83" s="624"/>
      <c r="D83" s="751"/>
      <c r="E83" s="751"/>
      <c r="F83" s="751"/>
      <c r="G83" s="751"/>
      <c r="H83" s="751"/>
      <c r="I83" s="624"/>
      <c r="J83" s="624"/>
      <c r="K83" s="750"/>
      <c r="L83" s="751"/>
      <c r="M83" s="751"/>
      <c r="N83" s="751"/>
      <c r="O83" s="750"/>
      <c r="P83" s="751"/>
      <c r="Q83" s="751"/>
      <c r="R83" s="751"/>
      <c r="S83" s="624"/>
      <c r="T83" s="751"/>
      <c r="U83" s="751"/>
      <c r="V83" s="751"/>
      <c r="W83" s="624"/>
      <c r="X83" s="751"/>
      <c r="Y83" s="751"/>
      <c r="Z83" s="751"/>
      <c r="AA83" s="750"/>
      <c r="AB83" s="751"/>
      <c r="AC83" s="661"/>
      <c r="AD83" s="661"/>
      <c r="AE83" s="624"/>
      <c r="AF83" s="751"/>
      <c r="AG83" s="751"/>
      <c r="AH83" s="751"/>
      <c r="AI83" s="624"/>
      <c r="AJ83" s="751"/>
      <c r="AK83" s="751"/>
      <c r="AL83" s="751"/>
      <c r="AM83" s="624"/>
      <c r="AN83" s="624"/>
      <c r="AO83" s="624"/>
      <c r="AP83" s="624"/>
      <c r="AQ83" s="737"/>
      <c r="AR83" s="753"/>
      <c r="AS83" s="753"/>
      <c r="AT83" s="753"/>
      <c r="AU83" s="624"/>
      <c r="AV83" s="624"/>
      <c r="AW83" s="624"/>
    </row>
    <row r="84" spans="2:49" ht="26.25" customHeight="1">
      <c r="B84" s="756"/>
      <c r="C84" s="624"/>
      <c r="D84" s="751"/>
      <c r="E84" s="751"/>
      <c r="F84" s="751"/>
      <c r="G84" s="751"/>
      <c r="H84" s="751"/>
      <c r="I84" s="624"/>
      <c r="J84" s="624"/>
      <c r="K84" s="750"/>
      <c r="L84" s="751"/>
      <c r="M84" s="751"/>
      <c r="N84" s="751"/>
      <c r="O84" s="750"/>
      <c r="P84" s="751"/>
      <c r="Q84" s="751"/>
      <c r="R84" s="751"/>
      <c r="S84" s="624"/>
      <c r="T84" s="751"/>
      <c r="U84" s="751"/>
      <c r="V84" s="751"/>
      <c r="W84" s="624"/>
      <c r="X84" s="751"/>
      <c r="Y84" s="751"/>
      <c r="Z84" s="751"/>
      <c r="AA84" s="750"/>
      <c r="AB84" s="751"/>
      <c r="AC84" s="661"/>
      <c r="AD84" s="661"/>
      <c r="AE84" s="624"/>
      <c r="AF84" s="751"/>
      <c r="AG84" s="751"/>
      <c r="AH84" s="751"/>
      <c r="AI84" s="624"/>
      <c r="AJ84" s="751"/>
      <c r="AK84" s="751"/>
      <c r="AL84" s="751"/>
      <c r="AM84" s="624"/>
      <c r="AN84" s="624"/>
      <c r="AO84" s="624"/>
      <c r="AP84" s="624"/>
      <c r="AQ84" s="737"/>
      <c r="AR84" s="753"/>
      <c r="AS84" s="753"/>
      <c r="AT84" s="753"/>
      <c r="AU84" s="624"/>
      <c r="AV84" s="624"/>
      <c r="AW84" s="624"/>
    </row>
    <row r="85" spans="2:49" ht="26.25" customHeight="1">
      <c r="B85" s="756"/>
      <c r="C85" s="624"/>
      <c r="D85" s="751"/>
      <c r="E85" s="751"/>
      <c r="F85" s="751"/>
      <c r="G85" s="751"/>
      <c r="H85" s="751"/>
      <c r="I85" s="624"/>
      <c r="J85" s="624"/>
      <c r="K85" s="750"/>
      <c r="L85" s="751"/>
      <c r="M85" s="751"/>
      <c r="N85" s="751"/>
      <c r="O85" s="750"/>
      <c r="P85" s="751"/>
      <c r="Q85" s="751"/>
      <c r="R85" s="751"/>
      <c r="S85" s="624"/>
      <c r="T85" s="751"/>
      <c r="U85" s="751"/>
      <c r="V85" s="751"/>
      <c r="W85" s="624"/>
      <c r="X85" s="751"/>
      <c r="Y85" s="751"/>
      <c r="Z85" s="751"/>
      <c r="AA85" s="750"/>
      <c r="AB85" s="751"/>
      <c r="AC85" s="661"/>
      <c r="AD85" s="661"/>
      <c r="AE85" s="624"/>
      <c r="AF85" s="751"/>
      <c r="AG85" s="751"/>
      <c r="AH85" s="751"/>
      <c r="AI85" s="624"/>
      <c r="AJ85" s="751"/>
      <c r="AK85" s="751"/>
      <c r="AL85" s="751"/>
      <c r="AM85" s="624"/>
      <c r="AN85" s="624"/>
      <c r="AO85" s="624"/>
      <c r="AP85" s="624"/>
      <c r="AQ85" s="737"/>
      <c r="AR85" s="753"/>
      <c r="AS85" s="753"/>
      <c r="AT85" s="753"/>
      <c r="AU85" s="624"/>
      <c r="AV85" s="624"/>
      <c r="AW85" s="624"/>
    </row>
    <row r="86" spans="2:49" ht="26.25" customHeight="1">
      <c r="B86" s="756"/>
      <c r="C86" s="624"/>
      <c r="D86" s="751"/>
      <c r="E86" s="751"/>
      <c r="F86" s="751"/>
      <c r="G86" s="751"/>
      <c r="H86" s="751"/>
      <c r="I86" s="624"/>
      <c r="J86" s="624"/>
      <c r="K86" s="750"/>
      <c r="L86" s="751"/>
      <c r="M86" s="751"/>
      <c r="N86" s="751"/>
      <c r="O86" s="750"/>
      <c r="P86" s="751"/>
      <c r="Q86" s="751"/>
      <c r="R86" s="751"/>
      <c r="S86" s="624"/>
      <c r="T86" s="751"/>
      <c r="U86" s="751"/>
      <c r="V86" s="751"/>
      <c r="W86" s="624"/>
      <c r="X86" s="751"/>
      <c r="Y86" s="751"/>
      <c r="Z86" s="751"/>
      <c r="AA86" s="750"/>
      <c r="AB86" s="751"/>
      <c r="AC86" s="661"/>
      <c r="AD86" s="661"/>
      <c r="AE86" s="624"/>
      <c r="AF86" s="751"/>
      <c r="AG86" s="751"/>
      <c r="AH86" s="751"/>
      <c r="AI86" s="624"/>
      <c r="AJ86" s="751"/>
      <c r="AK86" s="751"/>
      <c r="AL86" s="751"/>
      <c r="AM86" s="624"/>
      <c r="AN86" s="624"/>
      <c r="AO86" s="624"/>
      <c r="AP86" s="624"/>
      <c r="AQ86" s="737"/>
      <c r="AR86" s="753"/>
      <c r="AS86" s="753"/>
      <c r="AT86" s="753"/>
      <c r="AU86" s="624"/>
      <c r="AV86" s="624"/>
      <c r="AW86" s="624"/>
    </row>
    <row r="87" spans="2:49" ht="26.25" customHeight="1">
      <c r="B87" s="756"/>
      <c r="C87" s="624"/>
      <c r="D87" s="751"/>
      <c r="E87" s="751"/>
      <c r="F87" s="751"/>
      <c r="G87" s="751"/>
      <c r="H87" s="751"/>
      <c r="I87" s="624"/>
      <c r="J87" s="624"/>
      <c r="K87" s="750"/>
      <c r="L87" s="751"/>
      <c r="M87" s="751"/>
      <c r="N87" s="751"/>
      <c r="O87" s="750"/>
      <c r="P87" s="751"/>
      <c r="Q87" s="751"/>
      <c r="R87" s="751"/>
      <c r="S87" s="624"/>
      <c r="T87" s="751"/>
      <c r="U87" s="751"/>
      <c r="V87" s="751"/>
      <c r="W87" s="624"/>
      <c r="X87" s="751"/>
      <c r="Y87" s="751"/>
      <c r="Z87" s="751"/>
      <c r="AA87" s="750"/>
      <c r="AB87" s="751"/>
      <c r="AC87" s="661"/>
      <c r="AD87" s="661"/>
      <c r="AE87" s="624"/>
      <c r="AF87" s="751"/>
      <c r="AG87" s="751"/>
      <c r="AH87" s="751"/>
      <c r="AI87" s="624"/>
      <c r="AJ87" s="751"/>
      <c r="AK87" s="751"/>
      <c r="AL87" s="751"/>
      <c r="AM87" s="624"/>
      <c r="AN87" s="624"/>
      <c r="AO87" s="624"/>
      <c r="AP87" s="624"/>
      <c r="AQ87" s="737"/>
      <c r="AR87" s="753"/>
      <c r="AS87" s="753"/>
      <c r="AT87" s="753"/>
      <c r="AU87" s="624"/>
      <c r="AV87" s="624"/>
      <c r="AW87" s="624"/>
    </row>
    <row r="88" spans="2:49" ht="26.25" customHeight="1">
      <c r="B88" s="756"/>
      <c r="C88" s="624"/>
      <c r="D88" s="751"/>
      <c r="E88" s="751"/>
      <c r="F88" s="751"/>
      <c r="G88" s="751"/>
      <c r="H88" s="751"/>
      <c r="I88" s="624"/>
      <c r="J88" s="624"/>
      <c r="K88" s="750"/>
      <c r="L88" s="751"/>
      <c r="M88" s="751"/>
      <c r="N88" s="751"/>
      <c r="O88" s="750"/>
      <c r="P88" s="751"/>
      <c r="Q88" s="751"/>
      <c r="R88" s="751"/>
      <c r="S88" s="624"/>
      <c r="T88" s="751"/>
      <c r="U88" s="751"/>
      <c r="V88" s="751"/>
      <c r="W88" s="624"/>
      <c r="X88" s="751"/>
      <c r="Y88" s="751"/>
      <c r="Z88" s="751"/>
      <c r="AA88" s="750"/>
      <c r="AB88" s="751"/>
      <c r="AC88" s="661"/>
      <c r="AD88" s="661"/>
      <c r="AE88" s="624"/>
      <c r="AF88" s="751"/>
      <c r="AG88" s="751"/>
      <c r="AH88" s="751"/>
      <c r="AI88" s="624"/>
      <c r="AJ88" s="751"/>
      <c r="AK88" s="751"/>
      <c r="AL88" s="751"/>
      <c r="AM88" s="624"/>
      <c r="AN88" s="624"/>
      <c r="AO88" s="624"/>
      <c r="AP88" s="624"/>
      <c r="AQ88" s="737"/>
      <c r="AR88" s="753"/>
      <c r="AS88" s="753"/>
      <c r="AT88" s="753"/>
      <c r="AU88" s="624"/>
      <c r="AV88" s="624"/>
      <c r="AW88" s="624"/>
    </row>
    <row r="89" spans="2:49" ht="26.25" customHeight="1">
      <c r="B89" s="756"/>
      <c r="C89" s="624"/>
      <c r="D89" s="751"/>
      <c r="E89" s="751"/>
      <c r="F89" s="751"/>
      <c r="G89" s="751"/>
      <c r="H89" s="751"/>
      <c r="I89" s="624"/>
      <c r="J89" s="624"/>
      <c r="K89" s="750"/>
      <c r="L89" s="751"/>
      <c r="M89" s="751"/>
      <c r="N89" s="751"/>
      <c r="O89" s="750"/>
      <c r="P89" s="751"/>
      <c r="Q89" s="751"/>
      <c r="R89" s="751"/>
      <c r="S89" s="624"/>
      <c r="T89" s="751"/>
      <c r="U89" s="751"/>
      <c r="V89" s="751"/>
      <c r="W89" s="624"/>
      <c r="X89" s="751"/>
      <c r="Y89" s="751"/>
      <c r="Z89" s="751"/>
      <c r="AA89" s="750"/>
      <c r="AB89" s="751"/>
      <c r="AC89" s="661"/>
      <c r="AD89" s="661"/>
      <c r="AE89" s="624"/>
      <c r="AF89" s="751"/>
      <c r="AG89" s="751"/>
      <c r="AH89" s="751"/>
      <c r="AI89" s="624"/>
      <c r="AJ89" s="751"/>
      <c r="AK89" s="751"/>
      <c r="AL89" s="751"/>
      <c r="AM89" s="624"/>
      <c r="AN89" s="624"/>
      <c r="AO89" s="624"/>
      <c r="AP89" s="624"/>
      <c r="AQ89" s="737"/>
      <c r="AR89" s="753"/>
      <c r="AS89" s="753"/>
      <c r="AT89" s="753"/>
      <c r="AU89" s="624"/>
      <c r="AV89" s="624"/>
      <c r="AW89" s="624"/>
    </row>
    <row r="90" spans="2:49" ht="26.25" customHeight="1">
      <c r="B90" s="756"/>
      <c r="C90" s="624"/>
      <c r="D90" s="751"/>
      <c r="E90" s="751"/>
      <c r="F90" s="751"/>
      <c r="G90" s="751"/>
      <c r="H90" s="751"/>
      <c r="I90" s="624"/>
      <c r="J90" s="624"/>
      <c r="K90" s="750"/>
      <c r="L90" s="751"/>
      <c r="M90" s="751"/>
      <c r="N90" s="751"/>
      <c r="O90" s="750"/>
      <c r="P90" s="751"/>
      <c r="Q90" s="751"/>
      <c r="R90" s="751"/>
      <c r="S90" s="624"/>
      <c r="T90" s="751"/>
      <c r="U90" s="751"/>
      <c r="V90" s="751"/>
      <c r="W90" s="624"/>
      <c r="X90" s="751"/>
      <c r="Y90" s="751"/>
      <c r="Z90" s="751"/>
      <c r="AA90" s="750"/>
      <c r="AB90" s="751"/>
      <c r="AC90" s="661"/>
      <c r="AD90" s="661"/>
      <c r="AE90" s="624"/>
      <c r="AF90" s="751"/>
      <c r="AG90" s="751"/>
      <c r="AH90" s="751"/>
      <c r="AI90" s="624"/>
      <c r="AJ90" s="751"/>
      <c r="AK90" s="751"/>
      <c r="AL90" s="751"/>
      <c r="AM90" s="624"/>
      <c r="AN90" s="624"/>
      <c r="AO90" s="624"/>
      <c r="AP90" s="624"/>
      <c r="AQ90" s="737"/>
      <c r="AR90" s="753"/>
      <c r="AS90" s="753"/>
      <c r="AT90" s="753"/>
      <c r="AU90" s="624"/>
      <c r="AV90" s="624"/>
      <c r="AW90" s="624"/>
    </row>
    <row r="91" spans="2:49" ht="26.25" customHeight="1">
      <c r="B91" s="756"/>
      <c r="C91" s="624"/>
      <c r="D91" s="751"/>
      <c r="E91" s="751"/>
      <c r="F91" s="751"/>
      <c r="G91" s="751"/>
      <c r="H91" s="751"/>
      <c r="I91" s="624"/>
      <c r="J91" s="624"/>
      <c r="K91" s="750"/>
      <c r="L91" s="751"/>
      <c r="M91" s="751"/>
      <c r="N91" s="751"/>
      <c r="O91" s="750"/>
      <c r="P91" s="751"/>
      <c r="Q91" s="751"/>
      <c r="R91" s="751"/>
      <c r="S91" s="624"/>
      <c r="T91" s="751"/>
      <c r="U91" s="751"/>
      <c r="V91" s="751"/>
      <c r="W91" s="624"/>
      <c r="X91" s="751"/>
      <c r="Y91" s="751"/>
      <c r="Z91" s="751"/>
      <c r="AA91" s="750"/>
      <c r="AB91" s="751"/>
      <c r="AC91" s="661"/>
      <c r="AD91" s="661"/>
      <c r="AE91" s="624"/>
      <c r="AF91" s="751"/>
      <c r="AG91" s="751"/>
      <c r="AH91" s="751"/>
      <c r="AI91" s="624"/>
      <c r="AJ91" s="751"/>
      <c r="AK91" s="751"/>
      <c r="AL91" s="751"/>
      <c r="AM91" s="624"/>
      <c r="AN91" s="624"/>
      <c r="AO91" s="624"/>
      <c r="AP91" s="624"/>
      <c r="AQ91" s="737"/>
      <c r="AR91" s="753"/>
      <c r="AS91" s="753"/>
      <c r="AT91" s="753"/>
      <c r="AU91" s="624"/>
      <c r="AV91" s="624"/>
      <c r="AW91" s="624"/>
    </row>
    <row r="92" spans="2:49" ht="26.25" customHeight="1">
      <c r="B92" s="756"/>
      <c r="C92" s="624"/>
      <c r="D92" s="751"/>
      <c r="E92" s="751"/>
      <c r="F92" s="751"/>
      <c r="G92" s="751"/>
      <c r="H92" s="751"/>
      <c r="I92" s="624"/>
      <c r="J92" s="624"/>
      <c r="K92" s="750"/>
      <c r="L92" s="751"/>
      <c r="M92" s="751"/>
      <c r="N92" s="751"/>
      <c r="O92" s="750"/>
      <c r="P92" s="751"/>
      <c r="Q92" s="751"/>
      <c r="R92" s="751"/>
      <c r="S92" s="624"/>
      <c r="T92" s="751"/>
      <c r="U92" s="751"/>
      <c r="V92" s="751"/>
      <c r="W92" s="624"/>
      <c r="X92" s="751"/>
      <c r="Y92" s="751"/>
      <c r="Z92" s="751"/>
      <c r="AA92" s="750"/>
      <c r="AB92" s="751"/>
      <c r="AC92" s="661"/>
      <c r="AD92" s="661"/>
      <c r="AE92" s="624"/>
      <c r="AF92" s="751"/>
      <c r="AG92" s="751"/>
      <c r="AH92" s="751"/>
      <c r="AI92" s="624"/>
      <c r="AJ92" s="751"/>
      <c r="AK92" s="751"/>
      <c r="AL92" s="751"/>
      <c r="AM92" s="624"/>
      <c r="AN92" s="624"/>
      <c r="AO92" s="624"/>
      <c r="AP92" s="624"/>
      <c r="AQ92" s="737"/>
      <c r="AR92" s="753"/>
      <c r="AS92" s="753"/>
      <c r="AT92" s="753"/>
      <c r="AU92" s="624"/>
      <c r="AV92" s="624"/>
      <c r="AW92" s="624"/>
    </row>
    <row r="93" spans="2:49" ht="26.25" customHeight="1">
      <c r="B93" s="756"/>
      <c r="C93" s="624"/>
      <c r="D93" s="751"/>
      <c r="E93" s="751"/>
      <c r="F93" s="751"/>
      <c r="G93" s="751"/>
      <c r="H93" s="751"/>
      <c r="I93" s="624"/>
      <c r="J93" s="624"/>
      <c r="K93" s="750"/>
      <c r="L93" s="751"/>
      <c r="M93" s="751"/>
      <c r="N93" s="751"/>
      <c r="O93" s="750"/>
      <c r="P93" s="751"/>
      <c r="Q93" s="751"/>
      <c r="R93" s="751"/>
      <c r="S93" s="624"/>
      <c r="T93" s="751"/>
      <c r="U93" s="751"/>
      <c r="V93" s="751"/>
      <c r="W93" s="624"/>
      <c r="X93" s="751"/>
      <c r="Y93" s="751"/>
      <c r="Z93" s="751"/>
      <c r="AA93" s="750"/>
      <c r="AB93" s="751"/>
      <c r="AC93" s="661"/>
      <c r="AD93" s="661"/>
      <c r="AE93" s="624"/>
      <c r="AF93" s="751"/>
      <c r="AG93" s="751"/>
      <c r="AH93" s="751"/>
      <c r="AI93" s="624"/>
      <c r="AJ93" s="751"/>
      <c r="AK93" s="751"/>
      <c r="AL93" s="751"/>
      <c r="AM93" s="624"/>
      <c r="AN93" s="624"/>
      <c r="AO93" s="624"/>
      <c r="AP93" s="624"/>
      <c r="AQ93" s="737"/>
      <c r="AR93" s="753"/>
      <c r="AS93" s="753"/>
      <c r="AT93" s="753"/>
      <c r="AU93" s="624"/>
      <c r="AV93" s="624"/>
      <c r="AW93" s="624"/>
    </row>
    <row r="94" spans="2:49" ht="26.25" customHeight="1">
      <c r="B94" s="756"/>
      <c r="C94" s="624"/>
      <c r="D94" s="751"/>
      <c r="E94" s="751"/>
      <c r="F94" s="751"/>
      <c r="G94" s="751"/>
      <c r="H94" s="751"/>
      <c r="I94" s="624"/>
      <c r="J94" s="624"/>
      <c r="K94" s="750"/>
      <c r="L94" s="751"/>
      <c r="M94" s="751"/>
      <c r="N94" s="751"/>
      <c r="O94" s="750"/>
      <c r="P94" s="751"/>
      <c r="Q94" s="751"/>
      <c r="R94" s="751"/>
      <c r="S94" s="624"/>
      <c r="T94" s="751"/>
      <c r="U94" s="751"/>
      <c r="V94" s="751"/>
      <c r="W94" s="624"/>
      <c r="X94" s="751"/>
      <c r="Y94" s="751"/>
      <c r="Z94" s="751"/>
      <c r="AA94" s="750"/>
      <c r="AB94" s="751"/>
      <c r="AC94" s="661"/>
      <c r="AD94" s="661"/>
      <c r="AE94" s="624"/>
      <c r="AF94" s="751"/>
      <c r="AG94" s="751"/>
      <c r="AH94" s="751"/>
      <c r="AI94" s="624"/>
      <c r="AJ94" s="751"/>
      <c r="AK94" s="751"/>
      <c r="AL94" s="751"/>
      <c r="AM94" s="624"/>
      <c r="AN94" s="624"/>
      <c r="AO94" s="624"/>
      <c r="AP94" s="624"/>
      <c r="AQ94" s="737"/>
      <c r="AR94" s="753"/>
      <c r="AS94" s="753"/>
      <c r="AT94" s="753"/>
      <c r="AU94" s="624"/>
      <c r="AV94" s="624"/>
      <c r="AW94" s="624"/>
    </row>
    <row r="95" spans="2:49" ht="26.25" customHeight="1">
      <c r="B95" s="756"/>
      <c r="C95" s="624"/>
      <c r="D95" s="751"/>
      <c r="E95" s="751"/>
      <c r="F95" s="751"/>
      <c r="G95" s="751"/>
      <c r="H95" s="751"/>
      <c r="I95" s="624"/>
      <c r="J95" s="624"/>
      <c r="K95" s="750"/>
      <c r="L95" s="751"/>
      <c r="M95" s="751"/>
      <c r="N95" s="751"/>
      <c r="O95" s="750"/>
      <c r="P95" s="751"/>
      <c r="Q95" s="751"/>
      <c r="R95" s="751"/>
      <c r="S95" s="624"/>
      <c r="T95" s="751"/>
      <c r="U95" s="751"/>
      <c r="V95" s="751"/>
      <c r="W95" s="624"/>
      <c r="X95" s="751"/>
      <c r="Y95" s="751"/>
      <c r="Z95" s="751"/>
      <c r="AA95" s="750"/>
      <c r="AB95" s="751"/>
      <c r="AC95" s="661"/>
      <c r="AD95" s="661"/>
      <c r="AE95" s="624"/>
      <c r="AF95" s="751"/>
      <c r="AG95" s="751"/>
      <c r="AH95" s="751"/>
      <c r="AI95" s="624"/>
      <c r="AJ95" s="751"/>
      <c r="AK95" s="751"/>
      <c r="AL95" s="751"/>
      <c r="AM95" s="624"/>
      <c r="AN95" s="624"/>
      <c r="AO95" s="624"/>
      <c r="AP95" s="624"/>
      <c r="AQ95" s="737"/>
      <c r="AR95" s="753"/>
      <c r="AS95" s="753"/>
      <c r="AT95" s="753"/>
      <c r="AU95" s="624"/>
      <c r="AV95" s="624"/>
      <c r="AW95" s="624"/>
    </row>
    <row r="96" spans="2:49" ht="26.25" customHeight="1">
      <c r="B96" s="756"/>
      <c r="C96" s="624"/>
      <c r="D96" s="751"/>
      <c r="E96" s="751"/>
      <c r="F96" s="751"/>
      <c r="G96" s="751"/>
      <c r="H96" s="751"/>
      <c r="I96" s="624"/>
      <c r="J96" s="624"/>
      <c r="K96" s="750"/>
      <c r="L96" s="751"/>
      <c r="M96" s="751"/>
      <c r="N96" s="751"/>
      <c r="O96" s="750"/>
      <c r="P96" s="751"/>
      <c r="Q96" s="751"/>
      <c r="R96" s="751"/>
      <c r="S96" s="624"/>
      <c r="T96" s="751"/>
      <c r="U96" s="751"/>
      <c r="V96" s="751"/>
      <c r="W96" s="624"/>
      <c r="X96" s="751"/>
      <c r="Y96" s="751"/>
      <c r="Z96" s="751"/>
      <c r="AA96" s="750"/>
      <c r="AB96" s="751"/>
      <c r="AC96" s="661"/>
      <c r="AD96" s="661"/>
      <c r="AE96" s="624"/>
      <c r="AF96" s="751"/>
      <c r="AG96" s="751"/>
      <c r="AH96" s="751"/>
      <c r="AI96" s="624"/>
      <c r="AJ96" s="751"/>
      <c r="AK96" s="751"/>
      <c r="AL96" s="751"/>
      <c r="AM96" s="624"/>
      <c r="AN96" s="624"/>
      <c r="AO96" s="624"/>
      <c r="AP96" s="624"/>
      <c r="AQ96" s="737"/>
      <c r="AR96" s="753"/>
      <c r="AS96" s="753"/>
      <c r="AT96" s="753"/>
      <c r="AU96" s="624"/>
      <c r="AV96" s="624"/>
      <c r="AW96" s="624"/>
    </row>
    <row r="97" spans="2:49" ht="26.25" customHeight="1">
      <c r="B97" s="756"/>
      <c r="C97" s="624"/>
      <c r="D97" s="751"/>
      <c r="E97" s="751"/>
      <c r="F97" s="751"/>
      <c r="G97" s="751"/>
      <c r="H97" s="751"/>
      <c r="I97" s="624"/>
      <c r="J97" s="624"/>
      <c r="K97" s="750"/>
      <c r="L97" s="751"/>
      <c r="M97" s="751"/>
      <c r="N97" s="751"/>
      <c r="O97" s="750"/>
      <c r="P97" s="751"/>
      <c r="Q97" s="751"/>
      <c r="R97" s="751"/>
      <c r="S97" s="624"/>
      <c r="T97" s="751"/>
      <c r="U97" s="751"/>
      <c r="V97" s="751"/>
      <c r="W97" s="624"/>
      <c r="X97" s="751"/>
      <c r="Y97" s="751"/>
      <c r="Z97" s="751"/>
      <c r="AA97" s="750"/>
      <c r="AB97" s="751"/>
      <c r="AC97" s="661"/>
      <c r="AD97" s="661"/>
      <c r="AE97" s="624"/>
      <c r="AF97" s="751"/>
      <c r="AG97" s="751"/>
      <c r="AH97" s="751"/>
      <c r="AI97" s="624"/>
      <c r="AJ97" s="751"/>
      <c r="AK97" s="751"/>
      <c r="AL97" s="751"/>
      <c r="AM97" s="624"/>
      <c r="AN97" s="624"/>
      <c r="AO97" s="624"/>
      <c r="AP97" s="624"/>
      <c r="AQ97" s="737"/>
      <c r="AR97" s="753"/>
      <c r="AS97" s="753"/>
      <c r="AT97" s="753"/>
      <c r="AU97" s="624"/>
      <c r="AV97" s="624"/>
      <c r="AW97" s="624"/>
    </row>
    <row r="98" spans="2:49" ht="26.25" customHeight="1">
      <c r="B98" s="756"/>
      <c r="C98" s="624"/>
      <c r="D98" s="751"/>
      <c r="E98" s="751"/>
      <c r="F98" s="751"/>
      <c r="G98" s="751"/>
      <c r="H98" s="751"/>
      <c r="I98" s="624"/>
      <c r="J98" s="624"/>
      <c r="K98" s="750"/>
      <c r="L98" s="751"/>
      <c r="M98" s="751"/>
      <c r="N98" s="751"/>
      <c r="O98" s="750"/>
      <c r="P98" s="751"/>
      <c r="Q98" s="751"/>
      <c r="R98" s="751"/>
      <c r="S98" s="624"/>
      <c r="T98" s="751"/>
      <c r="U98" s="751"/>
      <c r="V98" s="751"/>
      <c r="W98" s="624"/>
      <c r="X98" s="751"/>
      <c r="Y98" s="751"/>
      <c r="Z98" s="751"/>
      <c r="AA98" s="750"/>
      <c r="AB98" s="751"/>
      <c r="AC98" s="661"/>
      <c r="AD98" s="661"/>
      <c r="AE98" s="624"/>
      <c r="AF98" s="751"/>
      <c r="AG98" s="751"/>
      <c r="AH98" s="751"/>
      <c r="AI98" s="624"/>
      <c r="AJ98" s="751"/>
      <c r="AK98" s="751"/>
      <c r="AL98" s="751"/>
      <c r="AM98" s="624"/>
      <c r="AN98" s="624"/>
      <c r="AO98" s="624"/>
      <c r="AP98" s="624"/>
      <c r="AQ98" s="737"/>
      <c r="AR98" s="753"/>
      <c r="AS98" s="753"/>
      <c r="AT98" s="753"/>
      <c r="AU98" s="624"/>
      <c r="AV98" s="624"/>
      <c r="AW98" s="624"/>
    </row>
    <row r="99" spans="2:49" ht="26.25" customHeight="1">
      <c r="B99" s="756"/>
      <c r="C99" s="624"/>
      <c r="D99" s="751"/>
      <c r="E99" s="751"/>
      <c r="F99" s="751"/>
      <c r="G99" s="751"/>
      <c r="H99" s="751"/>
      <c r="I99" s="624"/>
      <c r="J99" s="624"/>
      <c r="K99" s="750"/>
      <c r="L99" s="751"/>
      <c r="M99" s="751"/>
      <c r="N99" s="751"/>
      <c r="O99" s="750"/>
      <c r="P99" s="751"/>
      <c r="Q99" s="751"/>
      <c r="R99" s="751"/>
      <c r="S99" s="624"/>
      <c r="T99" s="751"/>
      <c r="U99" s="751"/>
      <c r="V99" s="751"/>
      <c r="W99" s="624"/>
      <c r="X99" s="751"/>
      <c r="Y99" s="751"/>
      <c r="Z99" s="751"/>
      <c r="AA99" s="750"/>
      <c r="AB99" s="751"/>
      <c r="AC99" s="661"/>
      <c r="AD99" s="661"/>
      <c r="AE99" s="624"/>
      <c r="AF99" s="751"/>
      <c r="AG99" s="751"/>
      <c r="AH99" s="751"/>
      <c r="AI99" s="624"/>
      <c r="AJ99" s="751"/>
      <c r="AK99" s="751"/>
      <c r="AL99" s="751"/>
      <c r="AM99" s="624"/>
      <c r="AN99" s="624"/>
      <c r="AO99" s="624"/>
      <c r="AP99" s="624"/>
      <c r="AQ99" s="737"/>
      <c r="AR99" s="753"/>
      <c r="AS99" s="753"/>
      <c r="AT99" s="753"/>
      <c r="AU99" s="624"/>
      <c r="AV99" s="624"/>
      <c r="AW99" s="624"/>
    </row>
    <row r="100" spans="2:49" ht="26.25" customHeight="1">
      <c r="B100" s="756"/>
      <c r="C100" s="624"/>
      <c r="D100" s="751"/>
      <c r="E100" s="751"/>
      <c r="F100" s="751"/>
      <c r="G100" s="751"/>
      <c r="H100" s="751"/>
      <c r="I100" s="624"/>
      <c r="J100" s="624"/>
      <c r="K100" s="750"/>
      <c r="L100" s="751"/>
      <c r="M100" s="751"/>
      <c r="N100" s="751"/>
      <c r="O100" s="750"/>
      <c r="P100" s="751"/>
      <c r="Q100" s="751"/>
      <c r="R100" s="751"/>
      <c r="S100" s="624"/>
      <c r="T100" s="751"/>
      <c r="U100" s="751"/>
      <c r="V100" s="751"/>
      <c r="W100" s="624"/>
      <c r="X100" s="751"/>
      <c r="Y100" s="751"/>
      <c r="Z100" s="751"/>
      <c r="AA100" s="750"/>
      <c r="AB100" s="751"/>
      <c r="AC100" s="661"/>
      <c r="AD100" s="661"/>
      <c r="AE100" s="624"/>
      <c r="AF100" s="751"/>
      <c r="AG100" s="751"/>
      <c r="AH100" s="751"/>
      <c r="AI100" s="624"/>
      <c r="AJ100" s="751"/>
      <c r="AK100" s="751"/>
      <c r="AL100" s="751"/>
      <c r="AM100" s="624"/>
      <c r="AN100" s="624"/>
      <c r="AO100" s="624"/>
      <c r="AP100" s="624"/>
      <c r="AQ100" s="737"/>
      <c r="AR100" s="753"/>
      <c r="AS100" s="753"/>
      <c r="AT100" s="753"/>
      <c r="AU100" s="624"/>
      <c r="AV100" s="624"/>
      <c r="AW100" s="624"/>
    </row>
    <row r="101" spans="2:49" ht="26.25" customHeight="1">
      <c r="B101" s="756"/>
      <c r="C101" s="624"/>
      <c r="D101" s="751"/>
      <c r="E101" s="751"/>
      <c r="F101" s="751"/>
      <c r="G101" s="751"/>
      <c r="H101" s="751"/>
      <c r="I101" s="624"/>
      <c r="J101" s="624"/>
      <c r="K101" s="750"/>
      <c r="L101" s="751"/>
      <c r="M101" s="751"/>
      <c r="N101" s="751"/>
      <c r="O101" s="750"/>
      <c r="P101" s="751"/>
      <c r="Q101" s="751"/>
      <c r="R101" s="751"/>
      <c r="S101" s="624"/>
      <c r="T101" s="751"/>
      <c r="U101" s="751"/>
      <c r="V101" s="751"/>
      <c r="W101" s="624"/>
      <c r="X101" s="751"/>
      <c r="Y101" s="751"/>
      <c r="Z101" s="751"/>
      <c r="AA101" s="750"/>
      <c r="AB101" s="751"/>
      <c r="AC101" s="661"/>
      <c r="AD101" s="661"/>
      <c r="AE101" s="624"/>
      <c r="AF101" s="751"/>
      <c r="AG101" s="751"/>
      <c r="AH101" s="751"/>
      <c r="AI101" s="624"/>
      <c r="AJ101" s="751"/>
      <c r="AK101" s="751"/>
      <c r="AL101" s="751"/>
      <c r="AM101" s="624"/>
      <c r="AN101" s="624"/>
      <c r="AO101" s="624"/>
      <c r="AP101" s="624"/>
      <c r="AQ101" s="737"/>
      <c r="AR101" s="753"/>
      <c r="AS101" s="753"/>
      <c r="AT101" s="753"/>
      <c r="AU101" s="624"/>
      <c r="AV101" s="624"/>
      <c r="AW101" s="624"/>
    </row>
    <row r="102" spans="2:49" ht="26.25" customHeight="1">
      <c r="B102" s="756"/>
      <c r="C102" s="624"/>
      <c r="D102" s="751"/>
      <c r="E102" s="751"/>
      <c r="F102" s="751"/>
      <c r="G102" s="751"/>
      <c r="H102" s="751"/>
      <c r="I102" s="624"/>
      <c r="J102" s="624"/>
      <c r="K102" s="750"/>
      <c r="L102" s="751"/>
      <c r="M102" s="751"/>
      <c r="N102" s="751"/>
      <c r="O102" s="750"/>
      <c r="P102" s="751"/>
      <c r="Q102" s="751"/>
      <c r="R102" s="751"/>
      <c r="S102" s="624"/>
      <c r="T102" s="751"/>
      <c r="U102" s="751"/>
      <c r="V102" s="751"/>
      <c r="W102" s="624"/>
      <c r="X102" s="751"/>
      <c r="Y102" s="751"/>
      <c r="Z102" s="751"/>
      <c r="AA102" s="750"/>
      <c r="AB102" s="751"/>
      <c r="AC102" s="661"/>
      <c r="AD102" s="661"/>
      <c r="AE102" s="624"/>
      <c r="AF102" s="751"/>
      <c r="AG102" s="751"/>
      <c r="AH102" s="751"/>
      <c r="AI102" s="624"/>
      <c r="AJ102" s="751"/>
      <c r="AK102" s="751"/>
      <c r="AL102" s="751"/>
      <c r="AM102" s="624"/>
      <c r="AN102" s="624"/>
      <c r="AO102" s="624"/>
      <c r="AP102" s="624"/>
      <c r="AQ102" s="737"/>
      <c r="AR102" s="753"/>
      <c r="AS102" s="753"/>
      <c r="AT102" s="753"/>
      <c r="AU102" s="624"/>
      <c r="AV102" s="624"/>
      <c r="AW102" s="624"/>
    </row>
    <row r="103" spans="2:49" ht="26.25" customHeight="1">
      <c r="B103" s="756"/>
      <c r="C103" s="624"/>
      <c r="D103" s="751"/>
      <c r="E103" s="751"/>
      <c r="F103" s="751"/>
      <c r="G103" s="751"/>
      <c r="H103" s="751"/>
      <c r="I103" s="624"/>
      <c r="J103" s="624"/>
      <c r="K103" s="750"/>
      <c r="L103" s="751"/>
      <c r="M103" s="751"/>
      <c r="N103" s="751"/>
      <c r="O103" s="750"/>
      <c r="P103" s="751"/>
      <c r="Q103" s="751"/>
      <c r="R103" s="751"/>
      <c r="S103" s="624"/>
      <c r="T103" s="751"/>
      <c r="U103" s="751"/>
      <c r="V103" s="751"/>
      <c r="W103" s="624"/>
      <c r="X103" s="751"/>
      <c r="Y103" s="751"/>
      <c r="Z103" s="751"/>
      <c r="AA103" s="750"/>
      <c r="AB103" s="751"/>
      <c r="AC103" s="661"/>
      <c r="AD103" s="661"/>
      <c r="AE103" s="624"/>
      <c r="AF103" s="751"/>
      <c r="AG103" s="751"/>
      <c r="AH103" s="751"/>
      <c r="AI103" s="624"/>
      <c r="AJ103" s="751"/>
      <c r="AK103" s="751"/>
      <c r="AL103" s="751"/>
      <c r="AM103" s="624"/>
      <c r="AN103" s="624"/>
      <c r="AO103" s="624"/>
      <c r="AP103" s="624"/>
      <c r="AQ103" s="737"/>
      <c r="AR103" s="753"/>
      <c r="AS103" s="753"/>
      <c r="AT103" s="753"/>
      <c r="AU103" s="624"/>
      <c r="AV103" s="624"/>
      <c r="AW103" s="624"/>
    </row>
    <row r="104" spans="2:49" ht="26.25" customHeight="1">
      <c r="B104" s="756"/>
      <c r="C104" s="624"/>
      <c r="D104" s="751"/>
      <c r="E104" s="751"/>
      <c r="F104" s="751"/>
      <c r="G104" s="751"/>
      <c r="H104" s="751"/>
      <c r="I104" s="624"/>
      <c r="J104" s="624"/>
      <c r="K104" s="750"/>
      <c r="L104" s="751"/>
      <c r="M104" s="751"/>
      <c r="N104" s="751"/>
      <c r="O104" s="750"/>
      <c r="P104" s="751"/>
      <c r="Q104" s="751"/>
      <c r="R104" s="751"/>
      <c r="S104" s="624"/>
      <c r="T104" s="751"/>
      <c r="U104" s="751"/>
      <c r="V104" s="751"/>
      <c r="W104" s="624"/>
      <c r="X104" s="751"/>
      <c r="Y104" s="751"/>
      <c r="Z104" s="751"/>
      <c r="AA104" s="750"/>
      <c r="AB104" s="751"/>
      <c r="AC104" s="661"/>
      <c r="AD104" s="661"/>
      <c r="AE104" s="624"/>
      <c r="AF104" s="751"/>
      <c r="AG104" s="751"/>
      <c r="AH104" s="751"/>
      <c r="AI104" s="624"/>
      <c r="AJ104" s="751"/>
      <c r="AK104" s="751"/>
      <c r="AL104" s="751"/>
      <c r="AM104" s="624"/>
      <c r="AN104" s="624"/>
      <c r="AO104" s="624"/>
      <c r="AP104" s="624"/>
      <c r="AQ104" s="737"/>
      <c r="AR104" s="753"/>
      <c r="AS104" s="753"/>
      <c r="AT104" s="753"/>
      <c r="AU104" s="624"/>
      <c r="AV104" s="624"/>
      <c r="AW104" s="624"/>
    </row>
    <row r="105" spans="2:49" ht="26.25" customHeight="1">
      <c r="B105" s="756"/>
      <c r="C105" s="624"/>
      <c r="D105" s="751"/>
      <c r="E105" s="751"/>
      <c r="F105" s="751"/>
      <c r="G105" s="751"/>
      <c r="H105" s="751"/>
      <c r="I105" s="624"/>
      <c r="J105" s="624"/>
      <c r="K105" s="750"/>
      <c r="L105" s="751"/>
      <c r="M105" s="751"/>
      <c r="N105" s="751"/>
      <c r="O105" s="750"/>
      <c r="P105" s="751"/>
      <c r="Q105" s="751"/>
      <c r="R105" s="751"/>
      <c r="S105" s="624"/>
      <c r="T105" s="751"/>
      <c r="U105" s="751"/>
      <c r="V105" s="751"/>
      <c r="W105" s="624"/>
      <c r="X105" s="751"/>
      <c r="Y105" s="751"/>
      <c r="Z105" s="751"/>
      <c r="AA105" s="750"/>
      <c r="AB105" s="751"/>
      <c r="AC105" s="661"/>
      <c r="AD105" s="661"/>
      <c r="AE105" s="624"/>
      <c r="AF105" s="751"/>
      <c r="AG105" s="751"/>
      <c r="AH105" s="751"/>
      <c r="AI105" s="624"/>
      <c r="AJ105" s="751"/>
      <c r="AK105" s="751"/>
      <c r="AL105" s="751"/>
      <c r="AM105" s="624"/>
      <c r="AN105" s="624"/>
      <c r="AO105" s="624"/>
      <c r="AP105" s="624"/>
      <c r="AQ105" s="737"/>
      <c r="AR105" s="753"/>
      <c r="AS105" s="753"/>
      <c r="AT105" s="753"/>
      <c r="AU105" s="624"/>
      <c r="AV105" s="624"/>
      <c r="AW105" s="624"/>
    </row>
    <row r="106" spans="2:49" ht="26.25" customHeight="1">
      <c r="B106" s="756"/>
      <c r="C106" s="624"/>
      <c r="D106" s="751"/>
      <c r="E106" s="751"/>
      <c r="F106" s="751"/>
      <c r="G106" s="751"/>
      <c r="H106" s="751"/>
      <c r="I106" s="624"/>
      <c r="J106" s="624"/>
      <c r="K106" s="750"/>
      <c r="L106" s="751"/>
      <c r="M106" s="751"/>
      <c r="N106" s="751"/>
      <c r="O106" s="750"/>
      <c r="P106" s="751"/>
      <c r="Q106" s="751"/>
      <c r="R106" s="751"/>
      <c r="S106" s="624"/>
      <c r="T106" s="751"/>
      <c r="U106" s="751"/>
      <c r="V106" s="751"/>
      <c r="W106" s="624"/>
      <c r="X106" s="751"/>
      <c r="Y106" s="751"/>
      <c r="Z106" s="751"/>
      <c r="AA106" s="750"/>
      <c r="AB106" s="751"/>
      <c r="AC106" s="661"/>
      <c r="AD106" s="661"/>
      <c r="AE106" s="624"/>
      <c r="AF106" s="751"/>
      <c r="AG106" s="751"/>
      <c r="AH106" s="751"/>
      <c r="AI106" s="624"/>
      <c r="AJ106" s="751"/>
      <c r="AK106" s="751"/>
      <c r="AL106" s="751"/>
      <c r="AM106" s="624"/>
      <c r="AN106" s="624"/>
      <c r="AO106" s="624"/>
      <c r="AP106" s="624"/>
      <c r="AQ106" s="737"/>
      <c r="AR106" s="753"/>
      <c r="AS106" s="753"/>
      <c r="AT106" s="753"/>
      <c r="AU106" s="624"/>
      <c r="AV106" s="624"/>
      <c r="AW106" s="624"/>
    </row>
    <row r="107" spans="2:49" ht="26.25" customHeight="1">
      <c r="B107" s="756"/>
      <c r="C107" s="624"/>
      <c r="D107" s="751"/>
      <c r="E107" s="751"/>
      <c r="F107" s="751"/>
      <c r="G107" s="751"/>
      <c r="H107" s="751"/>
      <c r="I107" s="624"/>
      <c r="J107" s="624"/>
      <c r="K107" s="750"/>
      <c r="L107" s="751"/>
      <c r="M107" s="751"/>
      <c r="N107" s="751"/>
      <c r="O107" s="750"/>
      <c r="P107" s="751"/>
      <c r="Q107" s="751"/>
      <c r="R107" s="751"/>
      <c r="S107" s="624"/>
      <c r="T107" s="751"/>
      <c r="U107" s="751"/>
      <c r="V107" s="751"/>
      <c r="W107" s="624"/>
      <c r="X107" s="751"/>
      <c r="Y107" s="751"/>
      <c r="Z107" s="751"/>
      <c r="AA107" s="750"/>
      <c r="AB107" s="751"/>
      <c r="AC107" s="661"/>
      <c r="AD107" s="661"/>
      <c r="AE107" s="624"/>
      <c r="AF107" s="751"/>
      <c r="AG107" s="751"/>
      <c r="AH107" s="751"/>
      <c r="AI107" s="624"/>
      <c r="AJ107" s="751"/>
      <c r="AK107" s="751"/>
      <c r="AL107" s="751"/>
      <c r="AM107" s="624"/>
      <c r="AN107" s="624"/>
      <c r="AO107" s="624"/>
      <c r="AP107" s="624"/>
      <c r="AQ107" s="737"/>
      <c r="AR107" s="753"/>
      <c r="AS107" s="753"/>
      <c r="AT107" s="753"/>
      <c r="AU107" s="624"/>
      <c r="AV107" s="624"/>
      <c r="AW107" s="624"/>
    </row>
    <row r="108" spans="2:49" ht="26.25" customHeight="1">
      <c r="B108" s="756"/>
      <c r="C108" s="624"/>
      <c r="D108" s="751"/>
      <c r="E108" s="751"/>
      <c r="F108" s="751"/>
      <c r="G108" s="751"/>
      <c r="H108" s="751"/>
      <c r="I108" s="624"/>
      <c r="J108" s="624"/>
      <c r="K108" s="750"/>
      <c r="L108" s="751"/>
      <c r="M108" s="751"/>
      <c r="N108" s="751"/>
      <c r="O108" s="750"/>
      <c r="P108" s="751"/>
      <c r="Q108" s="751"/>
      <c r="R108" s="751"/>
      <c r="S108" s="624"/>
      <c r="T108" s="751"/>
      <c r="U108" s="751"/>
      <c r="V108" s="751"/>
      <c r="W108" s="624"/>
      <c r="X108" s="751"/>
      <c r="Y108" s="751"/>
      <c r="Z108" s="751"/>
      <c r="AA108" s="750"/>
      <c r="AB108" s="751"/>
      <c r="AC108" s="661"/>
      <c r="AD108" s="661"/>
      <c r="AE108" s="624"/>
      <c r="AF108" s="751"/>
      <c r="AG108" s="751"/>
      <c r="AH108" s="751"/>
      <c r="AI108" s="624"/>
      <c r="AJ108" s="751"/>
      <c r="AK108" s="751"/>
      <c r="AL108" s="751"/>
      <c r="AM108" s="624"/>
      <c r="AN108" s="624"/>
      <c r="AO108" s="624"/>
      <c r="AP108" s="624"/>
      <c r="AQ108" s="737"/>
      <c r="AR108" s="753"/>
      <c r="AS108" s="753"/>
      <c r="AT108" s="753"/>
      <c r="AU108" s="624"/>
      <c r="AV108" s="624"/>
      <c r="AW108" s="624"/>
    </row>
    <row r="109" spans="2:49" ht="26.25" customHeight="1">
      <c r="B109" s="756"/>
      <c r="C109" s="624"/>
      <c r="D109" s="751"/>
      <c r="E109" s="751"/>
      <c r="F109" s="751"/>
      <c r="G109" s="751"/>
      <c r="H109" s="751"/>
      <c r="I109" s="624"/>
      <c r="J109" s="624"/>
      <c r="K109" s="750"/>
      <c r="L109" s="751"/>
      <c r="M109" s="751"/>
      <c r="N109" s="751"/>
      <c r="O109" s="750"/>
      <c r="P109" s="751"/>
      <c r="Q109" s="751"/>
      <c r="R109" s="751"/>
      <c r="S109" s="624"/>
      <c r="T109" s="751"/>
      <c r="U109" s="751"/>
      <c r="V109" s="751"/>
      <c r="W109" s="624"/>
      <c r="X109" s="751"/>
      <c r="Y109" s="751"/>
      <c r="Z109" s="751"/>
      <c r="AA109" s="750"/>
      <c r="AB109" s="751"/>
      <c r="AC109" s="661"/>
      <c r="AD109" s="661"/>
      <c r="AE109" s="624"/>
      <c r="AF109" s="751"/>
      <c r="AG109" s="751"/>
      <c r="AH109" s="751"/>
      <c r="AI109" s="624"/>
      <c r="AJ109" s="751"/>
      <c r="AK109" s="751"/>
      <c r="AL109" s="751"/>
      <c r="AM109" s="624"/>
      <c r="AN109" s="624"/>
      <c r="AO109" s="624"/>
      <c r="AP109" s="624"/>
      <c r="AQ109" s="737"/>
      <c r="AR109" s="753"/>
      <c r="AS109" s="753"/>
      <c r="AT109" s="753"/>
      <c r="AU109" s="624"/>
      <c r="AV109" s="624"/>
      <c r="AW109" s="624"/>
    </row>
    <row r="110" spans="2:49" ht="26.25" customHeight="1">
      <c r="B110" s="756"/>
      <c r="C110" s="624"/>
      <c r="D110" s="751"/>
      <c r="E110" s="751"/>
      <c r="F110" s="751"/>
      <c r="G110" s="751"/>
      <c r="H110" s="751"/>
      <c r="I110" s="624"/>
      <c r="J110" s="624"/>
      <c r="K110" s="750"/>
      <c r="L110" s="751"/>
      <c r="M110" s="751"/>
      <c r="N110" s="751"/>
      <c r="O110" s="750"/>
      <c r="P110" s="751"/>
      <c r="Q110" s="751"/>
      <c r="R110" s="751"/>
      <c r="S110" s="624"/>
      <c r="T110" s="751"/>
      <c r="U110" s="751"/>
      <c r="V110" s="751"/>
      <c r="W110" s="624"/>
      <c r="X110" s="751"/>
      <c r="Y110" s="751"/>
      <c r="Z110" s="751"/>
      <c r="AA110" s="750"/>
      <c r="AB110" s="751"/>
      <c r="AC110" s="661"/>
      <c r="AD110" s="661"/>
      <c r="AE110" s="624"/>
      <c r="AF110" s="751"/>
      <c r="AG110" s="751"/>
      <c r="AH110" s="751"/>
      <c r="AI110" s="624"/>
      <c r="AJ110" s="751"/>
      <c r="AK110" s="751"/>
      <c r="AL110" s="751"/>
      <c r="AM110" s="624"/>
      <c r="AN110" s="624"/>
      <c r="AO110" s="624"/>
      <c r="AP110" s="624"/>
      <c r="AQ110" s="737"/>
      <c r="AR110" s="753"/>
      <c r="AS110" s="753"/>
      <c r="AT110" s="753"/>
      <c r="AU110" s="624"/>
      <c r="AV110" s="624"/>
      <c r="AW110" s="624"/>
    </row>
    <row r="111" spans="2:49" ht="26.25" customHeight="1">
      <c r="B111" s="756"/>
      <c r="C111" s="624"/>
      <c r="D111" s="751"/>
      <c r="E111" s="751"/>
      <c r="F111" s="751"/>
      <c r="G111" s="751"/>
      <c r="H111" s="751"/>
      <c r="I111" s="624"/>
      <c r="J111" s="624"/>
      <c r="K111" s="750"/>
      <c r="L111" s="751"/>
      <c r="M111" s="751"/>
      <c r="N111" s="751"/>
      <c r="O111" s="750"/>
      <c r="P111" s="751"/>
      <c r="Q111" s="751"/>
      <c r="R111" s="751"/>
      <c r="S111" s="624"/>
      <c r="T111" s="751"/>
      <c r="U111" s="751"/>
      <c r="V111" s="751"/>
      <c r="W111" s="624"/>
      <c r="X111" s="751"/>
      <c r="Y111" s="751"/>
      <c r="Z111" s="751"/>
      <c r="AA111" s="750"/>
      <c r="AB111" s="751"/>
      <c r="AC111" s="661"/>
      <c r="AD111" s="661"/>
      <c r="AE111" s="624"/>
      <c r="AF111" s="751"/>
      <c r="AG111" s="751"/>
      <c r="AH111" s="751"/>
      <c r="AI111" s="624"/>
      <c r="AJ111" s="751"/>
      <c r="AK111" s="751"/>
      <c r="AL111" s="751"/>
      <c r="AM111" s="624"/>
      <c r="AN111" s="624"/>
      <c r="AO111" s="624"/>
      <c r="AP111" s="624"/>
      <c r="AQ111" s="737"/>
      <c r="AR111" s="753"/>
      <c r="AS111" s="753"/>
      <c r="AT111" s="753"/>
      <c r="AU111" s="624"/>
      <c r="AV111" s="624"/>
      <c r="AW111" s="624"/>
    </row>
    <row r="112" spans="2:49" ht="26.25" customHeight="1">
      <c r="B112" s="756"/>
      <c r="C112" s="624"/>
      <c r="D112" s="751"/>
      <c r="E112" s="751"/>
      <c r="F112" s="751"/>
      <c r="G112" s="751"/>
      <c r="H112" s="751"/>
      <c r="I112" s="624"/>
      <c r="J112" s="624"/>
      <c r="K112" s="750"/>
      <c r="L112" s="751"/>
      <c r="M112" s="751"/>
      <c r="N112" s="751"/>
      <c r="O112" s="750"/>
      <c r="P112" s="751"/>
      <c r="Q112" s="751"/>
      <c r="R112" s="751"/>
      <c r="S112" s="624"/>
      <c r="T112" s="751"/>
      <c r="U112" s="751"/>
      <c r="V112" s="751"/>
      <c r="W112" s="624"/>
      <c r="X112" s="751"/>
      <c r="Y112" s="751"/>
      <c r="Z112" s="751"/>
      <c r="AA112" s="750"/>
      <c r="AB112" s="751"/>
      <c r="AC112" s="661"/>
      <c r="AD112" s="661"/>
      <c r="AE112" s="624"/>
      <c r="AF112" s="751"/>
      <c r="AG112" s="751"/>
      <c r="AH112" s="751"/>
      <c r="AI112" s="624"/>
      <c r="AJ112" s="751"/>
      <c r="AK112" s="751"/>
      <c r="AL112" s="751"/>
      <c r="AM112" s="624"/>
      <c r="AN112" s="624"/>
      <c r="AO112" s="624"/>
      <c r="AP112" s="624"/>
      <c r="AQ112" s="737"/>
      <c r="AR112" s="753"/>
      <c r="AS112" s="753"/>
      <c r="AT112" s="753"/>
      <c r="AU112" s="624"/>
      <c r="AV112" s="624"/>
      <c r="AW112" s="624"/>
    </row>
    <row r="113" spans="2:49" ht="26.25" customHeight="1">
      <c r="B113" s="756"/>
      <c r="C113" s="624"/>
      <c r="D113" s="751"/>
      <c r="E113" s="751"/>
      <c r="F113" s="751"/>
      <c r="G113" s="751"/>
      <c r="H113" s="751"/>
      <c r="I113" s="624"/>
      <c r="J113" s="624"/>
      <c r="K113" s="750"/>
      <c r="L113" s="751"/>
      <c r="M113" s="751"/>
      <c r="N113" s="751"/>
      <c r="O113" s="750"/>
      <c r="P113" s="751"/>
      <c r="Q113" s="751"/>
      <c r="R113" s="751"/>
      <c r="S113" s="624"/>
      <c r="T113" s="751"/>
      <c r="U113" s="751"/>
      <c r="V113" s="751"/>
      <c r="W113" s="624"/>
      <c r="X113" s="751"/>
      <c r="Y113" s="751"/>
      <c r="Z113" s="751"/>
      <c r="AA113" s="750"/>
      <c r="AB113" s="751"/>
      <c r="AC113" s="661"/>
      <c r="AD113" s="661"/>
      <c r="AE113" s="624"/>
      <c r="AF113" s="751"/>
      <c r="AG113" s="751"/>
      <c r="AH113" s="751"/>
      <c r="AI113" s="624"/>
      <c r="AJ113" s="751"/>
      <c r="AK113" s="751"/>
      <c r="AL113" s="751"/>
      <c r="AM113" s="624"/>
      <c r="AN113" s="624"/>
      <c r="AO113" s="624"/>
      <c r="AP113" s="624"/>
      <c r="AQ113" s="737"/>
      <c r="AR113" s="753"/>
      <c r="AS113" s="753"/>
      <c r="AT113" s="753"/>
      <c r="AU113" s="624"/>
      <c r="AV113" s="624"/>
      <c r="AW113" s="624"/>
    </row>
    <row r="114" spans="2:49" ht="26.25" customHeight="1">
      <c r="B114" s="756"/>
      <c r="C114" s="624"/>
      <c r="D114" s="751"/>
      <c r="E114" s="751"/>
      <c r="F114" s="751"/>
      <c r="G114" s="751"/>
      <c r="H114" s="751"/>
      <c r="I114" s="624"/>
      <c r="J114" s="624"/>
      <c r="K114" s="750"/>
      <c r="L114" s="751"/>
      <c r="M114" s="751"/>
      <c r="N114" s="751"/>
      <c r="O114" s="750"/>
      <c r="P114" s="751"/>
      <c r="Q114" s="751"/>
      <c r="R114" s="751"/>
      <c r="S114" s="624"/>
      <c r="T114" s="751"/>
      <c r="U114" s="751"/>
      <c r="V114" s="751"/>
      <c r="W114" s="624"/>
      <c r="X114" s="751"/>
      <c r="Y114" s="751"/>
      <c r="Z114" s="751"/>
      <c r="AA114" s="750"/>
      <c r="AB114" s="751"/>
      <c r="AC114" s="661"/>
      <c r="AD114" s="661"/>
      <c r="AE114" s="624"/>
      <c r="AF114" s="751"/>
      <c r="AG114" s="751"/>
      <c r="AH114" s="751"/>
      <c r="AI114" s="624"/>
      <c r="AJ114" s="751"/>
      <c r="AK114" s="751"/>
      <c r="AL114" s="751"/>
      <c r="AM114" s="624"/>
      <c r="AN114" s="624"/>
      <c r="AO114" s="624"/>
      <c r="AP114" s="624"/>
      <c r="AQ114" s="737"/>
      <c r="AR114" s="753"/>
      <c r="AS114" s="753"/>
      <c r="AT114" s="753"/>
      <c r="AU114" s="624"/>
      <c r="AV114" s="624"/>
      <c r="AW114" s="624"/>
    </row>
    <row r="115" spans="2:49" ht="26.25" customHeight="1">
      <c r="B115" s="756"/>
      <c r="C115" s="624"/>
      <c r="D115" s="751"/>
      <c r="E115" s="751"/>
      <c r="F115" s="751"/>
      <c r="G115" s="751"/>
      <c r="H115" s="751"/>
      <c r="I115" s="624"/>
      <c r="J115" s="624"/>
      <c r="K115" s="750"/>
      <c r="L115" s="751"/>
      <c r="M115" s="751"/>
      <c r="N115" s="751"/>
      <c r="O115" s="750"/>
      <c r="P115" s="751"/>
      <c r="Q115" s="751"/>
      <c r="R115" s="751"/>
      <c r="S115" s="624"/>
      <c r="T115" s="751"/>
      <c r="U115" s="751"/>
      <c r="V115" s="751"/>
      <c r="W115" s="624"/>
      <c r="X115" s="751"/>
      <c r="Y115" s="751"/>
      <c r="Z115" s="751"/>
      <c r="AA115" s="750"/>
      <c r="AB115" s="751"/>
      <c r="AC115" s="661"/>
      <c r="AD115" s="661"/>
      <c r="AE115" s="624"/>
      <c r="AF115" s="751"/>
      <c r="AG115" s="751"/>
      <c r="AH115" s="751"/>
      <c r="AI115" s="624"/>
      <c r="AJ115" s="751"/>
      <c r="AK115" s="751"/>
      <c r="AL115" s="751"/>
      <c r="AM115" s="624"/>
      <c r="AN115" s="624"/>
      <c r="AO115" s="624"/>
      <c r="AP115" s="624"/>
      <c r="AQ115" s="737"/>
      <c r="AR115" s="753"/>
      <c r="AS115" s="753"/>
      <c r="AT115" s="753"/>
      <c r="AU115" s="624"/>
      <c r="AV115" s="624"/>
      <c r="AW115" s="624"/>
    </row>
    <row r="116" spans="2:49" ht="26.25" customHeight="1">
      <c r="B116" s="756"/>
      <c r="C116" s="624"/>
      <c r="D116" s="751"/>
      <c r="E116" s="751"/>
      <c r="F116" s="751"/>
      <c r="G116" s="751"/>
      <c r="H116" s="751"/>
      <c r="I116" s="624"/>
      <c r="J116" s="624"/>
      <c r="K116" s="750"/>
      <c r="L116" s="751"/>
      <c r="M116" s="751"/>
      <c r="N116" s="751"/>
      <c r="O116" s="750"/>
      <c r="P116" s="751"/>
      <c r="Q116" s="751"/>
      <c r="R116" s="751"/>
      <c r="S116" s="624"/>
      <c r="T116" s="751"/>
      <c r="U116" s="751"/>
      <c r="V116" s="751"/>
      <c r="W116" s="624"/>
      <c r="X116" s="751"/>
      <c r="Y116" s="751"/>
      <c r="Z116" s="751"/>
      <c r="AA116" s="750"/>
      <c r="AB116" s="751"/>
      <c r="AC116" s="661"/>
      <c r="AD116" s="661"/>
      <c r="AE116" s="624"/>
      <c r="AF116" s="751"/>
      <c r="AG116" s="751"/>
      <c r="AH116" s="751"/>
      <c r="AI116" s="624"/>
      <c r="AJ116" s="751"/>
      <c r="AK116" s="751"/>
      <c r="AL116" s="751"/>
      <c r="AM116" s="624"/>
      <c r="AN116" s="624"/>
      <c r="AO116" s="624"/>
      <c r="AP116" s="624"/>
      <c r="AQ116" s="737"/>
      <c r="AR116" s="753"/>
      <c r="AS116" s="753"/>
      <c r="AT116" s="753"/>
      <c r="AU116" s="624"/>
      <c r="AV116" s="624"/>
      <c r="AW116" s="624"/>
    </row>
    <row r="117" spans="2:49" ht="26.25" customHeight="1">
      <c r="B117" s="756"/>
      <c r="C117" s="624"/>
      <c r="D117" s="751"/>
      <c r="E117" s="751"/>
      <c r="F117" s="751"/>
      <c r="G117" s="751"/>
      <c r="H117" s="751"/>
      <c r="I117" s="624"/>
      <c r="J117" s="624"/>
      <c r="K117" s="750"/>
      <c r="L117" s="751"/>
      <c r="M117" s="751"/>
      <c r="N117" s="751"/>
      <c r="O117" s="750"/>
      <c r="P117" s="751"/>
      <c r="Q117" s="751"/>
      <c r="R117" s="751"/>
      <c r="S117" s="624"/>
      <c r="T117" s="751"/>
      <c r="U117" s="751"/>
      <c r="V117" s="751"/>
      <c r="W117" s="624"/>
      <c r="X117" s="751"/>
      <c r="Y117" s="751"/>
      <c r="Z117" s="751"/>
      <c r="AA117" s="750"/>
      <c r="AB117" s="751"/>
      <c r="AC117" s="661"/>
      <c r="AD117" s="661"/>
      <c r="AE117" s="624"/>
      <c r="AF117" s="751"/>
      <c r="AG117" s="751"/>
      <c r="AH117" s="751"/>
      <c r="AI117" s="624"/>
      <c r="AJ117" s="751"/>
      <c r="AK117" s="751"/>
      <c r="AL117" s="751"/>
      <c r="AM117" s="624"/>
      <c r="AN117" s="624"/>
      <c r="AO117" s="624"/>
      <c r="AP117" s="624"/>
      <c r="AQ117" s="737"/>
      <c r="AR117" s="753"/>
      <c r="AS117" s="753"/>
      <c r="AT117" s="753"/>
      <c r="AU117" s="624"/>
      <c r="AV117" s="624"/>
      <c r="AW117" s="624"/>
    </row>
    <row r="118" spans="2:49" ht="26.25" customHeight="1">
      <c r="B118" s="756"/>
      <c r="C118" s="624"/>
      <c r="D118" s="751"/>
      <c r="E118" s="751"/>
      <c r="F118" s="751"/>
      <c r="G118" s="751"/>
      <c r="H118" s="751"/>
      <c r="I118" s="624"/>
      <c r="J118" s="624"/>
      <c r="K118" s="750"/>
      <c r="L118" s="751"/>
      <c r="M118" s="751"/>
      <c r="N118" s="751"/>
      <c r="O118" s="750"/>
      <c r="P118" s="751"/>
      <c r="Q118" s="751"/>
      <c r="R118" s="751"/>
      <c r="S118" s="624"/>
      <c r="T118" s="751"/>
      <c r="U118" s="751"/>
      <c r="V118" s="751"/>
      <c r="W118" s="624"/>
      <c r="X118" s="751"/>
      <c r="Y118" s="751"/>
      <c r="Z118" s="751"/>
      <c r="AA118" s="750"/>
      <c r="AB118" s="751"/>
      <c r="AC118" s="661"/>
      <c r="AD118" s="661"/>
      <c r="AE118" s="624"/>
      <c r="AF118" s="751"/>
      <c r="AG118" s="751"/>
      <c r="AH118" s="751"/>
      <c r="AI118" s="624"/>
      <c r="AJ118" s="751"/>
      <c r="AK118" s="751"/>
      <c r="AL118" s="751"/>
      <c r="AM118" s="624"/>
      <c r="AN118" s="624"/>
      <c r="AO118" s="624"/>
      <c r="AP118" s="624"/>
      <c r="AQ118" s="737"/>
      <c r="AR118" s="753"/>
      <c r="AS118" s="753"/>
      <c r="AT118" s="753"/>
      <c r="AU118" s="624"/>
      <c r="AV118" s="624"/>
      <c r="AW118" s="624"/>
    </row>
    <row r="119" spans="2:49" ht="26.25" customHeight="1">
      <c r="B119" s="756"/>
      <c r="C119" s="624"/>
      <c r="D119" s="751"/>
      <c r="E119" s="751"/>
      <c r="F119" s="751"/>
      <c r="G119" s="751"/>
      <c r="H119" s="751"/>
      <c r="I119" s="624"/>
      <c r="J119" s="624"/>
      <c r="K119" s="750"/>
      <c r="L119" s="751"/>
      <c r="M119" s="751"/>
      <c r="N119" s="751"/>
      <c r="O119" s="750"/>
      <c r="P119" s="751"/>
      <c r="Q119" s="751"/>
      <c r="R119" s="751"/>
      <c r="S119" s="624"/>
      <c r="T119" s="751"/>
      <c r="U119" s="751"/>
      <c r="V119" s="751"/>
      <c r="W119" s="624"/>
      <c r="X119" s="751"/>
      <c r="Y119" s="751"/>
      <c r="Z119" s="751"/>
      <c r="AA119" s="750"/>
      <c r="AB119" s="751"/>
      <c r="AC119" s="661"/>
      <c r="AD119" s="661"/>
      <c r="AE119" s="624"/>
      <c r="AF119" s="751"/>
      <c r="AG119" s="751"/>
      <c r="AH119" s="751"/>
      <c r="AI119" s="624"/>
      <c r="AJ119" s="751"/>
      <c r="AK119" s="751"/>
      <c r="AL119" s="751"/>
      <c r="AM119" s="624"/>
      <c r="AN119" s="624"/>
      <c r="AO119" s="624"/>
      <c r="AP119" s="624"/>
      <c r="AQ119" s="737"/>
      <c r="AR119" s="753"/>
      <c r="AS119" s="753"/>
      <c r="AT119" s="753"/>
      <c r="AU119" s="624"/>
      <c r="AV119" s="624"/>
      <c r="AW119" s="624"/>
    </row>
    <row r="120" spans="2:49" ht="26.25" customHeight="1">
      <c r="B120" s="756"/>
      <c r="C120" s="624"/>
      <c r="D120" s="751"/>
      <c r="E120" s="751"/>
      <c r="F120" s="751"/>
      <c r="G120" s="751"/>
      <c r="H120" s="751"/>
      <c r="I120" s="624"/>
      <c r="J120" s="624"/>
      <c r="K120" s="750"/>
      <c r="L120" s="751"/>
      <c r="M120" s="751"/>
      <c r="N120" s="751"/>
      <c r="O120" s="750"/>
      <c r="P120" s="751"/>
      <c r="Q120" s="751"/>
      <c r="R120" s="751"/>
      <c r="S120" s="624"/>
      <c r="T120" s="751"/>
      <c r="U120" s="751"/>
      <c r="V120" s="751"/>
      <c r="W120" s="624"/>
      <c r="X120" s="751"/>
      <c r="Y120" s="751"/>
      <c r="Z120" s="751"/>
      <c r="AA120" s="750"/>
      <c r="AB120" s="751"/>
      <c r="AC120" s="661"/>
      <c r="AD120" s="661"/>
      <c r="AE120" s="624"/>
      <c r="AF120" s="751"/>
      <c r="AG120" s="751"/>
      <c r="AH120" s="751"/>
      <c r="AI120" s="624"/>
      <c r="AJ120" s="751"/>
      <c r="AK120" s="751"/>
      <c r="AL120" s="751"/>
      <c r="AM120" s="624"/>
      <c r="AN120" s="624"/>
      <c r="AO120" s="624"/>
      <c r="AP120" s="624"/>
      <c r="AQ120" s="737"/>
      <c r="AR120" s="753"/>
      <c r="AS120" s="753"/>
      <c r="AT120" s="753"/>
      <c r="AU120" s="624"/>
      <c r="AV120" s="624"/>
      <c r="AW120" s="624"/>
    </row>
    <row r="121" spans="2:49" ht="26.25" customHeight="1">
      <c r="B121" s="756"/>
      <c r="C121" s="624"/>
      <c r="D121" s="751"/>
      <c r="E121" s="751"/>
      <c r="F121" s="751"/>
      <c r="G121" s="751"/>
      <c r="H121" s="751"/>
      <c r="I121" s="624"/>
      <c r="J121" s="624"/>
      <c r="K121" s="750"/>
      <c r="L121" s="751"/>
      <c r="M121" s="751"/>
      <c r="N121" s="751"/>
      <c r="O121" s="750"/>
      <c r="P121" s="751"/>
      <c r="Q121" s="751"/>
      <c r="R121" s="751"/>
      <c r="S121" s="624"/>
      <c r="T121" s="751"/>
      <c r="U121" s="751"/>
      <c r="V121" s="751"/>
      <c r="W121" s="624"/>
      <c r="X121" s="751"/>
      <c r="Y121" s="751"/>
      <c r="Z121" s="751"/>
      <c r="AA121" s="750"/>
      <c r="AB121" s="751"/>
      <c r="AC121" s="661"/>
      <c r="AD121" s="661"/>
      <c r="AE121" s="624"/>
      <c r="AF121" s="751"/>
      <c r="AG121" s="751"/>
      <c r="AH121" s="751"/>
      <c r="AI121" s="624"/>
      <c r="AJ121" s="751"/>
      <c r="AK121" s="751"/>
      <c r="AL121" s="751"/>
      <c r="AM121" s="624"/>
      <c r="AN121" s="624"/>
      <c r="AO121" s="624"/>
      <c r="AP121" s="624"/>
      <c r="AQ121" s="737"/>
      <c r="AR121" s="753"/>
      <c r="AS121" s="753"/>
      <c r="AT121" s="753"/>
      <c r="AU121" s="624"/>
      <c r="AV121" s="624"/>
      <c r="AW121" s="624"/>
    </row>
    <row r="122" spans="2:49" ht="26.25" customHeight="1">
      <c r="B122" s="756"/>
      <c r="C122" s="624"/>
      <c r="D122" s="751"/>
      <c r="E122" s="751"/>
      <c r="F122" s="751"/>
      <c r="G122" s="751"/>
      <c r="H122" s="751"/>
      <c r="I122" s="624"/>
      <c r="J122" s="624"/>
      <c r="K122" s="750"/>
      <c r="L122" s="751"/>
      <c r="M122" s="751"/>
      <c r="N122" s="751"/>
      <c r="O122" s="750"/>
      <c r="P122" s="751"/>
      <c r="Q122" s="751"/>
      <c r="R122" s="751"/>
      <c r="S122" s="624"/>
      <c r="T122" s="751"/>
      <c r="U122" s="751"/>
      <c r="V122" s="751"/>
      <c r="W122" s="624"/>
      <c r="X122" s="751"/>
      <c r="Y122" s="751"/>
      <c r="Z122" s="751"/>
      <c r="AA122" s="750"/>
      <c r="AB122" s="751"/>
      <c r="AC122" s="661"/>
      <c r="AD122" s="661"/>
      <c r="AE122" s="624"/>
      <c r="AF122" s="751"/>
      <c r="AG122" s="751"/>
      <c r="AH122" s="751"/>
      <c r="AI122" s="624"/>
      <c r="AJ122" s="751"/>
      <c r="AK122" s="751"/>
      <c r="AL122" s="751"/>
      <c r="AM122" s="624"/>
      <c r="AN122" s="624"/>
      <c r="AO122" s="624"/>
      <c r="AP122" s="624"/>
      <c r="AQ122" s="737"/>
      <c r="AR122" s="753"/>
      <c r="AS122" s="753"/>
      <c r="AT122" s="753"/>
      <c r="AU122" s="624"/>
      <c r="AV122" s="624"/>
      <c r="AW122" s="624"/>
    </row>
    <row r="123" spans="2:49" ht="26.25" customHeight="1">
      <c r="B123" s="756"/>
      <c r="C123" s="624"/>
      <c r="D123" s="751"/>
      <c r="E123" s="751"/>
      <c r="F123" s="751"/>
      <c r="G123" s="751"/>
      <c r="H123" s="751"/>
      <c r="I123" s="624"/>
      <c r="J123" s="624"/>
      <c r="K123" s="750"/>
      <c r="L123" s="751"/>
      <c r="M123" s="751"/>
      <c r="N123" s="751"/>
      <c r="O123" s="750"/>
      <c r="P123" s="751"/>
      <c r="Q123" s="751"/>
      <c r="R123" s="751"/>
      <c r="S123" s="624"/>
      <c r="T123" s="751"/>
      <c r="U123" s="751"/>
      <c r="V123" s="751"/>
      <c r="W123" s="624"/>
      <c r="X123" s="751"/>
      <c r="Y123" s="751"/>
      <c r="Z123" s="751"/>
      <c r="AA123" s="750"/>
      <c r="AB123" s="751"/>
      <c r="AC123" s="661"/>
      <c r="AD123" s="661"/>
      <c r="AE123" s="624"/>
      <c r="AF123" s="751"/>
      <c r="AG123" s="751"/>
      <c r="AH123" s="751"/>
      <c r="AI123" s="624"/>
      <c r="AJ123" s="751"/>
      <c r="AK123" s="751"/>
      <c r="AL123" s="751"/>
      <c r="AM123" s="624"/>
      <c r="AN123" s="624"/>
      <c r="AO123" s="624"/>
      <c r="AP123" s="624"/>
      <c r="AQ123" s="737"/>
      <c r="AR123" s="753"/>
      <c r="AS123" s="753"/>
      <c r="AT123" s="753"/>
      <c r="AU123" s="624"/>
      <c r="AV123" s="624"/>
      <c r="AW123" s="624"/>
    </row>
    <row r="124" spans="2:49" ht="26.25" customHeight="1">
      <c r="B124" s="756"/>
      <c r="C124" s="624"/>
      <c r="D124" s="751"/>
      <c r="E124" s="751"/>
      <c r="F124" s="751"/>
      <c r="G124" s="751"/>
      <c r="H124" s="751"/>
      <c r="I124" s="624"/>
      <c r="J124" s="624"/>
      <c r="K124" s="750"/>
      <c r="L124" s="751"/>
      <c r="M124" s="751"/>
      <c r="N124" s="751"/>
      <c r="O124" s="750"/>
      <c r="P124" s="751"/>
      <c r="Q124" s="751"/>
      <c r="R124" s="751"/>
      <c r="S124" s="624"/>
      <c r="T124" s="751"/>
      <c r="U124" s="751"/>
      <c r="V124" s="751"/>
      <c r="W124" s="624"/>
      <c r="X124" s="751"/>
      <c r="Y124" s="751"/>
      <c r="Z124" s="751"/>
      <c r="AA124" s="750"/>
      <c r="AB124" s="751"/>
      <c r="AC124" s="661"/>
      <c r="AD124" s="661"/>
      <c r="AE124" s="624"/>
      <c r="AF124" s="751"/>
      <c r="AG124" s="751"/>
      <c r="AH124" s="751"/>
      <c r="AI124" s="624"/>
      <c r="AJ124" s="751"/>
      <c r="AK124" s="751"/>
      <c r="AL124" s="751"/>
      <c r="AM124" s="624"/>
      <c r="AN124" s="624"/>
      <c r="AO124" s="624"/>
      <c r="AP124" s="624"/>
      <c r="AQ124" s="737"/>
      <c r="AR124" s="753"/>
      <c r="AS124" s="753"/>
      <c r="AT124" s="753"/>
      <c r="AU124" s="624"/>
      <c r="AV124" s="624"/>
      <c r="AW124" s="624"/>
    </row>
    <row r="125" spans="2:49" ht="26.25" customHeight="1">
      <c r="B125" s="756"/>
      <c r="C125" s="624"/>
      <c r="D125" s="751"/>
      <c r="E125" s="751"/>
      <c r="F125" s="751"/>
      <c r="G125" s="751"/>
      <c r="H125" s="751"/>
      <c r="I125" s="624"/>
      <c r="J125" s="624"/>
      <c r="K125" s="750"/>
      <c r="L125" s="751"/>
      <c r="M125" s="751"/>
      <c r="N125" s="751"/>
      <c r="O125" s="750"/>
      <c r="P125" s="751"/>
      <c r="Q125" s="751"/>
      <c r="R125" s="751"/>
      <c r="S125" s="624"/>
      <c r="T125" s="751"/>
      <c r="U125" s="751"/>
      <c r="V125" s="751"/>
      <c r="W125" s="624"/>
      <c r="X125" s="751"/>
      <c r="Y125" s="751"/>
      <c r="Z125" s="751"/>
      <c r="AA125" s="750"/>
      <c r="AB125" s="751"/>
      <c r="AC125" s="661"/>
      <c r="AD125" s="661"/>
      <c r="AE125" s="624"/>
      <c r="AF125" s="751"/>
      <c r="AG125" s="751"/>
      <c r="AH125" s="751"/>
      <c r="AI125" s="624"/>
      <c r="AJ125" s="751"/>
      <c r="AK125" s="751"/>
      <c r="AL125" s="751"/>
      <c r="AM125" s="624"/>
      <c r="AN125" s="624"/>
      <c r="AO125" s="624"/>
      <c r="AP125" s="624"/>
      <c r="AQ125" s="737"/>
      <c r="AR125" s="753"/>
      <c r="AS125" s="753"/>
      <c r="AT125" s="753"/>
      <c r="AU125" s="624"/>
      <c r="AV125" s="624"/>
      <c r="AW125" s="624"/>
    </row>
    <row r="126" spans="2:49" ht="26.25" customHeight="1">
      <c r="B126" s="756"/>
      <c r="C126" s="624"/>
      <c r="D126" s="751"/>
      <c r="E126" s="751"/>
      <c r="F126" s="751"/>
      <c r="G126" s="751"/>
      <c r="H126" s="751"/>
      <c r="I126" s="624"/>
      <c r="J126" s="624"/>
      <c r="K126" s="750"/>
      <c r="L126" s="751"/>
      <c r="M126" s="751"/>
      <c r="N126" s="751"/>
      <c r="O126" s="750"/>
      <c r="P126" s="751"/>
      <c r="Q126" s="751"/>
      <c r="R126" s="751"/>
      <c r="S126" s="624"/>
      <c r="T126" s="751"/>
      <c r="U126" s="751"/>
      <c r="V126" s="751"/>
      <c r="W126" s="624"/>
      <c r="X126" s="751"/>
      <c r="Y126" s="751"/>
      <c r="Z126" s="751"/>
      <c r="AA126" s="750"/>
      <c r="AB126" s="751"/>
      <c r="AC126" s="661"/>
      <c r="AD126" s="661"/>
      <c r="AE126" s="624"/>
      <c r="AF126" s="751"/>
      <c r="AG126" s="751"/>
      <c r="AH126" s="751"/>
      <c r="AI126" s="624"/>
      <c r="AJ126" s="751"/>
      <c r="AK126" s="751"/>
      <c r="AL126" s="751"/>
      <c r="AM126" s="624"/>
      <c r="AN126" s="624"/>
      <c r="AO126" s="624"/>
      <c r="AP126" s="624"/>
      <c r="AQ126" s="737"/>
      <c r="AR126" s="753"/>
      <c r="AS126" s="753"/>
      <c r="AT126" s="753"/>
      <c r="AU126" s="624"/>
      <c r="AV126" s="624"/>
      <c r="AW126" s="624"/>
    </row>
    <row r="127" spans="2:49" ht="26.25" customHeight="1">
      <c r="B127" s="756"/>
      <c r="C127" s="624"/>
      <c r="D127" s="751"/>
      <c r="E127" s="751"/>
      <c r="F127" s="751"/>
      <c r="G127" s="751"/>
      <c r="H127" s="751"/>
      <c r="I127" s="624"/>
      <c r="J127" s="624"/>
      <c r="K127" s="750"/>
      <c r="L127" s="751"/>
      <c r="M127" s="751"/>
      <c r="N127" s="751"/>
      <c r="O127" s="750"/>
      <c r="P127" s="751"/>
      <c r="Q127" s="751"/>
      <c r="R127" s="751"/>
      <c r="S127" s="624"/>
      <c r="T127" s="751"/>
      <c r="U127" s="751"/>
      <c r="V127" s="751"/>
      <c r="W127" s="624"/>
      <c r="X127" s="751"/>
      <c r="Y127" s="751"/>
      <c r="Z127" s="751"/>
      <c r="AA127" s="750"/>
      <c r="AB127" s="751"/>
      <c r="AC127" s="661"/>
      <c r="AD127" s="661"/>
      <c r="AE127" s="624"/>
      <c r="AF127" s="751"/>
      <c r="AG127" s="751"/>
      <c r="AH127" s="751"/>
      <c r="AI127" s="624"/>
      <c r="AJ127" s="751"/>
      <c r="AK127" s="751"/>
      <c r="AL127" s="751"/>
      <c r="AM127" s="624"/>
      <c r="AN127" s="624"/>
      <c r="AO127" s="624"/>
      <c r="AP127" s="624"/>
      <c r="AQ127" s="737"/>
      <c r="AR127" s="753"/>
      <c r="AS127" s="753"/>
      <c r="AT127" s="753"/>
      <c r="AU127" s="624"/>
      <c r="AV127" s="624"/>
      <c r="AW127" s="624"/>
    </row>
    <row r="128" spans="2:49" ht="26.25" customHeight="1">
      <c r="B128" s="756"/>
      <c r="C128" s="624"/>
      <c r="D128" s="751"/>
      <c r="E128" s="751"/>
      <c r="F128" s="751"/>
      <c r="G128" s="751"/>
      <c r="H128" s="751"/>
      <c r="I128" s="624"/>
      <c r="J128" s="624"/>
      <c r="K128" s="750"/>
      <c r="L128" s="751"/>
      <c r="M128" s="751"/>
      <c r="N128" s="751"/>
      <c r="O128" s="750"/>
      <c r="P128" s="751"/>
      <c r="Q128" s="751"/>
      <c r="R128" s="751"/>
      <c r="S128" s="624"/>
      <c r="T128" s="751"/>
      <c r="U128" s="751"/>
      <c r="V128" s="751"/>
      <c r="W128" s="624"/>
      <c r="X128" s="751"/>
      <c r="Y128" s="751"/>
      <c r="Z128" s="751"/>
      <c r="AA128" s="750"/>
      <c r="AB128" s="751"/>
      <c r="AC128" s="661"/>
      <c r="AD128" s="661"/>
      <c r="AE128" s="624"/>
      <c r="AF128" s="751"/>
      <c r="AG128" s="751"/>
      <c r="AH128" s="751"/>
      <c r="AI128" s="624"/>
      <c r="AJ128" s="751"/>
      <c r="AK128" s="751"/>
      <c r="AL128" s="751"/>
      <c r="AM128" s="624"/>
      <c r="AN128" s="624"/>
      <c r="AO128" s="624"/>
      <c r="AP128" s="624"/>
      <c r="AQ128" s="737"/>
      <c r="AR128" s="753"/>
      <c r="AS128" s="753"/>
      <c r="AT128" s="753"/>
      <c r="AU128" s="624"/>
      <c r="AV128" s="624"/>
      <c r="AW128" s="624"/>
    </row>
    <row r="129" spans="2:49" ht="26.25" customHeight="1">
      <c r="B129" s="756"/>
      <c r="C129" s="624"/>
      <c r="D129" s="751"/>
      <c r="E129" s="751"/>
      <c r="F129" s="751"/>
      <c r="G129" s="751"/>
      <c r="H129" s="751"/>
      <c r="I129" s="624"/>
      <c r="J129" s="624"/>
      <c r="K129" s="750"/>
      <c r="L129" s="751"/>
      <c r="M129" s="751"/>
      <c r="N129" s="751"/>
      <c r="O129" s="750"/>
      <c r="P129" s="751"/>
      <c r="Q129" s="751"/>
      <c r="R129" s="751"/>
      <c r="S129" s="624"/>
      <c r="T129" s="751"/>
      <c r="U129" s="751"/>
      <c r="V129" s="751"/>
      <c r="W129" s="624"/>
      <c r="X129" s="751"/>
      <c r="Y129" s="751"/>
      <c r="Z129" s="751"/>
      <c r="AA129" s="750"/>
      <c r="AB129" s="751"/>
      <c r="AC129" s="661"/>
      <c r="AD129" s="661"/>
      <c r="AE129" s="624"/>
      <c r="AF129" s="751"/>
      <c r="AG129" s="751"/>
      <c r="AH129" s="751"/>
      <c r="AI129" s="624"/>
      <c r="AJ129" s="751"/>
      <c r="AK129" s="751"/>
      <c r="AL129" s="751"/>
      <c r="AM129" s="624"/>
      <c r="AN129" s="624"/>
      <c r="AO129" s="624"/>
      <c r="AP129" s="624"/>
      <c r="AQ129" s="737"/>
      <c r="AR129" s="753"/>
      <c r="AS129" s="753"/>
      <c r="AT129" s="753"/>
      <c r="AU129" s="624"/>
      <c r="AV129" s="624"/>
      <c r="AW129" s="624"/>
    </row>
    <row r="130" spans="2:49" ht="26.25" customHeight="1">
      <c r="B130" s="756"/>
      <c r="C130" s="624"/>
      <c r="D130" s="751"/>
      <c r="E130" s="751"/>
      <c r="F130" s="751"/>
      <c r="G130" s="751"/>
      <c r="H130" s="751"/>
      <c r="I130" s="624"/>
      <c r="J130" s="624"/>
      <c r="K130" s="750"/>
      <c r="L130" s="751"/>
      <c r="M130" s="751"/>
      <c r="N130" s="751"/>
      <c r="O130" s="750"/>
      <c r="P130" s="751"/>
      <c r="Q130" s="751"/>
      <c r="R130" s="751"/>
      <c r="S130" s="624"/>
      <c r="T130" s="751"/>
      <c r="U130" s="751"/>
      <c r="V130" s="751"/>
      <c r="W130" s="624"/>
      <c r="X130" s="751"/>
      <c r="Y130" s="751"/>
      <c r="Z130" s="751"/>
      <c r="AA130" s="750"/>
      <c r="AB130" s="751"/>
      <c r="AC130" s="661"/>
      <c r="AD130" s="661"/>
      <c r="AE130" s="624"/>
      <c r="AF130" s="751"/>
      <c r="AG130" s="751"/>
      <c r="AH130" s="751"/>
      <c r="AI130" s="624"/>
      <c r="AJ130" s="751"/>
      <c r="AK130" s="751"/>
      <c r="AL130" s="751"/>
      <c r="AM130" s="624"/>
      <c r="AN130" s="624"/>
      <c r="AO130" s="624"/>
      <c r="AP130" s="624"/>
      <c r="AQ130" s="737"/>
      <c r="AR130" s="753"/>
      <c r="AS130" s="753"/>
      <c r="AT130" s="753"/>
      <c r="AU130" s="624"/>
      <c r="AV130" s="624"/>
      <c r="AW130" s="624"/>
    </row>
    <row r="131" spans="2:49" ht="26.25" customHeight="1">
      <c r="B131" s="756"/>
      <c r="C131" s="624"/>
      <c r="D131" s="751"/>
      <c r="E131" s="751"/>
      <c r="F131" s="751"/>
      <c r="G131" s="751"/>
      <c r="H131" s="751"/>
      <c r="I131" s="624"/>
      <c r="J131" s="624"/>
      <c r="K131" s="750"/>
      <c r="L131" s="751"/>
      <c r="M131" s="751"/>
      <c r="N131" s="751"/>
      <c r="O131" s="750"/>
      <c r="P131" s="751"/>
      <c r="Q131" s="751"/>
      <c r="R131" s="751"/>
      <c r="S131" s="624"/>
      <c r="T131" s="751"/>
      <c r="U131" s="751"/>
      <c r="V131" s="751"/>
      <c r="W131" s="624"/>
      <c r="X131" s="751"/>
      <c r="Y131" s="751"/>
      <c r="Z131" s="751"/>
      <c r="AA131" s="750"/>
      <c r="AB131" s="751"/>
      <c r="AC131" s="661"/>
      <c r="AD131" s="661"/>
      <c r="AE131" s="624"/>
      <c r="AF131" s="751"/>
      <c r="AG131" s="751"/>
      <c r="AH131" s="751"/>
      <c r="AI131" s="624"/>
      <c r="AJ131" s="751"/>
      <c r="AK131" s="751"/>
      <c r="AL131" s="751"/>
      <c r="AM131" s="624"/>
      <c r="AN131" s="624"/>
      <c r="AO131" s="624"/>
      <c r="AP131" s="624"/>
      <c r="AQ131" s="737"/>
      <c r="AR131" s="753"/>
      <c r="AS131" s="753"/>
      <c r="AT131" s="753"/>
      <c r="AU131" s="624"/>
      <c r="AV131" s="624"/>
      <c r="AW131" s="624"/>
    </row>
    <row r="132" spans="2:49" ht="26.25" customHeight="1">
      <c r="B132" s="756"/>
      <c r="C132" s="624"/>
      <c r="D132" s="751"/>
      <c r="E132" s="751"/>
      <c r="F132" s="751"/>
      <c r="G132" s="751"/>
      <c r="H132" s="751"/>
      <c r="I132" s="624"/>
      <c r="J132" s="624"/>
      <c r="K132" s="750"/>
      <c r="L132" s="751"/>
      <c r="M132" s="751"/>
      <c r="N132" s="751"/>
      <c r="O132" s="750"/>
      <c r="P132" s="751"/>
      <c r="Q132" s="751"/>
      <c r="R132" s="751"/>
      <c r="S132" s="624"/>
      <c r="T132" s="751"/>
      <c r="U132" s="751"/>
      <c r="V132" s="751"/>
      <c r="W132" s="624"/>
      <c r="X132" s="751"/>
      <c r="Y132" s="751"/>
      <c r="Z132" s="751"/>
      <c r="AA132" s="750"/>
      <c r="AB132" s="751"/>
      <c r="AC132" s="661"/>
      <c r="AD132" s="661"/>
      <c r="AE132" s="624"/>
      <c r="AF132" s="751"/>
      <c r="AG132" s="751"/>
      <c r="AH132" s="751"/>
      <c r="AI132" s="624"/>
      <c r="AJ132" s="751"/>
      <c r="AK132" s="751"/>
      <c r="AL132" s="751"/>
      <c r="AM132" s="624"/>
      <c r="AN132" s="624"/>
      <c r="AO132" s="624"/>
      <c r="AP132" s="624"/>
      <c r="AQ132" s="737"/>
      <c r="AR132" s="753"/>
      <c r="AS132" s="753"/>
      <c r="AT132" s="753"/>
      <c r="AU132" s="624"/>
      <c r="AV132" s="624"/>
      <c r="AW132" s="624"/>
    </row>
    <row r="133" spans="2:49" ht="26.25" customHeight="1">
      <c r="B133" s="756"/>
      <c r="C133" s="624"/>
      <c r="D133" s="751"/>
      <c r="E133" s="751"/>
      <c r="F133" s="751"/>
      <c r="G133" s="751"/>
      <c r="H133" s="751"/>
      <c r="I133" s="624"/>
      <c r="J133" s="624"/>
      <c r="K133" s="750"/>
      <c r="L133" s="751"/>
      <c r="M133" s="751"/>
      <c r="N133" s="751"/>
      <c r="O133" s="750"/>
      <c r="P133" s="751"/>
      <c r="Q133" s="751"/>
      <c r="R133" s="751"/>
      <c r="S133" s="624"/>
      <c r="T133" s="751"/>
      <c r="U133" s="751"/>
      <c r="V133" s="751"/>
      <c r="W133" s="624"/>
      <c r="X133" s="751"/>
      <c r="Y133" s="751"/>
      <c r="Z133" s="751"/>
      <c r="AA133" s="750"/>
      <c r="AB133" s="751"/>
      <c r="AC133" s="661"/>
      <c r="AD133" s="661"/>
      <c r="AE133" s="624"/>
      <c r="AF133" s="751"/>
      <c r="AG133" s="751"/>
      <c r="AH133" s="751"/>
      <c r="AI133" s="624"/>
      <c r="AJ133" s="751"/>
      <c r="AK133" s="751"/>
      <c r="AL133" s="751"/>
      <c r="AM133" s="624"/>
      <c r="AN133" s="624"/>
      <c r="AO133" s="624"/>
      <c r="AP133" s="624"/>
      <c r="AQ133" s="737"/>
      <c r="AR133" s="753"/>
      <c r="AS133" s="753"/>
      <c r="AT133" s="753"/>
      <c r="AU133" s="624"/>
      <c r="AV133" s="624"/>
      <c r="AW133" s="624"/>
    </row>
    <row r="134" spans="2:49" ht="26.25" customHeight="1">
      <c r="B134" s="756"/>
      <c r="C134" s="624"/>
      <c r="D134" s="751"/>
      <c r="E134" s="751"/>
      <c r="F134" s="751"/>
      <c r="G134" s="751"/>
      <c r="H134" s="751"/>
      <c r="I134" s="624"/>
      <c r="J134" s="624"/>
      <c r="K134" s="750"/>
      <c r="L134" s="751"/>
      <c r="M134" s="751"/>
      <c r="N134" s="751"/>
      <c r="O134" s="750"/>
      <c r="P134" s="751"/>
      <c r="Q134" s="751"/>
      <c r="R134" s="751"/>
      <c r="S134" s="624"/>
      <c r="T134" s="751"/>
      <c r="U134" s="751"/>
      <c r="V134" s="751"/>
      <c r="W134" s="624"/>
      <c r="X134" s="751"/>
      <c r="Y134" s="751"/>
      <c r="Z134" s="751"/>
      <c r="AA134" s="750"/>
      <c r="AB134" s="751"/>
      <c r="AC134" s="661"/>
      <c r="AD134" s="661"/>
      <c r="AE134" s="624"/>
      <c r="AF134" s="751"/>
      <c r="AG134" s="751"/>
      <c r="AH134" s="751"/>
      <c r="AI134" s="624"/>
      <c r="AJ134" s="751"/>
      <c r="AK134" s="751"/>
      <c r="AL134" s="751"/>
      <c r="AM134" s="624"/>
      <c r="AN134" s="624"/>
      <c r="AO134" s="624"/>
      <c r="AP134" s="624"/>
      <c r="AQ134" s="737"/>
      <c r="AR134" s="753"/>
      <c r="AS134" s="753"/>
      <c r="AT134" s="753"/>
      <c r="AU134" s="624"/>
      <c r="AV134" s="624"/>
      <c r="AW134" s="624"/>
    </row>
    <row r="135" spans="2:49" ht="26.25" customHeight="1">
      <c r="B135" s="756"/>
      <c r="C135" s="624"/>
      <c r="D135" s="751"/>
      <c r="E135" s="751"/>
      <c r="F135" s="751"/>
      <c r="G135" s="751"/>
      <c r="H135" s="751"/>
      <c r="I135" s="624"/>
      <c r="J135" s="624"/>
      <c r="K135" s="750"/>
      <c r="L135" s="751"/>
      <c r="M135" s="751"/>
      <c r="N135" s="751"/>
      <c r="O135" s="750"/>
      <c r="P135" s="751"/>
      <c r="Q135" s="751"/>
      <c r="R135" s="751"/>
      <c r="S135" s="624"/>
      <c r="T135" s="751"/>
      <c r="U135" s="751"/>
      <c r="V135" s="751"/>
      <c r="W135" s="624"/>
      <c r="X135" s="751"/>
      <c r="Y135" s="751"/>
      <c r="Z135" s="751"/>
      <c r="AA135" s="750"/>
      <c r="AB135" s="751"/>
      <c r="AC135" s="661"/>
      <c r="AD135" s="661"/>
      <c r="AE135" s="624"/>
      <c r="AF135" s="751"/>
      <c r="AG135" s="751"/>
      <c r="AH135" s="751"/>
      <c r="AI135" s="624"/>
      <c r="AJ135" s="751"/>
      <c r="AK135" s="751"/>
      <c r="AL135" s="751"/>
      <c r="AM135" s="624"/>
      <c r="AN135" s="624"/>
      <c r="AO135" s="624"/>
      <c r="AP135" s="624"/>
      <c r="AQ135" s="737"/>
      <c r="AR135" s="753"/>
      <c r="AS135" s="753"/>
      <c r="AT135" s="753"/>
      <c r="AU135" s="624"/>
      <c r="AV135" s="624"/>
      <c r="AW135" s="624"/>
    </row>
    <row r="136" spans="2:49" ht="26.25" customHeight="1">
      <c r="B136" s="756"/>
      <c r="C136" s="624"/>
      <c r="D136" s="751"/>
      <c r="E136" s="751"/>
      <c r="F136" s="751"/>
      <c r="G136" s="751"/>
      <c r="H136" s="751"/>
      <c r="I136" s="624"/>
      <c r="J136" s="624"/>
      <c r="K136" s="750"/>
      <c r="L136" s="751"/>
      <c r="M136" s="751"/>
      <c r="N136" s="751"/>
      <c r="O136" s="750"/>
      <c r="P136" s="751"/>
      <c r="Q136" s="751"/>
      <c r="R136" s="751"/>
      <c r="S136" s="624"/>
      <c r="T136" s="751"/>
      <c r="U136" s="751"/>
      <c r="V136" s="751"/>
      <c r="W136" s="624"/>
      <c r="X136" s="751"/>
      <c r="Y136" s="751"/>
      <c r="Z136" s="751"/>
      <c r="AA136" s="750"/>
      <c r="AB136" s="751"/>
      <c r="AC136" s="661"/>
      <c r="AD136" s="661"/>
      <c r="AE136" s="624"/>
      <c r="AF136" s="751"/>
      <c r="AG136" s="751"/>
      <c r="AH136" s="751"/>
      <c r="AI136" s="624"/>
      <c r="AJ136" s="751"/>
      <c r="AK136" s="751"/>
      <c r="AL136" s="751"/>
      <c r="AM136" s="624"/>
      <c r="AN136" s="624"/>
      <c r="AO136" s="624"/>
      <c r="AP136" s="624"/>
      <c r="AQ136" s="737"/>
      <c r="AR136" s="753"/>
      <c r="AS136" s="753"/>
      <c r="AT136" s="753"/>
      <c r="AU136" s="624"/>
      <c r="AV136" s="624"/>
      <c r="AW136" s="624"/>
    </row>
    <row r="137" spans="2:49" ht="26.25" customHeight="1">
      <c r="B137" s="756"/>
      <c r="C137" s="624"/>
      <c r="D137" s="751"/>
      <c r="E137" s="751"/>
      <c r="F137" s="751"/>
      <c r="G137" s="751"/>
      <c r="H137" s="751"/>
      <c r="I137" s="624"/>
      <c r="J137" s="624"/>
      <c r="K137" s="750"/>
      <c r="L137" s="751"/>
      <c r="M137" s="751"/>
      <c r="N137" s="751"/>
      <c r="O137" s="750"/>
      <c r="P137" s="751"/>
      <c r="Q137" s="751"/>
      <c r="R137" s="751"/>
      <c r="S137" s="624"/>
      <c r="T137" s="751"/>
      <c r="U137" s="751"/>
      <c r="V137" s="751"/>
      <c r="W137" s="624"/>
      <c r="X137" s="751"/>
      <c r="Y137" s="751"/>
      <c r="Z137" s="751"/>
      <c r="AA137" s="750"/>
      <c r="AB137" s="751"/>
      <c r="AC137" s="661"/>
      <c r="AD137" s="661"/>
      <c r="AE137" s="624"/>
      <c r="AF137" s="751"/>
      <c r="AG137" s="751"/>
      <c r="AH137" s="751"/>
      <c r="AI137" s="624"/>
      <c r="AJ137" s="751"/>
      <c r="AK137" s="751"/>
      <c r="AL137" s="751"/>
      <c r="AM137" s="624"/>
      <c r="AN137" s="624"/>
      <c r="AO137" s="624"/>
      <c r="AP137" s="624"/>
      <c r="AQ137" s="737"/>
      <c r="AR137" s="753"/>
      <c r="AS137" s="753"/>
      <c r="AT137" s="753"/>
      <c r="AU137" s="624"/>
      <c r="AV137" s="624"/>
      <c r="AW137" s="624"/>
    </row>
    <row r="138" spans="2:49" ht="26.25" customHeight="1">
      <c r="B138" s="756"/>
      <c r="C138" s="624"/>
      <c r="D138" s="751"/>
      <c r="E138" s="751"/>
      <c r="F138" s="751"/>
      <c r="G138" s="751"/>
      <c r="H138" s="751"/>
      <c r="I138" s="624"/>
      <c r="J138" s="624"/>
      <c r="K138" s="750"/>
      <c r="L138" s="751"/>
      <c r="M138" s="751"/>
      <c r="N138" s="751"/>
      <c r="O138" s="750"/>
      <c r="P138" s="751"/>
      <c r="Q138" s="751"/>
      <c r="R138" s="751"/>
      <c r="S138" s="624"/>
      <c r="T138" s="751"/>
      <c r="U138" s="751"/>
      <c r="V138" s="751"/>
      <c r="W138" s="624"/>
      <c r="X138" s="751"/>
      <c r="Y138" s="751"/>
      <c r="Z138" s="751"/>
      <c r="AA138" s="750"/>
      <c r="AB138" s="751"/>
      <c r="AC138" s="661"/>
      <c r="AD138" s="661"/>
      <c r="AE138" s="624"/>
      <c r="AF138" s="751"/>
      <c r="AG138" s="751"/>
      <c r="AH138" s="751"/>
      <c r="AI138" s="624"/>
      <c r="AJ138" s="751"/>
      <c r="AK138" s="751"/>
      <c r="AL138" s="751"/>
      <c r="AM138" s="624"/>
      <c r="AN138" s="624"/>
      <c r="AO138" s="624"/>
      <c r="AP138" s="624"/>
      <c r="AQ138" s="737"/>
      <c r="AR138" s="753"/>
      <c r="AS138" s="753"/>
      <c r="AT138" s="753"/>
      <c r="AU138" s="624"/>
      <c r="AV138" s="624"/>
      <c r="AW138" s="624"/>
    </row>
    <row r="139" spans="2:49" ht="26.25" customHeight="1">
      <c r="B139" s="756"/>
      <c r="C139" s="624"/>
      <c r="D139" s="751"/>
      <c r="E139" s="751"/>
      <c r="F139" s="751"/>
      <c r="G139" s="751"/>
      <c r="H139" s="751"/>
      <c r="I139" s="624"/>
      <c r="J139" s="624"/>
      <c r="K139" s="750"/>
      <c r="L139" s="751"/>
      <c r="M139" s="751"/>
      <c r="N139" s="751"/>
      <c r="O139" s="750"/>
      <c r="P139" s="751"/>
      <c r="Q139" s="751"/>
      <c r="R139" s="751"/>
      <c r="S139" s="624"/>
      <c r="T139" s="751"/>
      <c r="U139" s="751"/>
      <c r="V139" s="751"/>
      <c r="W139" s="624"/>
      <c r="X139" s="751"/>
      <c r="Y139" s="751"/>
      <c r="Z139" s="751"/>
      <c r="AA139" s="750"/>
      <c r="AB139" s="751"/>
      <c r="AC139" s="661"/>
      <c r="AD139" s="661"/>
      <c r="AE139" s="624"/>
      <c r="AF139" s="751"/>
      <c r="AG139" s="751"/>
      <c r="AH139" s="751"/>
      <c r="AI139" s="624"/>
      <c r="AJ139" s="751"/>
      <c r="AK139" s="751"/>
      <c r="AL139" s="751"/>
      <c r="AM139" s="624"/>
      <c r="AN139" s="624"/>
      <c r="AO139" s="624"/>
      <c r="AP139" s="624"/>
      <c r="AQ139" s="737"/>
      <c r="AR139" s="753"/>
      <c r="AS139" s="753"/>
      <c r="AT139" s="753"/>
      <c r="AU139" s="624"/>
      <c r="AV139" s="624"/>
      <c r="AW139" s="624"/>
    </row>
    <row r="140" spans="2:49" ht="26.25" customHeight="1">
      <c r="B140" s="756"/>
      <c r="C140" s="624"/>
      <c r="D140" s="751"/>
      <c r="E140" s="751"/>
      <c r="F140" s="751"/>
      <c r="G140" s="751"/>
      <c r="H140" s="751"/>
      <c r="I140" s="624"/>
      <c r="J140" s="624"/>
      <c r="K140" s="750"/>
      <c r="L140" s="751"/>
      <c r="M140" s="751"/>
      <c r="N140" s="751"/>
      <c r="O140" s="750"/>
      <c r="P140" s="751"/>
      <c r="Q140" s="751"/>
      <c r="R140" s="751"/>
      <c r="S140" s="624"/>
      <c r="T140" s="751"/>
      <c r="U140" s="751"/>
      <c r="V140" s="751"/>
      <c r="W140" s="624"/>
      <c r="X140" s="751"/>
      <c r="Y140" s="751"/>
      <c r="Z140" s="751"/>
      <c r="AA140" s="750"/>
      <c r="AB140" s="751"/>
      <c r="AC140" s="661"/>
      <c r="AD140" s="661"/>
      <c r="AE140" s="624"/>
      <c r="AF140" s="751"/>
      <c r="AG140" s="751"/>
      <c r="AH140" s="751"/>
      <c r="AI140" s="624"/>
      <c r="AJ140" s="751"/>
      <c r="AK140" s="751"/>
      <c r="AL140" s="751"/>
      <c r="AM140" s="624"/>
      <c r="AN140" s="624"/>
      <c r="AO140" s="624"/>
      <c r="AP140" s="624"/>
      <c r="AQ140" s="737"/>
      <c r="AR140" s="753"/>
      <c r="AS140" s="753"/>
      <c r="AT140" s="753"/>
      <c r="AU140" s="624"/>
      <c r="AV140" s="624"/>
      <c r="AW140" s="624"/>
    </row>
    <row r="141" spans="2:49" ht="26.25" customHeight="1">
      <c r="B141" s="756"/>
      <c r="C141" s="624"/>
      <c r="D141" s="751"/>
      <c r="E141" s="751"/>
      <c r="F141" s="751"/>
      <c r="G141" s="751"/>
      <c r="H141" s="751"/>
      <c r="I141" s="624"/>
      <c r="J141" s="624"/>
      <c r="K141" s="750"/>
      <c r="L141" s="751"/>
      <c r="M141" s="751"/>
      <c r="N141" s="751"/>
      <c r="O141" s="750"/>
      <c r="P141" s="751"/>
      <c r="Q141" s="751"/>
      <c r="R141" s="751"/>
      <c r="S141" s="624"/>
      <c r="T141" s="751"/>
      <c r="U141" s="751"/>
      <c r="V141" s="751"/>
      <c r="W141" s="624"/>
      <c r="X141" s="751"/>
      <c r="Y141" s="751"/>
      <c r="Z141" s="751"/>
      <c r="AA141" s="750"/>
      <c r="AB141" s="751"/>
      <c r="AC141" s="661"/>
      <c r="AD141" s="661"/>
      <c r="AE141" s="624"/>
      <c r="AF141" s="751"/>
      <c r="AG141" s="751"/>
      <c r="AH141" s="751"/>
      <c r="AI141" s="624"/>
      <c r="AJ141" s="751"/>
      <c r="AK141" s="751"/>
      <c r="AL141" s="751"/>
      <c r="AM141" s="624"/>
      <c r="AN141" s="624"/>
      <c r="AO141" s="624"/>
      <c r="AP141" s="624"/>
      <c r="AQ141" s="737"/>
      <c r="AR141" s="753"/>
      <c r="AS141" s="753"/>
      <c r="AT141" s="753"/>
      <c r="AU141" s="624"/>
      <c r="AV141" s="624"/>
      <c r="AW141" s="624"/>
    </row>
    <row r="142" spans="2:49" ht="26.25" customHeight="1">
      <c r="B142" s="756"/>
      <c r="C142" s="624"/>
      <c r="D142" s="751"/>
      <c r="E142" s="751"/>
      <c r="F142" s="751"/>
      <c r="G142" s="751"/>
      <c r="H142" s="751"/>
      <c r="I142" s="624"/>
      <c r="J142" s="624"/>
      <c r="K142" s="750"/>
      <c r="L142" s="751"/>
      <c r="M142" s="751"/>
      <c r="N142" s="751"/>
      <c r="O142" s="750"/>
      <c r="P142" s="751"/>
      <c r="Q142" s="751"/>
      <c r="R142" s="751"/>
      <c r="S142" s="624"/>
      <c r="T142" s="751"/>
      <c r="U142" s="751"/>
      <c r="V142" s="751"/>
      <c r="W142" s="624"/>
      <c r="X142" s="751"/>
      <c r="Y142" s="751"/>
      <c r="Z142" s="751"/>
      <c r="AA142" s="750"/>
      <c r="AB142" s="751"/>
      <c r="AC142" s="661"/>
      <c r="AD142" s="661"/>
      <c r="AE142" s="624"/>
      <c r="AF142" s="751"/>
      <c r="AG142" s="751"/>
      <c r="AH142" s="751"/>
      <c r="AI142" s="624"/>
      <c r="AJ142" s="751"/>
      <c r="AK142" s="751"/>
      <c r="AL142" s="751"/>
      <c r="AM142" s="624"/>
      <c r="AN142" s="624"/>
      <c r="AO142" s="624"/>
      <c r="AP142" s="624"/>
      <c r="AQ142" s="737"/>
      <c r="AR142" s="753"/>
      <c r="AS142" s="753"/>
      <c r="AT142" s="753"/>
      <c r="AU142" s="624"/>
      <c r="AV142" s="624"/>
      <c r="AW142" s="624"/>
    </row>
    <row r="143" spans="2:49" ht="26.25" customHeight="1">
      <c r="B143" s="756"/>
      <c r="C143" s="624"/>
      <c r="D143" s="751"/>
      <c r="E143" s="751"/>
      <c r="F143" s="751"/>
      <c r="G143" s="751"/>
      <c r="H143" s="751"/>
      <c r="I143" s="624"/>
      <c r="J143" s="624"/>
      <c r="K143" s="750"/>
      <c r="L143" s="751"/>
      <c r="M143" s="751"/>
      <c r="N143" s="751"/>
      <c r="O143" s="750"/>
      <c r="P143" s="751"/>
      <c r="Q143" s="751"/>
      <c r="R143" s="751"/>
      <c r="S143" s="624"/>
      <c r="T143" s="751"/>
      <c r="U143" s="751"/>
      <c r="V143" s="751"/>
      <c r="W143" s="624"/>
      <c r="X143" s="751"/>
      <c r="Y143" s="751"/>
      <c r="Z143" s="751"/>
      <c r="AA143" s="750"/>
      <c r="AB143" s="751"/>
      <c r="AC143" s="661"/>
      <c r="AD143" s="661"/>
      <c r="AE143" s="624"/>
      <c r="AF143" s="751"/>
      <c r="AG143" s="751"/>
      <c r="AH143" s="751"/>
      <c r="AI143" s="624"/>
      <c r="AJ143" s="751"/>
      <c r="AK143" s="751"/>
      <c r="AL143" s="751"/>
      <c r="AM143" s="624"/>
      <c r="AN143" s="624"/>
      <c r="AO143" s="624"/>
      <c r="AP143" s="624"/>
      <c r="AQ143" s="737"/>
      <c r="AR143" s="753"/>
      <c r="AS143" s="753"/>
      <c r="AT143" s="753"/>
      <c r="AU143" s="624"/>
      <c r="AV143" s="624"/>
      <c r="AW143" s="624"/>
    </row>
    <row r="144" spans="2:49" ht="26.25" customHeight="1">
      <c r="B144" s="756"/>
      <c r="C144" s="624"/>
      <c r="D144" s="751"/>
      <c r="E144" s="751"/>
      <c r="F144" s="751"/>
      <c r="G144" s="751"/>
      <c r="H144" s="751"/>
      <c r="I144" s="624"/>
      <c r="J144" s="624"/>
      <c r="K144" s="750"/>
      <c r="L144" s="751"/>
      <c r="M144" s="751"/>
      <c r="N144" s="751"/>
      <c r="O144" s="750"/>
      <c r="P144" s="751"/>
      <c r="Q144" s="751"/>
      <c r="R144" s="751"/>
      <c r="S144" s="624"/>
      <c r="T144" s="751"/>
      <c r="U144" s="751"/>
      <c r="V144" s="751"/>
      <c r="W144" s="624"/>
      <c r="X144" s="751"/>
      <c r="Y144" s="751"/>
      <c r="Z144" s="751"/>
      <c r="AA144" s="750"/>
      <c r="AB144" s="751"/>
      <c r="AC144" s="661"/>
      <c r="AD144" s="661"/>
      <c r="AE144" s="624"/>
      <c r="AF144" s="751"/>
      <c r="AG144" s="751"/>
      <c r="AH144" s="751"/>
      <c r="AI144" s="624"/>
      <c r="AJ144" s="751"/>
      <c r="AK144" s="751"/>
      <c r="AL144" s="751"/>
      <c r="AM144" s="624"/>
      <c r="AN144" s="624"/>
      <c r="AO144" s="624"/>
      <c r="AP144" s="624"/>
      <c r="AQ144" s="737"/>
      <c r="AR144" s="753"/>
      <c r="AS144" s="753"/>
      <c r="AT144" s="753"/>
      <c r="AU144" s="624"/>
      <c r="AV144" s="624"/>
      <c r="AW144" s="624"/>
    </row>
    <row r="145" spans="2:49" ht="26.25" customHeight="1">
      <c r="B145" s="756"/>
      <c r="C145" s="624"/>
      <c r="D145" s="751"/>
      <c r="E145" s="751"/>
      <c r="F145" s="751"/>
      <c r="G145" s="751"/>
      <c r="H145" s="751"/>
      <c r="I145" s="624"/>
      <c r="J145" s="624"/>
      <c r="K145" s="750"/>
      <c r="L145" s="751"/>
      <c r="M145" s="751"/>
      <c r="N145" s="751"/>
      <c r="O145" s="750"/>
      <c r="P145" s="751"/>
      <c r="Q145" s="751"/>
      <c r="R145" s="751"/>
      <c r="S145" s="624"/>
      <c r="T145" s="751"/>
      <c r="U145" s="751"/>
      <c r="V145" s="751"/>
      <c r="W145" s="624"/>
      <c r="X145" s="751"/>
      <c r="Y145" s="751"/>
      <c r="Z145" s="751"/>
      <c r="AA145" s="750"/>
      <c r="AB145" s="751"/>
      <c r="AC145" s="661"/>
      <c r="AD145" s="661"/>
      <c r="AE145" s="624"/>
      <c r="AF145" s="751"/>
      <c r="AG145" s="751"/>
      <c r="AH145" s="751"/>
      <c r="AI145" s="624"/>
      <c r="AJ145" s="751"/>
      <c r="AK145" s="751"/>
      <c r="AL145" s="751"/>
      <c r="AM145" s="624"/>
      <c r="AN145" s="624"/>
      <c r="AO145" s="624"/>
      <c r="AP145" s="624"/>
      <c r="AQ145" s="737"/>
      <c r="AR145" s="753"/>
      <c r="AS145" s="753"/>
      <c r="AT145" s="753"/>
      <c r="AU145" s="624"/>
      <c r="AV145" s="624"/>
      <c r="AW145" s="624"/>
    </row>
    <row r="146" spans="2:49" ht="26.25" customHeight="1">
      <c r="B146" s="756"/>
      <c r="C146" s="624"/>
      <c r="D146" s="751"/>
      <c r="E146" s="751"/>
      <c r="F146" s="751"/>
      <c r="G146" s="751"/>
      <c r="H146" s="751"/>
      <c r="I146" s="624"/>
      <c r="J146" s="624"/>
      <c r="K146" s="750"/>
      <c r="L146" s="751"/>
      <c r="M146" s="751"/>
      <c r="N146" s="751"/>
      <c r="O146" s="750"/>
      <c r="P146" s="751"/>
      <c r="Q146" s="751"/>
      <c r="R146" s="751"/>
      <c r="S146" s="624"/>
      <c r="T146" s="751"/>
      <c r="U146" s="751"/>
      <c r="V146" s="751"/>
      <c r="W146" s="624"/>
      <c r="X146" s="751"/>
      <c r="Y146" s="751"/>
      <c r="Z146" s="751"/>
      <c r="AA146" s="750"/>
      <c r="AB146" s="751"/>
      <c r="AC146" s="661"/>
      <c r="AD146" s="661"/>
      <c r="AE146" s="624"/>
      <c r="AF146" s="751"/>
      <c r="AG146" s="751"/>
      <c r="AH146" s="751"/>
      <c r="AI146" s="624"/>
      <c r="AJ146" s="751"/>
      <c r="AK146" s="751"/>
      <c r="AL146" s="751"/>
      <c r="AM146" s="624"/>
      <c r="AN146" s="624"/>
      <c r="AO146" s="624"/>
      <c r="AP146" s="624"/>
      <c r="AQ146" s="737"/>
      <c r="AR146" s="753"/>
      <c r="AS146" s="753"/>
      <c r="AT146" s="753"/>
      <c r="AU146" s="624"/>
      <c r="AV146" s="624"/>
      <c r="AW146" s="624"/>
    </row>
    <row r="147" spans="2:49" ht="26.25" customHeight="1">
      <c r="B147" s="756"/>
      <c r="C147" s="624"/>
      <c r="D147" s="751"/>
      <c r="E147" s="751"/>
      <c r="F147" s="751"/>
      <c r="G147" s="751"/>
      <c r="H147" s="751"/>
      <c r="I147" s="624"/>
      <c r="J147" s="624"/>
      <c r="K147" s="750"/>
      <c r="L147" s="751"/>
      <c r="M147" s="751"/>
      <c r="N147" s="751"/>
      <c r="O147" s="750"/>
      <c r="P147" s="751"/>
      <c r="Q147" s="751"/>
      <c r="R147" s="751"/>
      <c r="S147" s="624"/>
      <c r="T147" s="751"/>
      <c r="U147" s="751"/>
      <c r="V147" s="751"/>
      <c r="W147" s="624"/>
      <c r="X147" s="751"/>
      <c r="Y147" s="751"/>
      <c r="Z147" s="751"/>
      <c r="AA147" s="750"/>
      <c r="AB147" s="751"/>
      <c r="AC147" s="661"/>
      <c r="AD147" s="661"/>
      <c r="AE147" s="624"/>
      <c r="AF147" s="751"/>
      <c r="AG147" s="751"/>
      <c r="AH147" s="751"/>
      <c r="AI147" s="624"/>
      <c r="AJ147" s="751"/>
      <c r="AK147" s="751"/>
      <c r="AL147" s="751"/>
      <c r="AM147" s="624"/>
      <c r="AN147" s="624"/>
      <c r="AO147" s="624"/>
      <c r="AP147" s="624"/>
      <c r="AQ147" s="737"/>
      <c r="AR147" s="753"/>
      <c r="AS147" s="753"/>
      <c r="AT147" s="753"/>
      <c r="AU147" s="624"/>
      <c r="AV147" s="624"/>
      <c r="AW147" s="624"/>
    </row>
    <row r="148" spans="2:49" ht="26.25" customHeight="1">
      <c r="B148" s="756"/>
      <c r="C148" s="624"/>
      <c r="D148" s="751"/>
      <c r="E148" s="751"/>
      <c r="F148" s="751"/>
      <c r="G148" s="751"/>
      <c r="H148" s="751"/>
      <c r="I148" s="624"/>
      <c r="J148" s="624"/>
      <c r="K148" s="750"/>
      <c r="L148" s="751"/>
      <c r="M148" s="751"/>
      <c r="N148" s="751"/>
      <c r="O148" s="750"/>
      <c r="P148" s="751"/>
      <c r="Q148" s="751"/>
      <c r="R148" s="751"/>
      <c r="S148" s="624"/>
      <c r="T148" s="751"/>
      <c r="U148" s="751"/>
      <c r="V148" s="751"/>
      <c r="W148" s="624"/>
      <c r="X148" s="751"/>
      <c r="Y148" s="751"/>
      <c r="Z148" s="751"/>
      <c r="AA148" s="750"/>
      <c r="AB148" s="751"/>
      <c r="AC148" s="661"/>
      <c r="AD148" s="661"/>
      <c r="AE148" s="624"/>
      <c r="AF148" s="751"/>
      <c r="AG148" s="751"/>
      <c r="AH148" s="751"/>
      <c r="AI148" s="624"/>
      <c r="AJ148" s="751"/>
      <c r="AK148" s="751"/>
      <c r="AL148" s="751"/>
      <c r="AM148" s="624"/>
      <c r="AN148" s="624"/>
      <c r="AO148" s="624"/>
      <c r="AP148" s="624"/>
      <c r="AQ148" s="737"/>
      <c r="AR148" s="753"/>
      <c r="AS148" s="753"/>
      <c r="AT148" s="753"/>
      <c r="AU148" s="624"/>
      <c r="AV148" s="624"/>
      <c r="AW148" s="624"/>
    </row>
    <row r="149" spans="2:49" ht="26.25" customHeight="1">
      <c r="B149" s="756"/>
      <c r="C149" s="624"/>
      <c r="D149" s="751"/>
      <c r="E149" s="751"/>
      <c r="F149" s="751"/>
      <c r="G149" s="751"/>
      <c r="H149" s="751"/>
      <c r="I149" s="624"/>
      <c r="J149" s="624"/>
      <c r="K149" s="750"/>
      <c r="L149" s="751"/>
      <c r="M149" s="751"/>
      <c r="N149" s="751"/>
      <c r="O149" s="750"/>
      <c r="P149" s="751"/>
      <c r="Q149" s="751"/>
      <c r="R149" s="751"/>
      <c r="S149" s="624"/>
      <c r="T149" s="751"/>
      <c r="U149" s="751"/>
      <c r="V149" s="751"/>
      <c r="W149" s="624"/>
      <c r="X149" s="751"/>
      <c r="Y149" s="751"/>
      <c r="Z149" s="751"/>
      <c r="AA149" s="750"/>
      <c r="AB149" s="751"/>
      <c r="AC149" s="661"/>
      <c r="AD149" s="661"/>
      <c r="AE149" s="624"/>
      <c r="AF149" s="751"/>
      <c r="AG149" s="751"/>
      <c r="AH149" s="751"/>
      <c r="AI149" s="624"/>
      <c r="AJ149" s="751"/>
      <c r="AK149" s="751"/>
      <c r="AL149" s="751"/>
      <c r="AM149" s="624"/>
      <c r="AN149" s="624"/>
      <c r="AO149" s="624"/>
      <c r="AP149" s="624"/>
      <c r="AQ149" s="737"/>
      <c r="AR149" s="753"/>
      <c r="AS149" s="753"/>
      <c r="AT149" s="753"/>
      <c r="AU149" s="624"/>
      <c r="AV149" s="624"/>
      <c r="AW149" s="624"/>
    </row>
    <row r="150" spans="2:49" ht="26.25" customHeight="1">
      <c r="B150" s="756"/>
      <c r="C150" s="624"/>
      <c r="D150" s="751"/>
      <c r="E150" s="751"/>
      <c r="F150" s="751"/>
      <c r="G150" s="751"/>
      <c r="H150" s="751"/>
      <c r="I150" s="624"/>
      <c r="J150" s="624"/>
      <c r="K150" s="750"/>
      <c r="L150" s="751"/>
      <c r="M150" s="751"/>
      <c r="N150" s="751"/>
      <c r="O150" s="750"/>
      <c r="P150" s="751"/>
      <c r="Q150" s="751"/>
      <c r="R150" s="751"/>
      <c r="S150" s="624"/>
      <c r="T150" s="751"/>
      <c r="U150" s="751"/>
      <c r="V150" s="751"/>
      <c r="W150" s="624"/>
      <c r="X150" s="751"/>
      <c r="Y150" s="751"/>
      <c r="Z150" s="751"/>
      <c r="AA150" s="750"/>
      <c r="AB150" s="751"/>
      <c r="AC150" s="661"/>
      <c r="AD150" s="661"/>
      <c r="AE150" s="624"/>
      <c r="AF150" s="751"/>
      <c r="AG150" s="751"/>
      <c r="AH150" s="751"/>
      <c r="AI150" s="624"/>
      <c r="AJ150" s="751"/>
      <c r="AK150" s="751"/>
      <c r="AL150" s="751"/>
      <c r="AM150" s="624"/>
      <c r="AN150" s="624"/>
      <c r="AO150" s="624"/>
      <c r="AP150" s="624"/>
      <c r="AQ150" s="737"/>
      <c r="AR150" s="753"/>
      <c r="AS150" s="753"/>
      <c r="AT150" s="753"/>
      <c r="AU150" s="624"/>
      <c r="AV150" s="624"/>
      <c r="AW150" s="624"/>
    </row>
    <row r="151" spans="2:49" ht="26.25" customHeight="1">
      <c r="B151" s="756"/>
      <c r="C151" s="624"/>
      <c r="D151" s="751"/>
      <c r="E151" s="751"/>
      <c r="F151" s="751"/>
      <c r="G151" s="751"/>
      <c r="H151" s="751"/>
      <c r="I151" s="624"/>
      <c r="J151" s="624"/>
      <c r="K151" s="750"/>
      <c r="L151" s="751"/>
      <c r="M151" s="751"/>
      <c r="N151" s="751"/>
      <c r="O151" s="750"/>
      <c r="P151" s="751"/>
      <c r="Q151" s="751"/>
      <c r="R151" s="751"/>
      <c r="S151" s="624"/>
      <c r="T151" s="751"/>
      <c r="U151" s="751"/>
      <c r="V151" s="751"/>
      <c r="W151" s="624"/>
      <c r="X151" s="751"/>
      <c r="Y151" s="751"/>
      <c r="Z151" s="751"/>
      <c r="AA151" s="750"/>
      <c r="AB151" s="751"/>
      <c r="AC151" s="661"/>
      <c r="AD151" s="661"/>
      <c r="AE151" s="624"/>
      <c r="AF151" s="751"/>
      <c r="AG151" s="751"/>
      <c r="AH151" s="751"/>
      <c r="AI151" s="624"/>
      <c r="AJ151" s="751"/>
      <c r="AK151" s="751"/>
      <c r="AL151" s="751"/>
      <c r="AM151" s="624"/>
      <c r="AN151" s="624"/>
      <c r="AO151" s="624"/>
      <c r="AP151" s="624"/>
      <c r="AQ151" s="737"/>
      <c r="AR151" s="753"/>
      <c r="AS151" s="753"/>
      <c r="AT151" s="753"/>
      <c r="AU151" s="624"/>
      <c r="AV151" s="624"/>
      <c r="AW151" s="624"/>
    </row>
    <row r="152" spans="2:49" ht="26.25" customHeight="1">
      <c r="B152" s="756"/>
      <c r="C152" s="624"/>
      <c r="D152" s="751"/>
      <c r="E152" s="751"/>
      <c r="F152" s="751"/>
      <c r="G152" s="751"/>
      <c r="H152" s="751"/>
      <c r="I152" s="624"/>
      <c r="J152" s="624"/>
      <c r="K152" s="750"/>
      <c r="L152" s="751"/>
      <c r="M152" s="751"/>
      <c r="N152" s="751"/>
      <c r="O152" s="750"/>
      <c r="P152" s="751"/>
      <c r="Q152" s="751"/>
      <c r="R152" s="751"/>
      <c r="S152" s="624"/>
      <c r="T152" s="751"/>
      <c r="U152" s="751"/>
      <c r="V152" s="751"/>
      <c r="W152" s="624"/>
      <c r="X152" s="751"/>
      <c r="Y152" s="751"/>
      <c r="Z152" s="751"/>
      <c r="AA152" s="750"/>
      <c r="AB152" s="751"/>
      <c r="AC152" s="661"/>
      <c r="AD152" s="661"/>
      <c r="AE152" s="624"/>
      <c r="AF152" s="751"/>
      <c r="AG152" s="751"/>
      <c r="AH152" s="751"/>
      <c r="AI152" s="624"/>
      <c r="AJ152" s="751"/>
      <c r="AK152" s="751"/>
      <c r="AL152" s="751"/>
      <c r="AM152" s="624"/>
      <c r="AN152" s="624"/>
      <c r="AO152" s="624"/>
      <c r="AP152" s="624"/>
      <c r="AQ152" s="737"/>
      <c r="AR152" s="753"/>
      <c r="AS152" s="753"/>
      <c r="AT152" s="753"/>
      <c r="AU152" s="624"/>
      <c r="AV152" s="624"/>
      <c r="AW152" s="624"/>
    </row>
    <row r="153" spans="2:49" ht="26.25" customHeight="1">
      <c r="B153" s="756"/>
      <c r="C153" s="624"/>
      <c r="D153" s="751"/>
      <c r="E153" s="751"/>
      <c r="F153" s="751"/>
      <c r="G153" s="751"/>
      <c r="H153" s="751"/>
      <c r="I153" s="624"/>
      <c r="J153" s="624"/>
      <c r="K153" s="750"/>
      <c r="L153" s="751"/>
      <c r="M153" s="751"/>
      <c r="N153" s="751"/>
      <c r="O153" s="750"/>
      <c r="P153" s="751"/>
      <c r="Q153" s="751"/>
      <c r="R153" s="751"/>
      <c r="S153" s="624"/>
      <c r="T153" s="751"/>
      <c r="U153" s="751"/>
      <c r="V153" s="751"/>
      <c r="W153" s="624"/>
      <c r="X153" s="751"/>
      <c r="Y153" s="751"/>
      <c r="Z153" s="751"/>
      <c r="AA153" s="750"/>
      <c r="AB153" s="751"/>
      <c r="AC153" s="661"/>
      <c r="AD153" s="661"/>
      <c r="AE153" s="624"/>
      <c r="AF153" s="751"/>
      <c r="AG153" s="751"/>
      <c r="AH153" s="751"/>
      <c r="AI153" s="624"/>
      <c r="AJ153" s="751"/>
      <c r="AK153" s="751"/>
      <c r="AL153" s="751"/>
      <c r="AM153" s="624"/>
      <c r="AN153" s="624"/>
      <c r="AO153" s="624"/>
      <c r="AP153" s="624"/>
      <c r="AQ153" s="737"/>
      <c r="AR153" s="753"/>
      <c r="AS153" s="753"/>
      <c r="AT153" s="753"/>
      <c r="AU153" s="624"/>
      <c r="AV153" s="624"/>
      <c r="AW153" s="624"/>
    </row>
    <row r="154" spans="2:49" ht="26.25" customHeight="1">
      <c r="B154" s="756"/>
      <c r="C154" s="624"/>
      <c r="D154" s="751"/>
      <c r="E154" s="751"/>
      <c r="F154" s="751"/>
      <c r="G154" s="751"/>
      <c r="H154" s="751"/>
      <c r="I154" s="624"/>
      <c r="J154" s="624"/>
      <c r="K154" s="750"/>
      <c r="L154" s="751"/>
      <c r="M154" s="751"/>
      <c r="N154" s="751"/>
      <c r="O154" s="750"/>
      <c r="P154" s="751"/>
      <c r="Q154" s="751"/>
      <c r="R154" s="751"/>
      <c r="S154" s="624"/>
      <c r="T154" s="751"/>
      <c r="U154" s="751"/>
      <c r="V154" s="751"/>
      <c r="W154" s="624"/>
      <c r="X154" s="751"/>
      <c r="Y154" s="751"/>
      <c r="Z154" s="751"/>
      <c r="AA154" s="750"/>
      <c r="AB154" s="751"/>
      <c r="AC154" s="661"/>
      <c r="AD154" s="661"/>
      <c r="AE154" s="624"/>
      <c r="AF154" s="751"/>
      <c r="AG154" s="751"/>
      <c r="AH154" s="751"/>
      <c r="AI154" s="624"/>
      <c r="AJ154" s="751"/>
      <c r="AK154" s="751"/>
      <c r="AL154" s="751"/>
      <c r="AM154" s="624"/>
      <c r="AN154" s="624"/>
      <c r="AO154" s="624"/>
      <c r="AP154" s="624"/>
      <c r="AQ154" s="737"/>
      <c r="AR154" s="753"/>
      <c r="AS154" s="753"/>
      <c r="AT154" s="753"/>
      <c r="AU154" s="624"/>
      <c r="AV154" s="624"/>
      <c r="AW154" s="624"/>
    </row>
    <row r="155" spans="2:49" ht="26.25" customHeight="1">
      <c r="B155" s="756"/>
      <c r="C155" s="624"/>
      <c r="D155" s="751"/>
      <c r="E155" s="751"/>
      <c r="F155" s="751"/>
      <c r="G155" s="751"/>
      <c r="H155" s="751"/>
      <c r="I155" s="624"/>
      <c r="J155" s="624"/>
      <c r="K155" s="750"/>
      <c r="L155" s="751"/>
      <c r="M155" s="751"/>
      <c r="N155" s="751"/>
      <c r="O155" s="750"/>
      <c r="P155" s="751"/>
      <c r="Q155" s="751"/>
      <c r="R155" s="751"/>
      <c r="S155" s="624"/>
      <c r="T155" s="751"/>
      <c r="U155" s="751"/>
      <c r="V155" s="751"/>
      <c r="W155" s="624"/>
      <c r="X155" s="751"/>
      <c r="Y155" s="751"/>
      <c r="Z155" s="751"/>
      <c r="AA155" s="750"/>
      <c r="AB155" s="751"/>
      <c r="AC155" s="661"/>
      <c r="AD155" s="661"/>
      <c r="AE155" s="624"/>
      <c r="AF155" s="751"/>
      <c r="AG155" s="751"/>
      <c r="AH155" s="751"/>
      <c r="AI155" s="624"/>
      <c r="AJ155" s="751"/>
      <c r="AK155" s="751"/>
      <c r="AL155" s="751"/>
      <c r="AM155" s="624"/>
      <c r="AN155" s="624"/>
      <c r="AO155" s="624"/>
      <c r="AP155" s="624"/>
      <c r="AQ155" s="737"/>
      <c r="AR155" s="753"/>
      <c r="AS155" s="753"/>
      <c r="AT155" s="753"/>
      <c r="AU155" s="624"/>
      <c r="AV155" s="624"/>
      <c r="AW155" s="624"/>
    </row>
    <row r="156" spans="2:49" ht="26.25" customHeight="1">
      <c r="B156" s="756"/>
      <c r="C156" s="624"/>
      <c r="D156" s="751"/>
      <c r="E156" s="751"/>
      <c r="F156" s="751"/>
      <c r="G156" s="751"/>
      <c r="H156" s="751"/>
      <c r="I156" s="624"/>
      <c r="J156" s="624"/>
      <c r="K156" s="750"/>
      <c r="L156" s="751"/>
      <c r="M156" s="751"/>
      <c r="N156" s="751"/>
      <c r="O156" s="750"/>
      <c r="P156" s="751"/>
      <c r="Q156" s="751"/>
      <c r="R156" s="751"/>
      <c r="S156" s="624"/>
      <c r="T156" s="751"/>
      <c r="U156" s="751"/>
      <c r="V156" s="751"/>
      <c r="W156" s="624"/>
      <c r="X156" s="751"/>
      <c r="Y156" s="751"/>
      <c r="Z156" s="751"/>
      <c r="AA156" s="750"/>
      <c r="AB156" s="751"/>
      <c r="AC156" s="661"/>
      <c r="AD156" s="661"/>
      <c r="AE156" s="624"/>
      <c r="AF156" s="751"/>
      <c r="AG156" s="751"/>
      <c r="AH156" s="751"/>
      <c r="AI156" s="624"/>
      <c r="AJ156" s="751"/>
      <c r="AK156" s="751"/>
      <c r="AL156" s="751"/>
      <c r="AM156" s="624"/>
      <c r="AN156" s="624"/>
      <c r="AO156" s="624"/>
      <c r="AP156" s="624"/>
      <c r="AQ156" s="737"/>
      <c r="AR156" s="753"/>
      <c r="AS156" s="753"/>
      <c r="AT156" s="753"/>
      <c r="AU156" s="624"/>
      <c r="AV156" s="624"/>
      <c r="AW156" s="624"/>
    </row>
    <row r="157" spans="2:49" ht="26.25" customHeight="1">
      <c r="B157" s="756"/>
      <c r="C157" s="624"/>
      <c r="D157" s="751"/>
      <c r="E157" s="751"/>
      <c r="F157" s="751"/>
      <c r="G157" s="751"/>
      <c r="H157" s="751"/>
      <c r="I157" s="624"/>
      <c r="J157" s="624"/>
      <c r="K157" s="750"/>
      <c r="L157" s="751"/>
      <c r="M157" s="751"/>
      <c r="N157" s="751"/>
      <c r="O157" s="750"/>
      <c r="P157" s="751"/>
      <c r="Q157" s="751"/>
      <c r="R157" s="751"/>
      <c r="S157" s="624"/>
      <c r="T157" s="751"/>
      <c r="U157" s="751"/>
      <c r="V157" s="751"/>
      <c r="W157" s="624"/>
      <c r="X157" s="751"/>
      <c r="Y157" s="751"/>
      <c r="Z157" s="751"/>
      <c r="AA157" s="750"/>
      <c r="AB157" s="751"/>
      <c r="AC157" s="661"/>
      <c r="AD157" s="661"/>
      <c r="AE157" s="624"/>
      <c r="AF157" s="751"/>
      <c r="AG157" s="751"/>
      <c r="AH157" s="751"/>
      <c r="AI157" s="624"/>
      <c r="AJ157" s="751"/>
      <c r="AK157" s="751"/>
      <c r="AL157" s="751"/>
      <c r="AM157" s="624"/>
      <c r="AN157" s="624"/>
      <c r="AO157" s="624"/>
      <c r="AP157" s="624"/>
      <c r="AQ157" s="737"/>
      <c r="AR157" s="753"/>
      <c r="AS157" s="753"/>
      <c r="AT157" s="753"/>
      <c r="AU157" s="624"/>
      <c r="AV157" s="624"/>
      <c r="AW157" s="624"/>
    </row>
    <row r="158" spans="2:49" ht="26.25" customHeight="1">
      <c r="B158" s="756"/>
      <c r="C158" s="624"/>
      <c r="D158" s="751"/>
      <c r="E158" s="751"/>
      <c r="F158" s="751"/>
      <c r="G158" s="751"/>
      <c r="H158" s="751"/>
      <c r="I158" s="624"/>
      <c r="J158" s="624"/>
      <c r="K158" s="750"/>
      <c r="L158" s="751"/>
      <c r="M158" s="751"/>
      <c r="N158" s="751"/>
      <c r="O158" s="750"/>
      <c r="P158" s="751"/>
      <c r="Q158" s="751"/>
      <c r="R158" s="751"/>
      <c r="S158" s="624"/>
      <c r="T158" s="751"/>
      <c r="U158" s="751"/>
      <c r="V158" s="751"/>
      <c r="W158" s="624"/>
      <c r="X158" s="751"/>
      <c r="Y158" s="751"/>
      <c r="Z158" s="751"/>
      <c r="AA158" s="750"/>
      <c r="AB158" s="751"/>
      <c r="AC158" s="661"/>
      <c r="AD158" s="661"/>
      <c r="AE158" s="624"/>
      <c r="AF158" s="751"/>
      <c r="AG158" s="751"/>
      <c r="AH158" s="751"/>
      <c r="AI158" s="624"/>
      <c r="AJ158" s="751"/>
      <c r="AK158" s="751"/>
      <c r="AL158" s="751"/>
      <c r="AM158" s="624"/>
      <c r="AN158" s="624"/>
      <c r="AO158" s="624"/>
      <c r="AP158" s="624"/>
      <c r="AQ158" s="737"/>
      <c r="AR158" s="753"/>
      <c r="AS158" s="753"/>
      <c r="AT158" s="753"/>
      <c r="AU158" s="624"/>
      <c r="AV158" s="624"/>
      <c r="AW158" s="624"/>
    </row>
    <row r="159" spans="2:49" ht="26.25" customHeight="1">
      <c r="B159" s="756"/>
      <c r="C159" s="624"/>
      <c r="D159" s="751"/>
      <c r="E159" s="751"/>
      <c r="F159" s="751"/>
      <c r="G159" s="751"/>
      <c r="H159" s="751"/>
      <c r="I159" s="624"/>
      <c r="J159" s="624"/>
      <c r="K159" s="750"/>
      <c r="L159" s="751"/>
      <c r="M159" s="751"/>
      <c r="N159" s="751"/>
      <c r="O159" s="750"/>
      <c r="P159" s="751"/>
      <c r="Q159" s="751"/>
      <c r="R159" s="751"/>
      <c r="S159" s="624"/>
      <c r="T159" s="751"/>
      <c r="U159" s="751"/>
      <c r="V159" s="751"/>
      <c r="W159" s="624"/>
      <c r="X159" s="751"/>
      <c r="Y159" s="751"/>
      <c r="Z159" s="751"/>
      <c r="AA159" s="750"/>
      <c r="AB159" s="751"/>
      <c r="AC159" s="661"/>
      <c r="AD159" s="661"/>
      <c r="AE159" s="624"/>
      <c r="AF159" s="751"/>
      <c r="AG159" s="751"/>
      <c r="AH159" s="751"/>
      <c r="AI159" s="624"/>
      <c r="AJ159" s="751"/>
      <c r="AK159" s="751"/>
      <c r="AL159" s="751"/>
      <c r="AM159" s="624"/>
      <c r="AN159" s="624"/>
      <c r="AO159" s="624"/>
      <c r="AP159" s="624"/>
      <c r="AQ159" s="737"/>
      <c r="AR159" s="753"/>
      <c r="AS159" s="753"/>
      <c r="AT159" s="753"/>
      <c r="AU159" s="624"/>
      <c r="AV159" s="624"/>
      <c r="AW159" s="624"/>
    </row>
    <row r="160" spans="2:49" ht="26.25" customHeight="1">
      <c r="B160" s="756"/>
      <c r="C160" s="624"/>
      <c r="D160" s="751"/>
      <c r="E160" s="751"/>
      <c r="F160" s="751"/>
      <c r="G160" s="751"/>
      <c r="H160" s="751"/>
      <c r="I160" s="624"/>
      <c r="J160" s="624"/>
      <c r="K160" s="750"/>
      <c r="L160" s="751"/>
      <c r="M160" s="751"/>
      <c r="N160" s="751"/>
      <c r="O160" s="750"/>
      <c r="P160" s="751"/>
      <c r="Q160" s="751"/>
      <c r="R160" s="751"/>
      <c r="S160" s="624"/>
      <c r="T160" s="751"/>
      <c r="U160" s="751"/>
      <c r="V160" s="751"/>
      <c r="W160" s="624"/>
      <c r="X160" s="751"/>
      <c r="Y160" s="751"/>
      <c r="Z160" s="751"/>
      <c r="AA160" s="750"/>
      <c r="AB160" s="751"/>
      <c r="AC160" s="661"/>
      <c r="AD160" s="661"/>
      <c r="AE160" s="624"/>
      <c r="AF160" s="751"/>
      <c r="AG160" s="751"/>
      <c r="AH160" s="751"/>
      <c r="AI160" s="624"/>
      <c r="AJ160" s="751"/>
      <c r="AK160" s="751"/>
      <c r="AL160" s="751"/>
      <c r="AM160" s="624"/>
      <c r="AN160" s="624"/>
      <c r="AO160" s="624"/>
      <c r="AP160" s="624"/>
      <c r="AQ160" s="737"/>
      <c r="AR160" s="753"/>
      <c r="AS160" s="753"/>
      <c r="AT160" s="753"/>
      <c r="AU160" s="624"/>
      <c r="AV160" s="624"/>
      <c r="AW160" s="624"/>
    </row>
    <row r="161" spans="2:49" ht="26.25" customHeight="1">
      <c r="B161" s="756"/>
      <c r="C161" s="624"/>
      <c r="D161" s="751"/>
      <c r="E161" s="751"/>
      <c r="F161" s="751"/>
      <c r="G161" s="751"/>
      <c r="H161" s="751"/>
      <c r="I161" s="624"/>
      <c r="J161" s="624"/>
      <c r="K161" s="750"/>
      <c r="L161" s="751"/>
      <c r="M161" s="751"/>
      <c r="N161" s="751"/>
      <c r="O161" s="750"/>
      <c r="P161" s="751"/>
      <c r="Q161" s="751"/>
      <c r="R161" s="751"/>
      <c r="S161" s="624"/>
      <c r="T161" s="751"/>
      <c r="U161" s="751"/>
      <c r="V161" s="751"/>
      <c r="W161" s="624"/>
      <c r="X161" s="751"/>
      <c r="Y161" s="751"/>
      <c r="Z161" s="751"/>
      <c r="AA161" s="750"/>
      <c r="AB161" s="751"/>
      <c r="AC161" s="661"/>
      <c r="AD161" s="661"/>
      <c r="AE161" s="624"/>
      <c r="AF161" s="751"/>
      <c r="AG161" s="751"/>
      <c r="AH161" s="751"/>
      <c r="AI161" s="624"/>
      <c r="AJ161" s="751"/>
      <c r="AK161" s="751"/>
      <c r="AL161" s="751"/>
      <c r="AM161" s="624"/>
      <c r="AN161" s="624"/>
      <c r="AO161" s="624"/>
      <c r="AP161" s="624"/>
      <c r="AQ161" s="737"/>
      <c r="AR161" s="753"/>
      <c r="AS161" s="753"/>
      <c r="AT161" s="753"/>
      <c r="AU161" s="624"/>
      <c r="AV161" s="624"/>
      <c r="AW161" s="624"/>
    </row>
    <row r="162" spans="2:49" ht="26.25" customHeight="1">
      <c r="B162" s="756"/>
      <c r="C162" s="624"/>
      <c r="D162" s="751"/>
      <c r="E162" s="751"/>
      <c r="F162" s="751"/>
      <c r="G162" s="751"/>
      <c r="H162" s="751"/>
      <c r="I162" s="624"/>
      <c r="J162" s="624"/>
      <c r="K162" s="750"/>
      <c r="L162" s="751"/>
      <c r="M162" s="751"/>
      <c r="N162" s="751"/>
      <c r="O162" s="750"/>
      <c r="P162" s="751"/>
      <c r="Q162" s="751"/>
      <c r="R162" s="751"/>
      <c r="S162" s="624"/>
      <c r="T162" s="751"/>
      <c r="U162" s="751"/>
      <c r="V162" s="751"/>
      <c r="W162" s="624"/>
      <c r="X162" s="751"/>
      <c r="Y162" s="751"/>
      <c r="Z162" s="751"/>
      <c r="AA162" s="750"/>
      <c r="AB162" s="751"/>
      <c r="AC162" s="661"/>
      <c r="AD162" s="661"/>
      <c r="AE162" s="624"/>
      <c r="AF162" s="751"/>
      <c r="AG162" s="751"/>
      <c r="AH162" s="751"/>
      <c r="AI162" s="624"/>
      <c r="AJ162" s="751"/>
      <c r="AK162" s="751"/>
      <c r="AL162" s="751"/>
      <c r="AM162" s="624"/>
      <c r="AN162" s="624"/>
      <c r="AO162" s="624"/>
      <c r="AP162" s="624"/>
      <c r="AQ162" s="737"/>
      <c r="AR162" s="753"/>
      <c r="AS162" s="753"/>
      <c r="AT162" s="753"/>
      <c r="AU162" s="624"/>
      <c r="AV162" s="624"/>
      <c r="AW162" s="624"/>
    </row>
    <row r="163" spans="2:49" ht="26.25" customHeight="1">
      <c r="B163" s="756"/>
      <c r="C163" s="624"/>
      <c r="D163" s="751"/>
      <c r="E163" s="751"/>
      <c r="F163" s="751"/>
      <c r="G163" s="751"/>
      <c r="H163" s="751"/>
      <c r="I163" s="624"/>
      <c r="J163" s="624"/>
      <c r="K163" s="750"/>
      <c r="L163" s="751"/>
      <c r="M163" s="751"/>
      <c r="N163" s="751"/>
      <c r="O163" s="750"/>
      <c r="P163" s="751"/>
      <c r="Q163" s="751"/>
      <c r="R163" s="751"/>
      <c r="S163" s="624"/>
      <c r="T163" s="751"/>
      <c r="U163" s="751"/>
      <c r="V163" s="751"/>
      <c r="W163" s="624"/>
      <c r="X163" s="751"/>
      <c r="Y163" s="751"/>
      <c r="Z163" s="751"/>
      <c r="AA163" s="750"/>
      <c r="AB163" s="751"/>
      <c r="AC163" s="661"/>
      <c r="AD163" s="661"/>
      <c r="AE163" s="624"/>
      <c r="AF163" s="751"/>
      <c r="AG163" s="751"/>
      <c r="AH163" s="751"/>
      <c r="AI163" s="624"/>
      <c r="AJ163" s="751"/>
      <c r="AK163" s="751"/>
      <c r="AL163" s="751"/>
      <c r="AM163" s="624"/>
      <c r="AN163" s="624"/>
      <c r="AO163" s="624"/>
      <c r="AP163" s="624"/>
      <c r="AQ163" s="737"/>
      <c r="AR163" s="753"/>
      <c r="AS163" s="753"/>
      <c r="AT163" s="753"/>
      <c r="AU163" s="624"/>
      <c r="AV163" s="624"/>
      <c r="AW163" s="624"/>
    </row>
    <row r="164" spans="2:49" ht="26.25" customHeight="1">
      <c r="B164" s="756"/>
      <c r="C164" s="624"/>
      <c r="D164" s="751"/>
      <c r="E164" s="751"/>
      <c r="F164" s="751"/>
      <c r="G164" s="751"/>
      <c r="H164" s="751"/>
      <c r="I164" s="624"/>
      <c r="J164" s="624"/>
      <c r="K164" s="750"/>
      <c r="L164" s="751"/>
      <c r="M164" s="751"/>
      <c r="N164" s="751"/>
      <c r="O164" s="750"/>
      <c r="P164" s="751"/>
      <c r="Q164" s="751"/>
      <c r="R164" s="751"/>
      <c r="S164" s="624"/>
      <c r="T164" s="751"/>
      <c r="U164" s="751"/>
      <c r="V164" s="751"/>
      <c r="W164" s="624"/>
      <c r="X164" s="751"/>
      <c r="Y164" s="751"/>
      <c r="Z164" s="751"/>
      <c r="AA164" s="750"/>
      <c r="AB164" s="751"/>
      <c r="AC164" s="661"/>
      <c r="AD164" s="661"/>
      <c r="AE164" s="624"/>
      <c r="AF164" s="751"/>
      <c r="AG164" s="751"/>
      <c r="AH164" s="751"/>
      <c r="AI164" s="624"/>
      <c r="AJ164" s="751"/>
      <c r="AK164" s="751"/>
      <c r="AL164" s="751"/>
      <c r="AM164" s="624"/>
      <c r="AN164" s="624"/>
      <c r="AO164" s="624"/>
      <c r="AP164" s="624"/>
      <c r="AQ164" s="737"/>
      <c r="AR164" s="753"/>
      <c r="AS164" s="753"/>
      <c r="AT164" s="753"/>
      <c r="AU164" s="624"/>
      <c r="AV164" s="624"/>
      <c r="AW164" s="624"/>
    </row>
    <row r="165" spans="2:49" ht="26.25" customHeight="1">
      <c r="B165" s="756"/>
      <c r="C165" s="624"/>
      <c r="D165" s="751"/>
      <c r="E165" s="751"/>
      <c r="F165" s="751"/>
      <c r="G165" s="751"/>
      <c r="H165" s="751"/>
      <c r="I165" s="624"/>
      <c r="J165" s="624"/>
      <c r="K165" s="750"/>
      <c r="L165" s="751"/>
      <c r="M165" s="751"/>
      <c r="N165" s="751"/>
      <c r="O165" s="750"/>
      <c r="P165" s="751"/>
      <c r="Q165" s="751"/>
      <c r="R165" s="751"/>
      <c r="S165" s="624"/>
      <c r="T165" s="751"/>
      <c r="U165" s="751"/>
      <c r="V165" s="751"/>
      <c r="W165" s="624"/>
      <c r="X165" s="751"/>
      <c r="Y165" s="751"/>
      <c r="Z165" s="751"/>
      <c r="AA165" s="750"/>
      <c r="AB165" s="751"/>
      <c r="AC165" s="661"/>
      <c r="AD165" s="661"/>
      <c r="AE165" s="624"/>
      <c r="AF165" s="751"/>
      <c r="AG165" s="751"/>
      <c r="AH165" s="751"/>
      <c r="AI165" s="624"/>
      <c r="AJ165" s="751"/>
      <c r="AK165" s="751"/>
      <c r="AL165" s="751"/>
      <c r="AM165" s="624"/>
      <c r="AN165" s="624"/>
      <c r="AO165" s="624"/>
      <c r="AP165" s="624"/>
      <c r="AQ165" s="737"/>
      <c r="AR165" s="753"/>
      <c r="AS165" s="753"/>
      <c r="AT165" s="753"/>
      <c r="AU165" s="624"/>
      <c r="AV165" s="624"/>
      <c r="AW165" s="624"/>
    </row>
    <row r="166" spans="2:49" ht="26.25" customHeight="1">
      <c r="B166" s="756"/>
      <c r="C166" s="624"/>
      <c r="D166" s="751"/>
      <c r="E166" s="751"/>
      <c r="F166" s="751"/>
      <c r="G166" s="751"/>
      <c r="H166" s="751"/>
      <c r="I166" s="624"/>
      <c r="J166" s="624"/>
      <c r="K166" s="750"/>
      <c r="L166" s="751"/>
      <c r="M166" s="751"/>
      <c r="N166" s="751"/>
      <c r="O166" s="750"/>
      <c r="P166" s="751"/>
      <c r="Q166" s="751"/>
      <c r="R166" s="751"/>
      <c r="S166" s="624"/>
      <c r="T166" s="751"/>
      <c r="U166" s="751"/>
      <c r="V166" s="751"/>
      <c r="W166" s="624"/>
      <c r="X166" s="751"/>
      <c r="Y166" s="751"/>
      <c r="Z166" s="751"/>
      <c r="AA166" s="750"/>
      <c r="AB166" s="751"/>
      <c r="AC166" s="661"/>
      <c r="AD166" s="661"/>
      <c r="AE166" s="624"/>
      <c r="AF166" s="751"/>
      <c r="AG166" s="751"/>
      <c r="AH166" s="751"/>
      <c r="AI166" s="624"/>
      <c r="AJ166" s="751"/>
      <c r="AK166" s="751"/>
      <c r="AL166" s="751"/>
      <c r="AM166" s="624"/>
      <c r="AN166" s="624"/>
      <c r="AO166" s="624"/>
      <c r="AP166" s="624"/>
      <c r="AQ166" s="737"/>
      <c r="AR166" s="753"/>
      <c r="AS166" s="753"/>
      <c r="AT166" s="753"/>
      <c r="AU166" s="624"/>
      <c r="AV166" s="624"/>
      <c r="AW166" s="624"/>
    </row>
    <row r="167" spans="2:49" ht="26.25" customHeight="1">
      <c r="B167" s="756"/>
      <c r="C167" s="624"/>
      <c r="D167" s="751"/>
      <c r="E167" s="751"/>
      <c r="F167" s="751"/>
      <c r="G167" s="751"/>
      <c r="H167" s="751"/>
      <c r="I167" s="624"/>
      <c r="J167" s="624"/>
      <c r="K167" s="750"/>
      <c r="L167" s="751"/>
      <c r="M167" s="751"/>
      <c r="N167" s="751"/>
      <c r="O167" s="750"/>
      <c r="P167" s="751"/>
      <c r="Q167" s="751"/>
      <c r="R167" s="751"/>
      <c r="S167" s="624"/>
      <c r="T167" s="751"/>
      <c r="U167" s="751"/>
      <c r="V167" s="751"/>
      <c r="W167" s="624"/>
      <c r="X167" s="751"/>
      <c r="Y167" s="751"/>
      <c r="Z167" s="751"/>
      <c r="AA167" s="750"/>
      <c r="AB167" s="751"/>
      <c r="AC167" s="661"/>
      <c r="AD167" s="661"/>
      <c r="AE167" s="624"/>
      <c r="AF167" s="751"/>
      <c r="AG167" s="751"/>
      <c r="AH167" s="751"/>
      <c r="AI167" s="624"/>
      <c r="AJ167" s="751"/>
      <c r="AK167" s="751"/>
      <c r="AL167" s="751"/>
      <c r="AM167" s="624"/>
      <c r="AN167" s="624"/>
      <c r="AO167" s="624"/>
      <c r="AP167" s="624"/>
      <c r="AQ167" s="737"/>
      <c r="AR167" s="753"/>
      <c r="AS167" s="753"/>
      <c r="AT167" s="753"/>
      <c r="AU167" s="624"/>
      <c r="AV167" s="624"/>
      <c r="AW167" s="624"/>
    </row>
    <row r="168" spans="2:49" ht="26.25" customHeight="1">
      <c r="B168" s="756"/>
      <c r="C168" s="624"/>
      <c r="D168" s="751"/>
      <c r="E168" s="751"/>
      <c r="F168" s="751"/>
      <c r="G168" s="751"/>
      <c r="H168" s="751"/>
      <c r="I168" s="624"/>
      <c r="J168" s="624"/>
      <c r="K168" s="750"/>
      <c r="L168" s="751"/>
      <c r="M168" s="751"/>
      <c r="N168" s="751"/>
      <c r="O168" s="750"/>
      <c r="P168" s="751"/>
      <c r="Q168" s="751"/>
      <c r="R168" s="751"/>
      <c r="S168" s="624"/>
      <c r="T168" s="751"/>
      <c r="U168" s="751"/>
      <c r="V168" s="751"/>
      <c r="W168" s="624"/>
      <c r="X168" s="751"/>
      <c r="Y168" s="751"/>
      <c r="Z168" s="751"/>
      <c r="AA168" s="750"/>
      <c r="AB168" s="751"/>
      <c r="AC168" s="661"/>
      <c r="AD168" s="661"/>
      <c r="AE168" s="624"/>
      <c r="AF168" s="751"/>
      <c r="AG168" s="751"/>
      <c r="AH168" s="751"/>
      <c r="AI168" s="624"/>
      <c r="AJ168" s="751"/>
      <c r="AK168" s="751"/>
      <c r="AL168" s="751"/>
      <c r="AM168" s="624"/>
      <c r="AN168" s="624"/>
      <c r="AO168" s="624"/>
      <c r="AP168" s="624"/>
      <c r="AQ168" s="737"/>
      <c r="AR168" s="753"/>
      <c r="AS168" s="753"/>
      <c r="AT168" s="753"/>
      <c r="AU168" s="624"/>
      <c r="AV168" s="624"/>
      <c r="AW168" s="624"/>
    </row>
    <row r="169" spans="2:49" ht="26.25" customHeight="1">
      <c r="B169" s="756"/>
      <c r="C169" s="624"/>
      <c r="D169" s="751"/>
      <c r="E169" s="751"/>
      <c r="F169" s="751"/>
      <c r="G169" s="751"/>
      <c r="H169" s="751"/>
      <c r="I169" s="624"/>
      <c r="J169" s="624"/>
      <c r="K169" s="750"/>
      <c r="L169" s="751"/>
      <c r="M169" s="751"/>
      <c r="N169" s="751"/>
      <c r="O169" s="750"/>
      <c r="P169" s="751"/>
      <c r="Q169" s="751"/>
      <c r="R169" s="751"/>
      <c r="S169" s="624"/>
      <c r="T169" s="751"/>
      <c r="U169" s="751"/>
      <c r="V169" s="751"/>
      <c r="W169" s="624"/>
      <c r="X169" s="751"/>
      <c r="Y169" s="751"/>
      <c r="Z169" s="751"/>
      <c r="AA169" s="750"/>
      <c r="AB169" s="751"/>
      <c r="AC169" s="661"/>
      <c r="AD169" s="661"/>
      <c r="AE169" s="624"/>
      <c r="AF169" s="751"/>
      <c r="AG169" s="751"/>
      <c r="AH169" s="751"/>
      <c r="AI169" s="624"/>
      <c r="AJ169" s="751"/>
      <c r="AK169" s="751"/>
      <c r="AL169" s="751"/>
      <c r="AM169" s="624"/>
      <c r="AN169" s="624"/>
      <c r="AO169" s="624"/>
      <c r="AP169" s="624"/>
      <c r="AQ169" s="737"/>
      <c r="AR169" s="753"/>
      <c r="AS169" s="753"/>
      <c r="AT169" s="753"/>
      <c r="AU169" s="624"/>
      <c r="AV169" s="624"/>
      <c r="AW169" s="624"/>
    </row>
    <row r="170" spans="2:49" ht="26.25" customHeight="1">
      <c r="B170" s="756"/>
      <c r="C170" s="624"/>
      <c r="D170" s="751"/>
      <c r="E170" s="751"/>
      <c r="F170" s="751"/>
      <c r="G170" s="751"/>
      <c r="H170" s="751"/>
      <c r="I170" s="624"/>
      <c r="J170" s="624"/>
      <c r="K170" s="750"/>
      <c r="L170" s="751"/>
      <c r="M170" s="751"/>
      <c r="N170" s="751"/>
      <c r="O170" s="750"/>
      <c r="P170" s="751"/>
      <c r="Q170" s="751"/>
      <c r="R170" s="751"/>
      <c r="S170" s="624"/>
      <c r="T170" s="751"/>
      <c r="U170" s="751"/>
      <c r="V170" s="751"/>
      <c r="W170" s="624"/>
      <c r="X170" s="751"/>
      <c r="Y170" s="751"/>
      <c r="Z170" s="751"/>
      <c r="AA170" s="750"/>
      <c r="AB170" s="751"/>
      <c r="AC170" s="661"/>
      <c r="AD170" s="661"/>
      <c r="AE170" s="624"/>
      <c r="AF170" s="751"/>
      <c r="AG170" s="751"/>
      <c r="AH170" s="751"/>
      <c r="AI170" s="624"/>
      <c r="AJ170" s="751"/>
      <c r="AK170" s="751"/>
      <c r="AL170" s="751"/>
      <c r="AM170" s="624"/>
      <c r="AN170" s="624"/>
      <c r="AO170" s="624"/>
      <c r="AP170" s="624"/>
      <c r="AQ170" s="737"/>
      <c r="AR170" s="753"/>
      <c r="AS170" s="753"/>
      <c r="AT170" s="753"/>
      <c r="AU170" s="624"/>
      <c r="AV170" s="624"/>
      <c r="AW170" s="624"/>
    </row>
    <row r="171" spans="2:49" ht="26.25" customHeight="1">
      <c r="B171" s="756"/>
      <c r="C171" s="624"/>
      <c r="D171" s="751"/>
      <c r="E171" s="751"/>
      <c r="F171" s="751"/>
      <c r="G171" s="751"/>
      <c r="H171" s="751"/>
      <c r="I171" s="624"/>
      <c r="J171" s="624"/>
      <c r="K171" s="750"/>
      <c r="L171" s="751"/>
      <c r="M171" s="751"/>
      <c r="N171" s="751"/>
      <c r="O171" s="750"/>
      <c r="P171" s="751"/>
      <c r="Q171" s="751"/>
      <c r="R171" s="751"/>
      <c r="S171" s="624"/>
      <c r="T171" s="751"/>
      <c r="U171" s="751"/>
      <c r="V171" s="751"/>
      <c r="W171" s="624"/>
      <c r="X171" s="751"/>
      <c r="Y171" s="751"/>
      <c r="Z171" s="751"/>
      <c r="AA171" s="750"/>
      <c r="AB171" s="751"/>
      <c r="AC171" s="661"/>
      <c r="AD171" s="661"/>
      <c r="AE171" s="624"/>
      <c r="AF171" s="751"/>
      <c r="AG171" s="751"/>
      <c r="AH171" s="751"/>
      <c r="AI171" s="624"/>
      <c r="AJ171" s="751"/>
      <c r="AK171" s="751"/>
      <c r="AL171" s="751"/>
      <c r="AM171" s="624"/>
      <c r="AN171" s="624"/>
      <c r="AO171" s="624"/>
      <c r="AP171" s="624"/>
      <c r="AQ171" s="737"/>
      <c r="AR171" s="753"/>
      <c r="AS171" s="753"/>
      <c r="AT171" s="753"/>
      <c r="AU171" s="624"/>
      <c r="AV171" s="624"/>
      <c r="AW171" s="624"/>
    </row>
    <row r="172" spans="2:49" ht="26.25" customHeight="1">
      <c r="B172" s="756"/>
      <c r="C172" s="624"/>
      <c r="D172" s="751"/>
      <c r="E172" s="751"/>
      <c r="F172" s="751"/>
      <c r="G172" s="751"/>
      <c r="H172" s="751"/>
      <c r="I172" s="624"/>
      <c r="J172" s="624"/>
      <c r="K172" s="750"/>
      <c r="L172" s="751"/>
      <c r="M172" s="751"/>
      <c r="N172" s="751"/>
      <c r="O172" s="750"/>
      <c r="P172" s="751"/>
      <c r="Q172" s="751"/>
      <c r="R172" s="751"/>
      <c r="S172" s="624"/>
      <c r="T172" s="751"/>
      <c r="U172" s="751"/>
      <c r="V172" s="751"/>
      <c r="W172" s="624"/>
      <c r="X172" s="751"/>
      <c r="Y172" s="751"/>
      <c r="Z172" s="751"/>
      <c r="AA172" s="750"/>
      <c r="AB172" s="751"/>
      <c r="AC172" s="661"/>
      <c r="AD172" s="661"/>
      <c r="AE172" s="624"/>
      <c r="AF172" s="751"/>
      <c r="AG172" s="751"/>
      <c r="AH172" s="751"/>
      <c r="AI172" s="624"/>
      <c r="AJ172" s="751"/>
      <c r="AK172" s="751"/>
      <c r="AL172" s="751"/>
      <c r="AM172" s="624"/>
      <c r="AN172" s="624"/>
      <c r="AO172" s="624"/>
      <c r="AP172" s="624"/>
      <c r="AQ172" s="737"/>
      <c r="AR172" s="753"/>
      <c r="AS172" s="753"/>
      <c r="AT172" s="753"/>
      <c r="AU172" s="624"/>
      <c r="AV172" s="624"/>
      <c r="AW172" s="624"/>
    </row>
    <row r="173" spans="2:49" ht="26.25" customHeight="1">
      <c r="B173" s="756"/>
      <c r="C173" s="624"/>
      <c r="D173" s="751"/>
      <c r="E173" s="751"/>
      <c r="F173" s="751"/>
      <c r="G173" s="751"/>
      <c r="H173" s="751"/>
      <c r="I173" s="624"/>
      <c r="J173" s="624"/>
      <c r="K173" s="750"/>
      <c r="L173" s="751"/>
      <c r="M173" s="751"/>
      <c r="N173" s="751"/>
      <c r="O173" s="750"/>
      <c r="P173" s="751"/>
      <c r="Q173" s="751"/>
      <c r="R173" s="751"/>
      <c r="S173" s="624"/>
      <c r="T173" s="751"/>
      <c r="U173" s="751"/>
      <c r="V173" s="751"/>
      <c r="W173" s="624"/>
      <c r="X173" s="751"/>
      <c r="Y173" s="751"/>
      <c r="Z173" s="751"/>
      <c r="AA173" s="750"/>
      <c r="AB173" s="751"/>
      <c r="AC173" s="661"/>
      <c r="AD173" s="661"/>
      <c r="AE173" s="624"/>
      <c r="AF173" s="751"/>
      <c r="AG173" s="751"/>
      <c r="AH173" s="751"/>
      <c r="AI173" s="624"/>
      <c r="AJ173" s="751"/>
      <c r="AK173" s="751"/>
      <c r="AL173" s="751"/>
      <c r="AM173" s="624"/>
      <c r="AN173" s="624"/>
      <c r="AO173" s="624"/>
      <c r="AP173" s="624"/>
      <c r="AQ173" s="737"/>
      <c r="AR173" s="753"/>
      <c r="AS173" s="753"/>
      <c r="AT173" s="753"/>
      <c r="AU173" s="624"/>
      <c r="AV173" s="624"/>
      <c r="AW173" s="624"/>
    </row>
    <row r="174" spans="2:49" ht="26.25" customHeight="1">
      <c r="B174" s="756"/>
      <c r="C174" s="624"/>
      <c r="D174" s="751"/>
      <c r="E174" s="751"/>
      <c r="F174" s="751"/>
      <c r="G174" s="751"/>
      <c r="H174" s="751"/>
      <c r="I174" s="624"/>
      <c r="J174" s="624"/>
      <c r="K174" s="750"/>
      <c r="L174" s="751"/>
      <c r="M174" s="751"/>
      <c r="N174" s="751"/>
      <c r="O174" s="750"/>
      <c r="P174" s="751"/>
      <c r="Q174" s="751"/>
      <c r="R174" s="751"/>
      <c r="S174" s="624"/>
      <c r="T174" s="751"/>
      <c r="U174" s="751"/>
      <c r="V174" s="751"/>
      <c r="W174" s="624"/>
      <c r="X174" s="751"/>
      <c r="Y174" s="751"/>
      <c r="Z174" s="751"/>
      <c r="AA174" s="750"/>
      <c r="AB174" s="751"/>
      <c r="AC174" s="661"/>
      <c r="AD174" s="661"/>
      <c r="AE174" s="624"/>
      <c r="AF174" s="751"/>
      <c r="AG174" s="751"/>
      <c r="AH174" s="751"/>
      <c r="AI174" s="624"/>
      <c r="AJ174" s="751"/>
      <c r="AK174" s="751"/>
      <c r="AL174" s="751"/>
      <c r="AM174" s="624"/>
      <c r="AN174" s="624"/>
      <c r="AO174" s="624"/>
      <c r="AP174" s="624"/>
      <c r="AQ174" s="737"/>
      <c r="AR174" s="753"/>
      <c r="AS174" s="753"/>
      <c r="AT174" s="753"/>
      <c r="AU174" s="624"/>
      <c r="AV174" s="624"/>
      <c r="AW174" s="624"/>
    </row>
    <row r="175" spans="2:49" ht="26.25" customHeight="1">
      <c r="B175" s="756"/>
      <c r="C175" s="624"/>
      <c r="D175" s="751"/>
      <c r="E175" s="751"/>
      <c r="F175" s="751"/>
      <c r="G175" s="751"/>
      <c r="H175" s="751"/>
      <c r="I175" s="624"/>
      <c r="J175" s="624"/>
      <c r="K175" s="750"/>
      <c r="L175" s="751"/>
      <c r="M175" s="751"/>
      <c r="N175" s="751"/>
      <c r="O175" s="750"/>
      <c r="P175" s="751"/>
      <c r="Q175" s="751"/>
      <c r="R175" s="751"/>
      <c r="S175" s="624"/>
      <c r="T175" s="751"/>
      <c r="U175" s="751"/>
      <c r="V175" s="751"/>
      <c r="W175" s="624"/>
      <c r="X175" s="751"/>
      <c r="Y175" s="751"/>
      <c r="Z175" s="751"/>
      <c r="AA175" s="750"/>
      <c r="AB175" s="751"/>
      <c r="AC175" s="661"/>
      <c r="AD175" s="661"/>
      <c r="AE175" s="624"/>
      <c r="AF175" s="751"/>
      <c r="AG175" s="751"/>
      <c r="AH175" s="751"/>
      <c r="AI175" s="624"/>
      <c r="AJ175" s="751"/>
      <c r="AK175" s="751"/>
      <c r="AL175" s="751"/>
      <c r="AM175" s="624"/>
      <c r="AN175" s="624"/>
      <c r="AO175" s="624"/>
      <c r="AP175" s="624"/>
      <c r="AQ175" s="737"/>
      <c r="AR175" s="753"/>
      <c r="AS175" s="753"/>
      <c r="AT175" s="753"/>
      <c r="AU175" s="624"/>
      <c r="AV175" s="624"/>
      <c r="AW175" s="624"/>
    </row>
    <row r="176" spans="2:49" ht="26.25" customHeight="1">
      <c r="B176" s="756"/>
      <c r="C176" s="624"/>
      <c r="D176" s="751"/>
      <c r="E176" s="751"/>
      <c r="F176" s="751"/>
      <c r="G176" s="751"/>
      <c r="H176" s="751"/>
      <c r="I176" s="624"/>
      <c r="J176" s="624"/>
      <c r="K176" s="750"/>
      <c r="L176" s="751"/>
      <c r="M176" s="751"/>
      <c r="N176" s="751"/>
      <c r="O176" s="750"/>
      <c r="P176" s="751"/>
      <c r="Q176" s="751"/>
      <c r="R176" s="751"/>
      <c r="S176" s="624"/>
      <c r="T176" s="751"/>
      <c r="U176" s="751"/>
      <c r="V176" s="751"/>
      <c r="W176" s="624"/>
      <c r="X176" s="751"/>
      <c r="Y176" s="751"/>
      <c r="Z176" s="751"/>
      <c r="AA176" s="750"/>
      <c r="AB176" s="751"/>
      <c r="AC176" s="661"/>
      <c r="AD176" s="661"/>
      <c r="AE176" s="624"/>
      <c r="AF176" s="751"/>
      <c r="AG176" s="751"/>
      <c r="AH176" s="751"/>
      <c r="AI176" s="624"/>
      <c r="AJ176" s="751"/>
      <c r="AK176" s="751"/>
      <c r="AL176" s="751"/>
      <c r="AM176" s="624"/>
      <c r="AN176" s="624"/>
      <c r="AO176" s="624"/>
      <c r="AP176" s="624"/>
      <c r="AQ176" s="737"/>
      <c r="AR176" s="753"/>
      <c r="AS176" s="753"/>
      <c r="AT176" s="753"/>
      <c r="AU176" s="624"/>
      <c r="AV176" s="624"/>
      <c r="AW176" s="624"/>
    </row>
    <row r="177" spans="2:49" ht="26.25" customHeight="1">
      <c r="B177" s="756"/>
      <c r="C177" s="624"/>
      <c r="D177" s="751"/>
      <c r="E177" s="751"/>
      <c r="F177" s="751"/>
      <c r="G177" s="751"/>
      <c r="H177" s="751"/>
      <c r="I177" s="624"/>
      <c r="J177" s="624"/>
      <c r="K177" s="750"/>
      <c r="L177" s="751"/>
      <c r="M177" s="751"/>
      <c r="N177" s="751"/>
      <c r="O177" s="750"/>
      <c r="P177" s="751"/>
      <c r="Q177" s="751"/>
      <c r="R177" s="751"/>
      <c r="S177" s="624"/>
      <c r="T177" s="751"/>
      <c r="U177" s="751"/>
      <c r="V177" s="751"/>
      <c r="W177" s="624"/>
      <c r="X177" s="751"/>
      <c r="Y177" s="751"/>
      <c r="Z177" s="751"/>
      <c r="AA177" s="750"/>
      <c r="AB177" s="751"/>
      <c r="AC177" s="661"/>
      <c r="AD177" s="661"/>
      <c r="AE177" s="624"/>
      <c r="AF177" s="751"/>
      <c r="AG177" s="751"/>
      <c r="AH177" s="751"/>
      <c r="AI177" s="624"/>
      <c r="AJ177" s="751"/>
      <c r="AK177" s="751"/>
      <c r="AL177" s="751"/>
      <c r="AM177" s="624"/>
      <c r="AN177" s="624"/>
      <c r="AO177" s="624"/>
      <c r="AP177" s="624"/>
      <c r="AQ177" s="737"/>
      <c r="AR177" s="753"/>
      <c r="AS177" s="753"/>
      <c r="AT177" s="753"/>
      <c r="AU177" s="624"/>
      <c r="AV177" s="624"/>
      <c r="AW177" s="624"/>
    </row>
    <row r="178" spans="2:49" ht="26.25" customHeight="1">
      <c r="B178" s="756"/>
      <c r="C178" s="624"/>
      <c r="D178" s="751"/>
      <c r="E178" s="751"/>
      <c r="F178" s="751"/>
      <c r="G178" s="751"/>
      <c r="H178" s="751"/>
      <c r="I178" s="624"/>
      <c r="J178" s="624"/>
      <c r="K178" s="750"/>
      <c r="L178" s="751"/>
      <c r="M178" s="751"/>
      <c r="N178" s="751"/>
      <c r="O178" s="750"/>
      <c r="P178" s="751"/>
      <c r="Q178" s="751"/>
      <c r="R178" s="751"/>
      <c r="S178" s="624"/>
      <c r="T178" s="751"/>
      <c r="U178" s="751"/>
      <c r="V178" s="751"/>
      <c r="W178" s="624"/>
      <c r="X178" s="751"/>
      <c r="Y178" s="751"/>
      <c r="Z178" s="751"/>
      <c r="AA178" s="750"/>
      <c r="AB178" s="751"/>
      <c r="AC178" s="661"/>
      <c r="AD178" s="661"/>
      <c r="AE178" s="624"/>
      <c r="AF178" s="751"/>
      <c r="AG178" s="751"/>
      <c r="AH178" s="751"/>
      <c r="AI178" s="624"/>
      <c r="AJ178" s="751"/>
      <c r="AK178" s="751"/>
      <c r="AL178" s="751"/>
      <c r="AM178" s="624"/>
      <c r="AN178" s="624"/>
      <c r="AO178" s="624"/>
      <c r="AP178" s="624"/>
      <c r="AQ178" s="737"/>
      <c r="AR178" s="753"/>
      <c r="AS178" s="753"/>
      <c r="AT178" s="753"/>
      <c r="AU178" s="624"/>
      <c r="AV178" s="624"/>
      <c r="AW178" s="624"/>
    </row>
    <row r="179" spans="2:49" ht="26.25" customHeight="1">
      <c r="B179" s="756"/>
      <c r="C179" s="624"/>
      <c r="D179" s="751"/>
      <c r="E179" s="751"/>
      <c r="F179" s="751"/>
      <c r="G179" s="751"/>
      <c r="H179" s="751"/>
      <c r="I179" s="624"/>
      <c r="J179" s="624"/>
      <c r="K179" s="750"/>
      <c r="L179" s="751"/>
      <c r="M179" s="751"/>
      <c r="N179" s="751"/>
      <c r="O179" s="750"/>
      <c r="P179" s="751"/>
      <c r="Q179" s="751"/>
      <c r="R179" s="751"/>
      <c r="S179" s="624"/>
      <c r="T179" s="751"/>
      <c r="U179" s="751"/>
      <c r="V179" s="751"/>
      <c r="W179" s="624"/>
      <c r="X179" s="751"/>
      <c r="Y179" s="751"/>
      <c r="Z179" s="751"/>
      <c r="AA179" s="750"/>
      <c r="AB179" s="751"/>
      <c r="AC179" s="661"/>
      <c r="AD179" s="661"/>
      <c r="AE179" s="624"/>
      <c r="AF179" s="751"/>
      <c r="AG179" s="751"/>
      <c r="AH179" s="751"/>
      <c r="AI179" s="624"/>
      <c r="AJ179" s="751"/>
      <c r="AK179" s="751"/>
      <c r="AL179" s="751"/>
      <c r="AM179" s="624"/>
      <c r="AN179" s="624"/>
      <c r="AO179" s="624"/>
      <c r="AP179" s="624"/>
      <c r="AQ179" s="737"/>
      <c r="AR179" s="753"/>
      <c r="AS179" s="753"/>
      <c r="AT179" s="753"/>
      <c r="AU179" s="624"/>
      <c r="AV179" s="624"/>
      <c r="AW179" s="624"/>
    </row>
    <row r="180" spans="2:49" ht="26.25" customHeight="1">
      <c r="B180" s="756"/>
      <c r="C180" s="624"/>
      <c r="D180" s="751"/>
      <c r="E180" s="751"/>
      <c r="F180" s="751"/>
      <c r="G180" s="751"/>
      <c r="H180" s="751"/>
      <c r="I180" s="624"/>
      <c r="J180" s="624"/>
      <c r="K180" s="750"/>
      <c r="L180" s="751"/>
      <c r="M180" s="751"/>
      <c r="N180" s="751"/>
      <c r="O180" s="750"/>
      <c r="P180" s="751"/>
      <c r="Q180" s="751"/>
      <c r="R180" s="751"/>
      <c r="S180" s="624"/>
      <c r="T180" s="751"/>
      <c r="U180" s="751"/>
      <c r="V180" s="751"/>
      <c r="W180" s="624"/>
      <c r="X180" s="751"/>
      <c r="Y180" s="751"/>
      <c r="Z180" s="751"/>
      <c r="AA180" s="750"/>
      <c r="AB180" s="751"/>
      <c r="AC180" s="661"/>
      <c r="AD180" s="661"/>
      <c r="AE180" s="624"/>
      <c r="AF180" s="751"/>
      <c r="AG180" s="751"/>
      <c r="AH180" s="751"/>
      <c r="AI180" s="624"/>
      <c r="AJ180" s="751"/>
      <c r="AK180" s="751"/>
      <c r="AL180" s="751"/>
      <c r="AM180" s="624"/>
      <c r="AN180" s="624"/>
      <c r="AO180" s="624"/>
      <c r="AP180" s="624"/>
      <c r="AQ180" s="737"/>
      <c r="AR180" s="753"/>
      <c r="AS180" s="753"/>
      <c r="AT180" s="753"/>
      <c r="AU180" s="624"/>
      <c r="AV180" s="624"/>
      <c r="AW180" s="624"/>
    </row>
    <row r="181" spans="2:49" ht="26.25" customHeight="1">
      <c r="B181" s="756"/>
      <c r="C181" s="624"/>
      <c r="D181" s="751"/>
      <c r="E181" s="751"/>
      <c r="F181" s="751"/>
      <c r="G181" s="751"/>
      <c r="H181" s="751"/>
      <c r="I181" s="624"/>
      <c r="J181" s="624"/>
      <c r="K181" s="750"/>
      <c r="L181" s="751"/>
      <c r="M181" s="751"/>
      <c r="N181" s="751"/>
      <c r="O181" s="750"/>
      <c r="P181" s="751"/>
      <c r="Q181" s="751"/>
      <c r="R181" s="751"/>
      <c r="S181" s="624"/>
      <c r="T181" s="751"/>
      <c r="U181" s="751"/>
      <c r="V181" s="751"/>
      <c r="W181" s="624"/>
      <c r="X181" s="751"/>
      <c r="Y181" s="751"/>
      <c r="Z181" s="751"/>
      <c r="AA181" s="750"/>
      <c r="AB181" s="751"/>
      <c r="AC181" s="661"/>
      <c r="AD181" s="661"/>
      <c r="AE181" s="624"/>
      <c r="AF181" s="751"/>
      <c r="AG181" s="751"/>
      <c r="AH181" s="751"/>
      <c r="AI181" s="624"/>
      <c r="AJ181" s="751"/>
      <c r="AK181" s="751"/>
      <c r="AL181" s="751"/>
      <c r="AM181" s="624"/>
      <c r="AN181" s="624"/>
      <c r="AO181" s="624"/>
      <c r="AP181" s="624"/>
      <c r="AQ181" s="737"/>
      <c r="AR181" s="753"/>
      <c r="AS181" s="753"/>
      <c r="AT181" s="753"/>
      <c r="AU181" s="624"/>
      <c r="AV181" s="624"/>
      <c r="AW181" s="624"/>
    </row>
    <row r="182" spans="2:49" ht="26.25" customHeight="1">
      <c r="B182" s="756"/>
      <c r="C182" s="624"/>
      <c r="D182" s="751"/>
      <c r="E182" s="751"/>
      <c r="F182" s="751"/>
      <c r="G182" s="751"/>
      <c r="H182" s="751"/>
      <c r="I182" s="624"/>
      <c r="J182" s="624"/>
      <c r="K182" s="750"/>
      <c r="L182" s="751"/>
      <c r="M182" s="751"/>
      <c r="N182" s="751"/>
      <c r="O182" s="750"/>
      <c r="P182" s="751"/>
      <c r="Q182" s="751"/>
      <c r="R182" s="751"/>
      <c r="S182" s="624"/>
      <c r="T182" s="751"/>
      <c r="U182" s="751"/>
      <c r="V182" s="751"/>
      <c r="W182" s="624"/>
      <c r="X182" s="751"/>
      <c r="Y182" s="751"/>
      <c r="Z182" s="751"/>
      <c r="AA182" s="750"/>
      <c r="AB182" s="751"/>
      <c r="AC182" s="661"/>
      <c r="AD182" s="661"/>
      <c r="AE182" s="624"/>
      <c r="AF182" s="751"/>
      <c r="AG182" s="751"/>
      <c r="AH182" s="751"/>
      <c r="AI182" s="624"/>
      <c r="AJ182" s="751"/>
      <c r="AK182" s="751"/>
      <c r="AL182" s="751"/>
      <c r="AM182" s="624"/>
      <c r="AN182" s="624"/>
      <c r="AO182" s="624"/>
      <c r="AP182" s="624"/>
      <c r="AQ182" s="737"/>
      <c r="AR182" s="753"/>
      <c r="AS182" s="753"/>
      <c r="AT182" s="753"/>
      <c r="AU182" s="624"/>
      <c r="AV182" s="624"/>
      <c r="AW182" s="624"/>
    </row>
    <row r="183" spans="2:49" ht="26.25" customHeight="1">
      <c r="B183" s="756"/>
      <c r="C183" s="624"/>
      <c r="D183" s="751"/>
      <c r="E183" s="751"/>
      <c r="F183" s="751"/>
      <c r="G183" s="751"/>
      <c r="H183" s="751"/>
      <c r="I183" s="624"/>
      <c r="J183" s="624"/>
      <c r="K183" s="750"/>
      <c r="L183" s="751"/>
      <c r="M183" s="751"/>
      <c r="N183" s="751"/>
      <c r="O183" s="750"/>
      <c r="P183" s="751"/>
      <c r="Q183" s="751"/>
      <c r="R183" s="751"/>
      <c r="S183" s="624"/>
      <c r="T183" s="751"/>
      <c r="U183" s="751"/>
      <c r="V183" s="751"/>
      <c r="W183" s="624"/>
      <c r="X183" s="751"/>
      <c r="Y183" s="751"/>
      <c r="Z183" s="751"/>
      <c r="AA183" s="750"/>
      <c r="AB183" s="751"/>
      <c r="AC183" s="661"/>
      <c r="AD183" s="661"/>
      <c r="AE183" s="624"/>
      <c r="AF183" s="751"/>
      <c r="AG183" s="751"/>
      <c r="AH183" s="751"/>
      <c r="AI183" s="624"/>
      <c r="AJ183" s="751"/>
      <c r="AK183" s="751"/>
      <c r="AL183" s="751"/>
      <c r="AM183" s="624"/>
      <c r="AN183" s="624"/>
      <c r="AO183" s="624"/>
      <c r="AP183" s="624"/>
      <c r="AQ183" s="737"/>
      <c r="AR183" s="753"/>
      <c r="AS183" s="753"/>
      <c r="AT183" s="753"/>
      <c r="AU183" s="624"/>
      <c r="AV183" s="624"/>
      <c r="AW183" s="624"/>
    </row>
    <row r="184" spans="2:49" ht="26.25" customHeight="1">
      <c r="B184" s="756"/>
      <c r="C184" s="624"/>
      <c r="D184" s="751"/>
      <c r="E184" s="751"/>
      <c r="F184" s="751"/>
      <c r="G184" s="751"/>
      <c r="H184" s="751"/>
      <c r="I184" s="624"/>
      <c r="J184" s="624"/>
      <c r="K184" s="750"/>
      <c r="L184" s="751"/>
      <c r="M184" s="751"/>
      <c r="N184" s="751"/>
      <c r="O184" s="750"/>
      <c r="P184" s="751"/>
      <c r="Q184" s="751"/>
      <c r="R184" s="751"/>
      <c r="S184" s="624"/>
      <c r="T184" s="751"/>
      <c r="U184" s="751"/>
      <c r="V184" s="751"/>
      <c r="W184" s="624"/>
      <c r="X184" s="751"/>
      <c r="Y184" s="751"/>
      <c r="Z184" s="751"/>
      <c r="AA184" s="750"/>
      <c r="AB184" s="751"/>
      <c r="AC184" s="661"/>
      <c r="AD184" s="661"/>
      <c r="AE184" s="624"/>
      <c r="AF184" s="751"/>
      <c r="AG184" s="751"/>
      <c r="AH184" s="751"/>
      <c r="AI184" s="624"/>
      <c r="AJ184" s="751"/>
      <c r="AK184" s="751"/>
      <c r="AL184" s="751"/>
      <c r="AM184" s="624"/>
      <c r="AN184" s="624"/>
      <c r="AO184" s="624"/>
      <c r="AP184" s="624"/>
      <c r="AQ184" s="737"/>
      <c r="AR184" s="753"/>
      <c r="AS184" s="753"/>
      <c r="AT184" s="753"/>
      <c r="AU184" s="624"/>
      <c r="AV184" s="624"/>
      <c r="AW184" s="624"/>
    </row>
    <row r="185" spans="2:49" ht="26.25" customHeight="1">
      <c r="B185" s="756"/>
      <c r="C185" s="624"/>
      <c r="D185" s="751"/>
      <c r="E185" s="751"/>
      <c r="F185" s="751"/>
      <c r="G185" s="751"/>
      <c r="H185" s="751"/>
      <c r="I185" s="624"/>
      <c r="J185" s="624"/>
      <c r="K185" s="750"/>
      <c r="L185" s="751"/>
      <c r="M185" s="751"/>
      <c r="N185" s="751"/>
      <c r="O185" s="750"/>
      <c r="P185" s="751"/>
      <c r="Q185" s="751"/>
      <c r="R185" s="751"/>
      <c r="S185" s="624"/>
      <c r="T185" s="751"/>
      <c r="U185" s="751"/>
      <c r="V185" s="751"/>
      <c r="W185" s="624"/>
      <c r="X185" s="751"/>
      <c r="Y185" s="751"/>
      <c r="Z185" s="751"/>
      <c r="AA185" s="750"/>
      <c r="AB185" s="751"/>
      <c r="AC185" s="661"/>
      <c r="AD185" s="661"/>
      <c r="AE185" s="624"/>
      <c r="AF185" s="751"/>
      <c r="AG185" s="751"/>
      <c r="AH185" s="751"/>
      <c r="AI185" s="624"/>
      <c r="AJ185" s="751"/>
      <c r="AK185" s="751"/>
      <c r="AL185" s="751"/>
      <c r="AM185" s="624"/>
      <c r="AN185" s="624"/>
      <c r="AO185" s="624"/>
      <c r="AP185" s="624"/>
      <c r="AQ185" s="737"/>
      <c r="AR185" s="753"/>
      <c r="AS185" s="753"/>
      <c r="AT185" s="753"/>
      <c r="AU185" s="624"/>
      <c r="AV185" s="624"/>
      <c r="AW185" s="624"/>
    </row>
    <row r="186" spans="2:49" ht="26.25" customHeight="1">
      <c r="B186" s="756"/>
      <c r="C186" s="624"/>
      <c r="D186" s="751"/>
      <c r="E186" s="751"/>
      <c r="F186" s="751"/>
      <c r="G186" s="751"/>
      <c r="H186" s="751"/>
      <c r="I186" s="624"/>
      <c r="J186" s="624"/>
      <c r="K186" s="750"/>
      <c r="L186" s="751"/>
      <c r="M186" s="751"/>
      <c r="N186" s="751"/>
      <c r="O186" s="750"/>
      <c r="P186" s="751"/>
      <c r="Q186" s="751"/>
      <c r="R186" s="751"/>
      <c r="S186" s="624"/>
      <c r="T186" s="751"/>
      <c r="U186" s="751"/>
      <c r="V186" s="751"/>
      <c r="W186" s="624"/>
      <c r="X186" s="751"/>
      <c r="Y186" s="751"/>
      <c r="Z186" s="751"/>
      <c r="AA186" s="750"/>
      <c r="AB186" s="751"/>
      <c r="AC186" s="661"/>
      <c r="AD186" s="661"/>
      <c r="AE186" s="624"/>
      <c r="AF186" s="751"/>
      <c r="AG186" s="751"/>
      <c r="AH186" s="751"/>
      <c r="AI186" s="624"/>
      <c r="AJ186" s="751"/>
      <c r="AK186" s="751"/>
      <c r="AL186" s="751"/>
      <c r="AM186" s="624"/>
      <c r="AN186" s="624"/>
      <c r="AO186" s="624"/>
      <c r="AP186" s="624"/>
      <c r="AQ186" s="737"/>
      <c r="AR186" s="753"/>
      <c r="AS186" s="753"/>
      <c r="AT186" s="753"/>
      <c r="AU186" s="624"/>
      <c r="AV186" s="624"/>
      <c r="AW186" s="624"/>
    </row>
    <row r="187" spans="2:49" ht="26.25" customHeight="1">
      <c r="B187" s="756"/>
      <c r="C187" s="624"/>
      <c r="D187" s="751"/>
      <c r="E187" s="751"/>
      <c r="F187" s="751"/>
      <c r="G187" s="751"/>
      <c r="H187" s="751"/>
      <c r="I187" s="624"/>
      <c r="J187" s="624"/>
      <c r="K187" s="750"/>
      <c r="L187" s="751"/>
      <c r="M187" s="751"/>
      <c r="N187" s="751"/>
      <c r="O187" s="750"/>
      <c r="P187" s="751"/>
      <c r="Q187" s="751"/>
      <c r="R187" s="751"/>
      <c r="S187" s="624"/>
      <c r="T187" s="751"/>
      <c r="U187" s="751"/>
      <c r="V187" s="751"/>
      <c r="W187" s="624"/>
      <c r="X187" s="751"/>
      <c r="Y187" s="751"/>
      <c r="Z187" s="751"/>
      <c r="AA187" s="750"/>
      <c r="AB187" s="751"/>
      <c r="AC187" s="661"/>
      <c r="AD187" s="661"/>
      <c r="AE187" s="624"/>
      <c r="AF187" s="751"/>
      <c r="AG187" s="751"/>
      <c r="AH187" s="751"/>
      <c r="AI187" s="624"/>
      <c r="AJ187" s="751"/>
      <c r="AK187" s="751"/>
      <c r="AL187" s="751"/>
      <c r="AM187" s="624"/>
      <c r="AN187" s="624"/>
      <c r="AO187" s="624"/>
      <c r="AP187" s="624"/>
      <c r="AQ187" s="737"/>
      <c r="AR187" s="753"/>
      <c r="AS187" s="753"/>
      <c r="AT187" s="753"/>
      <c r="AU187" s="624"/>
      <c r="AV187" s="624"/>
      <c r="AW187" s="624"/>
    </row>
    <row r="188" spans="2:49" ht="26.25" customHeight="1">
      <c r="B188" s="756"/>
      <c r="C188" s="624"/>
      <c r="D188" s="751"/>
      <c r="E188" s="751"/>
      <c r="F188" s="751"/>
      <c r="G188" s="751"/>
      <c r="H188" s="751"/>
      <c r="I188" s="624"/>
      <c r="J188" s="624"/>
      <c r="K188" s="750"/>
      <c r="L188" s="751"/>
      <c r="M188" s="751"/>
      <c r="N188" s="751"/>
      <c r="O188" s="750"/>
      <c r="P188" s="751"/>
      <c r="Q188" s="751"/>
      <c r="R188" s="751"/>
      <c r="S188" s="624"/>
      <c r="T188" s="751"/>
      <c r="U188" s="751"/>
      <c r="V188" s="751"/>
      <c r="W188" s="624"/>
      <c r="X188" s="751"/>
      <c r="Y188" s="751"/>
      <c r="Z188" s="751"/>
      <c r="AA188" s="750"/>
      <c r="AB188" s="751"/>
      <c r="AC188" s="661"/>
      <c r="AD188" s="661"/>
      <c r="AE188" s="624"/>
      <c r="AF188" s="751"/>
      <c r="AG188" s="751"/>
      <c r="AH188" s="751"/>
      <c r="AI188" s="624"/>
      <c r="AJ188" s="751"/>
      <c r="AK188" s="751"/>
      <c r="AL188" s="751"/>
      <c r="AM188" s="624"/>
      <c r="AN188" s="624"/>
      <c r="AO188" s="624"/>
      <c r="AP188" s="624"/>
      <c r="AQ188" s="737"/>
      <c r="AR188" s="753"/>
      <c r="AS188" s="753"/>
      <c r="AT188" s="753"/>
      <c r="AU188" s="624"/>
      <c r="AV188" s="624"/>
      <c r="AW188" s="624"/>
    </row>
    <row r="189" spans="2:49" ht="26.25" customHeight="1">
      <c r="B189" s="756"/>
      <c r="C189" s="624"/>
      <c r="D189" s="751"/>
      <c r="E189" s="751"/>
      <c r="F189" s="751"/>
      <c r="G189" s="751"/>
      <c r="H189" s="751"/>
      <c r="I189" s="624"/>
      <c r="J189" s="624"/>
      <c r="K189" s="750"/>
      <c r="L189" s="751"/>
      <c r="M189" s="751"/>
      <c r="N189" s="751"/>
      <c r="O189" s="750"/>
      <c r="P189" s="751"/>
      <c r="Q189" s="751"/>
      <c r="R189" s="751"/>
      <c r="S189" s="624"/>
      <c r="T189" s="751"/>
      <c r="U189" s="751"/>
      <c r="V189" s="751"/>
      <c r="W189" s="624"/>
      <c r="X189" s="751"/>
      <c r="Y189" s="751"/>
      <c r="Z189" s="751"/>
      <c r="AA189" s="750"/>
      <c r="AB189" s="751"/>
      <c r="AC189" s="661"/>
      <c r="AD189" s="661"/>
      <c r="AE189" s="624"/>
      <c r="AF189" s="751"/>
      <c r="AG189" s="751"/>
      <c r="AH189" s="751"/>
      <c r="AI189" s="624"/>
      <c r="AJ189" s="751"/>
      <c r="AK189" s="751"/>
      <c r="AL189" s="751"/>
      <c r="AM189" s="624"/>
      <c r="AN189" s="624"/>
      <c r="AO189" s="624"/>
      <c r="AP189" s="624"/>
      <c r="AQ189" s="737"/>
      <c r="AR189" s="753"/>
      <c r="AS189" s="753"/>
      <c r="AT189" s="753"/>
      <c r="AU189" s="624"/>
      <c r="AV189" s="624"/>
      <c r="AW189" s="624"/>
    </row>
    <row r="190" spans="2:49" ht="26.25" customHeight="1">
      <c r="B190" s="756"/>
      <c r="C190" s="624"/>
      <c r="D190" s="751"/>
      <c r="E190" s="751"/>
      <c r="F190" s="751"/>
      <c r="G190" s="751"/>
      <c r="H190" s="751"/>
      <c r="I190" s="624"/>
      <c r="J190" s="624"/>
      <c r="K190" s="750"/>
      <c r="L190" s="751"/>
      <c r="M190" s="751"/>
      <c r="N190" s="751"/>
      <c r="O190" s="750"/>
      <c r="P190" s="751"/>
      <c r="Q190" s="751"/>
      <c r="R190" s="751"/>
      <c r="S190" s="624"/>
      <c r="T190" s="751"/>
      <c r="U190" s="751"/>
      <c r="V190" s="751"/>
      <c r="W190" s="624"/>
      <c r="X190" s="751"/>
      <c r="Y190" s="751"/>
      <c r="Z190" s="751"/>
      <c r="AA190" s="750"/>
      <c r="AB190" s="751"/>
      <c r="AC190" s="661"/>
      <c r="AD190" s="661"/>
      <c r="AE190" s="624"/>
      <c r="AF190" s="751"/>
      <c r="AG190" s="751"/>
      <c r="AH190" s="751"/>
      <c r="AI190" s="624"/>
      <c r="AJ190" s="751"/>
      <c r="AK190" s="751"/>
      <c r="AL190" s="751"/>
      <c r="AM190" s="624"/>
      <c r="AN190" s="624"/>
      <c r="AO190" s="624"/>
      <c r="AP190" s="624"/>
      <c r="AQ190" s="737"/>
      <c r="AR190" s="753"/>
      <c r="AS190" s="753"/>
      <c r="AT190" s="753"/>
      <c r="AU190" s="624"/>
      <c r="AV190" s="624"/>
      <c r="AW190" s="624"/>
    </row>
    <row r="191" spans="2:49" ht="26.25" customHeight="1">
      <c r="B191" s="756"/>
      <c r="C191" s="624"/>
      <c r="D191" s="751"/>
      <c r="E191" s="751"/>
      <c r="F191" s="751"/>
      <c r="G191" s="751"/>
      <c r="H191" s="751"/>
      <c r="I191" s="624"/>
      <c r="J191" s="624"/>
      <c r="K191" s="750"/>
      <c r="L191" s="751"/>
      <c r="M191" s="751"/>
      <c r="N191" s="751"/>
      <c r="O191" s="750"/>
      <c r="P191" s="751"/>
      <c r="Q191" s="751"/>
      <c r="R191" s="751"/>
      <c r="S191" s="624"/>
      <c r="T191" s="751"/>
      <c r="U191" s="751"/>
      <c r="V191" s="751"/>
      <c r="W191" s="624"/>
      <c r="X191" s="751"/>
      <c r="Y191" s="751"/>
      <c r="Z191" s="751"/>
      <c r="AA191" s="750"/>
      <c r="AB191" s="751"/>
      <c r="AC191" s="661"/>
      <c r="AD191" s="661"/>
      <c r="AE191" s="624"/>
      <c r="AF191" s="751"/>
      <c r="AG191" s="751"/>
      <c r="AH191" s="751"/>
      <c r="AI191" s="624"/>
      <c r="AJ191" s="751"/>
      <c r="AK191" s="751"/>
      <c r="AL191" s="751"/>
      <c r="AM191" s="624"/>
      <c r="AN191" s="624"/>
      <c r="AO191" s="624"/>
      <c r="AP191" s="624"/>
      <c r="AQ191" s="737"/>
      <c r="AR191" s="753"/>
      <c r="AS191" s="753"/>
      <c r="AT191" s="753"/>
      <c r="AU191" s="624"/>
      <c r="AV191" s="624"/>
      <c r="AW191" s="624"/>
    </row>
    <row r="192" spans="2:49" ht="26.25" customHeight="1">
      <c r="B192" s="756"/>
      <c r="C192" s="624"/>
      <c r="D192" s="751"/>
      <c r="E192" s="751"/>
      <c r="F192" s="751"/>
      <c r="G192" s="751"/>
      <c r="H192" s="751"/>
      <c r="I192" s="624"/>
      <c r="J192" s="624"/>
      <c r="K192" s="750"/>
      <c r="L192" s="751"/>
      <c r="M192" s="751"/>
      <c r="N192" s="751"/>
      <c r="O192" s="750"/>
      <c r="P192" s="751"/>
      <c r="Q192" s="751"/>
      <c r="R192" s="751"/>
      <c r="S192" s="624"/>
      <c r="T192" s="751"/>
      <c r="U192" s="751"/>
      <c r="V192" s="751"/>
      <c r="W192" s="624"/>
      <c r="X192" s="751"/>
      <c r="Y192" s="751"/>
      <c r="Z192" s="751"/>
      <c r="AA192" s="750"/>
      <c r="AB192" s="751"/>
      <c r="AC192" s="661"/>
      <c r="AD192" s="661"/>
      <c r="AE192" s="624"/>
      <c r="AF192" s="751"/>
      <c r="AG192" s="751"/>
      <c r="AH192" s="751"/>
      <c r="AI192" s="624"/>
      <c r="AJ192" s="751"/>
      <c r="AK192" s="751"/>
      <c r="AL192" s="751"/>
      <c r="AM192" s="624"/>
      <c r="AN192" s="624"/>
      <c r="AO192" s="624"/>
      <c r="AP192" s="624"/>
      <c r="AQ192" s="737"/>
      <c r="AR192" s="753"/>
      <c r="AS192" s="753"/>
      <c r="AT192" s="753"/>
      <c r="AU192" s="624"/>
      <c r="AV192" s="624"/>
      <c r="AW192" s="624"/>
    </row>
    <row r="193" spans="2:49" ht="26.25" customHeight="1">
      <c r="B193" s="756"/>
      <c r="C193" s="624"/>
      <c r="D193" s="751"/>
      <c r="E193" s="751"/>
      <c r="F193" s="751"/>
      <c r="G193" s="751"/>
      <c r="H193" s="751"/>
      <c r="I193" s="624"/>
      <c r="J193" s="624"/>
      <c r="K193" s="750"/>
      <c r="L193" s="751"/>
      <c r="M193" s="751"/>
      <c r="N193" s="751"/>
      <c r="O193" s="750"/>
      <c r="P193" s="751"/>
      <c r="Q193" s="751"/>
      <c r="R193" s="751"/>
      <c r="S193" s="624"/>
      <c r="T193" s="751"/>
      <c r="U193" s="751"/>
      <c r="V193" s="751"/>
      <c r="W193" s="624"/>
      <c r="X193" s="751"/>
      <c r="Y193" s="751"/>
      <c r="Z193" s="751"/>
      <c r="AA193" s="750"/>
      <c r="AB193" s="751"/>
      <c r="AC193" s="661"/>
      <c r="AD193" s="661"/>
      <c r="AE193" s="624"/>
      <c r="AF193" s="751"/>
      <c r="AG193" s="751"/>
      <c r="AH193" s="751"/>
      <c r="AI193" s="624"/>
      <c r="AJ193" s="751"/>
      <c r="AK193" s="751"/>
      <c r="AL193" s="751"/>
      <c r="AM193" s="624"/>
      <c r="AN193" s="624"/>
      <c r="AO193" s="624"/>
      <c r="AP193" s="624"/>
      <c r="AQ193" s="737"/>
      <c r="AR193" s="753"/>
      <c r="AS193" s="753"/>
      <c r="AT193" s="753"/>
      <c r="AU193" s="624"/>
      <c r="AV193" s="624"/>
      <c r="AW193" s="624"/>
    </row>
    <row r="194" spans="2:49" ht="26.25" customHeight="1">
      <c r="B194" s="756"/>
      <c r="C194" s="624"/>
      <c r="D194" s="751"/>
      <c r="E194" s="751"/>
      <c r="F194" s="751"/>
      <c r="G194" s="751"/>
      <c r="H194" s="751"/>
      <c r="I194" s="624"/>
      <c r="J194" s="624"/>
      <c r="K194" s="750"/>
      <c r="L194" s="751"/>
      <c r="M194" s="751"/>
      <c r="N194" s="751"/>
      <c r="O194" s="750"/>
      <c r="P194" s="751"/>
      <c r="Q194" s="751"/>
      <c r="R194" s="751"/>
      <c r="S194" s="624"/>
      <c r="T194" s="751"/>
      <c r="U194" s="751"/>
      <c r="V194" s="751"/>
      <c r="W194" s="624"/>
      <c r="X194" s="751"/>
      <c r="Y194" s="751"/>
      <c r="Z194" s="751"/>
      <c r="AA194" s="750"/>
      <c r="AB194" s="751"/>
      <c r="AC194" s="661"/>
      <c r="AD194" s="661"/>
      <c r="AE194" s="624"/>
      <c r="AF194" s="751"/>
      <c r="AG194" s="751"/>
      <c r="AH194" s="751"/>
      <c r="AI194" s="624"/>
      <c r="AJ194" s="751"/>
      <c r="AK194" s="751"/>
      <c r="AL194" s="751"/>
      <c r="AM194" s="624"/>
      <c r="AN194" s="624"/>
      <c r="AO194" s="624"/>
      <c r="AP194" s="624"/>
      <c r="AQ194" s="737"/>
      <c r="AR194" s="753"/>
      <c r="AS194" s="753"/>
      <c r="AT194" s="753"/>
      <c r="AU194" s="624"/>
      <c r="AV194" s="624"/>
      <c r="AW194" s="624"/>
    </row>
    <row r="195" spans="2:49" ht="26.25" customHeight="1">
      <c r="B195" s="756"/>
      <c r="C195" s="624"/>
      <c r="D195" s="751"/>
      <c r="E195" s="751"/>
      <c r="F195" s="751"/>
      <c r="G195" s="751"/>
      <c r="H195" s="751"/>
      <c r="I195" s="624"/>
      <c r="J195" s="624"/>
      <c r="K195" s="750"/>
      <c r="L195" s="751"/>
      <c r="M195" s="751"/>
      <c r="N195" s="751"/>
      <c r="O195" s="750"/>
      <c r="P195" s="751"/>
      <c r="Q195" s="751"/>
      <c r="R195" s="751"/>
      <c r="S195" s="624"/>
      <c r="T195" s="751"/>
      <c r="U195" s="751"/>
      <c r="V195" s="751"/>
      <c r="W195" s="624"/>
      <c r="X195" s="751"/>
      <c r="Y195" s="751"/>
      <c r="Z195" s="751"/>
      <c r="AA195" s="750"/>
      <c r="AB195" s="751"/>
      <c r="AC195" s="661"/>
      <c r="AD195" s="661"/>
      <c r="AE195" s="624"/>
      <c r="AF195" s="751"/>
      <c r="AG195" s="751"/>
      <c r="AH195" s="751"/>
      <c r="AI195" s="624"/>
      <c r="AJ195" s="751"/>
      <c r="AK195" s="751"/>
      <c r="AL195" s="751"/>
      <c r="AM195" s="624"/>
      <c r="AN195" s="624"/>
      <c r="AO195" s="624"/>
      <c r="AP195" s="624"/>
      <c r="AQ195" s="737"/>
      <c r="AR195" s="753"/>
      <c r="AS195" s="753"/>
      <c r="AT195" s="753"/>
      <c r="AU195" s="624"/>
      <c r="AV195" s="624"/>
      <c r="AW195" s="624"/>
    </row>
    <row r="196" spans="2:49" ht="26.25" customHeight="1">
      <c r="B196" s="756"/>
      <c r="C196" s="624"/>
      <c r="D196" s="751"/>
      <c r="E196" s="751"/>
      <c r="F196" s="751"/>
      <c r="G196" s="751"/>
      <c r="H196" s="751"/>
      <c r="I196" s="624"/>
      <c r="J196" s="624"/>
      <c r="K196" s="750"/>
      <c r="L196" s="751"/>
      <c r="M196" s="751"/>
      <c r="N196" s="751"/>
      <c r="O196" s="750"/>
      <c r="P196" s="751"/>
      <c r="Q196" s="751"/>
      <c r="R196" s="751"/>
      <c r="S196" s="624"/>
      <c r="T196" s="751"/>
      <c r="U196" s="751"/>
      <c r="V196" s="751"/>
      <c r="W196" s="624"/>
      <c r="X196" s="751"/>
      <c r="Y196" s="751"/>
      <c r="Z196" s="751"/>
      <c r="AA196" s="750"/>
      <c r="AB196" s="751"/>
      <c r="AC196" s="661"/>
      <c r="AD196" s="661"/>
      <c r="AE196" s="624"/>
      <c r="AF196" s="751"/>
      <c r="AG196" s="751"/>
      <c r="AH196" s="751"/>
      <c r="AI196" s="624"/>
      <c r="AJ196" s="751"/>
      <c r="AK196" s="751"/>
      <c r="AL196" s="751"/>
      <c r="AM196" s="624"/>
      <c r="AN196" s="624"/>
      <c r="AO196" s="624"/>
      <c r="AP196" s="624"/>
      <c r="AQ196" s="737"/>
      <c r="AR196" s="753"/>
      <c r="AS196" s="753"/>
      <c r="AT196" s="753"/>
      <c r="AU196" s="624"/>
      <c r="AV196" s="624"/>
      <c r="AW196" s="624"/>
    </row>
    <row r="197" spans="2:49" ht="26.25" customHeight="1">
      <c r="B197" s="756"/>
      <c r="C197" s="624"/>
      <c r="D197" s="751"/>
      <c r="E197" s="751"/>
      <c r="F197" s="751"/>
      <c r="G197" s="751"/>
      <c r="H197" s="751"/>
      <c r="I197" s="624"/>
      <c r="J197" s="624"/>
      <c r="K197" s="750"/>
      <c r="L197" s="751"/>
      <c r="M197" s="751"/>
      <c r="N197" s="751"/>
      <c r="O197" s="750"/>
      <c r="P197" s="751"/>
      <c r="Q197" s="751"/>
      <c r="R197" s="751"/>
      <c r="S197" s="624"/>
      <c r="T197" s="751"/>
      <c r="U197" s="751"/>
      <c r="V197" s="751"/>
      <c r="W197" s="624"/>
      <c r="X197" s="751"/>
      <c r="Y197" s="751"/>
      <c r="Z197" s="751"/>
      <c r="AA197" s="750"/>
      <c r="AB197" s="751"/>
      <c r="AC197" s="661"/>
      <c r="AD197" s="661"/>
      <c r="AE197" s="624"/>
      <c r="AF197" s="751"/>
      <c r="AG197" s="751"/>
      <c r="AH197" s="751"/>
      <c r="AI197" s="624"/>
      <c r="AJ197" s="751"/>
      <c r="AK197" s="751"/>
      <c r="AL197" s="751"/>
      <c r="AM197" s="624"/>
      <c r="AN197" s="624"/>
      <c r="AO197" s="624"/>
      <c r="AP197" s="624"/>
      <c r="AQ197" s="737"/>
      <c r="AR197" s="753"/>
      <c r="AS197" s="753"/>
      <c r="AT197" s="753"/>
      <c r="AU197" s="624"/>
      <c r="AV197" s="624"/>
      <c r="AW197" s="624"/>
    </row>
    <row r="198" spans="2:49" ht="26.25" customHeight="1">
      <c r="B198" s="756"/>
      <c r="C198" s="624"/>
      <c r="D198" s="751"/>
      <c r="E198" s="751"/>
      <c r="F198" s="751"/>
      <c r="G198" s="751"/>
      <c r="H198" s="751"/>
      <c r="I198" s="624"/>
      <c r="J198" s="624"/>
      <c r="K198" s="750"/>
      <c r="L198" s="751"/>
      <c r="M198" s="751"/>
      <c r="N198" s="751"/>
      <c r="O198" s="750"/>
      <c r="P198" s="751"/>
      <c r="Q198" s="751"/>
      <c r="R198" s="751"/>
      <c r="S198" s="624"/>
      <c r="T198" s="751"/>
      <c r="U198" s="751"/>
      <c r="V198" s="751"/>
      <c r="W198" s="624"/>
      <c r="X198" s="751"/>
      <c r="Y198" s="751"/>
      <c r="Z198" s="751"/>
      <c r="AA198" s="750"/>
      <c r="AB198" s="751"/>
      <c r="AC198" s="661"/>
      <c r="AD198" s="661"/>
      <c r="AE198" s="624"/>
      <c r="AF198" s="751"/>
      <c r="AG198" s="751"/>
      <c r="AH198" s="751"/>
      <c r="AI198" s="624"/>
      <c r="AJ198" s="751"/>
      <c r="AK198" s="751"/>
      <c r="AL198" s="751"/>
      <c r="AM198" s="624"/>
      <c r="AN198" s="624"/>
      <c r="AO198" s="624"/>
      <c r="AP198" s="624"/>
      <c r="AQ198" s="737"/>
      <c r="AR198" s="753"/>
      <c r="AS198" s="753"/>
      <c r="AT198" s="753"/>
      <c r="AU198" s="624"/>
      <c r="AV198" s="624"/>
      <c r="AW198" s="624"/>
    </row>
    <row r="199" spans="2:49" ht="26.25" customHeight="1">
      <c r="B199" s="756"/>
      <c r="C199" s="624"/>
      <c r="D199" s="751"/>
      <c r="E199" s="751"/>
      <c r="F199" s="751"/>
      <c r="G199" s="751"/>
      <c r="H199" s="751"/>
      <c r="I199" s="624"/>
      <c r="J199" s="624"/>
      <c r="K199" s="750"/>
      <c r="L199" s="751"/>
      <c r="M199" s="751"/>
      <c r="N199" s="751"/>
      <c r="O199" s="750"/>
      <c r="P199" s="751"/>
      <c r="Q199" s="751"/>
      <c r="R199" s="751"/>
      <c r="S199" s="624"/>
      <c r="T199" s="751"/>
      <c r="U199" s="751"/>
      <c r="V199" s="751"/>
      <c r="W199" s="624"/>
      <c r="X199" s="751"/>
      <c r="Y199" s="751"/>
      <c r="Z199" s="751"/>
      <c r="AA199" s="750"/>
      <c r="AB199" s="751"/>
      <c r="AC199" s="661"/>
      <c r="AD199" s="661"/>
      <c r="AE199" s="624"/>
      <c r="AF199" s="751"/>
      <c r="AG199" s="751"/>
      <c r="AH199" s="751"/>
      <c r="AI199" s="624"/>
      <c r="AJ199" s="751"/>
      <c r="AK199" s="751"/>
      <c r="AL199" s="751"/>
      <c r="AM199" s="624"/>
      <c r="AN199" s="624"/>
      <c r="AO199" s="624"/>
      <c r="AP199" s="624"/>
      <c r="AQ199" s="737"/>
      <c r="AR199" s="753"/>
      <c r="AS199" s="753"/>
      <c r="AT199" s="753"/>
      <c r="AU199" s="624"/>
      <c r="AV199" s="624"/>
      <c r="AW199" s="624"/>
    </row>
    <row r="200" spans="2:49" ht="26.25" customHeight="1">
      <c r="B200" s="756"/>
      <c r="C200" s="624"/>
      <c r="D200" s="751"/>
      <c r="E200" s="751"/>
      <c r="F200" s="751"/>
      <c r="G200" s="751"/>
      <c r="H200" s="751"/>
      <c r="I200" s="624"/>
      <c r="J200" s="624"/>
      <c r="K200" s="750"/>
      <c r="L200" s="751"/>
      <c r="M200" s="751"/>
      <c r="N200" s="751"/>
      <c r="O200" s="750"/>
      <c r="P200" s="751"/>
      <c r="Q200" s="751"/>
      <c r="R200" s="751"/>
      <c r="S200" s="624"/>
      <c r="T200" s="751"/>
      <c r="U200" s="751"/>
      <c r="V200" s="751"/>
      <c r="W200" s="624"/>
      <c r="X200" s="751"/>
      <c r="Y200" s="751"/>
      <c r="Z200" s="751"/>
      <c r="AA200" s="750"/>
      <c r="AB200" s="751"/>
      <c r="AC200" s="661"/>
      <c r="AD200" s="661"/>
      <c r="AE200" s="624"/>
      <c r="AF200" s="751"/>
      <c r="AG200" s="751"/>
      <c r="AH200" s="751"/>
      <c r="AI200" s="624"/>
      <c r="AJ200" s="751"/>
      <c r="AK200" s="751"/>
      <c r="AL200" s="751"/>
      <c r="AM200" s="624"/>
      <c r="AN200" s="624"/>
      <c r="AO200" s="624"/>
      <c r="AP200" s="624"/>
      <c r="AQ200" s="737"/>
      <c r="AR200" s="753"/>
      <c r="AS200" s="753"/>
      <c r="AT200" s="753"/>
      <c r="AU200" s="624"/>
      <c r="AV200" s="624"/>
      <c r="AW200" s="624"/>
    </row>
    <row r="201" spans="2:49" ht="26.25" customHeight="1">
      <c r="B201" s="756"/>
      <c r="C201" s="624"/>
      <c r="D201" s="751"/>
      <c r="E201" s="751"/>
      <c r="F201" s="751"/>
      <c r="G201" s="751"/>
      <c r="H201" s="751"/>
      <c r="I201" s="624"/>
      <c r="J201" s="624"/>
      <c r="K201" s="750"/>
      <c r="L201" s="751"/>
      <c r="M201" s="751"/>
      <c r="N201" s="751"/>
      <c r="O201" s="750"/>
      <c r="P201" s="751"/>
      <c r="Q201" s="751"/>
      <c r="R201" s="751"/>
      <c r="S201" s="624"/>
      <c r="T201" s="751"/>
      <c r="U201" s="751"/>
      <c r="V201" s="751"/>
      <c r="W201" s="624"/>
      <c r="X201" s="751"/>
      <c r="Y201" s="751"/>
      <c r="Z201" s="751"/>
      <c r="AA201" s="750"/>
      <c r="AB201" s="751"/>
      <c r="AC201" s="661"/>
      <c r="AD201" s="661"/>
      <c r="AE201" s="624"/>
      <c r="AF201" s="751"/>
      <c r="AG201" s="751"/>
      <c r="AH201" s="751"/>
      <c r="AI201" s="624"/>
      <c r="AJ201" s="751"/>
      <c r="AK201" s="751"/>
      <c r="AL201" s="751"/>
      <c r="AM201" s="624"/>
      <c r="AN201" s="624"/>
      <c r="AO201" s="624"/>
      <c r="AP201" s="624"/>
      <c r="AQ201" s="737"/>
      <c r="AR201" s="753"/>
      <c r="AS201" s="753"/>
      <c r="AT201" s="753"/>
      <c r="AU201" s="624"/>
      <c r="AV201" s="624"/>
      <c r="AW201" s="624"/>
    </row>
    <row r="202" spans="2:49" ht="26.25" customHeight="1">
      <c r="B202" s="756"/>
      <c r="C202" s="624"/>
      <c r="D202" s="751"/>
      <c r="E202" s="751"/>
      <c r="F202" s="751"/>
      <c r="G202" s="751"/>
      <c r="H202" s="751"/>
      <c r="I202" s="624"/>
      <c r="J202" s="624"/>
      <c r="K202" s="750"/>
      <c r="L202" s="751"/>
      <c r="M202" s="751"/>
      <c r="N202" s="751"/>
      <c r="O202" s="750"/>
      <c r="P202" s="751"/>
      <c r="Q202" s="751"/>
      <c r="R202" s="751"/>
      <c r="S202" s="624"/>
      <c r="T202" s="751"/>
      <c r="U202" s="751"/>
      <c r="V202" s="751"/>
      <c r="W202" s="624"/>
      <c r="X202" s="751"/>
      <c r="Y202" s="751"/>
      <c r="Z202" s="751"/>
      <c r="AA202" s="750"/>
      <c r="AB202" s="751"/>
      <c r="AC202" s="661"/>
      <c r="AD202" s="661"/>
      <c r="AE202" s="624"/>
      <c r="AF202" s="751"/>
      <c r="AG202" s="751"/>
      <c r="AH202" s="751"/>
      <c r="AI202" s="624"/>
      <c r="AJ202" s="751"/>
      <c r="AK202" s="751"/>
      <c r="AL202" s="751"/>
      <c r="AM202" s="624"/>
      <c r="AN202" s="624"/>
      <c r="AO202" s="624"/>
      <c r="AP202" s="624"/>
      <c r="AQ202" s="737"/>
      <c r="AR202" s="753"/>
      <c r="AS202" s="753"/>
      <c r="AT202" s="753"/>
      <c r="AU202" s="624"/>
      <c r="AV202" s="624"/>
      <c r="AW202" s="624"/>
    </row>
    <row r="203" spans="2:49" ht="26.25" customHeight="1">
      <c r="B203" s="756"/>
      <c r="C203" s="624"/>
      <c r="D203" s="751"/>
      <c r="E203" s="751"/>
      <c r="F203" s="751"/>
      <c r="G203" s="751"/>
      <c r="H203" s="751"/>
      <c r="I203" s="624"/>
      <c r="J203" s="624"/>
      <c r="K203" s="750"/>
      <c r="L203" s="751"/>
      <c r="M203" s="751"/>
      <c r="N203" s="751"/>
      <c r="O203" s="750"/>
      <c r="P203" s="751"/>
      <c r="Q203" s="751"/>
      <c r="R203" s="751"/>
      <c r="S203" s="624"/>
      <c r="T203" s="751"/>
      <c r="U203" s="751"/>
      <c r="V203" s="751"/>
      <c r="W203" s="624"/>
      <c r="X203" s="751"/>
      <c r="Y203" s="751"/>
      <c r="Z203" s="751"/>
      <c r="AA203" s="750"/>
      <c r="AB203" s="751"/>
      <c r="AC203" s="661"/>
      <c r="AD203" s="661"/>
      <c r="AE203" s="624"/>
      <c r="AF203" s="751"/>
      <c r="AG203" s="751"/>
      <c r="AH203" s="751"/>
      <c r="AI203" s="624"/>
      <c r="AJ203" s="751"/>
      <c r="AK203" s="751"/>
      <c r="AL203" s="751"/>
      <c r="AM203" s="624"/>
      <c r="AN203" s="624"/>
      <c r="AO203" s="624"/>
      <c r="AP203" s="624"/>
      <c r="AQ203" s="737"/>
      <c r="AR203" s="753"/>
      <c r="AS203" s="753"/>
      <c r="AT203" s="753"/>
      <c r="AU203" s="624"/>
      <c r="AV203" s="624"/>
      <c r="AW203" s="624"/>
    </row>
    <row r="204" spans="2:49" ht="26.25" customHeight="1">
      <c r="B204" s="756"/>
      <c r="C204" s="624"/>
      <c r="D204" s="751"/>
      <c r="E204" s="751"/>
      <c r="F204" s="751"/>
      <c r="G204" s="751"/>
      <c r="H204" s="751"/>
      <c r="I204" s="624"/>
      <c r="J204" s="624"/>
      <c r="K204" s="750"/>
      <c r="L204" s="751"/>
      <c r="M204" s="751"/>
      <c r="N204" s="751"/>
      <c r="O204" s="750"/>
      <c r="P204" s="751"/>
      <c r="Q204" s="751"/>
      <c r="R204" s="751"/>
      <c r="S204" s="624"/>
      <c r="T204" s="751"/>
      <c r="U204" s="751"/>
      <c r="V204" s="751"/>
      <c r="W204" s="624"/>
      <c r="X204" s="751"/>
      <c r="Y204" s="751"/>
      <c r="Z204" s="751"/>
      <c r="AA204" s="750"/>
      <c r="AB204" s="751"/>
      <c r="AC204" s="661"/>
      <c r="AD204" s="661"/>
      <c r="AE204" s="624"/>
      <c r="AF204" s="751"/>
      <c r="AG204" s="751"/>
      <c r="AH204" s="751"/>
      <c r="AI204" s="624"/>
      <c r="AJ204" s="751"/>
      <c r="AK204" s="751"/>
      <c r="AL204" s="751"/>
      <c r="AM204" s="624"/>
      <c r="AN204" s="624"/>
      <c r="AO204" s="624"/>
      <c r="AP204" s="624"/>
      <c r="AQ204" s="737"/>
      <c r="AR204" s="753"/>
      <c r="AS204" s="753"/>
      <c r="AT204" s="753"/>
      <c r="AU204" s="624"/>
      <c r="AV204" s="624"/>
      <c r="AW204" s="624"/>
    </row>
    <row r="205" spans="2:49" ht="26.25" customHeight="1">
      <c r="B205" s="756"/>
      <c r="C205" s="624"/>
      <c r="D205" s="751"/>
      <c r="E205" s="751"/>
      <c r="F205" s="751"/>
      <c r="G205" s="751"/>
      <c r="H205" s="751"/>
      <c r="I205" s="624"/>
      <c r="J205" s="624"/>
      <c r="K205" s="750"/>
      <c r="L205" s="751"/>
      <c r="M205" s="751"/>
      <c r="N205" s="751"/>
      <c r="O205" s="750"/>
      <c r="P205" s="751"/>
      <c r="Q205" s="751"/>
      <c r="R205" s="751"/>
      <c r="S205" s="624"/>
      <c r="T205" s="751"/>
      <c r="U205" s="751"/>
      <c r="V205" s="751"/>
      <c r="W205" s="624"/>
      <c r="X205" s="751"/>
      <c r="Y205" s="751"/>
      <c r="Z205" s="751"/>
      <c r="AA205" s="750"/>
      <c r="AB205" s="751"/>
      <c r="AC205" s="661"/>
      <c r="AD205" s="661"/>
      <c r="AE205" s="624"/>
      <c r="AF205" s="751"/>
      <c r="AG205" s="751"/>
      <c r="AH205" s="751"/>
      <c r="AI205" s="624"/>
      <c r="AJ205" s="751"/>
      <c r="AK205" s="751"/>
      <c r="AL205" s="751"/>
      <c r="AM205" s="624"/>
      <c r="AN205" s="624"/>
      <c r="AO205" s="624"/>
      <c r="AP205" s="624"/>
      <c r="AQ205" s="737"/>
      <c r="AR205" s="753"/>
      <c r="AS205" s="753"/>
      <c r="AT205" s="753"/>
      <c r="AU205" s="624"/>
      <c r="AV205" s="624"/>
      <c r="AW205" s="624"/>
    </row>
    <row r="206" spans="2:49" ht="26.25" customHeight="1">
      <c r="B206" s="756"/>
      <c r="C206" s="624"/>
      <c r="D206" s="751"/>
      <c r="E206" s="751"/>
      <c r="F206" s="751"/>
      <c r="G206" s="751"/>
      <c r="H206" s="751"/>
      <c r="I206" s="624"/>
      <c r="J206" s="624"/>
      <c r="K206" s="750"/>
      <c r="L206" s="751"/>
      <c r="M206" s="751"/>
      <c r="N206" s="751"/>
      <c r="O206" s="750"/>
      <c r="P206" s="751"/>
      <c r="Q206" s="751"/>
      <c r="R206" s="751"/>
      <c r="S206" s="624"/>
      <c r="T206" s="751"/>
      <c r="U206" s="751"/>
      <c r="V206" s="751"/>
      <c r="W206" s="624"/>
      <c r="X206" s="751"/>
      <c r="Y206" s="751"/>
      <c r="Z206" s="751"/>
      <c r="AA206" s="750"/>
      <c r="AB206" s="751"/>
      <c r="AC206" s="661"/>
      <c r="AD206" s="661"/>
      <c r="AE206" s="624"/>
      <c r="AF206" s="751"/>
      <c r="AG206" s="751"/>
      <c r="AH206" s="751"/>
      <c r="AI206" s="624"/>
      <c r="AJ206" s="751"/>
      <c r="AK206" s="751"/>
      <c r="AL206" s="751"/>
      <c r="AM206" s="624"/>
      <c r="AN206" s="624"/>
      <c r="AO206" s="624"/>
      <c r="AP206" s="624"/>
      <c r="AQ206" s="737"/>
      <c r="AR206" s="753"/>
      <c r="AS206" s="753"/>
      <c r="AT206" s="753"/>
      <c r="AU206" s="624"/>
      <c r="AV206" s="624"/>
      <c r="AW206" s="624"/>
    </row>
    <row r="207" spans="2:49" ht="26.25" customHeight="1">
      <c r="B207" s="756"/>
      <c r="C207" s="624"/>
      <c r="D207" s="751"/>
      <c r="E207" s="751"/>
      <c r="F207" s="751"/>
      <c r="G207" s="751"/>
      <c r="H207" s="751"/>
      <c r="I207" s="624"/>
      <c r="J207" s="624"/>
      <c r="K207" s="750"/>
      <c r="L207" s="751"/>
      <c r="M207" s="751"/>
      <c r="N207" s="751"/>
      <c r="O207" s="750"/>
      <c r="P207" s="751"/>
      <c r="Q207" s="751"/>
      <c r="R207" s="751"/>
      <c r="S207" s="624"/>
      <c r="T207" s="751"/>
      <c r="U207" s="751"/>
      <c r="V207" s="751"/>
      <c r="W207" s="624"/>
      <c r="X207" s="751"/>
      <c r="Y207" s="751"/>
      <c r="Z207" s="751"/>
      <c r="AA207" s="750"/>
      <c r="AB207" s="751"/>
      <c r="AC207" s="661"/>
      <c r="AD207" s="661"/>
      <c r="AE207" s="624"/>
      <c r="AF207" s="751"/>
      <c r="AG207" s="751"/>
      <c r="AH207" s="751"/>
      <c r="AI207" s="624"/>
      <c r="AJ207" s="751"/>
      <c r="AK207" s="751"/>
      <c r="AL207" s="751"/>
      <c r="AM207" s="624"/>
      <c r="AN207" s="624"/>
      <c r="AO207" s="624"/>
      <c r="AP207" s="624"/>
      <c r="AQ207" s="737"/>
      <c r="AR207" s="753"/>
      <c r="AS207" s="753"/>
      <c r="AT207" s="753"/>
      <c r="AU207" s="624"/>
      <c r="AV207" s="624"/>
      <c r="AW207" s="624"/>
    </row>
    <row r="208" spans="2:49" ht="26.25" customHeight="1">
      <c r="B208" s="756"/>
      <c r="C208" s="624"/>
      <c r="D208" s="751"/>
      <c r="E208" s="751"/>
      <c r="F208" s="751"/>
      <c r="G208" s="751"/>
      <c r="H208" s="751"/>
      <c r="I208" s="624"/>
      <c r="J208" s="624"/>
      <c r="K208" s="750"/>
      <c r="L208" s="751"/>
      <c r="M208" s="751"/>
      <c r="N208" s="751"/>
      <c r="O208" s="750"/>
      <c r="P208" s="751"/>
      <c r="Q208" s="751"/>
      <c r="R208" s="751"/>
      <c r="S208" s="624"/>
      <c r="T208" s="751"/>
      <c r="U208" s="751"/>
      <c r="V208" s="751"/>
      <c r="W208" s="624"/>
      <c r="X208" s="751"/>
      <c r="Y208" s="751"/>
      <c r="Z208" s="751"/>
      <c r="AA208" s="750"/>
      <c r="AB208" s="751"/>
      <c r="AC208" s="661"/>
      <c r="AD208" s="661"/>
      <c r="AE208" s="624"/>
      <c r="AF208" s="751"/>
      <c r="AG208" s="751"/>
      <c r="AH208" s="751"/>
      <c r="AI208" s="624"/>
      <c r="AJ208" s="751"/>
      <c r="AK208" s="751"/>
      <c r="AL208" s="751"/>
      <c r="AM208" s="624"/>
      <c r="AN208" s="624"/>
      <c r="AO208" s="624"/>
      <c r="AP208" s="624"/>
      <c r="AQ208" s="737"/>
      <c r="AR208" s="753"/>
      <c r="AS208" s="753"/>
      <c r="AT208" s="753"/>
      <c r="AU208" s="624"/>
      <c r="AV208" s="624"/>
      <c r="AW208" s="624"/>
    </row>
    <row r="209" spans="2:49" ht="26.25" customHeight="1">
      <c r="B209" s="756"/>
      <c r="C209" s="624"/>
      <c r="D209" s="751"/>
      <c r="E209" s="751"/>
      <c r="F209" s="751"/>
      <c r="G209" s="751"/>
      <c r="H209" s="751"/>
      <c r="I209" s="624"/>
      <c r="J209" s="624"/>
      <c r="K209" s="750"/>
      <c r="L209" s="751"/>
      <c r="M209" s="751"/>
      <c r="N209" s="751"/>
      <c r="O209" s="750"/>
      <c r="P209" s="751"/>
      <c r="Q209" s="751"/>
      <c r="R209" s="751"/>
      <c r="S209" s="624"/>
      <c r="T209" s="751"/>
      <c r="U209" s="751"/>
      <c r="V209" s="751"/>
      <c r="W209" s="624"/>
      <c r="X209" s="751"/>
      <c r="Y209" s="751"/>
      <c r="Z209" s="751"/>
      <c r="AA209" s="750"/>
      <c r="AB209" s="751"/>
      <c r="AC209" s="661"/>
      <c r="AD209" s="661"/>
      <c r="AE209" s="624"/>
      <c r="AF209" s="751"/>
      <c r="AG209" s="751"/>
      <c r="AH209" s="751"/>
      <c r="AI209" s="624"/>
      <c r="AJ209" s="751"/>
      <c r="AK209" s="751"/>
      <c r="AL209" s="751"/>
      <c r="AM209" s="624"/>
      <c r="AN209" s="624"/>
      <c r="AO209" s="624"/>
      <c r="AP209" s="624"/>
      <c r="AQ209" s="737"/>
      <c r="AR209" s="753"/>
      <c r="AS209" s="753"/>
      <c r="AT209" s="753"/>
      <c r="AU209" s="624"/>
      <c r="AV209" s="624"/>
      <c r="AW209" s="624"/>
    </row>
    <row r="210" spans="2:49" ht="26.25" customHeight="1">
      <c r="B210" s="756"/>
      <c r="C210" s="624"/>
      <c r="D210" s="751"/>
      <c r="E210" s="751"/>
      <c r="F210" s="751"/>
      <c r="G210" s="751"/>
      <c r="H210" s="751"/>
      <c r="I210" s="624"/>
      <c r="J210" s="624"/>
      <c r="K210" s="750"/>
      <c r="L210" s="751"/>
      <c r="M210" s="751"/>
      <c r="N210" s="751"/>
      <c r="O210" s="750"/>
      <c r="P210" s="751"/>
      <c r="Q210" s="751"/>
      <c r="R210" s="751"/>
      <c r="S210" s="624"/>
      <c r="T210" s="751"/>
      <c r="U210" s="751"/>
      <c r="V210" s="751"/>
      <c r="W210" s="624"/>
      <c r="X210" s="751"/>
      <c r="Y210" s="751"/>
      <c r="Z210" s="751"/>
      <c r="AA210" s="750"/>
      <c r="AB210" s="751"/>
      <c r="AC210" s="661"/>
      <c r="AD210" s="661"/>
      <c r="AE210" s="624"/>
      <c r="AF210" s="751"/>
      <c r="AG210" s="751"/>
      <c r="AH210" s="751"/>
      <c r="AI210" s="624"/>
      <c r="AJ210" s="751"/>
      <c r="AK210" s="751"/>
      <c r="AL210" s="751"/>
      <c r="AM210" s="624"/>
      <c r="AN210" s="624"/>
      <c r="AO210" s="624"/>
      <c r="AP210" s="624"/>
      <c r="AQ210" s="737"/>
      <c r="AR210" s="753"/>
      <c r="AS210" s="753"/>
      <c r="AT210" s="753"/>
      <c r="AU210" s="624"/>
      <c r="AV210" s="624"/>
      <c r="AW210" s="624"/>
    </row>
    <row r="211" spans="2:49" ht="26.25" customHeight="1">
      <c r="B211" s="756"/>
      <c r="C211" s="624"/>
      <c r="D211" s="751"/>
      <c r="E211" s="751"/>
      <c r="F211" s="751"/>
      <c r="G211" s="751"/>
      <c r="H211" s="751"/>
      <c r="I211" s="624"/>
      <c r="J211" s="624"/>
      <c r="K211" s="750"/>
      <c r="L211" s="751"/>
      <c r="M211" s="751"/>
      <c r="N211" s="751"/>
      <c r="O211" s="750"/>
      <c r="P211" s="751"/>
      <c r="Q211" s="751"/>
      <c r="R211" s="751"/>
      <c r="S211" s="624"/>
      <c r="T211" s="751"/>
      <c r="U211" s="751"/>
      <c r="V211" s="751"/>
      <c r="W211" s="624"/>
      <c r="X211" s="751"/>
      <c r="Y211" s="751"/>
      <c r="Z211" s="751"/>
      <c r="AA211" s="750"/>
      <c r="AB211" s="751"/>
      <c r="AC211" s="661"/>
      <c r="AD211" s="661"/>
      <c r="AE211" s="624"/>
      <c r="AF211" s="751"/>
      <c r="AG211" s="751"/>
      <c r="AH211" s="751"/>
      <c r="AI211" s="624"/>
      <c r="AJ211" s="751"/>
      <c r="AK211" s="751"/>
      <c r="AL211" s="751"/>
      <c r="AM211" s="624"/>
      <c r="AN211" s="624"/>
      <c r="AO211" s="624"/>
      <c r="AP211" s="624"/>
      <c r="AQ211" s="737"/>
      <c r="AR211" s="753"/>
      <c r="AS211" s="753"/>
      <c r="AT211" s="753"/>
      <c r="AU211" s="624"/>
      <c r="AV211" s="624"/>
      <c r="AW211" s="624"/>
    </row>
    <row r="212" spans="2:49" ht="26.25" customHeight="1">
      <c r="B212" s="756"/>
      <c r="C212" s="624"/>
      <c r="D212" s="751"/>
      <c r="E212" s="751"/>
      <c r="F212" s="751"/>
      <c r="G212" s="751"/>
      <c r="H212" s="751"/>
      <c r="I212" s="624"/>
      <c r="J212" s="624"/>
      <c r="K212" s="750"/>
      <c r="L212" s="751"/>
      <c r="M212" s="751"/>
      <c r="N212" s="751"/>
      <c r="O212" s="750"/>
      <c r="P212" s="751"/>
      <c r="Q212" s="751"/>
      <c r="R212" s="751"/>
      <c r="S212" s="624"/>
      <c r="T212" s="751"/>
      <c r="U212" s="751"/>
      <c r="V212" s="751"/>
      <c r="W212" s="624"/>
      <c r="X212" s="751"/>
      <c r="Y212" s="751"/>
      <c r="Z212" s="751"/>
      <c r="AA212" s="750"/>
      <c r="AB212" s="751"/>
      <c r="AC212" s="661"/>
      <c r="AD212" s="661"/>
      <c r="AE212" s="624"/>
      <c r="AF212" s="751"/>
      <c r="AG212" s="751"/>
      <c r="AH212" s="751"/>
      <c r="AI212" s="624"/>
      <c r="AJ212" s="751"/>
      <c r="AK212" s="751"/>
      <c r="AL212" s="751"/>
      <c r="AM212" s="624"/>
      <c r="AN212" s="624"/>
      <c r="AO212" s="624"/>
      <c r="AP212" s="624"/>
      <c r="AQ212" s="737"/>
      <c r="AR212" s="753"/>
      <c r="AS212" s="753"/>
      <c r="AT212" s="753"/>
      <c r="AU212" s="624"/>
      <c r="AV212" s="624"/>
      <c r="AW212" s="624"/>
    </row>
  </sheetData>
  <dataConsolidate/>
  <mergeCells count="48">
    <mergeCell ref="BG43:BH43"/>
    <mergeCell ref="AX42:BN42"/>
    <mergeCell ref="BL43:BM43"/>
    <mergeCell ref="AX43:AX44"/>
    <mergeCell ref="BN43:BN44"/>
    <mergeCell ref="AY43:AZ43"/>
    <mergeCell ref="BA43:BB43"/>
    <mergeCell ref="BC43:BD43"/>
    <mergeCell ref="BE43:BF43"/>
    <mergeCell ref="BK22:BK23"/>
    <mergeCell ref="BA37:BD37"/>
    <mergeCell ref="BE37:BH37"/>
    <mergeCell ref="AW22:AW23"/>
    <mergeCell ref="BD22:BD23"/>
    <mergeCell ref="BE22:BE23"/>
    <mergeCell ref="BF22:BF23"/>
    <mergeCell ref="BG22:BG23"/>
    <mergeCell ref="AW21:BK21"/>
    <mergeCell ref="B2:AR2"/>
    <mergeCell ref="AX2:BH2"/>
    <mergeCell ref="BM2:BW2"/>
    <mergeCell ref="C3:F3"/>
    <mergeCell ref="G3:J3"/>
    <mergeCell ref="K3:N3"/>
    <mergeCell ref="O3:R3"/>
    <mergeCell ref="S3:V3"/>
    <mergeCell ref="W3:Z3"/>
    <mergeCell ref="AA3:AD3"/>
    <mergeCell ref="AE3:AH3"/>
    <mergeCell ref="AI3:AL3"/>
    <mergeCell ref="AM3:AP3"/>
    <mergeCell ref="AQ3:AT3"/>
    <mergeCell ref="B3:B4"/>
    <mergeCell ref="BV3:BV4"/>
    <mergeCell ref="BW3:BW4"/>
    <mergeCell ref="BA19:BD19"/>
    <mergeCell ref="BE19:BH19"/>
    <mergeCell ref="BT19:BW19"/>
    <mergeCell ref="BE3:BE4"/>
    <mergeCell ref="BF3:BF4"/>
    <mergeCell ref="BG3:BG4"/>
    <mergeCell ref="BH3:BH4"/>
    <mergeCell ref="BM3:BM4"/>
    <mergeCell ref="AU3:AU4"/>
    <mergeCell ref="AV3:AV4"/>
    <mergeCell ref="AX3:AX4"/>
    <mergeCell ref="BT3:BT4"/>
    <mergeCell ref="BU3:BU4"/>
  </mergeCells>
  <conditionalFormatting sqref="AR47:AR50 AR40:AR45">
    <cfRule type="dataBar" priority="16">
      <dataBar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{67957CDD-309D-4225-BF61-89438E051EB8}</x14:id>
        </ext>
      </extLst>
    </cfRule>
  </conditionalFormatting>
  <conditionalFormatting sqref="AR47:AR50 AR40:AR45">
    <cfRule type="dataBar" priority="14">
      <dataBar>
        <cfvo type="min" val="0"/>
        <cfvo type="max" val="0"/>
        <color rgb="FF63C384"/>
      </dataBar>
    </cfRule>
  </conditionalFormatting>
  <conditionalFormatting sqref="AV12:AV15 AV5:AV10">
    <cfRule type="dataBar" priority="13">
      <dataBar>
        <cfvo type="min" val="0"/>
        <cfvo type="max" val="0"/>
        <color rgb="FF63C384"/>
      </dataBar>
    </cfRule>
  </conditionalFormatting>
  <conditionalFormatting sqref="BF12:BF15 BF5:BF10">
    <cfRule type="dataBar" priority="8">
      <dataBar>
        <cfvo type="min" val="0"/>
        <cfvo type="max" val="0"/>
        <color rgb="FF63C384"/>
      </dataBar>
    </cfRule>
  </conditionalFormatting>
  <conditionalFormatting sqref="BU12:BU15 BU5:BU10">
    <cfRule type="dataBar" priority="7">
      <dataBar>
        <cfvo type="min" val="0"/>
        <cfvo type="max" val="0"/>
        <color rgb="FF63C384"/>
      </dataBar>
    </cfRule>
  </conditionalFormatting>
  <conditionalFormatting sqref="BE24:BE34 BD35">
    <cfRule type="dataBar" priority="4">
      <dataBar>
        <cfvo type="min" val="0"/>
        <cfvo type="max" val="0"/>
        <color rgb="FF63C384"/>
      </dataBar>
    </cfRule>
  </conditionalFormatting>
  <conditionalFormatting sqref="BN45:BN56">
    <cfRule type="dataBar" priority="1">
      <dataBar>
        <cfvo type="min" val="0"/>
        <cfvo type="max" val="0"/>
        <color rgb="FF63C384"/>
      </dataBar>
    </cfRule>
  </conditionalFormatting>
  <printOptions horizontalCentered="1" verticalCentered="1"/>
  <pageMargins left="0" right="0" top="0" bottom="0" header="0" footer="0"/>
  <pageSetup paperSize="9" scale="120" orientation="landscape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863C02-D488-4FD6-B73F-11547E62A5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AR30:AR33 AR23:AR28</xm:sqref>
        </x14:conditionalFormatting>
        <x14:conditionalFormatting xmlns:xm="http://schemas.microsoft.com/office/excel/2006/main">
          <x14:cfRule type="dataBar" id="{67957CDD-309D-4225-BF61-89438E051E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AR47:AR50 AR40:AR45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I88"/>
  <sheetViews>
    <sheetView showGridLines="0" topLeftCell="I1" zoomScale="55" zoomScaleNormal="55" workbookViewId="0">
      <pane xSplit="1" topLeftCell="AF1" activePane="topRight" state="frozen"/>
      <selection activeCell="I1" sqref="I1"/>
      <selection pane="topRight" activeCell="AZ34" sqref="AZ34"/>
    </sheetView>
  </sheetViews>
  <sheetFormatPr defaultColWidth="9.140625" defaultRowHeight="15"/>
  <cols>
    <col min="1" max="2" width="9.140625" style="23" hidden="1" customWidth="1"/>
    <col min="3" max="3" width="14.5703125" style="23" hidden="1" customWidth="1"/>
    <col min="4" max="4" width="11.42578125" style="27" hidden="1" customWidth="1"/>
    <col min="5" max="5" width="6.85546875" style="27" hidden="1" customWidth="1"/>
    <col min="6" max="6" width="9.140625" style="27" hidden="1" customWidth="1"/>
    <col min="7" max="7" width="3.42578125" style="23" hidden="1" customWidth="1"/>
    <col min="8" max="8" width="6.140625" style="23" customWidth="1"/>
    <col min="9" max="9" width="20.140625" style="27" bestFit="1" customWidth="1"/>
    <col min="10" max="10" width="11.5703125" style="26" customWidth="1"/>
    <col min="11" max="11" width="9.140625" style="24" customWidth="1"/>
    <col min="12" max="12" width="15" style="24" bestFit="1" customWidth="1"/>
    <col min="13" max="13" width="12.85546875" style="24" customWidth="1"/>
    <col min="14" max="14" width="10.5703125" style="26" customWidth="1"/>
    <col min="15" max="15" width="10.28515625" style="24" customWidth="1"/>
    <col min="16" max="17" width="10.5703125" style="24" customWidth="1"/>
    <col min="18" max="18" width="8.5703125" style="26" customWidth="1"/>
    <col min="19" max="19" width="11.5703125" style="24" customWidth="1"/>
    <col min="20" max="20" width="15" style="24" bestFit="1" customWidth="1"/>
    <col min="21" max="21" width="10.5703125" style="24" customWidth="1"/>
    <col min="22" max="22" width="13.85546875" style="26" bestFit="1" customWidth="1"/>
    <col min="23" max="23" width="11" style="24" bestFit="1" customWidth="1"/>
    <col min="24" max="25" width="9.7109375" style="24" customWidth="1"/>
    <col min="26" max="26" width="11" style="26" customWidth="1"/>
    <col min="27" max="27" width="12.42578125" style="24" customWidth="1"/>
    <col min="28" max="29" width="11.85546875" style="24" customWidth="1"/>
    <col min="30" max="30" width="9.28515625" style="26" customWidth="1"/>
    <col min="31" max="31" width="11.7109375" style="24" bestFit="1" customWidth="1"/>
    <col min="32" max="32" width="10.5703125" style="24" bestFit="1" customWidth="1"/>
    <col min="33" max="33" width="10.5703125" style="24" customWidth="1"/>
    <col min="34" max="34" width="9.140625" style="26" bestFit="1" customWidth="1"/>
    <col min="35" max="35" width="13.5703125" style="24" customWidth="1"/>
    <col min="36" max="37" width="11.5703125" style="24" customWidth="1"/>
    <col min="38" max="38" width="10.5703125" style="49" customWidth="1"/>
    <col min="39" max="39" width="9" style="24" customWidth="1"/>
    <col min="40" max="40" width="12" style="24" bestFit="1" customWidth="1"/>
    <col min="41" max="41" width="12" style="24" customWidth="1"/>
    <col min="42" max="42" width="8.42578125" style="26" customWidth="1"/>
    <col min="43" max="43" width="9.5703125" style="24" customWidth="1"/>
    <col min="44" max="44" width="13.85546875" style="24" bestFit="1" customWidth="1"/>
    <col min="45" max="45" width="13.85546875" style="24" customWidth="1"/>
    <col min="46" max="46" width="11.7109375" style="26" customWidth="1"/>
    <col min="47" max="47" width="11.7109375" style="24" customWidth="1"/>
    <col min="48" max="48" width="10.5703125" style="24" bestFit="1" customWidth="1"/>
    <col min="49" max="49" width="10.5703125" style="24" customWidth="1"/>
    <col min="50" max="50" width="9.140625" style="26" bestFit="1" customWidth="1"/>
    <col min="51" max="51" width="9.140625" style="50" bestFit="1" customWidth="1"/>
    <col min="52" max="52" width="10.5703125" style="50" bestFit="1" customWidth="1"/>
    <col min="53" max="53" width="10.5703125" style="50" customWidth="1"/>
    <col min="54" max="54" width="10.7109375" style="26" bestFit="1" customWidth="1"/>
    <col min="55" max="55" width="12.85546875" style="24" bestFit="1" customWidth="1"/>
    <col min="56" max="56" width="10.5703125" style="24" bestFit="1" customWidth="1"/>
    <col min="57" max="57" width="10.5703125" style="24" customWidth="1"/>
    <col min="58" max="58" width="16" style="25" bestFit="1" customWidth="1"/>
    <col min="59" max="59" width="10.7109375" style="24" bestFit="1" customWidth="1"/>
    <col min="60" max="60" width="13" style="23" bestFit="1" customWidth="1"/>
    <col min="61" max="16384" width="9.140625" style="23"/>
  </cols>
  <sheetData>
    <row r="1" spans="3:61" ht="15" customHeight="1" thickBot="1"/>
    <row r="2" spans="3:61" ht="21.75" thickBot="1">
      <c r="C2" s="1899" t="s">
        <v>45</v>
      </c>
      <c r="D2" s="1900"/>
      <c r="E2" s="1900"/>
      <c r="F2" s="1901"/>
      <c r="H2" s="1915"/>
      <c r="I2" s="1567"/>
      <c r="J2" s="1567"/>
      <c r="K2" s="1567"/>
      <c r="L2" s="947"/>
      <c r="M2" s="947"/>
      <c r="N2" s="1916" t="s">
        <v>249</v>
      </c>
      <c r="O2" s="1916"/>
      <c r="P2" s="1916"/>
      <c r="Q2" s="1916"/>
      <c r="R2" s="1916"/>
      <c r="S2" s="1916"/>
      <c r="T2" s="1916"/>
      <c r="U2" s="1916"/>
      <c r="V2" s="1916"/>
      <c r="W2" s="1916"/>
      <c r="X2" s="1916"/>
      <c r="Y2" s="1916"/>
      <c r="Z2" s="1916"/>
      <c r="AA2" s="1916"/>
      <c r="AB2" s="1916"/>
      <c r="AC2" s="1916"/>
      <c r="AD2" s="1916"/>
      <c r="AE2" s="1916"/>
      <c r="AF2" s="1916"/>
      <c r="AG2" s="1916"/>
      <c r="AH2" s="1916"/>
      <c r="AI2" s="1916"/>
      <c r="AJ2" s="1916"/>
      <c r="AK2" s="1916"/>
      <c r="AL2" s="1916"/>
      <c r="AM2" s="1916"/>
      <c r="AN2" s="1916"/>
      <c r="AO2" s="1916"/>
      <c r="AP2" s="1916"/>
      <c r="AQ2" s="1916"/>
      <c r="AR2" s="1916"/>
      <c r="AS2" s="1916"/>
      <c r="AT2" s="1916"/>
      <c r="AU2" s="1916"/>
      <c r="AV2" s="1916"/>
      <c r="AW2" s="1916"/>
      <c r="AX2" s="1916"/>
      <c r="AY2" s="1916"/>
      <c r="AZ2" s="1916"/>
      <c r="BA2" s="947"/>
      <c r="BB2" s="1902" t="s">
        <v>118</v>
      </c>
      <c r="BC2" s="1903"/>
      <c r="BD2" s="1903"/>
      <c r="BE2" s="1903"/>
      <c r="BF2" s="1903"/>
      <c r="BG2" s="1903"/>
      <c r="BH2" s="1903"/>
      <c r="BI2" s="1904"/>
    </row>
    <row r="3" spans="3:61" ht="19.5" thickBot="1">
      <c r="C3" s="946"/>
      <c r="D3" s="944"/>
      <c r="E3" s="944"/>
      <c r="F3" s="948"/>
      <c r="H3" s="1905" t="s">
        <v>115</v>
      </c>
      <c r="I3" s="1906"/>
      <c r="J3" s="1906"/>
      <c r="K3" s="1906"/>
      <c r="L3" s="1906"/>
      <c r="M3" s="1906"/>
      <c r="N3" s="1906"/>
      <c r="O3" s="1906"/>
      <c r="P3" s="1906"/>
      <c r="Q3" s="1906"/>
      <c r="R3" s="1906"/>
      <c r="S3" s="1906"/>
      <c r="T3" s="1906"/>
      <c r="U3" s="1906"/>
      <c r="V3" s="1906"/>
      <c r="W3" s="1906"/>
      <c r="X3" s="1906"/>
      <c r="Y3" s="1906"/>
      <c r="Z3" s="1906"/>
      <c r="AA3" s="1906"/>
      <c r="AB3" s="1906"/>
      <c r="AC3" s="1906"/>
      <c r="AD3" s="1906"/>
      <c r="AE3" s="1906"/>
      <c r="AF3" s="1906"/>
      <c r="AG3" s="1906"/>
      <c r="AH3" s="1906"/>
      <c r="AI3" s="1906"/>
      <c r="AJ3" s="1906"/>
      <c r="AK3" s="1906"/>
      <c r="AL3" s="1906"/>
      <c r="AM3" s="1906"/>
      <c r="AN3" s="1906"/>
      <c r="AO3" s="1906"/>
      <c r="AP3" s="1906"/>
      <c r="AQ3" s="1906"/>
      <c r="AR3" s="1906"/>
      <c r="AS3" s="1906"/>
      <c r="AT3" s="1906"/>
      <c r="AU3" s="1906"/>
      <c r="AV3" s="1906"/>
      <c r="AW3" s="1906"/>
      <c r="AX3" s="1906"/>
      <c r="AY3" s="1906"/>
      <c r="AZ3" s="1906"/>
      <c r="BA3" s="1906"/>
      <c r="BB3" s="1906"/>
      <c r="BC3" s="1906"/>
      <c r="BD3" s="1906"/>
      <c r="BE3" s="1906"/>
      <c r="BF3" s="1906"/>
      <c r="BG3" s="1906"/>
      <c r="BH3" s="1906"/>
      <c r="BI3" s="1907"/>
    </row>
    <row r="4" spans="3:61" ht="18.75">
      <c r="C4" s="37" t="s">
        <v>44</v>
      </c>
      <c r="D4" s="1869"/>
      <c r="E4" s="1869"/>
      <c r="F4" s="1870"/>
      <c r="H4" s="1908" t="s">
        <v>33</v>
      </c>
      <c r="I4" s="1909"/>
      <c r="J4" s="1871" t="s">
        <v>43</v>
      </c>
      <c r="K4" s="1872"/>
      <c r="L4" s="1872"/>
      <c r="M4" s="1873"/>
      <c r="N4" s="1871" t="s">
        <v>42</v>
      </c>
      <c r="O4" s="1872"/>
      <c r="P4" s="1872"/>
      <c r="Q4" s="1873"/>
      <c r="R4" s="1871" t="s">
        <v>41</v>
      </c>
      <c r="S4" s="1872"/>
      <c r="T4" s="1872"/>
      <c r="U4" s="1873"/>
      <c r="V4" s="1871" t="s">
        <v>40</v>
      </c>
      <c r="W4" s="1872"/>
      <c r="X4" s="1872"/>
      <c r="Y4" s="1873"/>
      <c r="Z4" s="1871" t="s">
        <v>39</v>
      </c>
      <c r="AA4" s="1872"/>
      <c r="AB4" s="1872"/>
      <c r="AC4" s="1873"/>
      <c r="AD4" s="1871" t="s">
        <v>38</v>
      </c>
      <c r="AE4" s="1872"/>
      <c r="AF4" s="1872"/>
      <c r="AG4" s="1873"/>
      <c r="AH4" s="1874" t="s">
        <v>122</v>
      </c>
      <c r="AI4" s="1875"/>
      <c r="AJ4" s="1875"/>
      <c r="AK4" s="1876"/>
      <c r="AL4" s="1871" t="s">
        <v>37</v>
      </c>
      <c r="AM4" s="1872"/>
      <c r="AN4" s="1872"/>
      <c r="AO4" s="1873"/>
      <c r="AP4" s="1871" t="s">
        <v>36</v>
      </c>
      <c r="AQ4" s="1872"/>
      <c r="AR4" s="1872"/>
      <c r="AS4" s="1873"/>
      <c r="AT4" s="1871" t="s">
        <v>35</v>
      </c>
      <c r="AU4" s="1872"/>
      <c r="AV4" s="1872"/>
      <c r="AW4" s="1873"/>
      <c r="AX4" s="1871" t="s">
        <v>34</v>
      </c>
      <c r="AY4" s="1872"/>
      <c r="AZ4" s="1872"/>
      <c r="BA4" s="1873"/>
      <c r="BB4" s="1874" t="s">
        <v>123</v>
      </c>
      <c r="BC4" s="1875"/>
      <c r="BD4" s="1875"/>
      <c r="BE4" s="1876"/>
      <c r="BF4" s="1877" t="s">
        <v>17</v>
      </c>
      <c r="BG4" s="1878"/>
      <c r="BH4" s="1878"/>
      <c r="BI4" s="1878"/>
    </row>
    <row r="5" spans="3:61" ht="15.75" customHeight="1">
      <c r="C5" s="1879" t="s">
        <v>33</v>
      </c>
      <c r="D5" s="1869"/>
      <c r="E5" s="944" t="s">
        <v>1</v>
      </c>
      <c r="F5" s="948" t="s">
        <v>2</v>
      </c>
      <c r="H5" s="1910"/>
      <c r="I5" s="1911"/>
      <c r="J5" s="36" t="s">
        <v>1</v>
      </c>
      <c r="K5" s="271" t="s">
        <v>2</v>
      </c>
      <c r="L5" s="693" t="s">
        <v>182</v>
      </c>
      <c r="M5" s="35" t="s">
        <v>247</v>
      </c>
      <c r="N5" s="36" t="s">
        <v>1</v>
      </c>
      <c r="O5" s="271" t="s">
        <v>2</v>
      </c>
      <c r="P5" s="693" t="s">
        <v>182</v>
      </c>
      <c r="Q5" s="35" t="s">
        <v>247</v>
      </c>
      <c r="R5" s="36" t="s">
        <v>1</v>
      </c>
      <c r="S5" s="271" t="s">
        <v>2</v>
      </c>
      <c r="T5" s="693" t="s">
        <v>182</v>
      </c>
      <c r="U5" s="35" t="s">
        <v>247</v>
      </c>
      <c r="V5" s="36" t="s">
        <v>1</v>
      </c>
      <c r="W5" s="271" t="s">
        <v>2</v>
      </c>
      <c r="X5" s="693" t="s">
        <v>182</v>
      </c>
      <c r="Y5" s="35" t="s">
        <v>247</v>
      </c>
      <c r="Z5" s="36" t="s">
        <v>1</v>
      </c>
      <c r="AA5" s="271" t="s">
        <v>2</v>
      </c>
      <c r="AB5" s="693" t="s">
        <v>182</v>
      </c>
      <c r="AC5" s="35" t="s">
        <v>247</v>
      </c>
      <c r="AD5" s="36" t="s">
        <v>1</v>
      </c>
      <c r="AE5" s="271" t="s">
        <v>2</v>
      </c>
      <c r="AF5" s="693" t="s">
        <v>182</v>
      </c>
      <c r="AG5" s="35" t="s">
        <v>247</v>
      </c>
      <c r="AH5" s="36" t="s">
        <v>1</v>
      </c>
      <c r="AI5" s="271" t="s">
        <v>2</v>
      </c>
      <c r="AJ5" s="271" t="s">
        <v>182</v>
      </c>
      <c r="AK5" s="690" t="s">
        <v>196</v>
      </c>
      <c r="AL5" s="36" t="s">
        <v>1</v>
      </c>
      <c r="AM5" s="271" t="s">
        <v>2</v>
      </c>
      <c r="AN5" s="693" t="s">
        <v>182</v>
      </c>
      <c r="AO5" s="35" t="s">
        <v>247</v>
      </c>
      <c r="AP5" s="36" t="s">
        <v>1</v>
      </c>
      <c r="AQ5" s="271" t="s">
        <v>2</v>
      </c>
      <c r="AR5" s="693" t="s">
        <v>182</v>
      </c>
      <c r="AS5" s="35" t="s">
        <v>247</v>
      </c>
      <c r="AT5" s="36" t="s">
        <v>1</v>
      </c>
      <c r="AU5" s="271" t="s">
        <v>2</v>
      </c>
      <c r="AV5" s="693" t="s">
        <v>182</v>
      </c>
      <c r="AW5" s="35" t="s">
        <v>247</v>
      </c>
      <c r="AX5" s="36" t="s">
        <v>1</v>
      </c>
      <c r="AY5" s="271" t="s">
        <v>2</v>
      </c>
      <c r="AZ5" s="693" t="s">
        <v>182</v>
      </c>
      <c r="BA5" s="35" t="s">
        <v>247</v>
      </c>
      <c r="BB5" s="36" t="s">
        <v>1</v>
      </c>
      <c r="BC5" s="271" t="s">
        <v>2</v>
      </c>
      <c r="BD5" s="271" t="s">
        <v>182</v>
      </c>
      <c r="BE5" s="690" t="s">
        <v>196</v>
      </c>
      <c r="BF5" s="274" t="s">
        <v>1</v>
      </c>
      <c r="BG5" s="275" t="s">
        <v>2</v>
      </c>
      <c r="BH5" s="275" t="s">
        <v>182</v>
      </c>
      <c r="BI5" s="698" t="s">
        <v>196</v>
      </c>
    </row>
    <row r="6" spans="3:61" s="28" customFormat="1" ht="20.100000000000001" customHeight="1">
      <c r="C6" s="1879" t="s">
        <v>19</v>
      </c>
      <c r="D6" s="944" t="s">
        <v>32</v>
      </c>
      <c r="E6" s="944"/>
      <c r="F6" s="945"/>
      <c r="H6" s="1886" t="s">
        <v>32</v>
      </c>
      <c r="I6" s="33" t="s">
        <v>32</v>
      </c>
      <c r="J6" s="462">
        <v>7</v>
      </c>
      <c r="K6" s="463"/>
      <c r="L6" s="463"/>
      <c r="M6" s="691"/>
      <c r="N6" s="462">
        <v>10</v>
      </c>
      <c r="O6" s="463">
        <v>8.5</v>
      </c>
      <c r="P6" s="463">
        <v>8.5</v>
      </c>
      <c r="Q6" s="691"/>
      <c r="R6" s="462">
        <v>5</v>
      </c>
      <c r="S6" s="463">
        <v>5</v>
      </c>
      <c r="T6" s="463"/>
      <c r="U6" s="691"/>
      <c r="V6" s="462">
        <v>2</v>
      </c>
      <c r="W6" s="463"/>
      <c r="X6" s="463"/>
      <c r="Y6" s="691"/>
      <c r="Z6" s="462"/>
      <c r="AA6" s="463"/>
      <c r="AB6" s="463"/>
      <c r="AC6" s="691"/>
      <c r="AD6" s="462">
        <v>10</v>
      </c>
      <c r="AE6" s="463">
        <v>20</v>
      </c>
      <c r="AF6" s="463">
        <v>20</v>
      </c>
      <c r="AG6" s="691"/>
      <c r="AH6" s="128">
        <f>J6+N6+R6+V6+Z6+AD6</f>
        <v>34</v>
      </c>
      <c r="AI6" s="273">
        <f>K6+O6+S6+W6+AA6+AE6</f>
        <v>33.5</v>
      </c>
      <c r="AJ6" s="273">
        <f>L6+P6+T6+X6+AB6+AF6</f>
        <v>28.5</v>
      </c>
      <c r="AK6" s="694">
        <f>M6+Q6+U6+Y6+AC6+AG6</f>
        <v>0</v>
      </c>
      <c r="AL6" s="462">
        <v>8</v>
      </c>
      <c r="AM6" s="463">
        <v>4</v>
      </c>
      <c r="AN6" s="463">
        <v>4</v>
      </c>
      <c r="AO6" s="691"/>
      <c r="AP6" s="462">
        <v>5</v>
      </c>
      <c r="AQ6" s="463">
        <v>3.5</v>
      </c>
      <c r="AR6" s="463">
        <v>3.5</v>
      </c>
      <c r="AS6" s="691"/>
      <c r="AT6" s="462">
        <v>12</v>
      </c>
      <c r="AU6" s="463">
        <v>12.81</v>
      </c>
      <c r="AV6" s="463"/>
      <c r="AW6" s="691"/>
      <c r="AX6" s="462">
        <v>20</v>
      </c>
      <c r="AY6" s="463"/>
      <c r="AZ6" s="463"/>
      <c r="BA6" s="691"/>
      <c r="BB6" s="128">
        <f>AL6+AP6+AT6+AX6</f>
        <v>45</v>
      </c>
      <c r="BC6" s="273">
        <f>AM6+AQ6+AU6+AY6</f>
        <v>20.310000000000002</v>
      </c>
      <c r="BD6" s="273">
        <f>AN6+AR6+AV6+AZ6</f>
        <v>7.5</v>
      </c>
      <c r="BE6" s="273">
        <f>AO6+AS6+AW6+BA6</f>
        <v>0</v>
      </c>
      <c r="BF6" s="276">
        <f>AH6+BB6</f>
        <v>79</v>
      </c>
      <c r="BG6" s="277">
        <f>AI6+BC6</f>
        <v>53.81</v>
      </c>
      <c r="BH6" s="701">
        <f>AJ6+BD6</f>
        <v>36</v>
      </c>
      <c r="BI6" s="699">
        <f>AK6+BE6</f>
        <v>0</v>
      </c>
    </row>
    <row r="7" spans="3:61" s="28" customFormat="1" ht="20.100000000000001" customHeight="1">
      <c r="C7" s="1879"/>
      <c r="D7" s="944" t="s">
        <v>31</v>
      </c>
      <c r="E7" s="944"/>
      <c r="F7" s="945"/>
      <c r="H7" s="1887"/>
      <c r="I7" s="33" t="s">
        <v>31</v>
      </c>
      <c r="J7" s="462"/>
      <c r="K7" s="463"/>
      <c r="L7" s="463"/>
      <c r="M7" s="691"/>
      <c r="N7" s="462"/>
      <c r="O7" s="463"/>
      <c r="P7" s="463"/>
      <c r="Q7" s="691"/>
      <c r="R7" s="462"/>
      <c r="S7" s="463"/>
      <c r="T7" s="463"/>
      <c r="U7" s="691"/>
      <c r="V7" s="462"/>
      <c r="W7" s="463"/>
      <c r="X7" s="463"/>
      <c r="Y7" s="691"/>
      <c r="Z7" s="462"/>
      <c r="AA7" s="463"/>
      <c r="AB7" s="463"/>
      <c r="AC7" s="691"/>
      <c r="AD7" s="462"/>
      <c r="AE7" s="463"/>
      <c r="AF7" s="463"/>
      <c r="AG7" s="691"/>
      <c r="AH7" s="128">
        <f t="shared" ref="AH7:AK9" si="0">J7+N7+R7+V7+Z7+AD7</f>
        <v>0</v>
      </c>
      <c r="AI7" s="273">
        <f t="shared" si="0"/>
        <v>0</v>
      </c>
      <c r="AJ7" s="273">
        <f t="shared" si="0"/>
        <v>0</v>
      </c>
      <c r="AK7" s="694">
        <f t="shared" si="0"/>
        <v>0</v>
      </c>
      <c r="AL7" s="462"/>
      <c r="AM7" s="463"/>
      <c r="AN7" s="463"/>
      <c r="AO7" s="691"/>
      <c r="AP7" s="462"/>
      <c r="AQ7" s="463"/>
      <c r="AR7" s="463"/>
      <c r="AS7" s="691"/>
      <c r="AT7" s="462"/>
      <c r="AU7" s="463"/>
      <c r="AV7" s="463"/>
      <c r="AW7" s="691"/>
      <c r="AX7" s="462"/>
      <c r="AY7" s="463"/>
      <c r="AZ7" s="463"/>
      <c r="BA7" s="691"/>
      <c r="BB7" s="128">
        <f t="shared" ref="BB7:BE9" si="1">AL7+AP7+AT7+AX7</f>
        <v>0</v>
      </c>
      <c r="BC7" s="273">
        <f t="shared" si="1"/>
        <v>0</v>
      </c>
      <c r="BD7" s="273">
        <f t="shared" si="1"/>
        <v>0</v>
      </c>
      <c r="BE7" s="273">
        <f t="shared" si="1"/>
        <v>0</v>
      </c>
      <c r="BF7" s="276">
        <f t="shared" ref="BF7:BI9" si="2">AH7+BB7</f>
        <v>0</v>
      </c>
      <c r="BG7" s="277">
        <f t="shared" si="2"/>
        <v>0</v>
      </c>
      <c r="BH7" s="277">
        <f t="shared" si="2"/>
        <v>0</v>
      </c>
      <c r="BI7" s="699">
        <f t="shared" si="2"/>
        <v>0</v>
      </c>
    </row>
    <row r="8" spans="3:61" s="28" customFormat="1" ht="20.100000000000001" customHeight="1">
      <c r="C8" s="1879"/>
      <c r="D8" s="944" t="s">
        <v>30</v>
      </c>
      <c r="E8" s="944"/>
      <c r="F8" s="945"/>
      <c r="H8" s="1887"/>
      <c r="I8" s="33" t="s">
        <v>30</v>
      </c>
      <c r="J8" s="462">
        <v>2</v>
      </c>
      <c r="K8" s="463">
        <v>5</v>
      </c>
      <c r="L8" s="463">
        <v>5</v>
      </c>
      <c r="M8" s="691"/>
      <c r="N8" s="462"/>
      <c r="O8" s="463"/>
      <c r="P8" s="463"/>
      <c r="Q8" s="691"/>
      <c r="R8" s="462"/>
      <c r="S8" s="463"/>
      <c r="T8" s="463"/>
      <c r="U8" s="691"/>
      <c r="V8" s="462"/>
      <c r="W8" s="463"/>
      <c r="X8" s="463"/>
      <c r="Y8" s="691"/>
      <c r="Z8" s="462"/>
      <c r="AA8" s="463"/>
      <c r="AB8" s="463"/>
      <c r="AC8" s="691"/>
      <c r="AD8" s="462"/>
      <c r="AE8" s="463"/>
      <c r="AF8" s="463"/>
      <c r="AG8" s="691"/>
      <c r="AH8" s="128">
        <f t="shared" si="0"/>
        <v>2</v>
      </c>
      <c r="AI8" s="273">
        <f t="shared" si="0"/>
        <v>5</v>
      </c>
      <c r="AJ8" s="273">
        <f t="shared" si="0"/>
        <v>5</v>
      </c>
      <c r="AK8" s="694">
        <f t="shared" si="0"/>
        <v>0</v>
      </c>
      <c r="AL8" s="462">
        <v>6</v>
      </c>
      <c r="AM8" s="463">
        <v>1</v>
      </c>
      <c r="AN8" s="463"/>
      <c r="AO8" s="691"/>
      <c r="AP8" s="462"/>
      <c r="AQ8" s="463"/>
      <c r="AR8" s="463"/>
      <c r="AS8" s="691"/>
      <c r="AT8" s="462"/>
      <c r="AU8" s="463">
        <v>0.5</v>
      </c>
      <c r="AV8" s="463">
        <v>0.5</v>
      </c>
      <c r="AW8" s="691"/>
      <c r="AX8" s="462"/>
      <c r="AY8" s="463"/>
      <c r="AZ8" s="463"/>
      <c r="BA8" s="691"/>
      <c r="BB8" s="128">
        <f t="shared" si="1"/>
        <v>6</v>
      </c>
      <c r="BC8" s="273">
        <f t="shared" si="1"/>
        <v>1.5</v>
      </c>
      <c r="BD8" s="273">
        <f t="shared" si="1"/>
        <v>0.5</v>
      </c>
      <c r="BE8" s="273">
        <f t="shared" si="1"/>
        <v>0</v>
      </c>
      <c r="BF8" s="276">
        <f t="shared" si="2"/>
        <v>8</v>
      </c>
      <c r="BG8" s="277">
        <f t="shared" si="2"/>
        <v>6.5</v>
      </c>
      <c r="BH8" s="277">
        <f t="shared" si="2"/>
        <v>5.5</v>
      </c>
      <c r="BI8" s="699">
        <f t="shared" si="2"/>
        <v>0</v>
      </c>
    </row>
    <row r="9" spans="3:61" s="28" customFormat="1" ht="20.100000000000001" customHeight="1">
      <c r="C9" s="1885"/>
      <c r="D9" s="944" t="s">
        <v>29</v>
      </c>
      <c r="E9" s="944"/>
      <c r="F9" s="945"/>
      <c r="H9" s="1887"/>
      <c r="I9" s="33" t="s">
        <v>109</v>
      </c>
      <c r="J9" s="462">
        <v>1</v>
      </c>
      <c r="K9" s="463">
        <v>0.1</v>
      </c>
      <c r="L9" s="463">
        <v>0.1</v>
      </c>
      <c r="M9" s="691"/>
      <c r="N9" s="462"/>
      <c r="O9" s="463">
        <v>1.5</v>
      </c>
      <c r="P9" s="463">
        <v>1.5</v>
      </c>
      <c r="Q9" s="691"/>
      <c r="R9" s="462"/>
      <c r="S9" s="463"/>
      <c r="T9" s="463"/>
      <c r="U9" s="691"/>
      <c r="V9" s="462">
        <v>3</v>
      </c>
      <c r="W9" s="463"/>
      <c r="X9" s="463"/>
      <c r="Y9" s="691"/>
      <c r="Z9" s="462"/>
      <c r="AA9" s="463"/>
      <c r="AB9" s="463"/>
      <c r="AC9" s="691"/>
      <c r="AD9" s="462"/>
      <c r="AE9" s="463"/>
      <c r="AF9" s="463"/>
      <c r="AG9" s="691"/>
      <c r="AH9" s="128">
        <f t="shared" si="0"/>
        <v>4</v>
      </c>
      <c r="AI9" s="273">
        <f t="shared" si="0"/>
        <v>1.6</v>
      </c>
      <c r="AJ9" s="273">
        <f t="shared" si="0"/>
        <v>1.6</v>
      </c>
      <c r="AK9" s="694">
        <f t="shared" si="0"/>
        <v>0</v>
      </c>
      <c r="AL9" s="462">
        <v>1</v>
      </c>
      <c r="AM9" s="463"/>
      <c r="AN9" s="463"/>
      <c r="AO9" s="691"/>
      <c r="AP9" s="462"/>
      <c r="AQ9" s="463"/>
      <c r="AR9" s="463"/>
      <c r="AS9" s="691"/>
      <c r="AT9" s="462"/>
      <c r="AU9" s="463">
        <v>0.5</v>
      </c>
      <c r="AV9" s="463">
        <v>0.5</v>
      </c>
      <c r="AW9" s="691"/>
      <c r="AX9" s="462"/>
      <c r="AY9" s="463"/>
      <c r="AZ9" s="463"/>
      <c r="BA9" s="691"/>
      <c r="BB9" s="128">
        <f t="shared" si="1"/>
        <v>1</v>
      </c>
      <c r="BC9" s="273">
        <f t="shared" si="1"/>
        <v>0.5</v>
      </c>
      <c r="BD9" s="273">
        <f t="shared" si="1"/>
        <v>0.5</v>
      </c>
      <c r="BE9" s="273">
        <f t="shared" si="1"/>
        <v>0</v>
      </c>
      <c r="BF9" s="276">
        <f t="shared" si="2"/>
        <v>5</v>
      </c>
      <c r="BG9" s="277">
        <f t="shared" si="2"/>
        <v>2.1</v>
      </c>
      <c r="BH9" s="277">
        <f t="shared" si="2"/>
        <v>2.1</v>
      </c>
      <c r="BI9" s="699">
        <f t="shared" si="2"/>
        <v>0</v>
      </c>
    </row>
    <row r="10" spans="3:61" s="28" customFormat="1" ht="19.5" customHeight="1" thickBot="1">
      <c r="C10" s="32"/>
      <c r="D10" s="31" t="s">
        <v>18</v>
      </c>
      <c r="E10" s="31"/>
      <c r="F10" s="30"/>
      <c r="H10" s="1865" t="s">
        <v>47</v>
      </c>
      <c r="I10" s="1866"/>
      <c r="J10" s="118">
        <f t="shared" ref="J10:BG10" si="3">SUM(J6:J9)</f>
        <v>10</v>
      </c>
      <c r="K10" s="272">
        <f t="shared" si="3"/>
        <v>5.0999999999999996</v>
      </c>
      <c r="L10" s="272">
        <f t="shared" si="3"/>
        <v>5.0999999999999996</v>
      </c>
      <c r="M10" s="272">
        <f t="shared" si="3"/>
        <v>0</v>
      </c>
      <c r="N10" s="118">
        <f t="shared" si="3"/>
        <v>10</v>
      </c>
      <c r="O10" s="272">
        <f t="shared" si="3"/>
        <v>10</v>
      </c>
      <c r="P10" s="272">
        <f t="shared" si="3"/>
        <v>10</v>
      </c>
      <c r="Q10" s="272">
        <f t="shared" si="3"/>
        <v>0</v>
      </c>
      <c r="R10" s="118">
        <f t="shared" si="3"/>
        <v>5</v>
      </c>
      <c r="S10" s="272">
        <f t="shared" si="3"/>
        <v>5</v>
      </c>
      <c r="T10" s="272">
        <f t="shared" si="3"/>
        <v>0</v>
      </c>
      <c r="U10" s="272">
        <f t="shared" si="3"/>
        <v>0</v>
      </c>
      <c r="V10" s="118">
        <f t="shared" si="3"/>
        <v>5</v>
      </c>
      <c r="W10" s="272">
        <f t="shared" si="3"/>
        <v>0</v>
      </c>
      <c r="X10" s="272">
        <f t="shared" si="3"/>
        <v>0</v>
      </c>
      <c r="Y10" s="272">
        <f t="shared" si="3"/>
        <v>0</v>
      </c>
      <c r="Z10" s="118">
        <f t="shared" si="3"/>
        <v>0</v>
      </c>
      <c r="AA10" s="272">
        <f t="shared" si="3"/>
        <v>0</v>
      </c>
      <c r="AB10" s="272">
        <f t="shared" si="3"/>
        <v>0</v>
      </c>
      <c r="AC10" s="272">
        <f t="shared" si="3"/>
        <v>0</v>
      </c>
      <c r="AD10" s="118">
        <f t="shared" si="3"/>
        <v>10</v>
      </c>
      <c r="AE10" s="272">
        <f t="shared" si="3"/>
        <v>20</v>
      </c>
      <c r="AF10" s="272">
        <f t="shared" si="3"/>
        <v>20</v>
      </c>
      <c r="AG10" s="272">
        <f t="shared" si="3"/>
        <v>0</v>
      </c>
      <c r="AH10" s="118">
        <f t="shared" si="3"/>
        <v>40</v>
      </c>
      <c r="AI10" s="272">
        <f t="shared" si="3"/>
        <v>40.1</v>
      </c>
      <c r="AJ10" s="272">
        <f>SUM(AJ6:AJ9)</f>
        <v>35.1</v>
      </c>
      <c r="AK10" s="695">
        <f>SUM(AK6:AK9)</f>
        <v>0</v>
      </c>
      <c r="AL10" s="118">
        <f t="shared" si="3"/>
        <v>15</v>
      </c>
      <c r="AM10" s="272">
        <f t="shared" si="3"/>
        <v>5</v>
      </c>
      <c r="AN10" s="272">
        <f t="shared" si="3"/>
        <v>4</v>
      </c>
      <c r="AO10" s="272">
        <f t="shared" si="3"/>
        <v>0</v>
      </c>
      <c r="AP10" s="118">
        <f t="shared" si="3"/>
        <v>5</v>
      </c>
      <c r="AQ10" s="272">
        <f t="shared" si="3"/>
        <v>3.5</v>
      </c>
      <c r="AR10" s="272">
        <f t="shared" si="3"/>
        <v>3.5</v>
      </c>
      <c r="AS10" s="272">
        <f t="shared" si="3"/>
        <v>0</v>
      </c>
      <c r="AT10" s="118">
        <f t="shared" si="3"/>
        <v>12</v>
      </c>
      <c r="AU10" s="272">
        <f t="shared" si="3"/>
        <v>13.81</v>
      </c>
      <c r="AV10" s="272">
        <f t="shared" si="3"/>
        <v>1</v>
      </c>
      <c r="AW10" s="272">
        <f t="shared" si="3"/>
        <v>0</v>
      </c>
      <c r="AX10" s="118">
        <f t="shared" si="3"/>
        <v>20</v>
      </c>
      <c r="AY10" s="272">
        <f t="shared" si="3"/>
        <v>0</v>
      </c>
      <c r="AZ10" s="272">
        <f t="shared" si="3"/>
        <v>0</v>
      </c>
      <c r="BA10" s="272">
        <f t="shared" si="3"/>
        <v>0</v>
      </c>
      <c r="BB10" s="118">
        <f t="shared" si="3"/>
        <v>52</v>
      </c>
      <c r="BC10" s="272">
        <f t="shared" si="3"/>
        <v>22.310000000000002</v>
      </c>
      <c r="BD10" s="272">
        <f t="shared" si="3"/>
        <v>8.5</v>
      </c>
      <c r="BE10" s="272">
        <f t="shared" si="3"/>
        <v>0</v>
      </c>
      <c r="BF10" s="278">
        <f t="shared" si="3"/>
        <v>92</v>
      </c>
      <c r="BG10" s="279">
        <f t="shared" si="3"/>
        <v>62.410000000000004</v>
      </c>
      <c r="BH10" s="702">
        <f>AJ10+BD10</f>
        <v>43.6</v>
      </c>
      <c r="BI10" s="700">
        <f>AK10+BE10</f>
        <v>0</v>
      </c>
    </row>
    <row r="11" spans="3:61" s="119" customFormat="1" ht="5.25" customHeight="1">
      <c r="D11" s="120"/>
      <c r="E11" s="120"/>
      <c r="F11" s="120"/>
      <c r="H11" s="122"/>
      <c r="I11" s="122"/>
      <c r="J11" s="125"/>
      <c r="K11" s="126"/>
      <c r="L11" s="126"/>
      <c r="M11" s="126"/>
      <c r="N11" s="125"/>
      <c r="O11" s="126"/>
      <c r="P11" s="126"/>
      <c r="Q11" s="126"/>
      <c r="R11" s="125"/>
      <c r="S11" s="126"/>
      <c r="T11" s="126"/>
      <c r="U11" s="126"/>
      <c r="V11" s="125"/>
      <c r="W11" s="126"/>
      <c r="X11" s="126"/>
      <c r="Y11" s="126"/>
      <c r="Z11" s="125"/>
      <c r="AA11" s="126"/>
      <c r="AB11" s="126"/>
      <c r="AC11" s="126"/>
      <c r="AD11" s="125"/>
      <c r="AE11" s="126"/>
      <c r="AF11" s="126"/>
      <c r="AG11" s="126"/>
      <c r="AH11" s="125"/>
      <c r="AI11" s="126"/>
      <c r="AJ11" s="126"/>
      <c r="AK11" s="126"/>
      <c r="AL11" s="125"/>
      <c r="AM11" s="126"/>
      <c r="AN11" s="126"/>
      <c r="AO11" s="126"/>
      <c r="AP11" s="125"/>
      <c r="AQ11" s="126"/>
      <c r="AR11" s="126"/>
      <c r="AS11" s="126"/>
      <c r="AT11" s="125"/>
      <c r="AU11" s="126"/>
      <c r="AV11" s="126"/>
      <c r="AW11" s="126"/>
      <c r="AX11" s="125"/>
      <c r="AY11" s="126"/>
      <c r="AZ11" s="126"/>
      <c r="BA11" s="126"/>
      <c r="BB11" s="125"/>
      <c r="BC11" s="126"/>
      <c r="BD11" s="126"/>
      <c r="BE11" s="126"/>
      <c r="BF11" s="125"/>
      <c r="BG11" s="126"/>
    </row>
    <row r="12" spans="3:61" ht="19.5" thickBot="1">
      <c r="C12" s="946"/>
      <c r="D12" s="944"/>
      <c r="E12" s="944"/>
      <c r="F12" s="948"/>
      <c r="H12" s="1867" t="s">
        <v>114</v>
      </c>
      <c r="I12" s="1868"/>
      <c r="J12" s="1868"/>
      <c r="K12" s="1868"/>
      <c r="L12" s="1868"/>
      <c r="M12" s="1868"/>
      <c r="N12" s="1868"/>
      <c r="O12" s="1868"/>
      <c r="P12" s="1868"/>
      <c r="Q12" s="1868"/>
      <c r="R12" s="1868"/>
      <c r="S12" s="1868"/>
      <c r="T12" s="1868"/>
      <c r="U12" s="1868"/>
      <c r="V12" s="1868"/>
      <c r="W12" s="1868"/>
      <c r="X12" s="1868"/>
      <c r="Y12" s="1868"/>
      <c r="Z12" s="1868"/>
      <c r="AA12" s="1868"/>
      <c r="AB12" s="1868"/>
      <c r="AC12" s="1868"/>
      <c r="AD12" s="1868"/>
      <c r="AE12" s="1868"/>
      <c r="AF12" s="1868"/>
      <c r="AG12" s="1868"/>
      <c r="AH12" s="1868"/>
      <c r="AI12" s="1868"/>
      <c r="AJ12" s="1868"/>
      <c r="AK12" s="1868"/>
      <c r="AL12" s="1868"/>
      <c r="AM12" s="1868"/>
      <c r="AN12" s="1868"/>
      <c r="AO12" s="1868"/>
      <c r="AP12" s="1868"/>
      <c r="AQ12" s="1868"/>
      <c r="AR12" s="1868"/>
      <c r="AS12" s="1868"/>
      <c r="AT12" s="1868"/>
      <c r="AU12" s="1868"/>
      <c r="AV12" s="1868"/>
      <c r="AW12" s="1868"/>
      <c r="AX12" s="1868"/>
      <c r="AY12" s="1868"/>
      <c r="AZ12" s="1868"/>
      <c r="BA12" s="1868"/>
      <c r="BB12" s="1868"/>
      <c r="BC12" s="1868"/>
      <c r="BD12" s="1868"/>
      <c r="BE12" s="1868"/>
      <c r="BF12" s="1868"/>
      <c r="BG12" s="1868"/>
      <c r="BH12" s="1868"/>
      <c r="BI12" s="1868"/>
    </row>
    <row r="13" spans="3:61" ht="18.75" customHeight="1">
      <c r="C13" s="37" t="s">
        <v>44</v>
      </c>
      <c r="D13" s="1869"/>
      <c r="E13" s="1869"/>
      <c r="F13" s="1870"/>
      <c r="H13" s="1895" t="s">
        <v>117</v>
      </c>
      <c r="I13" s="1896"/>
      <c r="J13" s="1890" t="s">
        <v>43</v>
      </c>
      <c r="K13" s="1891"/>
      <c r="L13" s="1891"/>
      <c r="M13" s="1892"/>
      <c r="N13" s="1890" t="s">
        <v>42</v>
      </c>
      <c r="O13" s="1891"/>
      <c r="P13" s="1891"/>
      <c r="Q13" s="1892"/>
      <c r="R13" s="1890" t="s">
        <v>41</v>
      </c>
      <c r="S13" s="1891"/>
      <c r="T13" s="1891"/>
      <c r="U13" s="1892"/>
      <c r="V13" s="1890" t="s">
        <v>40</v>
      </c>
      <c r="W13" s="1891"/>
      <c r="X13" s="1891"/>
      <c r="Y13" s="1892"/>
      <c r="Z13" s="1890" t="s">
        <v>39</v>
      </c>
      <c r="AA13" s="1891"/>
      <c r="AB13" s="1891"/>
      <c r="AC13" s="1892"/>
      <c r="AD13" s="1890" t="s">
        <v>38</v>
      </c>
      <c r="AE13" s="1891"/>
      <c r="AF13" s="1891"/>
      <c r="AG13" s="1892"/>
      <c r="AH13" s="1882" t="s">
        <v>122</v>
      </c>
      <c r="AI13" s="1883"/>
      <c r="AJ13" s="1883"/>
      <c r="AK13" s="1884"/>
      <c r="AL13" s="1890" t="s">
        <v>37</v>
      </c>
      <c r="AM13" s="1891"/>
      <c r="AN13" s="1891"/>
      <c r="AO13" s="1892"/>
      <c r="AP13" s="1890" t="s">
        <v>36</v>
      </c>
      <c r="AQ13" s="1891"/>
      <c r="AR13" s="1891"/>
      <c r="AS13" s="1892"/>
      <c r="AT13" s="1890" t="s">
        <v>35</v>
      </c>
      <c r="AU13" s="1891"/>
      <c r="AV13" s="1891"/>
      <c r="AW13" s="1892"/>
      <c r="AX13" s="1890" t="s">
        <v>34</v>
      </c>
      <c r="AY13" s="1891"/>
      <c r="AZ13" s="1891"/>
      <c r="BA13" s="1892"/>
      <c r="BB13" s="1882" t="s">
        <v>123</v>
      </c>
      <c r="BC13" s="1883"/>
      <c r="BD13" s="1883"/>
      <c r="BE13" s="1884"/>
      <c r="BF13" s="1880" t="s">
        <v>17</v>
      </c>
      <c r="BG13" s="1881"/>
      <c r="BH13" s="1881"/>
      <c r="BI13" s="1881"/>
    </row>
    <row r="14" spans="3:61" ht="27" customHeight="1">
      <c r="C14" s="1879" t="s">
        <v>33</v>
      </c>
      <c r="D14" s="1869"/>
      <c r="E14" s="944" t="s">
        <v>1</v>
      </c>
      <c r="F14" s="948" t="s">
        <v>2</v>
      </c>
      <c r="H14" s="1897"/>
      <c r="I14" s="1898"/>
      <c r="J14" s="36" t="s">
        <v>1</v>
      </c>
      <c r="K14" s="271" t="s">
        <v>2</v>
      </c>
      <c r="L14" s="271" t="s">
        <v>182</v>
      </c>
      <c r="M14" s="35" t="s">
        <v>247</v>
      </c>
      <c r="N14" s="36" t="s">
        <v>1</v>
      </c>
      <c r="O14" s="271" t="s">
        <v>2</v>
      </c>
      <c r="P14" s="271" t="s">
        <v>182</v>
      </c>
      <c r="Q14" s="35" t="s">
        <v>247</v>
      </c>
      <c r="R14" s="36" t="s">
        <v>1</v>
      </c>
      <c r="S14" s="271" t="s">
        <v>2</v>
      </c>
      <c r="T14" s="271" t="s">
        <v>182</v>
      </c>
      <c r="U14" s="35" t="s">
        <v>247</v>
      </c>
      <c r="V14" s="36" t="s">
        <v>1</v>
      </c>
      <c r="W14" s="271" t="s">
        <v>2</v>
      </c>
      <c r="X14" s="271" t="s">
        <v>182</v>
      </c>
      <c r="Y14" s="35" t="s">
        <v>247</v>
      </c>
      <c r="Z14" s="36" t="s">
        <v>1</v>
      </c>
      <c r="AA14" s="271" t="s">
        <v>2</v>
      </c>
      <c r="AB14" s="271" t="s">
        <v>182</v>
      </c>
      <c r="AC14" s="35" t="s">
        <v>247</v>
      </c>
      <c r="AD14" s="36" t="s">
        <v>1</v>
      </c>
      <c r="AE14" s="271" t="s">
        <v>2</v>
      </c>
      <c r="AF14" s="271" t="s">
        <v>182</v>
      </c>
      <c r="AG14" s="35" t="s">
        <v>247</v>
      </c>
      <c r="AH14" s="36" t="s">
        <v>1</v>
      </c>
      <c r="AI14" s="271" t="s">
        <v>2</v>
      </c>
      <c r="AJ14" s="271" t="s">
        <v>182</v>
      </c>
      <c r="AK14" s="690" t="s">
        <v>196</v>
      </c>
      <c r="AL14" s="36" t="s">
        <v>1</v>
      </c>
      <c r="AM14" s="271" t="s">
        <v>2</v>
      </c>
      <c r="AN14" s="271" t="s">
        <v>182</v>
      </c>
      <c r="AO14" s="35" t="s">
        <v>247</v>
      </c>
      <c r="AP14" s="36" t="s">
        <v>1</v>
      </c>
      <c r="AQ14" s="271" t="s">
        <v>2</v>
      </c>
      <c r="AR14" s="271" t="s">
        <v>182</v>
      </c>
      <c r="AS14" s="35" t="s">
        <v>247</v>
      </c>
      <c r="AT14" s="36" t="s">
        <v>1</v>
      </c>
      <c r="AU14" s="271" t="s">
        <v>2</v>
      </c>
      <c r="AV14" s="271" t="s">
        <v>182</v>
      </c>
      <c r="AW14" s="35" t="s">
        <v>247</v>
      </c>
      <c r="AX14" s="36" t="s">
        <v>1</v>
      </c>
      <c r="AY14" s="271" t="s">
        <v>2</v>
      </c>
      <c r="AZ14" s="271" t="s">
        <v>182</v>
      </c>
      <c r="BA14" s="35" t="s">
        <v>247</v>
      </c>
      <c r="BB14" s="36" t="s">
        <v>1</v>
      </c>
      <c r="BC14" s="271" t="s">
        <v>2</v>
      </c>
      <c r="BD14" s="271" t="s">
        <v>182</v>
      </c>
      <c r="BE14" s="690" t="s">
        <v>196</v>
      </c>
      <c r="BF14" s="274" t="s">
        <v>1</v>
      </c>
      <c r="BG14" s="275" t="s">
        <v>2</v>
      </c>
      <c r="BH14" s="275" t="s">
        <v>182</v>
      </c>
      <c r="BI14" s="703" t="s">
        <v>196</v>
      </c>
    </row>
    <row r="15" spans="3:61" s="28" customFormat="1" ht="20.100000000000001" customHeight="1">
      <c r="C15" s="1879" t="s">
        <v>28</v>
      </c>
      <c r="D15" s="944" t="s">
        <v>27</v>
      </c>
      <c r="E15" s="949"/>
      <c r="F15" s="34"/>
      <c r="H15" s="1888" t="s">
        <v>112</v>
      </c>
      <c r="I15" s="33" t="s">
        <v>27</v>
      </c>
      <c r="J15" s="462"/>
      <c r="K15" s="463"/>
      <c r="L15" s="463"/>
      <c r="M15" s="692"/>
      <c r="N15" s="462"/>
      <c r="O15" s="463"/>
      <c r="P15" s="463"/>
      <c r="Q15" s="692"/>
      <c r="R15" s="462"/>
      <c r="S15" s="463"/>
      <c r="T15" s="463"/>
      <c r="U15" s="692"/>
      <c r="V15" s="462"/>
      <c r="W15" s="463"/>
      <c r="X15" s="463"/>
      <c r="Y15" s="692"/>
      <c r="Z15" s="462"/>
      <c r="AA15" s="463"/>
      <c r="AB15" s="463"/>
      <c r="AC15" s="692"/>
      <c r="AD15" s="462"/>
      <c r="AE15" s="463"/>
      <c r="AF15" s="463"/>
      <c r="AG15" s="692"/>
      <c r="AH15" s="128">
        <f>J15+N15+R15+V15+Z15+AD15</f>
        <v>0</v>
      </c>
      <c r="AI15" s="273">
        <f>K15+O15+S15+W15+AA15+AE15</f>
        <v>0</v>
      </c>
      <c r="AJ15" s="273">
        <f>L15+P15+T15+X15+AB15+AF15</f>
        <v>0</v>
      </c>
      <c r="AK15" s="694">
        <f>M15+Q15+U15+Y15+AC15+AG15</f>
        <v>0</v>
      </c>
      <c r="AL15" s="462"/>
      <c r="AM15" s="463"/>
      <c r="AN15" s="463"/>
      <c r="AO15" s="692"/>
      <c r="AP15" s="462"/>
      <c r="AQ15" s="463"/>
      <c r="AR15" s="463"/>
      <c r="AS15" s="692"/>
      <c r="AT15" s="462"/>
      <c r="AU15" s="463"/>
      <c r="AV15" s="463"/>
      <c r="AW15" s="692"/>
      <c r="AX15" s="462"/>
      <c r="AY15" s="463"/>
      <c r="AZ15" s="463"/>
      <c r="BA15" s="692"/>
      <c r="BB15" s="128">
        <f>AL15+AP15+AT15+AX15</f>
        <v>0</v>
      </c>
      <c r="BC15" s="273">
        <f>AM15+AQ15+AU15+AY15</f>
        <v>0</v>
      </c>
      <c r="BD15" s="273">
        <f>AN15+AR15+AV15+AZ15</f>
        <v>0</v>
      </c>
      <c r="BE15" s="273">
        <f>AO15+AS15+AW15+BA15</f>
        <v>0</v>
      </c>
      <c r="BF15" s="276">
        <f t="shared" ref="BF15:BI23" si="4">AH15+BB15</f>
        <v>0</v>
      </c>
      <c r="BG15" s="277">
        <f t="shared" si="4"/>
        <v>0</v>
      </c>
      <c r="BH15" s="277">
        <f t="shared" si="4"/>
        <v>0</v>
      </c>
      <c r="BI15" s="704">
        <f t="shared" si="4"/>
        <v>0</v>
      </c>
    </row>
    <row r="16" spans="3:61" s="28" customFormat="1" ht="20.100000000000001" customHeight="1">
      <c r="C16" s="1879"/>
      <c r="D16" s="944" t="s">
        <v>26</v>
      </c>
      <c r="E16" s="944"/>
      <c r="F16" s="945"/>
      <c r="H16" s="1889"/>
      <c r="I16" s="33" t="s">
        <v>26</v>
      </c>
      <c r="J16" s="462"/>
      <c r="K16" s="463"/>
      <c r="L16" s="463"/>
      <c r="M16" s="692"/>
      <c r="N16" s="462">
        <v>5</v>
      </c>
      <c r="O16" s="463"/>
      <c r="P16" s="463"/>
      <c r="Q16" s="692"/>
      <c r="R16" s="462"/>
      <c r="S16" s="463"/>
      <c r="T16" s="463"/>
      <c r="U16" s="692"/>
      <c r="V16" s="462"/>
      <c r="W16" s="463"/>
      <c r="X16" s="463"/>
      <c r="Y16" s="692"/>
      <c r="Z16" s="462"/>
      <c r="AA16" s="463"/>
      <c r="AB16" s="463"/>
      <c r="AC16" s="692"/>
      <c r="AD16" s="462"/>
      <c r="AE16" s="463"/>
      <c r="AF16" s="463"/>
      <c r="AG16" s="692"/>
      <c r="AH16" s="128">
        <f t="shared" ref="AH16:AK23" si="5">J16+N16+R16+V16+Z16+AD16</f>
        <v>5</v>
      </c>
      <c r="AI16" s="273">
        <f t="shared" si="5"/>
        <v>0</v>
      </c>
      <c r="AJ16" s="273">
        <f t="shared" si="5"/>
        <v>0</v>
      </c>
      <c r="AK16" s="694">
        <f t="shared" si="5"/>
        <v>0</v>
      </c>
      <c r="AL16" s="462"/>
      <c r="AM16" s="463"/>
      <c r="AN16" s="463"/>
      <c r="AO16" s="692"/>
      <c r="AP16" s="462"/>
      <c r="AQ16" s="463"/>
      <c r="AR16" s="463"/>
      <c r="AS16" s="692"/>
      <c r="AT16" s="462"/>
      <c r="AU16" s="463"/>
      <c r="AV16" s="463"/>
      <c r="AW16" s="692"/>
      <c r="AX16" s="462"/>
      <c r="AY16" s="463"/>
      <c r="AZ16" s="463"/>
      <c r="BA16" s="692"/>
      <c r="BB16" s="128">
        <f t="shared" ref="BB16:BE23" si="6">AL16+AP16+AT16+AX16</f>
        <v>0</v>
      </c>
      <c r="BC16" s="273">
        <f t="shared" si="6"/>
        <v>0</v>
      </c>
      <c r="BD16" s="273">
        <f t="shared" si="6"/>
        <v>0</v>
      </c>
      <c r="BE16" s="273">
        <f t="shared" si="6"/>
        <v>0</v>
      </c>
      <c r="BF16" s="276">
        <f t="shared" si="4"/>
        <v>5</v>
      </c>
      <c r="BG16" s="277">
        <f t="shared" si="4"/>
        <v>0</v>
      </c>
      <c r="BH16" s="277">
        <f t="shared" si="4"/>
        <v>0</v>
      </c>
      <c r="BI16" s="704">
        <f t="shared" si="4"/>
        <v>0</v>
      </c>
    </row>
    <row r="17" spans="3:61" s="28" customFormat="1" ht="23.25" customHeight="1">
      <c r="C17" s="1879"/>
      <c r="D17" s="944" t="s">
        <v>25</v>
      </c>
      <c r="E17" s="944"/>
      <c r="F17" s="945"/>
      <c r="H17" s="1889"/>
      <c r="I17" s="33" t="s">
        <v>25</v>
      </c>
      <c r="J17" s="462"/>
      <c r="K17" s="463"/>
      <c r="L17" s="463"/>
      <c r="M17" s="692"/>
      <c r="N17" s="462"/>
      <c r="O17" s="463"/>
      <c r="P17" s="463"/>
      <c r="Q17" s="692"/>
      <c r="R17" s="462"/>
      <c r="S17" s="463"/>
      <c r="T17" s="463"/>
      <c r="U17" s="692"/>
      <c r="V17" s="462"/>
      <c r="W17" s="463"/>
      <c r="X17" s="463"/>
      <c r="Y17" s="692"/>
      <c r="Z17" s="462"/>
      <c r="AA17" s="463"/>
      <c r="AB17" s="463"/>
      <c r="AC17" s="692"/>
      <c r="AD17" s="462"/>
      <c r="AE17" s="463"/>
      <c r="AF17" s="463"/>
      <c r="AG17" s="692"/>
      <c r="AH17" s="128">
        <f t="shared" si="5"/>
        <v>0</v>
      </c>
      <c r="AI17" s="273">
        <f t="shared" si="5"/>
        <v>0</v>
      </c>
      <c r="AJ17" s="273">
        <f t="shared" si="5"/>
        <v>0</v>
      </c>
      <c r="AK17" s="694">
        <f t="shared" si="5"/>
        <v>0</v>
      </c>
      <c r="AL17" s="462"/>
      <c r="AM17" s="463"/>
      <c r="AN17" s="463"/>
      <c r="AO17" s="692"/>
      <c r="AP17" s="462"/>
      <c r="AQ17" s="463"/>
      <c r="AR17" s="463"/>
      <c r="AS17" s="692"/>
      <c r="AT17" s="462"/>
      <c r="AU17" s="463"/>
      <c r="AV17" s="463"/>
      <c r="AW17" s="692"/>
      <c r="AX17" s="462"/>
      <c r="AY17" s="463"/>
      <c r="AZ17" s="463"/>
      <c r="BA17" s="692"/>
      <c r="BB17" s="128">
        <f t="shared" si="6"/>
        <v>0</v>
      </c>
      <c r="BC17" s="273">
        <f t="shared" si="6"/>
        <v>0</v>
      </c>
      <c r="BD17" s="273">
        <f t="shared" si="6"/>
        <v>0</v>
      </c>
      <c r="BE17" s="273">
        <f t="shared" si="6"/>
        <v>0</v>
      </c>
      <c r="BF17" s="276">
        <f t="shared" si="4"/>
        <v>0</v>
      </c>
      <c r="BG17" s="277">
        <f t="shared" si="4"/>
        <v>0</v>
      </c>
      <c r="BH17" s="277">
        <f t="shared" si="4"/>
        <v>0</v>
      </c>
      <c r="BI17" s="704">
        <f t="shared" si="4"/>
        <v>0</v>
      </c>
    </row>
    <row r="18" spans="3:61" s="28" customFormat="1" ht="21">
      <c r="C18" s="1879"/>
      <c r="D18" s="944" t="s">
        <v>24</v>
      </c>
      <c r="E18" s="944"/>
      <c r="F18" s="945"/>
      <c r="H18" s="1889"/>
      <c r="I18" s="33" t="s">
        <v>24</v>
      </c>
      <c r="J18" s="462"/>
      <c r="K18" s="463"/>
      <c r="L18" s="463"/>
      <c r="M18" s="692"/>
      <c r="N18" s="462"/>
      <c r="O18" s="463"/>
      <c r="P18" s="463"/>
      <c r="Q18" s="692"/>
      <c r="R18" s="462"/>
      <c r="S18" s="463"/>
      <c r="T18" s="463"/>
      <c r="U18" s="692"/>
      <c r="V18" s="462"/>
      <c r="W18" s="463"/>
      <c r="X18" s="463"/>
      <c r="Y18" s="692"/>
      <c r="Z18" s="462"/>
      <c r="AA18" s="463"/>
      <c r="AB18" s="463"/>
      <c r="AC18" s="692"/>
      <c r="AD18" s="462"/>
      <c r="AE18" s="463"/>
      <c r="AF18" s="463"/>
      <c r="AG18" s="692"/>
      <c r="AH18" s="128">
        <f t="shared" si="5"/>
        <v>0</v>
      </c>
      <c r="AI18" s="273">
        <f t="shared" si="5"/>
        <v>0</v>
      </c>
      <c r="AJ18" s="273">
        <f t="shared" si="5"/>
        <v>0</v>
      </c>
      <c r="AK18" s="694">
        <f t="shared" si="5"/>
        <v>0</v>
      </c>
      <c r="AL18" s="462"/>
      <c r="AM18" s="463"/>
      <c r="AN18" s="463"/>
      <c r="AO18" s="692"/>
      <c r="AP18" s="462"/>
      <c r="AQ18" s="463"/>
      <c r="AR18" s="463"/>
      <c r="AS18" s="692"/>
      <c r="AT18" s="462"/>
      <c r="AU18" s="463"/>
      <c r="AV18" s="463"/>
      <c r="AW18" s="692"/>
      <c r="AX18" s="462"/>
      <c r="AY18" s="463"/>
      <c r="AZ18" s="463"/>
      <c r="BA18" s="692"/>
      <c r="BB18" s="128">
        <f t="shared" si="6"/>
        <v>0</v>
      </c>
      <c r="BC18" s="273">
        <f t="shared" si="6"/>
        <v>0</v>
      </c>
      <c r="BD18" s="273">
        <f t="shared" si="6"/>
        <v>0</v>
      </c>
      <c r="BE18" s="273">
        <f t="shared" si="6"/>
        <v>0</v>
      </c>
      <c r="BF18" s="276">
        <f t="shared" si="4"/>
        <v>0</v>
      </c>
      <c r="BG18" s="277">
        <f t="shared" si="4"/>
        <v>0</v>
      </c>
      <c r="BH18" s="277">
        <f t="shared" si="4"/>
        <v>0</v>
      </c>
      <c r="BI18" s="704">
        <f t="shared" si="4"/>
        <v>0</v>
      </c>
    </row>
    <row r="19" spans="3:61" s="28" customFormat="1" ht="19.5" customHeight="1">
      <c r="C19" s="1879"/>
      <c r="D19" s="944" t="s">
        <v>23</v>
      </c>
      <c r="E19" s="944"/>
      <c r="F19" s="945"/>
      <c r="H19" s="1889"/>
      <c r="I19" s="33" t="s">
        <v>23</v>
      </c>
      <c r="J19" s="462"/>
      <c r="K19" s="463"/>
      <c r="L19" s="463"/>
      <c r="M19" s="692"/>
      <c r="N19" s="462"/>
      <c r="O19" s="463"/>
      <c r="P19" s="463"/>
      <c r="Q19" s="692"/>
      <c r="R19" s="462"/>
      <c r="S19" s="463"/>
      <c r="T19" s="463"/>
      <c r="U19" s="692"/>
      <c r="V19" s="462"/>
      <c r="W19" s="463"/>
      <c r="X19" s="463"/>
      <c r="Y19" s="692"/>
      <c r="Z19" s="462"/>
      <c r="AA19" s="463"/>
      <c r="AB19" s="463"/>
      <c r="AC19" s="692"/>
      <c r="AD19" s="462"/>
      <c r="AE19" s="463"/>
      <c r="AF19" s="463"/>
      <c r="AG19" s="692"/>
      <c r="AH19" s="128">
        <f t="shared" si="5"/>
        <v>0</v>
      </c>
      <c r="AI19" s="273">
        <f t="shared" si="5"/>
        <v>0</v>
      </c>
      <c r="AJ19" s="273">
        <f t="shared" si="5"/>
        <v>0</v>
      </c>
      <c r="AK19" s="694">
        <f t="shared" si="5"/>
        <v>0</v>
      </c>
      <c r="AL19" s="462"/>
      <c r="AM19" s="463"/>
      <c r="AN19" s="463"/>
      <c r="AO19" s="692"/>
      <c r="AP19" s="462"/>
      <c r="AQ19" s="463"/>
      <c r="AR19" s="463"/>
      <c r="AS19" s="692"/>
      <c r="AT19" s="462"/>
      <c r="AU19" s="463"/>
      <c r="AV19" s="463"/>
      <c r="AW19" s="692"/>
      <c r="AX19" s="462"/>
      <c r="AY19" s="463"/>
      <c r="AZ19" s="463"/>
      <c r="BA19" s="692"/>
      <c r="BB19" s="128">
        <f t="shared" si="6"/>
        <v>0</v>
      </c>
      <c r="BC19" s="273">
        <f t="shared" si="6"/>
        <v>0</v>
      </c>
      <c r="BD19" s="273">
        <f t="shared" si="6"/>
        <v>0</v>
      </c>
      <c r="BE19" s="273">
        <f t="shared" si="6"/>
        <v>0</v>
      </c>
      <c r="BF19" s="276">
        <f t="shared" si="4"/>
        <v>0</v>
      </c>
      <c r="BG19" s="277">
        <f t="shared" si="4"/>
        <v>0</v>
      </c>
      <c r="BH19" s="277">
        <f t="shared" si="4"/>
        <v>0</v>
      </c>
      <c r="BI19" s="704">
        <f t="shared" si="4"/>
        <v>0</v>
      </c>
    </row>
    <row r="20" spans="3:61" s="28" customFormat="1" ht="20.100000000000001" customHeight="1">
      <c r="C20" s="1879"/>
      <c r="D20" s="944" t="s">
        <v>22</v>
      </c>
      <c r="E20" s="944"/>
      <c r="F20" s="945"/>
      <c r="H20" s="1889"/>
      <c r="I20" s="33" t="s">
        <v>22</v>
      </c>
      <c r="J20" s="462"/>
      <c r="K20" s="463"/>
      <c r="L20" s="463"/>
      <c r="M20" s="692"/>
      <c r="N20" s="462"/>
      <c r="O20" s="463"/>
      <c r="P20" s="463"/>
      <c r="Q20" s="692"/>
      <c r="R20" s="462"/>
      <c r="S20" s="463"/>
      <c r="T20" s="463"/>
      <c r="U20" s="692"/>
      <c r="V20" s="462"/>
      <c r="W20" s="463"/>
      <c r="X20" s="463"/>
      <c r="Y20" s="692"/>
      <c r="Z20" s="462"/>
      <c r="AA20" s="463"/>
      <c r="AB20" s="463"/>
      <c r="AC20" s="692"/>
      <c r="AD20" s="462"/>
      <c r="AE20" s="463"/>
      <c r="AF20" s="463"/>
      <c r="AG20" s="692"/>
      <c r="AH20" s="128">
        <f t="shared" si="5"/>
        <v>0</v>
      </c>
      <c r="AI20" s="273">
        <f t="shared" si="5"/>
        <v>0</v>
      </c>
      <c r="AJ20" s="273">
        <f t="shared" si="5"/>
        <v>0</v>
      </c>
      <c r="AK20" s="694">
        <f t="shared" si="5"/>
        <v>0</v>
      </c>
      <c r="AL20" s="462">
        <v>6.85</v>
      </c>
      <c r="AM20" s="463">
        <v>6.85</v>
      </c>
      <c r="AN20" s="463"/>
      <c r="AO20" s="692"/>
      <c r="AP20" s="462"/>
      <c r="AQ20" s="463"/>
      <c r="AR20" s="463"/>
      <c r="AS20" s="692"/>
      <c r="AT20" s="462"/>
      <c r="AU20" s="463"/>
      <c r="AV20" s="463"/>
      <c r="AW20" s="692">
        <v>19.850000000000001</v>
      </c>
      <c r="AX20" s="462"/>
      <c r="AY20" s="463"/>
      <c r="AZ20" s="463"/>
      <c r="BA20" s="692"/>
      <c r="BB20" s="128">
        <f t="shared" si="6"/>
        <v>6.85</v>
      </c>
      <c r="BC20" s="273">
        <f t="shared" si="6"/>
        <v>6.85</v>
      </c>
      <c r="BD20" s="273">
        <f t="shared" si="6"/>
        <v>0</v>
      </c>
      <c r="BE20" s="273">
        <f t="shared" si="6"/>
        <v>19.850000000000001</v>
      </c>
      <c r="BF20" s="276">
        <f t="shared" si="4"/>
        <v>6.85</v>
      </c>
      <c r="BG20" s="277">
        <f t="shared" si="4"/>
        <v>6.85</v>
      </c>
      <c r="BH20" s="277">
        <f t="shared" si="4"/>
        <v>0</v>
      </c>
      <c r="BI20" s="704">
        <f t="shared" si="4"/>
        <v>19.850000000000001</v>
      </c>
    </row>
    <row r="21" spans="3:61" s="28" customFormat="1" ht="20.100000000000001" customHeight="1">
      <c r="C21" s="1885"/>
      <c r="D21" s="944"/>
      <c r="E21" s="944"/>
      <c r="F21" s="945"/>
      <c r="H21" s="1889"/>
      <c r="I21" s="33" t="s">
        <v>21</v>
      </c>
      <c r="J21" s="462"/>
      <c r="K21" s="463"/>
      <c r="L21" s="463"/>
      <c r="M21" s="692"/>
      <c r="N21" s="462"/>
      <c r="O21" s="463"/>
      <c r="P21" s="463"/>
      <c r="Q21" s="692"/>
      <c r="R21" s="462"/>
      <c r="S21" s="463"/>
      <c r="T21" s="463"/>
      <c r="U21" s="692"/>
      <c r="V21" s="462"/>
      <c r="W21" s="463"/>
      <c r="X21" s="463"/>
      <c r="Y21" s="692"/>
      <c r="Z21" s="462"/>
      <c r="AA21" s="463"/>
      <c r="AB21" s="463"/>
      <c r="AC21" s="692"/>
      <c r="AD21" s="462"/>
      <c r="AE21" s="463"/>
      <c r="AF21" s="463"/>
      <c r="AG21" s="692"/>
      <c r="AH21" s="128">
        <f t="shared" si="5"/>
        <v>0</v>
      </c>
      <c r="AI21" s="273">
        <f t="shared" si="5"/>
        <v>0</v>
      </c>
      <c r="AJ21" s="273">
        <f t="shared" si="5"/>
        <v>0</v>
      </c>
      <c r="AK21" s="694">
        <f t="shared" si="5"/>
        <v>0</v>
      </c>
      <c r="AL21" s="462"/>
      <c r="AM21" s="463"/>
      <c r="AN21" s="463"/>
      <c r="AO21" s="692"/>
      <c r="AP21" s="462"/>
      <c r="AQ21" s="463"/>
      <c r="AR21" s="463"/>
      <c r="AS21" s="692"/>
      <c r="AT21" s="462"/>
      <c r="AU21" s="463"/>
      <c r="AV21" s="463"/>
      <c r="AW21" s="692"/>
      <c r="AX21" s="462"/>
      <c r="AY21" s="463"/>
      <c r="AZ21" s="463"/>
      <c r="BA21" s="692"/>
      <c r="BB21" s="128">
        <f t="shared" si="6"/>
        <v>0</v>
      </c>
      <c r="BC21" s="273">
        <f t="shared" si="6"/>
        <v>0</v>
      </c>
      <c r="BD21" s="273">
        <f t="shared" si="6"/>
        <v>0</v>
      </c>
      <c r="BE21" s="273">
        <f t="shared" si="6"/>
        <v>0</v>
      </c>
      <c r="BF21" s="276">
        <f t="shared" si="4"/>
        <v>0</v>
      </c>
      <c r="BG21" s="277">
        <f t="shared" si="4"/>
        <v>0</v>
      </c>
      <c r="BH21" s="277">
        <f t="shared" si="4"/>
        <v>0</v>
      </c>
      <c r="BI21" s="704">
        <f t="shared" si="4"/>
        <v>0</v>
      </c>
    </row>
    <row r="22" spans="3:61" s="28" customFormat="1" ht="20.100000000000001" customHeight="1">
      <c r="C22" s="1885"/>
      <c r="D22" s="944"/>
      <c r="E22" s="944"/>
      <c r="F22" s="945"/>
      <c r="H22" s="1889"/>
      <c r="I22" s="33" t="s">
        <v>20</v>
      </c>
      <c r="J22" s="462"/>
      <c r="K22" s="463"/>
      <c r="L22" s="463"/>
      <c r="M22" s="692"/>
      <c r="N22" s="462"/>
      <c r="O22" s="463"/>
      <c r="P22" s="463"/>
      <c r="Q22" s="692"/>
      <c r="R22" s="462"/>
      <c r="S22" s="463"/>
      <c r="T22" s="463"/>
      <c r="U22" s="692"/>
      <c r="V22" s="462"/>
      <c r="W22" s="463"/>
      <c r="X22" s="463"/>
      <c r="Y22" s="692"/>
      <c r="Z22" s="462"/>
      <c r="AA22" s="463"/>
      <c r="AB22" s="463"/>
      <c r="AC22" s="692"/>
      <c r="AD22" s="462"/>
      <c r="AE22" s="463"/>
      <c r="AF22" s="463"/>
      <c r="AG22" s="692"/>
      <c r="AH22" s="128">
        <f t="shared" si="5"/>
        <v>0</v>
      </c>
      <c r="AI22" s="273">
        <f t="shared" si="5"/>
        <v>0</v>
      </c>
      <c r="AJ22" s="273">
        <f t="shared" si="5"/>
        <v>0</v>
      </c>
      <c r="AK22" s="694">
        <f t="shared" si="5"/>
        <v>0</v>
      </c>
      <c r="AL22" s="462"/>
      <c r="AM22" s="463"/>
      <c r="AN22" s="463"/>
      <c r="AO22" s="692"/>
      <c r="AP22" s="462"/>
      <c r="AQ22" s="463"/>
      <c r="AR22" s="463"/>
      <c r="AS22" s="692"/>
      <c r="AT22" s="462"/>
      <c r="AU22" s="463"/>
      <c r="AV22" s="463"/>
      <c r="AW22" s="692"/>
      <c r="AX22" s="462"/>
      <c r="AY22" s="463"/>
      <c r="AZ22" s="463"/>
      <c r="BA22" s="692"/>
      <c r="BB22" s="128">
        <f t="shared" si="6"/>
        <v>0</v>
      </c>
      <c r="BC22" s="273">
        <f t="shared" si="6"/>
        <v>0</v>
      </c>
      <c r="BD22" s="273">
        <f t="shared" si="6"/>
        <v>0</v>
      </c>
      <c r="BE22" s="273">
        <f t="shared" si="6"/>
        <v>0</v>
      </c>
      <c r="BF22" s="276">
        <f t="shared" si="4"/>
        <v>0</v>
      </c>
      <c r="BG22" s="277">
        <f t="shared" si="4"/>
        <v>0</v>
      </c>
      <c r="BH22" s="277">
        <f t="shared" si="4"/>
        <v>0</v>
      </c>
      <c r="BI22" s="704">
        <f t="shared" si="4"/>
        <v>0</v>
      </c>
    </row>
    <row r="23" spans="3:61" s="28" customFormat="1" ht="20.100000000000001" customHeight="1">
      <c r="C23" s="1885"/>
      <c r="D23" s="944"/>
      <c r="E23" s="944"/>
      <c r="F23" s="945"/>
      <c r="H23" s="1889"/>
      <c r="I23" s="33" t="s">
        <v>19</v>
      </c>
      <c r="J23" s="462"/>
      <c r="K23" s="463"/>
      <c r="L23" s="463"/>
      <c r="M23" s="692"/>
      <c r="N23" s="462"/>
      <c r="O23" s="463"/>
      <c r="P23" s="463"/>
      <c r="Q23" s="692"/>
      <c r="R23" s="462"/>
      <c r="S23" s="463"/>
      <c r="T23" s="463"/>
      <c r="U23" s="692"/>
      <c r="V23" s="462"/>
      <c r="W23" s="463"/>
      <c r="X23" s="463"/>
      <c r="Y23" s="692"/>
      <c r="Z23" s="462"/>
      <c r="AA23" s="463"/>
      <c r="AB23" s="463"/>
      <c r="AC23" s="692"/>
      <c r="AD23" s="462"/>
      <c r="AE23" s="463"/>
      <c r="AF23" s="463"/>
      <c r="AG23" s="692"/>
      <c r="AH23" s="128">
        <f t="shared" si="5"/>
        <v>0</v>
      </c>
      <c r="AI23" s="273">
        <f t="shared" si="5"/>
        <v>0</v>
      </c>
      <c r="AJ23" s="273">
        <f t="shared" si="5"/>
        <v>0</v>
      </c>
      <c r="AK23" s="694">
        <f t="shared" si="5"/>
        <v>0</v>
      </c>
      <c r="AL23" s="462"/>
      <c r="AM23" s="463"/>
      <c r="AN23" s="463"/>
      <c r="AO23" s="692"/>
      <c r="AP23" s="462"/>
      <c r="AQ23" s="463"/>
      <c r="AR23" s="463"/>
      <c r="AS23" s="692"/>
      <c r="AT23" s="462"/>
      <c r="AU23" s="463"/>
      <c r="AV23" s="463"/>
      <c r="AW23" s="692"/>
      <c r="AX23" s="462"/>
      <c r="AY23" s="463"/>
      <c r="AZ23" s="463"/>
      <c r="BA23" s="692"/>
      <c r="BB23" s="128">
        <f t="shared" si="6"/>
        <v>0</v>
      </c>
      <c r="BC23" s="273">
        <f t="shared" si="6"/>
        <v>0</v>
      </c>
      <c r="BD23" s="273">
        <f t="shared" si="6"/>
        <v>0</v>
      </c>
      <c r="BE23" s="273">
        <f t="shared" si="6"/>
        <v>0</v>
      </c>
      <c r="BF23" s="276">
        <f t="shared" si="4"/>
        <v>0</v>
      </c>
      <c r="BG23" s="277">
        <f t="shared" si="4"/>
        <v>0</v>
      </c>
      <c r="BH23" s="277">
        <f t="shared" si="4"/>
        <v>0</v>
      </c>
      <c r="BI23" s="704">
        <f t="shared" si="4"/>
        <v>0</v>
      </c>
    </row>
    <row r="24" spans="3:61" s="28" customFormat="1" ht="20.100000000000001" customHeight="1" thickBot="1">
      <c r="C24" s="1885"/>
      <c r="D24" s="944"/>
      <c r="E24" s="944"/>
      <c r="F24" s="945"/>
      <c r="H24" s="1865" t="s">
        <v>116</v>
      </c>
      <c r="I24" s="1866"/>
      <c r="J24" s="118">
        <f t="shared" ref="J24:BI24" si="7">SUM(J15:J23)</f>
        <v>0</v>
      </c>
      <c r="K24" s="272">
        <f t="shared" si="7"/>
        <v>0</v>
      </c>
      <c r="L24" s="272">
        <f>SUM(L15:L23)</f>
        <v>0</v>
      </c>
      <c r="M24" s="272">
        <f>SUM(M15:M23)</f>
        <v>0</v>
      </c>
      <c r="N24" s="118">
        <f t="shared" ref="N24:AI24" si="8">SUM(N15:N23)</f>
        <v>5</v>
      </c>
      <c r="O24" s="272">
        <f t="shared" si="8"/>
        <v>0</v>
      </c>
      <c r="P24" s="272">
        <f t="shared" si="8"/>
        <v>0</v>
      </c>
      <c r="Q24" s="272">
        <f t="shared" si="8"/>
        <v>0</v>
      </c>
      <c r="R24" s="118">
        <f t="shared" si="8"/>
        <v>0</v>
      </c>
      <c r="S24" s="272">
        <f t="shared" si="8"/>
        <v>0</v>
      </c>
      <c r="T24" s="272">
        <f t="shared" si="8"/>
        <v>0</v>
      </c>
      <c r="U24" s="272">
        <f t="shared" si="8"/>
        <v>0</v>
      </c>
      <c r="V24" s="118">
        <f t="shared" si="8"/>
        <v>0</v>
      </c>
      <c r="W24" s="272">
        <f t="shared" si="8"/>
        <v>0</v>
      </c>
      <c r="X24" s="272">
        <f t="shared" si="8"/>
        <v>0</v>
      </c>
      <c r="Y24" s="272">
        <f t="shared" si="8"/>
        <v>0</v>
      </c>
      <c r="Z24" s="118">
        <f t="shared" si="8"/>
        <v>0</v>
      </c>
      <c r="AA24" s="272">
        <f t="shared" si="8"/>
        <v>0</v>
      </c>
      <c r="AB24" s="272">
        <f t="shared" si="8"/>
        <v>0</v>
      </c>
      <c r="AC24" s="272">
        <f t="shared" si="8"/>
        <v>0</v>
      </c>
      <c r="AD24" s="118">
        <f t="shared" si="8"/>
        <v>0</v>
      </c>
      <c r="AE24" s="272">
        <f t="shared" si="8"/>
        <v>0</v>
      </c>
      <c r="AF24" s="272">
        <f t="shared" si="8"/>
        <v>0</v>
      </c>
      <c r="AG24" s="272">
        <f t="shared" si="8"/>
        <v>0</v>
      </c>
      <c r="AH24" s="118">
        <f t="shared" si="8"/>
        <v>5</v>
      </c>
      <c r="AI24" s="272">
        <f t="shared" si="8"/>
        <v>0</v>
      </c>
      <c r="AJ24" s="272">
        <f>SUM(AJ15:AJ23)</f>
        <v>0</v>
      </c>
      <c r="AK24" s="695">
        <f>SUM(AK15:AK23)</f>
        <v>0</v>
      </c>
      <c r="AL24" s="118">
        <f t="shared" ref="AL24:BC24" si="9">SUM(AL15:AL23)</f>
        <v>6.85</v>
      </c>
      <c r="AM24" s="272">
        <f t="shared" si="9"/>
        <v>6.85</v>
      </c>
      <c r="AN24" s="272">
        <f t="shared" si="9"/>
        <v>0</v>
      </c>
      <c r="AO24" s="272">
        <f t="shared" si="9"/>
        <v>0</v>
      </c>
      <c r="AP24" s="118">
        <f t="shared" si="9"/>
        <v>0</v>
      </c>
      <c r="AQ24" s="272">
        <f t="shared" si="9"/>
        <v>0</v>
      </c>
      <c r="AR24" s="272">
        <f t="shared" si="9"/>
        <v>0</v>
      </c>
      <c r="AS24" s="272">
        <f t="shared" si="9"/>
        <v>0</v>
      </c>
      <c r="AT24" s="118">
        <f t="shared" si="9"/>
        <v>0</v>
      </c>
      <c r="AU24" s="272">
        <f t="shared" si="9"/>
        <v>0</v>
      </c>
      <c r="AV24" s="272">
        <f t="shared" si="9"/>
        <v>0</v>
      </c>
      <c r="AW24" s="272">
        <f t="shared" si="9"/>
        <v>19.850000000000001</v>
      </c>
      <c r="AX24" s="118">
        <f t="shared" si="9"/>
        <v>0</v>
      </c>
      <c r="AY24" s="272">
        <f t="shared" si="9"/>
        <v>0</v>
      </c>
      <c r="AZ24" s="272">
        <f t="shared" si="9"/>
        <v>0</v>
      </c>
      <c r="BA24" s="272">
        <f t="shared" si="9"/>
        <v>0</v>
      </c>
      <c r="BB24" s="118">
        <f t="shared" si="9"/>
        <v>6.85</v>
      </c>
      <c r="BC24" s="272">
        <f t="shared" si="9"/>
        <v>6.85</v>
      </c>
      <c r="BD24" s="272">
        <f>SUM(BD15:BD23)</f>
        <v>0</v>
      </c>
      <c r="BE24" s="272">
        <f>SUM(BE15:BE23)</f>
        <v>19.850000000000001</v>
      </c>
      <c r="BF24" s="278">
        <f t="shared" si="7"/>
        <v>11.85</v>
      </c>
      <c r="BG24" s="279">
        <f t="shared" si="7"/>
        <v>6.85</v>
      </c>
      <c r="BH24" s="279">
        <f t="shared" si="7"/>
        <v>0</v>
      </c>
      <c r="BI24" s="705">
        <f t="shared" si="7"/>
        <v>19.850000000000001</v>
      </c>
    </row>
    <row r="25" spans="3:61" s="119" customFormat="1" ht="9" customHeight="1" thickBot="1">
      <c r="C25" s="121"/>
      <c r="D25" s="121"/>
      <c r="E25" s="121"/>
      <c r="F25" s="121"/>
      <c r="H25" s="122"/>
      <c r="I25" s="122"/>
      <c r="J25" s="125"/>
      <c r="K25" s="126"/>
      <c r="L25" s="126"/>
      <c r="M25" s="126"/>
      <c r="N25" s="125"/>
      <c r="O25" s="126"/>
      <c r="P25" s="126"/>
      <c r="Q25" s="126"/>
      <c r="R25" s="125"/>
      <c r="S25" s="126"/>
      <c r="T25" s="126"/>
      <c r="U25" s="126"/>
      <c r="V25" s="125"/>
      <c r="W25" s="126"/>
      <c r="X25" s="126"/>
      <c r="Y25" s="126"/>
      <c r="Z25" s="125"/>
      <c r="AA25" s="126"/>
      <c r="AB25" s="126"/>
      <c r="AC25" s="126"/>
      <c r="AD25" s="125"/>
      <c r="AE25" s="126"/>
      <c r="AF25" s="126"/>
      <c r="AG25" s="126"/>
      <c r="AH25" s="125"/>
      <c r="AI25" s="126"/>
      <c r="AJ25" s="126"/>
      <c r="AK25" s="126"/>
      <c r="AL25" s="125"/>
      <c r="AM25" s="126"/>
      <c r="AN25" s="126"/>
      <c r="AO25" s="126"/>
      <c r="AP25" s="125"/>
      <c r="AQ25" s="126"/>
      <c r="AR25" s="126"/>
      <c r="AS25" s="126"/>
      <c r="AT25" s="125"/>
      <c r="AU25" s="126"/>
      <c r="AV25" s="126"/>
      <c r="AW25" s="126"/>
      <c r="AX25" s="125"/>
      <c r="AY25" s="126"/>
      <c r="AZ25" s="126"/>
      <c r="BA25" s="126"/>
      <c r="BB25" s="125"/>
      <c r="BC25" s="126"/>
      <c r="BD25" s="126"/>
      <c r="BE25" s="126"/>
      <c r="BF25" s="125"/>
      <c r="BG25" s="126"/>
    </row>
    <row r="26" spans="3:61" s="28" customFormat="1" ht="26.25" customHeight="1" thickBot="1">
      <c r="D26" s="29"/>
      <c r="E26" s="29"/>
      <c r="F26" s="29"/>
      <c r="H26" s="1893" t="s">
        <v>49</v>
      </c>
      <c r="I26" s="1894"/>
      <c r="J26" s="123">
        <f t="shared" ref="J26:BI26" si="10">J10+J24</f>
        <v>10</v>
      </c>
      <c r="K26" s="280">
        <f t="shared" si="10"/>
        <v>5.0999999999999996</v>
      </c>
      <c r="L26" s="280">
        <f>L10+L24</f>
        <v>5.0999999999999996</v>
      </c>
      <c r="M26" s="280">
        <f>M10+M24</f>
        <v>0</v>
      </c>
      <c r="N26" s="123">
        <f t="shared" ref="N26:O26" si="11">N10+N24</f>
        <v>15</v>
      </c>
      <c r="O26" s="280">
        <f t="shared" si="11"/>
        <v>10</v>
      </c>
      <c r="P26" s="280">
        <f>P10+P24</f>
        <v>10</v>
      </c>
      <c r="Q26" s="280">
        <f>Q10+Q24</f>
        <v>0</v>
      </c>
      <c r="R26" s="123">
        <f t="shared" ref="R26:S26" si="12">R10+R24</f>
        <v>5</v>
      </c>
      <c r="S26" s="280">
        <f t="shared" si="12"/>
        <v>5</v>
      </c>
      <c r="T26" s="280">
        <f>T10+T24</f>
        <v>0</v>
      </c>
      <c r="U26" s="280">
        <f>U10+U24</f>
        <v>0</v>
      </c>
      <c r="V26" s="123">
        <f t="shared" ref="V26:W26" si="13">V10+V24</f>
        <v>5</v>
      </c>
      <c r="W26" s="280">
        <f t="shared" si="13"/>
        <v>0</v>
      </c>
      <c r="X26" s="280">
        <f>X10+X24</f>
        <v>0</v>
      </c>
      <c r="Y26" s="280">
        <f>Y10+Y24</f>
        <v>0</v>
      </c>
      <c r="Z26" s="123">
        <f t="shared" ref="Z26:AA26" si="14">Z10+Z24</f>
        <v>0</v>
      </c>
      <c r="AA26" s="280">
        <f t="shared" si="14"/>
        <v>0</v>
      </c>
      <c r="AB26" s="280">
        <f>AB10+AB24</f>
        <v>0</v>
      </c>
      <c r="AC26" s="280">
        <f>AC10+AC24</f>
        <v>0</v>
      </c>
      <c r="AD26" s="123">
        <f t="shared" ref="AD26:AE26" si="15">AD10+AD24</f>
        <v>10</v>
      </c>
      <c r="AE26" s="280">
        <f t="shared" si="15"/>
        <v>20</v>
      </c>
      <c r="AF26" s="280">
        <f>AF10+AF24</f>
        <v>20</v>
      </c>
      <c r="AG26" s="280">
        <f>AG10+AG24</f>
        <v>0</v>
      </c>
      <c r="AH26" s="127">
        <f t="shared" ref="AH26:AI26" si="16">AH10+AH24</f>
        <v>45</v>
      </c>
      <c r="AI26" s="280">
        <f t="shared" si="16"/>
        <v>40.1</v>
      </c>
      <c r="AJ26" s="697">
        <f>AJ10+AJ24</f>
        <v>35.1</v>
      </c>
      <c r="AK26" s="696">
        <f>AK10+AK24</f>
        <v>0</v>
      </c>
      <c r="AL26" s="123">
        <f t="shared" ref="AL26:AM26" si="17">AL10+AL24</f>
        <v>21.85</v>
      </c>
      <c r="AM26" s="280">
        <f t="shared" si="17"/>
        <v>11.85</v>
      </c>
      <c r="AN26" s="280">
        <f>AN10+AN24</f>
        <v>4</v>
      </c>
      <c r="AO26" s="280">
        <f>AO10+AO24</f>
        <v>0</v>
      </c>
      <c r="AP26" s="123">
        <f t="shared" ref="AP26:AQ26" si="18">AP10+AP24</f>
        <v>5</v>
      </c>
      <c r="AQ26" s="280">
        <f t="shared" si="18"/>
        <v>3.5</v>
      </c>
      <c r="AR26" s="280">
        <f>AR10+AR24</f>
        <v>3.5</v>
      </c>
      <c r="AS26" s="280">
        <f>AS10+AS24</f>
        <v>0</v>
      </c>
      <c r="AT26" s="123">
        <f t="shared" ref="AT26:AU26" si="19">AT10+AT24</f>
        <v>12</v>
      </c>
      <c r="AU26" s="280">
        <f t="shared" si="19"/>
        <v>13.81</v>
      </c>
      <c r="AV26" s="280">
        <f>AV10+AV24</f>
        <v>1</v>
      </c>
      <c r="AW26" s="280">
        <f>AW10+AW24</f>
        <v>19.850000000000001</v>
      </c>
      <c r="AX26" s="123">
        <f t="shared" ref="AX26:AY26" si="20">AX10+AX24</f>
        <v>20</v>
      </c>
      <c r="AY26" s="280">
        <f t="shared" si="20"/>
        <v>0</v>
      </c>
      <c r="AZ26" s="280">
        <f>AZ10+AZ24</f>
        <v>0</v>
      </c>
      <c r="BA26" s="280">
        <f>BA10+BA24</f>
        <v>0</v>
      </c>
      <c r="BB26" s="127">
        <f t="shared" ref="BB26:BC26" si="21">BB10+BB24</f>
        <v>58.85</v>
      </c>
      <c r="BC26" s="280">
        <f t="shared" si="21"/>
        <v>29.160000000000004</v>
      </c>
      <c r="BD26" s="697">
        <f>BD10+BD24</f>
        <v>8.5</v>
      </c>
      <c r="BE26" s="697">
        <f>BE10+BE24</f>
        <v>19.850000000000001</v>
      </c>
      <c r="BF26" s="124">
        <f>BF10+BF24</f>
        <v>103.85</v>
      </c>
      <c r="BG26" s="707">
        <f t="shared" si="10"/>
        <v>69.260000000000005</v>
      </c>
      <c r="BH26" s="706">
        <f t="shared" si="10"/>
        <v>43.6</v>
      </c>
      <c r="BI26" s="284">
        <f t="shared" si="10"/>
        <v>19.850000000000001</v>
      </c>
    </row>
    <row r="27" spans="3:61" ht="21" customHeight="1">
      <c r="I27" s="320"/>
      <c r="J27" s="321"/>
      <c r="K27" s="321"/>
      <c r="L27" s="321"/>
      <c r="M27" s="321"/>
      <c r="N27" s="321"/>
      <c r="O27" s="321"/>
      <c r="P27" s="321"/>
      <c r="Q27" s="321"/>
      <c r="R27" s="321"/>
      <c r="S27" s="321"/>
      <c r="T27" s="321"/>
      <c r="U27" s="321"/>
      <c r="V27" s="321"/>
      <c r="W27" s="321"/>
      <c r="X27" s="323"/>
      <c r="Y27" s="323"/>
      <c r="Z27" s="321"/>
      <c r="AA27" s="321"/>
      <c r="AB27" s="323"/>
      <c r="AC27" s="323"/>
      <c r="AD27" s="321"/>
      <c r="AE27" s="321"/>
      <c r="AF27" s="321"/>
      <c r="AG27" s="321"/>
      <c r="AH27" s="321"/>
      <c r="AI27" s="321"/>
      <c r="AJ27" s="321"/>
      <c r="AK27" s="321"/>
      <c r="AL27" s="321"/>
      <c r="AM27" s="321"/>
      <c r="AN27" s="321"/>
      <c r="AO27" s="321"/>
      <c r="AP27" s="321"/>
      <c r="AQ27" s="321"/>
      <c r="AR27" s="321"/>
      <c r="AS27" s="321"/>
      <c r="AT27" s="321"/>
      <c r="AU27" s="321"/>
      <c r="AV27" s="321">
        <v>19.850000000000001</v>
      </c>
      <c r="AW27" s="321" t="s">
        <v>400</v>
      </c>
      <c r="AX27" s="321"/>
      <c r="AY27" s="321"/>
      <c r="AZ27" s="321"/>
      <c r="BA27" s="321"/>
      <c r="BB27" s="335"/>
      <c r="BC27" s="1918">
        <f>SUM(I27:AZ29)</f>
        <v>19.850000000000001</v>
      </c>
      <c r="BD27" s="335"/>
      <c r="BE27" s="335"/>
      <c r="BF27" s="335"/>
      <c r="BG27" s="335"/>
      <c r="BH27" s="1917">
        <f>BH26+BI26</f>
        <v>63.45</v>
      </c>
      <c r="BI27" s="1917"/>
    </row>
    <row r="28" spans="3:61" ht="21" customHeight="1">
      <c r="I28" s="320"/>
      <c r="J28" s="322"/>
      <c r="K28" s="323"/>
      <c r="L28" s="323"/>
      <c r="M28" s="323"/>
      <c r="N28" s="322"/>
      <c r="O28" s="323"/>
      <c r="P28" s="323"/>
      <c r="Q28" s="323"/>
      <c r="R28" s="322"/>
      <c r="S28" s="323"/>
      <c r="T28" s="323"/>
      <c r="U28" s="323"/>
      <c r="V28" s="321"/>
      <c r="W28" s="323"/>
      <c r="X28" s="323"/>
      <c r="Y28" s="323"/>
      <c r="Z28" s="322"/>
      <c r="AA28" s="323"/>
      <c r="AB28" s="323"/>
      <c r="AC28" s="323"/>
      <c r="AD28" s="322"/>
      <c r="AE28" s="323"/>
      <c r="AF28" s="323"/>
      <c r="AG28" s="322"/>
      <c r="AH28" s="322"/>
      <c r="AI28" s="323"/>
      <c r="AJ28" s="323"/>
      <c r="AK28" s="323"/>
      <c r="AL28" s="321"/>
      <c r="AM28" s="323"/>
      <c r="AN28" s="622"/>
      <c r="AO28" s="622"/>
      <c r="AP28" s="321"/>
      <c r="AQ28" s="323"/>
      <c r="AR28" s="323"/>
      <c r="AS28" s="323"/>
      <c r="AT28" s="322"/>
      <c r="AU28" s="323"/>
      <c r="AV28" s="323"/>
      <c r="AW28" s="323"/>
      <c r="AX28" s="322"/>
      <c r="AY28" s="468"/>
      <c r="AZ28" s="468"/>
      <c r="BA28" s="468"/>
      <c r="BB28" s="392"/>
      <c r="BC28" s="1919"/>
      <c r="BD28" s="434"/>
      <c r="BE28" s="434"/>
      <c r="BF28" s="435"/>
      <c r="BG28" s="434"/>
      <c r="BH28" s="726"/>
      <c r="BI28" s="434"/>
    </row>
    <row r="29" spans="3:61" ht="23.25">
      <c r="I29" s="320"/>
      <c r="J29" s="322"/>
      <c r="K29" s="323"/>
      <c r="L29" s="323"/>
      <c r="M29" s="323"/>
      <c r="N29" s="322"/>
      <c r="O29" s="323"/>
      <c r="P29" s="323"/>
      <c r="Q29" s="323"/>
      <c r="R29" s="322"/>
      <c r="S29" s="323"/>
      <c r="T29" s="323"/>
      <c r="U29" s="323"/>
      <c r="V29" s="322"/>
      <c r="W29" s="323"/>
      <c r="X29" s="323"/>
      <c r="Y29" s="323"/>
      <c r="Z29" s="322"/>
      <c r="AA29" s="323"/>
      <c r="AB29" s="323"/>
      <c r="AC29" s="323"/>
      <c r="AD29" s="322"/>
      <c r="AE29" s="323"/>
      <c r="AF29" s="688"/>
      <c r="AG29" s="688"/>
      <c r="AH29" s="322"/>
      <c r="AI29" s="322"/>
      <c r="AJ29" s="323"/>
      <c r="AK29" s="323"/>
      <c r="AL29" s="321"/>
      <c r="AM29" s="323"/>
      <c r="AN29" s="321"/>
      <c r="AO29" s="321"/>
      <c r="AP29" s="322"/>
      <c r="AQ29" s="323"/>
      <c r="AR29" s="323"/>
      <c r="AS29" s="323"/>
      <c r="AT29" s="322"/>
      <c r="AU29" s="323"/>
      <c r="AV29" s="323"/>
      <c r="AW29" s="323"/>
      <c r="AX29" s="322"/>
      <c r="AY29" s="468"/>
      <c r="AZ29" s="468"/>
      <c r="BA29" s="468"/>
      <c r="BB29" s="392"/>
      <c r="BC29" s="434"/>
      <c r="BD29" s="434"/>
      <c r="BE29" s="434"/>
      <c r="BF29" s="435"/>
      <c r="BG29" s="434"/>
      <c r="BH29" s="682"/>
      <c r="BI29" s="434"/>
    </row>
    <row r="30" spans="3:61" s="464" customFormat="1" ht="21.75" thickBot="1">
      <c r="D30" s="576"/>
      <c r="E30" s="576"/>
      <c r="F30" s="576"/>
      <c r="I30" s="577"/>
      <c r="J30" s="578"/>
      <c r="K30" s="579"/>
      <c r="L30" s="579"/>
      <c r="M30" s="579"/>
      <c r="N30" s="578"/>
      <c r="O30" s="579"/>
      <c r="P30" s="579"/>
      <c r="Q30" s="579"/>
      <c r="R30" s="578"/>
      <c r="S30" s="579"/>
      <c r="T30" s="579"/>
      <c r="U30" s="579"/>
      <c r="V30" s="578"/>
      <c r="W30" s="578"/>
      <c r="X30" s="579"/>
      <c r="Y30" s="579"/>
      <c r="Z30" s="579"/>
      <c r="AA30" s="578"/>
      <c r="AB30" s="579"/>
      <c r="AC30" s="579"/>
      <c r="AD30" s="579"/>
      <c r="AE30" s="578"/>
      <c r="AF30" s="579"/>
      <c r="AG30" s="579"/>
      <c r="AH30" s="621"/>
      <c r="AI30" s="578"/>
      <c r="AJ30" s="579"/>
      <c r="AK30" s="579"/>
      <c r="AM30" s="580"/>
      <c r="AN30" s="579"/>
      <c r="AO30" s="579"/>
      <c r="AP30" s="579"/>
      <c r="AQ30" s="578"/>
      <c r="AR30" s="579"/>
      <c r="AS30" s="579"/>
      <c r="AT30" s="579"/>
      <c r="AU30" s="578"/>
      <c r="AV30" s="579"/>
      <c r="AW30" s="579"/>
      <c r="AZ30" s="581"/>
      <c r="BA30" s="581"/>
      <c r="BB30" s="581"/>
      <c r="BC30" s="582"/>
      <c r="BD30" s="583"/>
      <c r="BE30" s="583"/>
      <c r="BF30" s="583"/>
      <c r="BG30" s="584"/>
      <c r="BH30" s="583"/>
      <c r="BI30" s="585"/>
    </row>
    <row r="31" spans="3:61" ht="35.25" customHeight="1" thickBot="1">
      <c r="L31" s="1951" t="s">
        <v>398</v>
      </c>
      <c r="M31" s="1952"/>
      <c r="N31" s="1952"/>
      <c r="O31" s="1952"/>
      <c r="P31" s="1952"/>
      <c r="Q31" s="1952"/>
      <c r="R31" s="1952"/>
      <c r="S31" s="1953"/>
      <c r="T31" s="579"/>
      <c r="U31" s="579"/>
      <c r="V31" s="1929" t="s">
        <v>204</v>
      </c>
      <c r="W31" s="1930"/>
      <c r="X31" s="1930"/>
      <c r="Y31" s="1930"/>
      <c r="Z31" s="1930"/>
      <c r="AA31" s="1930"/>
      <c r="AB31" s="1930"/>
      <c r="AC31" s="1935"/>
      <c r="AD31" s="1936"/>
      <c r="AE31" s="579"/>
      <c r="AF31" s="579"/>
      <c r="AG31" s="26"/>
      <c r="AH31" s="24"/>
      <c r="AJ31" s="685"/>
      <c r="AL31" s="24"/>
      <c r="AM31" s="599"/>
      <c r="AN31" s="599"/>
      <c r="AP31" s="24"/>
      <c r="AS31" s="26"/>
      <c r="AT31" s="24"/>
      <c r="AX31" s="24"/>
      <c r="AY31" s="25"/>
      <c r="AZ31" s="25"/>
      <c r="BA31" s="24"/>
      <c r="BB31" s="24"/>
      <c r="BE31" s="23"/>
      <c r="BF31" s="23"/>
      <c r="BG31" s="23"/>
    </row>
    <row r="32" spans="3:61" s="24" customFormat="1" ht="28.5" customHeight="1" thickBot="1">
      <c r="C32" s="23"/>
      <c r="D32" s="27"/>
      <c r="E32" s="27"/>
      <c r="F32" s="27"/>
      <c r="G32" s="23"/>
      <c r="H32" s="23"/>
      <c r="I32" s="27"/>
      <c r="L32" s="450" t="s">
        <v>0</v>
      </c>
      <c r="M32" s="439" t="s">
        <v>200</v>
      </c>
      <c r="N32" s="454" t="s">
        <v>205</v>
      </c>
      <c r="O32" s="439" t="s">
        <v>31</v>
      </c>
      <c r="P32" s="448" t="s">
        <v>201</v>
      </c>
      <c r="Q32" s="455" t="s">
        <v>206</v>
      </c>
      <c r="R32" s="436" t="s">
        <v>22</v>
      </c>
      <c r="S32" s="438" t="s">
        <v>191</v>
      </c>
      <c r="T32" s="579"/>
      <c r="U32" s="579"/>
      <c r="V32" s="571" t="s">
        <v>0</v>
      </c>
      <c r="W32" s="572" t="s">
        <v>200</v>
      </c>
      <c r="X32" s="623" t="s">
        <v>205</v>
      </c>
      <c r="Y32" s="572" t="s">
        <v>31</v>
      </c>
      <c r="Z32" s="573" t="s">
        <v>201</v>
      </c>
      <c r="AA32" s="574" t="s">
        <v>206</v>
      </c>
      <c r="AB32" s="717" t="s">
        <v>22</v>
      </c>
      <c r="AC32" s="721" t="s">
        <v>191</v>
      </c>
      <c r="AD32" s="722" t="s">
        <v>226</v>
      </c>
      <c r="AE32" s="579"/>
      <c r="AF32" s="579"/>
      <c r="AG32" s="599"/>
      <c r="AH32" s="599"/>
      <c r="AI32" s="599"/>
      <c r="AN32" s="26"/>
      <c r="AT32" s="25"/>
      <c r="AU32" s="25"/>
      <c r="AW32" s="23"/>
      <c r="AX32" s="23"/>
    </row>
    <row r="33" spans="1:59" ht="23.25">
      <c r="L33" s="441" t="s">
        <v>189</v>
      </c>
      <c r="M33" s="470">
        <f>$J$6</f>
        <v>7</v>
      </c>
      <c r="N33" s="430">
        <f>$J9</f>
        <v>1</v>
      </c>
      <c r="O33" s="430">
        <f>$J7</f>
        <v>0</v>
      </c>
      <c r="P33" s="430">
        <f>$J8</f>
        <v>2</v>
      </c>
      <c r="Q33" s="430">
        <f>J15+J16+J17+J18+J19+J21+J22+J23</f>
        <v>0</v>
      </c>
      <c r="R33" s="430">
        <f>$J20</f>
        <v>0</v>
      </c>
      <c r="S33" s="446">
        <f>SUM(M33:R33)</f>
        <v>10</v>
      </c>
      <c r="T33" s="579"/>
      <c r="U33" s="579"/>
      <c r="V33" s="447" t="s">
        <v>189</v>
      </c>
      <c r="W33" s="569">
        <f>L$6</f>
        <v>0</v>
      </c>
      <c r="X33" s="570">
        <f>$L9</f>
        <v>0.1</v>
      </c>
      <c r="Y33" s="570">
        <f>$L7</f>
        <v>0</v>
      </c>
      <c r="Z33" s="570">
        <f>$L8</f>
        <v>5</v>
      </c>
      <c r="AA33" s="570">
        <f>L$15+L$16+L$17+L$18+L$19+L$21+L$22+L$23</f>
        <v>0</v>
      </c>
      <c r="AB33" s="718">
        <f>$L20</f>
        <v>0</v>
      </c>
      <c r="AC33" s="723">
        <f t="shared" ref="AC33:AC42" si="22">SUM(W33:AB33)</f>
        <v>5.0999999999999996</v>
      </c>
      <c r="AD33" s="587">
        <f>M6+M7+M8++M9+M15+M16+M17+M18+M19+M21+M20+M22+M23</f>
        <v>0</v>
      </c>
      <c r="AE33" s="579"/>
      <c r="AF33" s="579"/>
      <c r="AG33" s="599"/>
      <c r="AH33" s="599"/>
      <c r="AI33" s="599"/>
      <c r="AL33" s="24"/>
      <c r="AN33" s="26"/>
      <c r="AP33" s="24"/>
      <c r="AT33" s="25"/>
      <c r="AU33" s="25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</row>
    <row r="34" spans="1:59" s="24" customFormat="1" ht="23.25">
      <c r="A34" s="23"/>
      <c r="B34" s="23"/>
      <c r="C34" s="23"/>
      <c r="D34" s="27"/>
      <c r="E34" s="27"/>
      <c r="F34" s="27"/>
      <c r="G34" s="23"/>
      <c r="H34" s="23"/>
      <c r="I34" s="27"/>
      <c r="L34" s="441" t="s">
        <v>183</v>
      </c>
      <c r="M34" s="470">
        <f>$N$6</f>
        <v>10</v>
      </c>
      <c r="N34" s="430">
        <f>$N9</f>
        <v>0</v>
      </c>
      <c r="O34" s="430">
        <f>$N7</f>
        <v>0</v>
      </c>
      <c r="P34" s="430">
        <f>$N8</f>
        <v>0</v>
      </c>
      <c r="Q34" s="430">
        <f>N15+N16+N17+N18+N19+N21+N22+N23</f>
        <v>5</v>
      </c>
      <c r="R34" s="430">
        <f>$N20</f>
        <v>0</v>
      </c>
      <c r="S34" s="446">
        <f t="shared" ref="S34:S42" si="23">SUM(M34:R34)</f>
        <v>15</v>
      </c>
      <c r="T34" s="686"/>
      <c r="U34" s="26"/>
      <c r="V34" s="441" t="s">
        <v>183</v>
      </c>
      <c r="W34" s="440">
        <f>P$6</f>
        <v>8.5</v>
      </c>
      <c r="X34" s="430">
        <f>$P9</f>
        <v>1.5</v>
      </c>
      <c r="Y34" s="430">
        <f>$P7</f>
        <v>0</v>
      </c>
      <c r="Z34" s="430">
        <f>$P8</f>
        <v>0</v>
      </c>
      <c r="AA34" s="430">
        <f>P$15+P$16+P$17+P$18+P$19+P$21+P$22+P$23</f>
        <v>0</v>
      </c>
      <c r="AB34" s="719">
        <f>$P20</f>
        <v>0</v>
      </c>
      <c r="AC34" s="723">
        <f t="shared" si="22"/>
        <v>10</v>
      </c>
      <c r="AD34" s="587">
        <f>Q6+Q7+Q8+Q9+Q15+Q16+Q17+Q18+Q19+Q20+Q21+Q22+Q23</f>
        <v>0</v>
      </c>
      <c r="AG34" s="599"/>
      <c r="AH34" s="599"/>
      <c r="AI34" s="599"/>
      <c r="AN34" s="26"/>
      <c r="AT34" s="25"/>
      <c r="AU34" s="25"/>
    </row>
    <row r="35" spans="1:59" ht="23.25">
      <c r="L35" s="441" t="s">
        <v>184</v>
      </c>
      <c r="M35" s="470">
        <f>$R$6</f>
        <v>5</v>
      </c>
      <c r="N35" s="430">
        <f>$R9</f>
        <v>0</v>
      </c>
      <c r="O35" s="430">
        <f>$R7</f>
        <v>0</v>
      </c>
      <c r="P35" s="430">
        <f>$R8</f>
        <v>0</v>
      </c>
      <c r="Q35" s="430">
        <f>R15+R16+R17+R18+R19+R21+R22+R23</f>
        <v>0</v>
      </c>
      <c r="R35" s="430">
        <f>$R20</f>
        <v>0</v>
      </c>
      <c r="S35" s="446">
        <f t="shared" si="23"/>
        <v>5</v>
      </c>
      <c r="T35" s="686"/>
      <c r="U35" s="26"/>
      <c r="V35" s="441" t="s">
        <v>184</v>
      </c>
      <c r="W35" s="440">
        <f>T$6</f>
        <v>0</v>
      </c>
      <c r="X35" s="430">
        <f>$T9</f>
        <v>0</v>
      </c>
      <c r="Y35" s="430">
        <f>$T7</f>
        <v>0</v>
      </c>
      <c r="Z35" s="430">
        <f>$T8</f>
        <v>0</v>
      </c>
      <c r="AA35" s="430">
        <f>T$15+T$16+T$17+T$18+T$19+T$21+T$22+T$23</f>
        <v>0</v>
      </c>
      <c r="AB35" s="719">
        <f>$T20</f>
        <v>0</v>
      </c>
      <c r="AC35" s="723">
        <f t="shared" si="22"/>
        <v>0</v>
      </c>
      <c r="AD35" s="587">
        <f>U6+U7+U8+U9+U15+U16+U17+U18+U19+U20+U21+U22+U23</f>
        <v>0</v>
      </c>
      <c r="AE35" s="26"/>
      <c r="AF35" s="26"/>
      <c r="AG35" s="599"/>
      <c r="AH35" s="599"/>
      <c r="AI35" s="599"/>
      <c r="AL35" s="24"/>
      <c r="AN35" s="26"/>
      <c r="AP35" s="24"/>
      <c r="AT35" s="25"/>
      <c r="AU35" s="25"/>
      <c r="AX35" s="23"/>
      <c r="AY35" s="23"/>
      <c r="AZ35" s="23"/>
      <c r="BA35" s="23"/>
      <c r="BB35" s="23"/>
      <c r="BC35" s="23"/>
      <c r="BD35" s="23"/>
      <c r="BE35" s="23"/>
      <c r="BF35" s="23"/>
      <c r="BG35" s="23"/>
    </row>
    <row r="36" spans="1:59" ht="23.25">
      <c r="L36" s="441" t="s">
        <v>170</v>
      </c>
      <c r="M36" s="470">
        <f>$V$6</f>
        <v>2</v>
      </c>
      <c r="N36" s="430">
        <f>$V9</f>
        <v>3</v>
      </c>
      <c r="O36" s="430">
        <f>$V7</f>
        <v>0</v>
      </c>
      <c r="P36" s="430">
        <f>$V8</f>
        <v>0</v>
      </c>
      <c r="Q36" s="430">
        <f>V15+V16+V17+V18+V19+V21++V22+V23</f>
        <v>0</v>
      </c>
      <c r="R36" s="430">
        <f>$V20</f>
        <v>0</v>
      </c>
      <c r="S36" s="446">
        <f t="shared" si="23"/>
        <v>5</v>
      </c>
      <c r="T36" s="686"/>
      <c r="U36" s="26"/>
      <c r="V36" s="441" t="s">
        <v>170</v>
      </c>
      <c r="W36" s="440">
        <f>X$6</f>
        <v>0</v>
      </c>
      <c r="X36" s="430">
        <f>$X9</f>
        <v>0</v>
      </c>
      <c r="Y36" s="430">
        <f>$X7</f>
        <v>0</v>
      </c>
      <c r="Z36" s="430">
        <f>$X8</f>
        <v>0</v>
      </c>
      <c r="AA36" s="430">
        <f>X$15+X$16+X$17+X$18+X$19+X$21+X$22+X$23</f>
        <v>0</v>
      </c>
      <c r="AB36" s="719">
        <f>$X20</f>
        <v>0</v>
      </c>
      <c r="AC36" s="723">
        <f t="shared" si="22"/>
        <v>0</v>
      </c>
      <c r="AD36" s="587">
        <f>Y6+Y7+Y8+Y9+Y15+Y16+Y17+Y18+Y19+Y20+Y21+Y22+Y23</f>
        <v>0</v>
      </c>
      <c r="AE36" s="26"/>
      <c r="AF36" s="26"/>
      <c r="AG36" s="599"/>
      <c r="AH36" s="599"/>
      <c r="AI36" s="599"/>
      <c r="AL36" s="24"/>
      <c r="AN36" s="26"/>
      <c r="AP36" s="24"/>
      <c r="AT36" s="25"/>
      <c r="AU36" s="25"/>
      <c r="AX36" s="23"/>
      <c r="AY36" s="23"/>
      <c r="AZ36" s="23"/>
      <c r="BA36" s="23"/>
      <c r="BB36" s="23"/>
      <c r="BC36" s="23"/>
      <c r="BD36" s="23"/>
      <c r="BE36" s="23"/>
      <c r="BF36" s="23"/>
      <c r="BG36" s="23"/>
    </row>
    <row r="37" spans="1:59" ht="23.25">
      <c r="L37" s="441" t="s">
        <v>171</v>
      </c>
      <c r="M37" s="470">
        <f>$Z$6</f>
        <v>0</v>
      </c>
      <c r="N37" s="430">
        <f>$Z9</f>
        <v>0</v>
      </c>
      <c r="O37" s="430">
        <f>$Z7</f>
        <v>0</v>
      </c>
      <c r="P37" s="430">
        <f>$Z8</f>
        <v>0</v>
      </c>
      <c r="Q37" s="430">
        <f>Z15+Z16+Z17+Z18+Z19+Z21+Z22+Z23</f>
        <v>0</v>
      </c>
      <c r="R37" s="430">
        <f>$Z20</f>
        <v>0</v>
      </c>
      <c r="S37" s="446">
        <f t="shared" si="23"/>
        <v>0</v>
      </c>
      <c r="T37" s="686"/>
      <c r="U37" s="26"/>
      <c r="V37" s="441" t="s">
        <v>171</v>
      </c>
      <c r="W37" s="440">
        <f>AB$6</f>
        <v>0</v>
      </c>
      <c r="X37" s="430">
        <f>$AB9</f>
        <v>0</v>
      </c>
      <c r="Y37" s="430">
        <f>$AB7</f>
        <v>0</v>
      </c>
      <c r="Z37" s="430">
        <f>$AB8</f>
        <v>0</v>
      </c>
      <c r="AA37" s="430">
        <f>AB$15+AB$16+AB$17+AB$18+AB$19+AB$21+AB$22+AB$23</f>
        <v>0</v>
      </c>
      <c r="AB37" s="719">
        <f>$AB20</f>
        <v>0</v>
      </c>
      <c r="AC37" s="723">
        <f t="shared" si="22"/>
        <v>0</v>
      </c>
      <c r="AD37" s="587">
        <f>AC6+AC7+AC8+AC9+AC15+AC17+AC16+AC18+AC19+AC20+AC21+AC22+AC23</f>
        <v>0</v>
      </c>
      <c r="AE37" s="26"/>
      <c r="AF37" s="26"/>
      <c r="AG37" s="26"/>
      <c r="AI37" s="26"/>
      <c r="AJ37" s="26"/>
      <c r="AK37" s="26"/>
      <c r="AL37" s="24"/>
      <c r="AN37" s="26"/>
      <c r="AP37" s="24"/>
      <c r="AT37" s="24"/>
      <c r="AV37" s="25"/>
      <c r="AX37" s="23"/>
      <c r="AY37" s="23"/>
      <c r="AZ37" s="23"/>
      <c r="BA37" s="23"/>
      <c r="BB37" s="23"/>
      <c r="BC37" s="23"/>
      <c r="BD37" s="23"/>
      <c r="BE37" s="23"/>
      <c r="BF37" s="23"/>
      <c r="BG37" s="23"/>
    </row>
    <row r="38" spans="1:59" ht="23.25">
      <c r="L38" s="441" t="s">
        <v>190</v>
      </c>
      <c r="M38" s="492">
        <f>$AD$6</f>
        <v>10</v>
      </c>
      <c r="N38" s="471">
        <f>$AD9</f>
        <v>0</v>
      </c>
      <c r="O38" s="471">
        <f>$AD7</f>
        <v>0</v>
      </c>
      <c r="P38" s="471">
        <f>$AD8</f>
        <v>0</v>
      </c>
      <c r="Q38" s="430">
        <f>AD15+AD16+AD17+AD18+AD19+AD21+AD22+AD23</f>
        <v>0</v>
      </c>
      <c r="R38" s="471">
        <f>$AD20</f>
        <v>0</v>
      </c>
      <c r="S38" s="446">
        <f t="shared" si="23"/>
        <v>10</v>
      </c>
      <c r="T38" s="686"/>
      <c r="U38" s="26"/>
      <c r="V38" s="441" t="s">
        <v>190</v>
      </c>
      <c r="W38" s="440">
        <f>AF$6</f>
        <v>20</v>
      </c>
      <c r="X38" s="430">
        <f>$AF9</f>
        <v>0</v>
      </c>
      <c r="Y38" s="430">
        <f>$AF7</f>
        <v>0</v>
      </c>
      <c r="Z38" s="430">
        <f>$AF8</f>
        <v>0</v>
      </c>
      <c r="AA38" s="430">
        <f>AF$15+AF$16+AF$17+AF$18+AF$19+AF$21+AF$22+AF$23</f>
        <v>0</v>
      </c>
      <c r="AB38" s="719">
        <f>$AF20</f>
        <v>0</v>
      </c>
      <c r="AC38" s="723">
        <f t="shared" si="22"/>
        <v>20</v>
      </c>
      <c r="AD38" s="587">
        <f>AG6+AG7+AG8+AG9+AG15+AG16+AG17+AG18+AG19+AG20+AG21+AG22+AG23</f>
        <v>0</v>
      </c>
      <c r="AE38" s="26"/>
      <c r="AF38" s="26"/>
      <c r="AG38" s="26"/>
      <c r="AI38" s="26"/>
      <c r="AJ38" s="26"/>
      <c r="AK38" s="26"/>
      <c r="AL38" s="24"/>
      <c r="AN38" s="26"/>
      <c r="AP38" s="24"/>
      <c r="AT38" s="24"/>
      <c r="AV38" s="25"/>
      <c r="AX38" s="23"/>
      <c r="AY38" s="23"/>
      <c r="AZ38" s="23"/>
      <c r="BA38" s="23"/>
      <c r="BB38" s="23"/>
      <c r="BC38" s="23"/>
      <c r="BD38" s="23"/>
      <c r="BE38" s="23"/>
      <c r="BF38" s="23"/>
      <c r="BG38" s="23"/>
    </row>
    <row r="39" spans="1:59" ht="23.25">
      <c r="L39" s="441" t="s">
        <v>185</v>
      </c>
      <c r="M39" s="470">
        <f>$AL$6</f>
        <v>8</v>
      </c>
      <c r="N39" s="430">
        <f>$AL9</f>
        <v>1</v>
      </c>
      <c r="O39" s="430">
        <f>$AL7</f>
        <v>0</v>
      </c>
      <c r="P39" s="430">
        <f>$AL8</f>
        <v>6</v>
      </c>
      <c r="Q39" s="430">
        <f>AL15+AL16+AL17+AL18+AL19+AL21+AL22+AL23</f>
        <v>0</v>
      </c>
      <c r="R39" s="430">
        <f>$AL20</f>
        <v>6.85</v>
      </c>
      <c r="S39" s="446">
        <f t="shared" si="23"/>
        <v>21.85</v>
      </c>
      <c r="T39" s="686"/>
      <c r="U39" s="26"/>
      <c r="V39" s="441" t="s">
        <v>185</v>
      </c>
      <c r="W39" s="469">
        <f>AN$6</f>
        <v>4</v>
      </c>
      <c r="X39" s="430">
        <f>$AN9</f>
        <v>0</v>
      </c>
      <c r="Y39" s="430">
        <f>$AN7</f>
        <v>0</v>
      </c>
      <c r="Z39" s="430">
        <f>$AN8</f>
        <v>0</v>
      </c>
      <c r="AA39" s="430">
        <f>AN$15+AN$16+AN$17+AN$18+AN$19+AN$21+AN$22+AN$23</f>
        <v>0</v>
      </c>
      <c r="AB39" s="719">
        <f>$AN20</f>
        <v>0</v>
      </c>
      <c r="AC39" s="723">
        <f t="shared" si="22"/>
        <v>4</v>
      </c>
      <c r="AD39" s="587">
        <f>AO6+AO7+AO8+AO9+AO15+AO16+AO17+AO18+AO19+AO20+AO21+AO22+AO23</f>
        <v>0</v>
      </c>
      <c r="AE39" s="26"/>
      <c r="AF39" s="23"/>
      <c r="AG39" s="26"/>
      <c r="AI39" s="26"/>
      <c r="AJ39" s="26"/>
      <c r="AK39" s="26"/>
      <c r="AL39" s="24"/>
      <c r="AN39" s="26"/>
      <c r="AP39" s="24"/>
      <c r="AT39" s="24"/>
      <c r="AV39" s="25"/>
      <c r="AX39" s="23"/>
      <c r="AY39" s="23"/>
      <c r="AZ39" s="23"/>
      <c r="BA39" s="23"/>
      <c r="BB39" s="23"/>
      <c r="BC39" s="23"/>
      <c r="BD39" s="23"/>
      <c r="BE39" s="23"/>
      <c r="BF39" s="23"/>
      <c r="BG39" s="23"/>
    </row>
    <row r="40" spans="1:59" ht="23.25">
      <c r="L40" s="441" t="s">
        <v>202</v>
      </c>
      <c r="M40" s="470">
        <f>$AP$6</f>
        <v>5</v>
      </c>
      <c r="N40" s="430">
        <f>$AP9</f>
        <v>0</v>
      </c>
      <c r="O40" s="430">
        <f>$AP7</f>
        <v>0</v>
      </c>
      <c r="P40" s="430">
        <f>$AP8</f>
        <v>0</v>
      </c>
      <c r="Q40" s="430">
        <f>AP15+AP16+AP17+AP18+AP19+AP21+AP22+AP23</f>
        <v>0</v>
      </c>
      <c r="R40" s="430">
        <f>$AP20</f>
        <v>0</v>
      </c>
      <c r="S40" s="446">
        <f t="shared" si="23"/>
        <v>5</v>
      </c>
      <c r="T40" s="686"/>
      <c r="U40" s="26"/>
      <c r="V40" s="441" t="s">
        <v>202</v>
      </c>
      <c r="W40" s="440">
        <f>AR$6</f>
        <v>3.5</v>
      </c>
      <c r="X40" s="430">
        <f>$AR9</f>
        <v>0</v>
      </c>
      <c r="Y40" s="430">
        <f>$AR7</f>
        <v>0</v>
      </c>
      <c r="Z40" s="430">
        <f>$AR8</f>
        <v>0</v>
      </c>
      <c r="AA40" s="430">
        <f>AR$15+AR$16+AR$17+AR$18+AR$19+AR$21+AR$22+AR$23</f>
        <v>0</v>
      </c>
      <c r="AB40" s="719">
        <f>$AR20</f>
        <v>0</v>
      </c>
      <c r="AC40" s="723">
        <f t="shared" si="22"/>
        <v>3.5</v>
      </c>
      <c r="AD40" s="587">
        <f>AS6+AS7+AS8+AS9+AS15+AS16+AS17+AS18+AS19+AS20+AS21+AS22+AS23</f>
        <v>0</v>
      </c>
      <c r="AE40" s="26"/>
      <c r="AF40" s="28"/>
      <c r="AG40" s="26"/>
      <c r="AI40" s="26"/>
      <c r="AJ40" s="26"/>
      <c r="AK40" s="26"/>
      <c r="AL40" s="24"/>
      <c r="AN40" s="26"/>
      <c r="AP40" s="24"/>
      <c r="AS40" s="23"/>
      <c r="AT40" s="24"/>
      <c r="AV40" s="25"/>
      <c r="AX40" s="23"/>
      <c r="AY40" s="23"/>
      <c r="AZ40" s="23"/>
      <c r="BA40" s="23"/>
      <c r="BB40" s="23"/>
      <c r="BC40" s="23"/>
      <c r="BD40" s="23"/>
      <c r="BE40" s="23"/>
      <c r="BF40" s="23"/>
      <c r="BG40" s="23"/>
    </row>
    <row r="41" spans="1:59" ht="23.25">
      <c r="L41" s="441" t="s">
        <v>186</v>
      </c>
      <c r="M41" s="470">
        <f>$AT$6</f>
        <v>12</v>
      </c>
      <c r="N41" s="430">
        <f>$AT9</f>
        <v>0</v>
      </c>
      <c r="O41" s="430">
        <f>$AT7</f>
        <v>0</v>
      </c>
      <c r="P41" s="430">
        <f>$AT8</f>
        <v>0</v>
      </c>
      <c r="Q41" s="430">
        <f>AT15+AT16+AT17+AT18+AT19+AT21+AT22+AT23</f>
        <v>0</v>
      </c>
      <c r="R41" s="430">
        <f>$AT20</f>
        <v>0</v>
      </c>
      <c r="S41" s="446">
        <f t="shared" si="23"/>
        <v>12</v>
      </c>
      <c r="T41" s="686"/>
      <c r="U41" s="26"/>
      <c r="V41" s="441" t="s">
        <v>186</v>
      </c>
      <c r="W41" s="440">
        <f>AV$6</f>
        <v>0</v>
      </c>
      <c r="X41" s="430">
        <f>$AV9</f>
        <v>0.5</v>
      </c>
      <c r="Y41" s="430">
        <f>$AV7</f>
        <v>0</v>
      </c>
      <c r="Z41" s="430">
        <f>$AV8</f>
        <v>0.5</v>
      </c>
      <c r="AA41" s="430">
        <f>AV$15+AV$16+AV$17+AV$18+AV$19+AV$21+AV$22+AV$23</f>
        <v>0</v>
      </c>
      <c r="AB41" s="719">
        <f>$AV20</f>
        <v>0</v>
      </c>
      <c r="AC41" s="723">
        <f t="shared" si="22"/>
        <v>1</v>
      </c>
      <c r="AD41" s="587">
        <f>AW6+AW7+AW8+AW9+AW15+AW16+AW17+AW18+AW20+AW19+AW21+AW22+AW23</f>
        <v>19.850000000000001</v>
      </c>
      <c r="AE41" s="26"/>
      <c r="AH41" s="24"/>
      <c r="AJ41" s="25"/>
      <c r="AL41" s="24"/>
      <c r="AN41" s="25"/>
      <c r="AP41" s="24"/>
      <c r="AR41" s="25"/>
      <c r="AT41" s="24"/>
      <c r="AV41" s="25"/>
      <c r="AX41" s="23"/>
      <c r="AY41" s="23"/>
      <c r="AZ41" s="23"/>
      <c r="BA41" s="23"/>
      <c r="BB41" s="23"/>
      <c r="BC41" s="23"/>
      <c r="BD41" s="23"/>
      <c r="BE41" s="23"/>
      <c r="BF41" s="23"/>
      <c r="BG41" s="23"/>
    </row>
    <row r="42" spans="1:59" ht="23.25">
      <c r="L42" s="441" t="s">
        <v>203</v>
      </c>
      <c r="M42" s="470">
        <f>$AX$6</f>
        <v>20</v>
      </c>
      <c r="N42" s="430">
        <f>$AX9</f>
        <v>0</v>
      </c>
      <c r="O42" s="430">
        <f>$AX7</f>
        <v>0</v>
      </c>
      <c r="P42" s="430">
        <f>$AX8</f>
        <v>0</v>
      </c>
      <c r="Q42" s="430">
        <f>AX15+AX16+AX17+AX18+AX19+AX21+AX22+AX23</f>
        <v>0</v>
      </c>
      <c r="R42" s="430">
        <f>$AX20</f>
        <v>0</v>
      </c>
      <c r="S42" s="446">
        <f t="shared" si="23"/>
        <v>20</v>
      </c>
      <c r="T42" s="686"/>
      <c r="U42" s="26"/>
      <c r="V42" s="441" t="s">
        <v>203</v>
      </c>
      <c r="W42" s="440">
        <f>AZ$6</f>
        <v>0</v>
      </c>
      <c r="X42" s="430">
        <f>$AZ9</f>
        <v>0</v>
      </c>
      <c r="Y42" s="430">
        <f>$AZ7</f>
        <v>0</v>
      </c>
      <c r="Z42" s="430">
        <f>$AZ8</f>
        <v>0</v>
      </c>
      <c r="AA42" s="430">
        <f>AZ$15+AZ$16+AZ$17+AZ$18+AZ$19+AZ$21+AZ$22+AZ$23</f>
        <v>0</v>
      </c>
      <c r="AB42" s="719">
        <f>$AZ20</f>
        <v>0</v>
      </c>
      <c r="AC42" s="723">
        <f t="shared" si="22"/>
        <v>0</v>
      </c>
      <c r="AD42" s="587">
        <f>BA6+BA7+BA8+BA9+BA15+BA16+BA17+BA18+BA19+BA20+BA21+BA22+BA23</f>
        <v>0</v>
      </c>
      <c r="AE42" s="26"/>
      <c r="AH42" s="24"/>
      <c r="AJ42" s="25"/>
      <c r="AL42" s="24"/>
      <c r="AN42" s="25"/>
      <c r="AP42" s="24"/>
      <c r="AR42" s="25"/>
      <c r="AT42" s="24"/>
      <c r="AV42" s="25"/>
      <c r="AX42" s="23"/>
      <c r="AY42" s="23"/>
      <c r="AZ42" s="23"/>
      <c r="BA42" s="23"/>
      <c r="BB42" s="23"/>
      <c r="BC42" s="23"/>
      <c r="BD42" s="23"/>
      <c r="BE42" s="23"/>
      <c r="BF42" s="23"/>
      <c r="BG42" s="23"/>
    </row>
    <row r="43" spans="1:59" ht="24" thickBot="1">
      <c r="L43" s="442" t="s">
        <v>191</v>
      </c>
      <c r="M43" s="443">
        <f t="shared" ref="M43" si="24">SUM(M33:M42)</f>
        <v>79</v>
      </c>
      <c r="N43" s="444">
        <f>SUM(N33:N42)</f>
        <v>5</v>
      </c>
      <c r="O43" s="443">
        <f t="shared" ref="O43" si="25">SUM(O33:O42)</f>
        <v>0</v>
      </c>
      <c r="P43" s="444">
        <f>SUM(P33:P42)</f>
        <v>8</v>
      </c>
      <c r="Q43" s="444">
        <f>SUM(Q33:Q42)</f>
        <v>5</v>
      </c>
      <c r="R43" s="445">
        <f>SUM(R33:R42)</f>
        <v>6.85</v>
      </c>
      <c r="S43" s="451">
        <f>SUM(S33:S42)</f>
        <v>103.85</v>
      </c>
      <c r="T43" s="687"/>
      <c r="U43" s="26"/>
      <c r="V43" s="442" t="s">
        <v>191</v>
      </c>
      <c r="W43" s="443">
        <f t="shared" ref="W43:Y43" si="26">SUM(W33:W42)</f>
        <v>36</v>
      </c>
      <c r="X43" s="444">
        <f>SUM(X33:X42)</f>
        <v>2.1</v>
      </c>
      <c r="Y43" s="443">
        <f t="shared" si="26"/>
        <v>0</v>
      </c>
      <c r="Z43" s="444">
        <f>SUM(Z33:Z42)</f>
        <v>5.5</v>
      </c>
      <c r="AA43" s="444">
        <f>SUM(AA33:AA42)</f>
        <v>0</v>
      </c>
      <c r="AB43" s="720">
        <f>SUM(AB33:AB42)</f>
        <v>0</v>
      </c>
      <c r="AC43" s="724">
        <f>SUM(AC33:AC42)</f>
        <v>43.6</v>
      </c>
      <c r="AD43" s="725">
        <f>SUM(AD33:AD42)</f>
        <v>19.850000000000001</v>
      </c>
      <c r="AE43" s="26"/>
      <c r="AH43" s="24"/>
      <c r="AJ43" s="25"/>
      <c r="AL43" s="24"/>
      <c r="AN43" s="25"/>
      <c r="AP43" s="24"/>
      <c r="AR43" s="25"/>
      <c r="AT43" s="24"/>
      <c r="AV43" s="25"/>
      <c r="AX43" s="23"/>
      <c r="AY43" s="23"/>
      <c r="AZ43" s="23"/>
      <c r="BA43" s="23"/>
      <c r="BB43" s="23"/>
      <c r="BC43" s="23"/>
      <c r="BD43" s="23"/>
      <c r="BE43" s="23"/>
      <c r="BF43" s="23"/>
      <c r="BG43" s="23"/>
    </row>
    <row r="44" spans="1:59" ht="24.75" customHeight="1" thickBot="1">
      <c r="L44" s="26"/>
      <c r="M44" s="26"/>
      <c r="N44" s="24"/>
      <c r="P44" s="26"/>
      <c r="Q44" s="26"/>
      <c r="R44" s="24"/>
      <c r="T44" s="26"/>
      <c r="U44" s="26"/>
      <c r="V44" s="24"/>
      <c r="Z44" s="24"/>
      <c r="AD44" s="24"/>
      <c r="AE44" s="26"/>
      <c r="AF44" s="466"/>
      <c r="AG44" s="466"/>
      <c r="AH44" s="466"/>
      <c r="AI44" s="467"/>
      <c r="AL44" s="24"/>
      <c r="AM44" s="25"/>
      <c r="AP44" s="24"/>
      <c r="AQ44" s="25"/>
      <c r="AT44" s="24"/>
      <c r="AU44" s="25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</row>
    <row r="45" spans="1:59" ht="24.75" customHeight="1" thickBot="1">
      <c r="L45" s="1929" t="str">
        <f>L31</f>
        <v>Mode wise Collection Plan-21-01-2022</v>
      </c>
      <c r="M45" s="1930"/>
      <c r="N45" s="1930"/>
      <c r="O45" s="1930"/>
      <c r="P45" s="1930"/>
      <c r="Q45" s="1930"/>
      <c r="R45" s="1930"/>
      <c r="S45" s="1930"/>
      <c r="T45" s="1931"/>
      <c r="U45" s="26"/>
      <c r="V45" s="1923" t="s">
        <v>305</v>
      </c>
      <c r="W45" s="1937"/>
      <c r="X45" s="1937"/>
      <c r="Y45" s="1937"/>
      <c r="Z45" s="1937"/>
      <c r="AA45" s="1937"/>
      <c r="AB45" s="1937"/>
      <c r="AC45" s="1937"/>
      <c r="AD45" s="1937"/>
      <c r="AE45" s="1938"/>
      <c r="AF45" s="466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</row>
    <row r="46" spans="1:59" s="28" customFormat="1" ht="31.5">
      <c r="D46" s="29"/>
      <c r="E46" s="29"/>
      <c r="F46" s="29"/>
      <c r="I46" s="29"/>
      <c r="L46" s="450" t="s">
        <v>0</v>
      </c>
      <c r="M46" s="439" t="s">
        <v>200</v>
      </c>
      <c r="N46" s="454" t="s">
        <v>205</v>
      </c>
      <c r="O46" s="439" t="s">
        <v>31</v>
      </c>
      <c r="P46" s="448" t="s">
        <v>201</v>
      </c>
      <c r="Q46" s="455" t="s">
        <v>206</v>
      </c>
      <c r="R46" s="436" t="s">
        <v>22</v>
      </c>
      <c r="S46" s="438" t="s">
        <v>191</v>
      </c>
      <c r="T46" s="438" t="s">
        <v>244</v>
      </c>
      <c r="U46" s="26"/>
      <c r="V46" s="596" t="s">
        <v>0</v>
      </c>
      <c r="W46" s="436" t="s">
        <v>200</v>
      </c>
      <c r="X46" s="454" t="s">
        <v>205</v>
      </c>
      <c r="Y46" s="436" t="s">
        <v>31</v>
      </c>
      <c r="Z46" s="448" t="s">
        <v>201</v>
      </c>
      <c r="AA46" s="453" t="s">
        <v>206</v>
      </c>
      <c r="AB46" s="453" t="s">
        <v>210</v>
      </c>
      <c r="AC46" s="436" t="s">
        <v>22</v>
      </c>
      <c r="AD46" s="437" t="s">
        <v>191</v>
      </c>
      <c r="AE46" s="438" t="s">
        <v>244</v>
      </c>
      <c r="AF46" s="466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</row>
    <row r="47" spans="1:59" ht="23.25">
      <c r="L47" s="441" t="s">
        <v>189</v>
      </c>
      <c r="M47" s="470">
        <v>7</v>
      </c>
      <c r="N47" s="430">
        <v>1</v>
      </c>
      <c r="O47" s="430">
        <v>0</v>
      </c>
      <c r="P47" s="430">
        <v>2</v>
      </c>
      <c r="Q47" s="430">
        <v>0</v>
      </c>
      <c r="R47" s="430">
        <v>0</v>
      </c>
      <c r="S47" s="446">
        <f t="shared" ref="S47:S56" si="27">SUM(M47:R47)</f>
        <v>10</v>
      </c>
      <c r="T47" s="446"/>
      <c r="U47" s="26"/>
      <c r="V47" s="586" t="s">
        <v>189</v>
      </c>
      <c r="W47" s="430"/>
      <c r="X47" s="430">
        <v>1.93</v>
      </c>
      <c r="Y47" s="430"/>
      <c r="Z47" s="430"/>
      <c r="AA47" s="430"/>
      <c r="AB47" s="655"/>
      <c r="AC47" s="430"/>
      <c r="AD47" s="568">
        <f t="shared" ref="AD47:AD56" si="28">SUM(W47:AC47)</f>
        <v>1.93</v>
      </c>
      <c r="AE47" s="587">
        <f>L27+L28+L29</f>
        <v>0</v>
      </c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T47" s="24"/>
      <c r="AU47" s="25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</row>
    <row r="48" spans="1:59" ht="23.25">
      <c r="L48" s="441" t="s">
        <v>183</v>
      </c>
      <c r="M48" s="470">
        <v>10</v>
      </c>
      <c r="N48" s="430">
        <v>0</v>
      </c>
      <c r="O48" s="430">
        <v>0</v>
      </c>
      <c r="P48" s="430">
        <v>0</v>
      </c>
      <c r="Q48" s="430">
        <v>5</v>
      </c>
      <c r="R48" s="430">
        <v>0</v>
      </c>
      <c r="S48" s="446">
        <f t="shared" si="27"/>
        <v>15</v>
      </c>
      <c r="T48" s="446">
        <v>17</v>
      </c>
      <c r="U48" s="466"/>
      <c r="V48" s="586" t="s">
        <v>183</v>
      </c>
      <c r="W48" s="430"/>
      <c r="X48" s="430"/>
      <c r="Y48" s="430"/>
      <c r="Z48" s="430"/>
      <c r="AA48" s="430"/>
      <c r="AB48" s="655"/>
      <c r="AC48" s="430"/>
      <c r="AD48" s="568">
        <f t="shared" si="28"/>
        <v>0</v>
      </c>
      <c r="AE48" s="516">
        <f>P27+P28+P29</f>
        <v>0</v>
      </c>
      <c r="AH48" s="24"/>
      <c r="AI48" s="25"/>
      <c r="AL48" s="24"/>
      <c r="AM48" s="25"/>
      <c r="AP48" s="24"/>
      <c r="AQ48" s="25"/>
      <c r="AT48" s="24"/>
      <c r="AU48" s="25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</row>
    <row r="49" spans="10:59" ht="23.25">
      <c r="L49" s="441" t="s">
        <v>184</v>
      </c>
      <c r="M49" s="470">
        <v>5</v>
      </c>
      <c r="N49" s="430">
        <v>0</v>
      </c>
      <c r="O49" s="430">
        <v>0</v>
      </c>
      <c r="P49" s="430">
        <v>0</v>
      </c>
      <c r="Q49" s="430">
        <v>0</v>
      </c>
      <c r="R49" s="430">
        <v>0</v>
      </c>
      <c r="S49" s="446">
        <f t="shared" si="27"/>
        <v>5</v>
      </c>
      <c r="T49" s="446"/>
      <c r="U49" s="466"/>
      <c r="V49" s="586" t="s">
        <v>184</v>
      </c>
      <c r="W49" s="430"/>
      <c r="X49" s="430"/>
      <c r="Y49" s="430"/>
      <c r="Z49" s="430"/>
      <c r="AA49" s="430"/>
      <c r="AB49" s="655"/>
      <c r="AC49" s="430"/>
      <c r="AD49" s="568">
        <f t="shared" si="28"/>
        <v>0</v>
      </c>
      <c r="AE49" s="516">
        <f>T27+T28+T29</f>
        <v>0</v>
      </c>
      <c r="AH49" s="24"/>
      <c r="AI49" s="25"/>
      <c r="AL49" s="24"/>
      <c r="AM49" s="25"/>
      <c r="AP49" s="24"/>
      <c r="AQ49" s="25"/>
      <c r="AT49" s="24"/>
      <c r="AU49" s="25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</row>
    <row r="50" spans="10:59" ht="23.25">
      <c r="L50" s="441" t="s">
        <v>170</v>
      </c>
      <c r="M50" s="470">
        <v>2</v>
      </c>
      <c r="N50" s="430">
        <v>3</v>
      </c>
      <c r="O50" s="430">
        <v>0</v>
      </c>
      <c r="P50" s="430">
        <v>0</v>
      </c>
      <c r="Q50" s="430">
        <v>0</v>
      </c>
      <c r="R50" s="430">
        <v>0</v>
      </c>
      <c r="S50" s="446">
        <f t="shared" si="27"/>
        <v>5</v>
      </c>
      <c r="T50" s="446"/>
      <c r="U50" s="466"/>
      <c r="V50" s="586" t="s">
        <v>170</v>
      </c>
      <c r="W50" s="430"/>
      <c r="X50" s="430"/>
      <c r="Y50" s="430"/>
      <c r="Z50" s="430"/>
      <c r="AA50" s="430"/>
      <c r="AB50" s="655"/>
      <c r="AC50" s="430"/>
      <c r="AD50" s="568">
        <f t="shared" si="28"/>
        <v>0</v>
      </c>
      <c r="AE50" s="516">
        <f>X27+X28+X29</f>
        <v>0</v>
      </c>
      <c r="AH50" s="24"/>
      <c r="AI50" s="25"/>
      <c r="AL50" s="24"/>
      <c r="AM50" s="25"/>
      <c r="AP50" s="24"/>
      <c r="AQ50" s="25"/>
      <c r="AT50" s="24"/>
      <c r="AU50" s="25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</row>
    <row r="51" spans="10:59" ht="23.25">
      <c r="L51" s="441" t="s">
        <v>171</v>
      </c>
      <c r="M51" s="470">
        <v>0</v>
      </c>
      <c r="N51" s="430">
        <v>0</v>
      </c>
      <c r="O51" s="430">
        <v>0</v>
      </c>
      <c r="P51" s="430">
        <v>0</v>
      </c>
      <c r="Q51" s="430">
        <v>0</v>
      </c>
      <c r="R51" s="430">
        <v>0</v>
      </c>
      <c r="S51" s="446">
        <f t="shared" si="27"/>
        <v>0</v>
      </c>
      <c r="T51" s="446"/>
      <c r="U51" s="466"/>
      <c r="V51" s="586" t="s">
        <v>171</v>
      </c>
      <c r="W51" s="430"/>
      <c r="X51" s="430"/>
      <c r="Y51" s="430"/>
      <c r="Z51" s="430"/>
      <c r="AA51" s="430"/>
      <c r="AB51" s="655"/>
      <c r="AC51" s="430"/>
      <c r="AD51" s="568">
        <f t="shared" si="28"/>
        <v>0</v>
      </c>
      <c r="AE51" s="516">
        <f>AB27+AB28+AB29</f>
        <v>0</v>
      </c>
      <c r="AH51" s="24"/>
      <c r="AI51" s="25"/>
      <c r="AL51" s="24"/>
      <c r="AM51" s="25"/>
      <c r="AP51" s="24"/>
      <c r="AQ51" s="25"/>
      <c r="AT51" s="24"/>
      <c r="AU51" s="25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</row>
    <row r="52" spans="10:59" ht="23.25">
      <c r="L52" s="441" t="s">
        <v>190</v>
      </c>
      <c r="M52" s="492">
        <v>10</v>
      </c>
      <c r="N52" s="471">
        <v>0</v>
      </c>
      <c r="O52" s="471">
        <v>0</v>
      </c>
      <c r="P52" s="471">
        <v>0</v>
      </c>
      <c r="Q52" s="430">
        <v>0</v>
      </c>
      <c r="R52" s="471">
        <v>0</v>
      </c>
      <c r="S52" s="446">
        <f t="shared" si="27"/>
        <v>10</v>
      </c>
      <c r="T52" s="446"/>
      <c r="U52" s="466"/>
      <c r="V52" s="586" t="s">
        <v>190</v>
      </c>
      <c r="W52" s="430"/>
      <c r="X52" s="430"/>
      <c r="Y52" s="430"/>
      <c r="Z52" s="430"/>
      <c r="AA52" s="430"/>
      <c r="AB52" s="655"/>
      <c r="AC52" s="430"/>
      <c r="AD52" s="568">
        <f t="shared" si="28"/>
        <v>0</v>
      </c>
      <c r="AE52" s="516">
        <f>AF27+AF28+AF29</f>
        <v>0</v>
      </c>
      <c r="AF52" s="26"/>
      <c r="AH52" s="24"/>
      <c r="AI52" s="25"/>
      <c r="AL52" s="24"/>
      <c r="AM52" s="25"/>
      <c r="AP52" s="24"/>
      <c r="AQ52" s="25"/>
      <c r="AT52" s="24"/>
      <c r="AU52" s="25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</row>
    <row r="53" spans="10:59" ht="23.25">
      <c r="L53" s="441" t="s">
        <v>185</v>
      </c>
      <c r="M53" s="470">
        <v>8</v>
      </c>
      <c r="N53" s="430">
        <v>1</v>
      </c>
      <c r="O53" s="430">
        <v>0</v>
      </c>
      <c r="P53" s="430">
        <v>6</v>
      </c>
      <c r="Q53" s="430">
        <v>0</v>
      </c>
      <c r="R53" s="430">
        <v>6.85</v>
      </c>
      <c r="S53" s="446">
        <f t="shared" si="27"/>
        <v>21.85</v>
      </c>
      <c r="T53" s="446"/>
      <c r="U53" s="466"/>
      <c r="V53" s="586" t="s">
        <v>185</v>
      </c>
      <c r="W53" s="575">
        <v>11</v>
      </c>
      <c r="X53" s="430"/>
      <c r="Y53" s="430"/>
      <c r="Z53" s="430"/>
      <c r="AA53" s="430"/>
      <c r="AB53" s="655"/>
      <c r="AC53" s="430"/>
      <c r="AD53" s="568">
        <f t="shared" si="28"/>
        <v>11</v>
      </c>
      <c r="AE53" s="516">
        <f>AN27+AN28+AN29</f>
        <v>0</v>
      </c>
      <c r="AF53" s="26"/>
      <c r="AH53" s="24"/>
      <c r="AI53" s="25"/>
      <c r="AL53" s="24"/>
      <c r="AM53" s="25"/>
      <c r="AP53" s="24"/>
      <c r="AQ53" s="25"/>
      <c r="AT53" s="24"/>
      <c r="AU53" s="25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</row>
    <row r="54" spans="10:59" ht="23.25">
      <c r="L54" s="441" t="s">
        <v>202</v>
      </c>
      <c r="M54" s="470">
        <v>5</v>
      </c>
      <c r="N54" s="430">
        <v>0</v>
      </c>
      <c r="O54" s="430">
        <v>0</v>
      </c>
      <c r="P54" s="430">
        <v>0</v>
      </c>
      <c r="Q54" s="430">
        <v>0</v>
      </c>
      <c r="R54" s="430">
        <v>0</v>
      </c>
      <c r="S54" s="446">
        <f t="shared" si="27"/>
        <v>5</v>
      </c>
      <c r="T54" s="446"/>
      <c r="U54" s="466"/>
      <c r="V54" s="586" t="s">
        <v>202</v>
      </c>
      <c r="W54" s="430"/>
      <c r="X54" s="430"/>
      <c r="Y54" s="430"/>
      <c r="Z54" s="430"/>
      <c r="AA54" s="430"/>
      <c r="AB54" s="655"/>
      <c r="AC54" s="430"/>
      <c r="AD54" s="568">
        <f t="shared" si="28"/>
        <v>0</v>
      </c>
      <c r="AE54" s="516">
        <f>AR27+AR28+AR29</f>
        <v>0</v>
      </c>
      <c r="AF54" s="466"/>
      <c r="AH54" s="24"/>
      <c r="AI54" s="25"/>
      <c r="AL54" s="24"/>
      <c r="AM54" s="25"/>
      <c r="AP54" s="24"/>
      <c r="AQ54" s="25"/>
      <c r="AT54" s="24"/>
      <c r="AU54" s="25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</row>
    <row r="55" spans="10:59" ht="23.25">
      <c r="L55" s="441" t="s">
        <v>186</v>
      </c>
      <c r="M55" s="470">
        <v>12</v>
      </c>
      <c r="N55" s="430">
        <v>0</v>
      </c>
      <c r="O55" s="430">
        <v>0</v>
      </c>
      <c r="P55" s="430">
        <v>0</v>
      </c>
      <c r="Q55" s="430">
        <v>0</v>
      </c>
      <c r="R55" s="430">
        <v>0</v>
      </c>
      <c r="S55" s="446">
        <f t="shared" si="27"/>
        <v>12</v>
      </c>
      <c r="T55" s="446"/>
      <c r="U55" s="466"/>
      <c r="V55" s="586" t="s">
        <v>186</v>
      </c>
      <c r="W55" s="430"/>
      <c r="X55" s="430"/>
      <c r="Y55" s="430"/>
      <c r="Z55" s="430">
        <v>10</v>
      </c>
      <c r="AA55" s="430"/>
      <c r="AB55" s="655"/>
      <c r="AC55" s="430"/>
      <c r="AD55" s="568">
        <f t="shared" si="28"/>
        <v>10</v>
      </c>
      <c r="AE55" s="516">
        <f>AV27+AV28+AV29</f>
        <v>19.850000000000001</v>
      </c>
      <c r="AF55" s="466"/>
      <c r="AH55" s="24"/>
      <c r="AI55" s="25"/>
      <c r="AL55" s="24"/>
      <c r="AM55" s="25"/>
      <c r="AP55" s="24"/>
      <c r="AQ55" s="25"/>
      <c r="AT55" s="24"/>
      <c r="AU55" s="25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</row>
    <row r="56" spans="10:59" ht="23.25">
      <c r="L56" s="441" t="s">
        <v>203</v>
      </c>
      <c r="M56" s="470">
        <v>20</v>
      </c>
      <c r="N56" s="430">
        <v>0</v>
      </c>
      <c r="O56" s="430">
        <v>0</v>
      </c>
      <c r="P56" s="430">
        <v>0</v>
      </c>
      <c r="Q56" s="430">
        <v>0</v>
      </c>
      <c r="R56" s="430">
        <v>0</v>
      </c>
      <c r="S56" s="446">
        <f t="shared" si="27"/>
        <v>20</v>
      </c>
      <c r="T56" s="446"/>
      <c r="U56" s="466"/>
      <c r="V56" s="586" t="s">
        <v>203</v>
      </c>
      <c r="W56" s="430">
        <v>45.9</v>
      </c>
      <c r="X56" s="430"/>
      <c r="Y56" s="430"/>
      <c r="Z56" s="430"/>
      <c r="AA56" s="430"/>
      <c r="AB56" s="655"/>
      <c r="AC56" s="430"/>
      <c r="AD56" s="568">
        <f t="shared" si="28"/>
        <v>45.9</v>
      </c>
      <c r="AE56" s="587">
        <f>AZ27+AZ28+AZ29</f>
        <v>0</v>
      </c>
      <c r="AF56" s="466"/>
      <c r="AH56" s="24"/>
      <c r="AI56" s="25"/>
      <c r="AL56" s="24"/>
      <c r="AM56" s="25"/>
      <c r="AP56" s="24"/>
      <c r="AQ56" s="25"/>
      <c r="AT56" s="24"/>
      <c r="AU56" s="25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</row>
    <row r="57" spans="10:59" ht="24" thickBot="1">
      <c r="L57" s="442" t="s">
        <v>191</v>
      </c>
      <c r="M57" s="443">
        <f t="shared" ref="M57" si="29">SUM(M47:M56)</f>
        <v>79</v>
      </c>
      <c r="N57" s="444">
        <f>SUM(N47:N56)</f>
        <v>5</v>
      </c>
      <c r="O57" s="443">
        <f t="shared" ref="O57" si="30">SUM(O47:O56)</f>
        <v>0</v>
      </c>
      <c r="P57" s="444">
        <f>SUM(P47:P56)</f>
        <v>8</v>
      </c>
      <c r="Q57" s="444">
        <f>SUM(Q47:Q56)</f>
        <v>5</v>
      </c>
      <c r="R57" s="445">
        <f>SUM(R47:R56)</f>
        <v>6.85</v>
      </c>
      <c r="S57" s="451">
        <f>SUM(S47:S56)</f>
        <v>103.85</v>
      </c>
      <c r="T57" s="451">
        <f>SUM(T47:T56)</f>
        <v>17</v>
      </c>
      <c r="U57" s="466"/>
      <c r="V57" s="588" t="s">
        <v>191</v>
      </c>
      <c r="W57" s="589">
        <f t="shared" ref="W57" si="31">SUM(W47:W56)</f>
        <v>56.9</v>
      </c>
      <c r="X57" s="444">
        <f>SUM(X47:X56)</f>
        <v>1.93</v>
      </c>
      <c r="Y57" s="444">
        <f t="shared" ref="Y57" si="32">SUM(Y47:Y56)</f>
        <v>0</v>
      </c>
      <c r="Z57" s="444">
        <f>SUM(Z47:Z56)</f>
        <v>10</v>
      </c>
      <c r="AA57" s="444">
        <f>SUM(AA47:AA56)</f>
        <v>0</v>
      </c>
      <c r="AB57" s="444"/>
      <c r="AC57" s="444">
        <f t="shared" ref="AC57" si="33">SUM(AC47:AC56)</f>
        <v>0</v>
      </c>
      <c r="AD57" s="630">
        <f>SUM(AD47:AD56)</f>
        <v>68.83</v>
      </c>
      <c r="AE57" s="631">
        <f>SUM(AE47:AE56)</f>
        <v>19.850000000000001</v>
      </c>
      <c r="AF57" s="466"/>
      <c r="AH57" s="24"/>
      <c r="AI57" s="25"/>
      <c r="AL57" s="24"/>
      <c r="AM57" s="25"/>
      <c r="AP57" s="24"/>
      <c r="AQ57" s="25"/>
      <c r="AT57" s="24"/>
      <c r="AU57" s="25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</row>
    <row r="58" spans="10:59" ht="27" thickBot="1">
      <c r="L58" s="26"/>
      <c r="M58" s="26"/>
      <c r="N58" s="24"/>
      <c r="O58" s="1958" t="s">
        <v>254</v>
      </c>
      <c r="P58" s="1959"/>
      <c r="Q58" s="1959"/>
      <c r="R58" s="1960"/>
      <c r="S58" s="1927">
        <f>S57+T57</f>
        <v>120.85</v>
      </c>
      <c r="T58" s="1928"/>
      <c r="U58" s="466"/>
      <c r="V58" s="1932" t="s">
        <v>221</v>
      </c>
      <c r="W58" s="1932"/>
      <c r="X58" s="1932"/>
      <c r="Y58" s="1932"/>
      <c r="Z58" s="1932"/>
      <c r="AA58" s="1932"/>
      <c r="AB58" s="1932"/>
      <c r="AC58" s="1932"/>
      <c r="AD58" s="1954">
        <f>AD57+AE57</f>
        <v>88.68</v>
      </c>
      <c r="AE58" s="1955"/>
      <c r="AF58" s="466"/>
      <c r="AH58" s="24"/>
      <c r="AI58" s="25"/>
      <c r="AL58" s="24"/>
      <c r="AM58" s="25"/>
      <c r="AP58" s="24"/>
      <c r="AQ58" s="25"/>
      <c r="AT58" s="24"/>
      <c r="AU58" s="25"/>
      <c r="AX58" s="24"/>
      <c r="AY58" s="24"/>
      <c r="AZ58" s="25"/>
      <c r="BA58" s="24"/>
      <c r="BB58" s="24"/>
      <c r="BC58" s="23"/>
      <c r="BD58" s="23"/>
      <c r="BE58" s="23"/>
      <c r="BF58" s="23"/>
      <c r="BG58" s="23"/>
    </row>
    <row r="59" spans="10:59" ht="25.9" customHeight="1" thickBot="1">
      <c r="J59" s="24"/>
      <c r="L59" s="1923" t="s">
        <v>321</v>
      </c>
      <c r="M59" s="1937"/>
      <c r="N59" s="1937"/>
      <c r="O59" s="1937"/>
      <c r="P59" s="1937"/>
      <c r="Q59" s="1937"/>
      <c r="R59" s="1937"/>
      <c r="S59" s="1937"/>
      <c r="T59" s="1937"/>
      <c r="U59" s="1938"/>
      <c r="V59" s="466"/>
      <c r="W59" s="466"/>
      <c r="X59" s="466"/>
      <c r="Y59" s="1922" t="s">
        <v>235</v>
      </c>
      <c r="Z59" s="1922"/>
      <c r="AA59" s="1922"/>
      <c r="AB59" s="1922"/>
      <c r="AC59" s="1922"/>
      <c r="AD59" s="1979">
        <f>W57+X57+AC57</f>
        <v>58.83</v>
      </c>
      <c r="AE59" s="1980"/>
      <c r="AF59" s="466"/>
      <c r="AH59" s="24"/>
      <c r="AI59" s="25"/>
      <c r="AL59" s="24"/>
      <c r="AP59" s="25"/>
      <c r="AT59" s="25"/>
      <c r="AX59" s="25"/>
      <c r="AY59" s="24"/>
      <c r="AZ59" s="24"/>
      <c r="BA59" s="24"/>
      <c r="BB59" s="25"/>
      <c r="BE59" s="23"/>
      <c r="BF59" s="23"/>
      <c r="BG59" s="23"/>
    </row>
    <row r="60" spans="10:59" ht="25.9" customHeight="1">
      <c r="J60" s="24"/>
      <c r="L60" s="596" t="s">
        <v>0</v>
      </c>
      <c r="M60" s="436" t="s">
        <v>200</v>
      </c>
      <c r="N60" s="454" t="s">
        <v>205</v>
      </c>
      <c r="O60" s="436" t="s">
        <v>31</v>
      </c>
      <c r="P60" s="448" t="s">
        <v>201</v>
      </c>
      <c r="Q60" s="453" t="s">
        <v>206</v>
      </c>
      <c r="R60" s="453" t="s">
        <v>210</v>
      </c>
      <c r="S60" s="436" t="s">
        <v>22</v>
      </c>
      <c r="T60" s="437" t="s">
        <v>191</v>
      </c>
      <c r="U60" s="438" t="s">
        <v>244</v>
      </c>
      <c r="V60" s="466"/>
      <c r="W60" s="466"/>
      <c r="X60" s="466"/>
      <c r="Y60" s="465"/>
      <c r="Z60" s="466"/>
      <c r="AA60" s="466"/>
      <c r="AB60" s="466"/>
      <c r="AC60" s="465"/>
      <c r="AD60" s="466"/>
      <c r="AF60" s="466"/>
      <c r="AH60" s="24"/>
      <c r="AI60" s="25"/>
      <c r="AL60" s="24"/>
      <c r="AP60" s="25"/>
      <c r="AT60" s="25"/>
      <c r="AX60" s="25"/>
      <c r="AY60" s="26"/>
      <c r="AZ60" s="26"/>
      <c r="BA60" s="24"/>
      <c r="BB60" s="24"/>
      <c r="BC60" s="25"/>
      <c r="BD60" s="25"/>
      <c r="BF60" s="23"/>
      <c r="BG60" s="23"/>
    </row>
    <row r="61" spans="10:59" ht="25.9" customHeight="1">
      <c r="J61" s="24"/>
      <c r="L61" s="586" t="s">
        <v>189</v>
      </c>
      <c r="M61" s="430">
        <v>0</v>
      </c>
      <c r="N61" s="430">
        <v>0.1</v>
      </c>
      <c r="O61" s="430">
        <v>0</v>
      </c>
      <c r="P61" s="430">
        <v>5</v>
      </c>
      <c r="Q61" s="430">
        <v>0</v>
      </c>
      <c r="R61" s="655">
        <v>0</v>
      </c>
      <c r="S61" s="430"/>
      <c r="T61" s="568">
        <f t="shared" ref="T61:T70" si="34">SUM(M61:S61)</f>
        <v>5.0999999999999996</v>
      </c>
      <c r="U61" s="587"/>
      <c r="V61" s="466"/>
      <c r="W61" s="466"/>
      <c r="X61" s="466"/>
      <c r="Y61" s="465"/>
      <c r="Z61" s="466"/>
      <c r="AA61" s="466"/>
      <c r="AB61" s="466"/>
      <c r="AC61" s="465"/>
      <c r="AD61" s="466"/>
      <c r="AF61" s="466"/>
      <c r="AH61" s="24"/>
      <c r="AI61" s="25"/>
      <c r="AL61" s="24"/>
      <c r="AM61" s="26"/>
      <c r="AN61" s="26"/>
      <c r="AP61" s="24"/>
      <c r="AQ61" s="26"/>
      <c r="AR61" s="26"/>
      <c r="AT61" s="24"/>
      <c r="AU61" s="26"/>
      <c r="AV61" s="26"/>
      <c r="AX61" s="24"/>
      <c r="AY61" s="26"/>
      <c r="AZ61" s="26"/>
      <c r="BA61" s="24"/>
      <c r="BB61" s="24"/>
      <c r="BC61" s="25"/>
      <c r="BD61" s="25"/>
      <c r="BF61" s="23"/>
      <c r="BG61" s="23"/>
    </row>
    <row r="62" spans="10:59" ht="25.9" customHeight="1">
      <c r="J62" s="24"/>
      <c r="L62" s="586" t="s">
        <v>183</v>
      </c>
      <c r="M62" s="430">
        <v>8.5</v>
      </c>
      <c r="N62" s="430">
        <v>1.5</v>
      </c>
      <c r="O62" s="430">
        <v>0</v>
      </c>
      <c r="P62" s="430">
        <v>0</v>
      </c>
      <c r="Q62" s="430">
        <v>0</v>
      </c>
      <c r="R62" s="655">
        <v>0</v>
      </c>
      <c r="S62" s="430"/>
      <c r="T62" s="568">
        <f t="shared" si="34"/>
        <v>10</v>
      </c>
      <c r="U62" s="516"/>
      <c r="V62" s="466"/>
      <c r="W62" s="466"/>
      <c r="X62" s="466"/>
      <c r="Y62" s="465"/>
      <c r="Z62" s="466"/>
      <c r="AA62" s="466"/>
      <c r="AB62" s="466"/>
      <c r="AC62" s="465"/>
      <c r="AD62" s="466"/>
      <c r="AF62" s="466"/>
      <c r="AH62" s="24"/>
      <c r="AI62" s="25"/>
      <c r="AL62" s="24"/>
      <c r="AM62" s="26"/>
      <c r="AN62" s="26"/>
      <c r="AP62" s="24"/>
      <c r="AQ62" s="26"/>
      <c r="AR62" s="26"/>
      <c r="AT62" s="24"/>
      <c r="AU62" s="26"/>
      <c r="AV62" s="26"/>
      <c r="AX62" s="24"/>
      <c r="AY62" s="26"/>
      <c r="AZ62" s="26"/>
      <c r="BA62" s="24"/>
      <c r="BB62" s="24"/>
      <c r="BC62" s="25"/>
      <c r="BD62" s="25"/>
      <c r="BF62" s="23"/>
      <c r="BG62" s="23"/>
    </row>
    <row r="63" spans="10:59" ht="25.9" customHeight="1">
      <c r="J63" s="24"/>
      <c r="L63" s="586" t="s">
        <v>184</v>
      </c>
      <c r="M63" s="430">
        <v>0</v>
      </c>
      <c r="N63" s="430">
        <v>0</v>
      </c>
      <c r="O63" s="430">
        <v>0</v>
      </c>
      <c r="P63" s="430">
        <v>0</v>
      </c>
      <c r="Q63" s="430">
        <v>0</v>
      </c>
      <c r="R63" s="655">
        <v>0</v>
      </c>
      <c r="S63" s="430"/>
      <c r="T63" s="568">
        <f t="shared" si="34"/>
        <v>0</v>
      </c>
      <c r="U63" s="516"/>
      <c r="V63" s="466"/>
      <c r="W63" s="466"/>
      <c r="X63" s="466"/>
      <c r="Y63" s="465"/>
      <c r="Z63" s="466"/>
      <c r="AA63" s="466"/>
      <c r="AB63" s="466"/>
      <c r="AC63" s="465"/>
      <c r="AD63" s="466"/>
      <c r="AG63" s="26"/>
      <c r="AH63" s="24"/>
      <c r="AK63" s="49"/>
      <c r="AL63" s="24"/>
      <c r="AM63" s="26"/>
      <c r="AN63" s="26"/>
      <c r="AP63" s="24"/>
      <c r="AQ63" s="26"/>
      <c r="AR63" s="26"/>
      <c r="AT63" s="24"/>
      <c r="AU63" s="26"/>
      <c r="AV63" s="26"/>
      <c r="AX63" s="24"/>
      <c r="AY63" s="26"/>
      <c r="AZ63" s="26"/>
      <c r="BA63" s="24"/>
      <c r="BB63" s="24"/>
      <c r="BC63" s="25"/>
      <c r="BD63" s="25"/>
      <c r="BF63" s="23"/>
      <c r="BG63" s="23"/>
    </row>
    <row r="64" spans="10:59" ht="25.9" customHeight="1">
      <c r="J64" s="24"/>
      <c r="L64" s="586" t="s">
        <v>170</v>
      </c>
      <c r="M64" s="430">
        <v>0</v>
      </c>
      <c r="N64" s="430">
        <v>0</v>
      </c>
      <c r="O64" s="430">
        <v>0</v>
      </c>
      <c r="P64" s="430">
        <v>0</v>
      </c>
      <c r="Q64" s="430">
        <v>0</v>
      </c>
      <c r="R64" s="655">
        <v>0</v>
      </c>
      <c r="S64" s="430"/>
      <c r="T64" s="568">
        <f t="shared" si="34"/>
        <v>0</v>
      </c>
      <c r="U64" s="516"/>
      <c r="V64" s="466"/>
      <c r="W64" s="466"/>
      <c r="X64" s="466"/>
      <c r="Y64" s="465"/>
      <c r="Z64" s="466"/>
      <c r="AA64" s="466"/>
      <c r="AB64" s="466"/>
      <c r="AC64" s="465"/>
      <c r="AD64" s="466"/>
      <c r="AG64" s="26"/>
      <c r="AH64" s="24"/>
      <c r="AK64" s="49"/>
      <c r="AL64" s="24"/>
      <c r="AO64" s="26"/>
      <c r="AP64" s="24"/>
      <c r="AQ64" s="26"/>
      <c r="AR64" s="26"/>
      <c r="AT64" s="24"/>
      <c r="AU64" s="26"/>
      <c r="AV64" s="26"/>
      <c r="AX64" s="24"/>
      <c r="AY64" s="26"/>
      <c r="AZ64" s="26"/>
      <c r="BA64" s="24"/>
      <c r="BB64" s="24"/>
      <c r="BE64" s="25"/>
      <c r="BF64" s="24"/>
      <c r="BG64" s="23"/>
    </row>
    <row r="65" spans="10:59" ht="25.9" customHeight="1">
      <c r="J65" s="24"/>
      <c r="L65" s="586" t="s">
        <v>171</v>
      </c>
      <c r="M65" s="430">
        <v>0</v>
      </c>
      <c r="N65" s="430">
        <v>0</v>
      </c>
      <c r="O65" s="430">
        <v>0</v>
      </c>
      <c r="P65" s="430">
        <v>0</v>
      </c>
      <c r="Q65" s="430">
        <v>0</v>
      </c>
      <c r="R65" s="655">
        <v>0</v>
      </c>
      <c r="S65" s="430"/>
      <c r="T65" s="568">
        <f t="shared" si="34"/>
        <v>0</v>
      </c>
      <c r="U65" s="516"/>
      <c r="V65" s="466"/>
      <c r="W65" s="466"/>
      <c r="X65" s="466"/>
      <c r="Y65" s="465"/>
      <c r="Z65" s="466"/>
      <c r="AA65" s="466"/>
      <c r="AB65" s="466"/>
      <c r="AC65" s="465"/>
      <c r="AD65" s="466"/>
      <c r="AG65" s="26"/>
      <c r="AH65" s="24"/>
      <c r="AK65" s="49"/>
      <c r="AL65" s="24"/>
      <c r="AO65" s="26"/>
      <c r="AP65" s="24"/>
      <c r="AQ65" s="26"/>
      <c r="AR65" s="26"/>
      <c r="AT65" s="24"/>
      <c r="AU65" s="26"/>
      <c r="AV65" s="26"/>
      <c r="AX65" s="24"/>
      <c r="AY65" s="26"/>
      <c r="AZ65" s="26"/>
      <c r="BA65" s="24"/>
      <c r="BB65" s="24"/>
      <c r="BE65" s="25"/>
      <c r="BF65" s="24"/>
      <c r="BG65" s="23"/>
    </row>
    <row r="66" spans="10:59" ht="25.9" customHeight="1">
      <c r="J66" s="24"/>
      <c r="L66" s="586" t="s">
        <v>190</v>
      </c>
      <c r="M66" s="430">
        <v>20</v>
      </c>
      <c r="N66" s="430">
        <v>0</v>
      </c>
      <c r="O66" s="430">
        <v>0</v>
      </c>
      <c r="P66" s="430">
        <v>0</v>
      </c>
      <c r="Q66" s="430">
        <v>0</v>
      </c>
      <c r="R66" s="655">
        <v>0</v>
      </c>
      <c r="S66" s="430"/>
      <c r="T66" s="568">
        <f t="shared" si="34"/>
        <v>20</v>
      </c>
      <c r="U66" s="516"/>
      <c r="V66" s="466"/>
      <c r="W66" s="466"/>
      <c r="X66" s="466"/>
      <c r="Y66" s="465"/>
      <c r="Z66" s="466"/>
      <c r="AA66" s="466"/>
      <c r="AB66" s="466"/>
      <c r="AC66" s="465"/>
      <c r="AD66" s="466"/>
      <c r="AG66" s="26"/>
      <c r="AH66" s="24"/>
      <c r="AK66" s="49"/>
      <c r="AL66" s="24"/>
      <c r="AO66" s="26"/>
      <c r="AP66" s="24"/>
      <c r="AQ66" s="26"/>
      <c r="AR66" s="26"/>
      <c r="AT66" s="24"/>
      <c r="AU66" s="26"/>
      <c r="AV66" s="26"/>
      <c r="AX66" s="24"/>
      <c r="AY66" s="26"/>
      <c r="AZ66" s="26"/>
      <c r="BA66" s="24"/>
      <c r="BB66" s="24"/>
      <c r="BE66" s="25"/>
      <c r="BF66" s="24"/>
      <c r="BG66" s="23"/>
    </row>
    <row r="67" spans="10:59" ht="25.9" customHeight="1">
      <c r="J67" s="24"/>
      <c r="L67" s="586" t="s">
        <v>185</v>
      </c>
      <c r="M67" s="575">
        <v>4</v>
      </c>
      <c r="N67" s="430">
        <v>0</v>
      </c>
      <c r="O67" s="430">
        <v>0</v>
      </c>
      <c r="P67" s="430">
        <v>0</v>
      </c>
      <c r="Q67" s="430">
        <v>0</v>
      </c>
      <c r="R67" s="655">
        <v>0</v>
      </c>
      <c r="S67" s="430"/>
      <c r="T67" s="568">
        <f t="shared" si="34"/>
        <v>4</v>
      </c>
      <c r="U67" s="516"/>
      <c r="V67" s="466"/>
      <c r="W67" s="466"/>
      <c r="X67" s="466"/>
      <c r="Y67" s="465"/>
      <c r="Z67" s="466"/>
      <c r="AA67" s="466"/>
      <c r="AB67" s="466"/>
      <c r="AC67" s="465">
        <f>20000/25</f>
        <v>800</v>
      </c>
      <c r="AD67" s="466"/>
      <c r="AG67" s="26"/>
      <c r="AH67" s="24"/>
      <c r="AK67" s="49"/>
      <c r="AL67" s="24"/>
      <c r="AO67" s="26"/>
      <c r="AP67" s="24"/>
      <c r="AQ67" s="26"/>
      <c r="AR67" s="26"/>
      <c r="AT67" s="24"/>
      <c r="AU67" s="26"/>
      <c r="AV67" s="26"/>
      <c r="AX67" s="24"/>
      <c r="AY67" s="26"/>
      <c r="AZ67" s="26"/>
      <c r="BA67" s="24"/>
      <c r="BB67" s="24"/>
      <c r="BE67" s="25"/>
      <c r="BF67" s="24"/>
      <c r="BG67" s="23"/>
    </row>
    <row r="68" spans="10:59" ht="25.9" customHeight="1">
      <c r="J68" s="24"/>
      <c r="L68" s="586" t="s">
        <v>202</v>
      </c>
      <c r="M68" s="430">
        <v>3.5</v>
      </c>
      <c r="N68" s="430">
        <v>0</v>
      </c>
      <c r="O68" s="430">
        <v>0</v>
      </c>
      <c r="P68" s="430">
        <v>0</v>
      </c>
      <c r="Q68" s="430">
        <v>0</v>
      </c>
      <c r="R68" s="655">
        <v>0</v>
      </c>
      <c r="S68" s="430"/>
      <c r="T68" s="568">
        <f t="shared" si="34"/>
        <v>3.5</v>
      </c>
      <c r="U68" s="516"/>
      <c r="V68" s="466"/>
      <c r="W68" s="466"/>
      <c r="X68" s="466"/>
      <c r="Y68" s="465"/>
      <c r="Z68" s="466"/>
      <c r="AA68" s="466"/>
      <c r="AB68" s="466"/>
      <c r="AC68" s="465"/>
      <c r="AD68" s="466"/>
      <c r="AG68" s="26"/>
      <c r="AH68" s="24"/>
      <c r="AK68" s="49"/>
      <c r="AL68" s="24"/>
      <c r="AO68" s="26"/>
      <c r="AP68" s="24"/>
      <c r="AQ68" s="26"/>
      <c r="AR68" s="26"/>
      <c r="AT68" s="24"/>
      <c r="AU68" s="26"/>
      <c r="AV68" s="26"/>
      <c r="AX68" s="24"/>
      <c r="AY68" s="26"/>
      <c r="AZ68" s="26"/>
      <c r="BA68" s="24"/>
      <c r="BB68" s="24"/>
      <c r="BE68" s="25"/>
      <c r="BF68" s="24"/>
      <c r="BG68" s="23"/>
    </row>
    <row r="69" spans="10:59" ht="25.9" customHeight="1">
      <c r="L69" s="586" t="s">
        <v>186</v>
      </c>
      <c r="M69" s="430">
        <v>12.81</v>
      </c>
      <c r="N69" s="430">
        <v>0.5</v>
      </c>
      <c r="O69" s="430">
        <v>0</v>
      </c>
      <c r="P69" s="430">
        <v>0.5</v>
      </c>
      <c r="Q69" s="430"/>
      <c r="R69" s="655">
        <v>0</v>
      </c>
      <c r="S69" s="430"/>
      <c r="T69" s="568">
        <f t="shared" si="34"/>
        <v>13.81</v>
      </c>
      <c r="U69" s="516"/>
      <c r="V69" s="466"/>
      <c r="W69" s="466"/>
      <c r="X69" s="466"/>
      <c r="Y69" s="465"/>
      <c r="Z69" s="466"/>
      <c r="AA69" s="466"/>
      <c r="AB69" s="466"/>
      <c r="AC69" s="465"/>
      <c r="AD69" s="466"/>
      <c r="AG69" s="26"/>
      <c r="AH69" s="24"/>
      <c r="AK69" s="49"/>
      <c r="AL69" s="24"/>
      <c r="AO69" s="26"/>
      <c r="AP69" s="24"/>
      <c r="AQ69" s="26"/>
      <c r="AR69" s="26"/>
      <c r="AT69" s="24"/>
      <c r="AU69" s="26"/>
      <c r="AV69" s="26"/>
      <c r="AX69" s="24"/>
      <c r="AY69" s="26"/>
      <c r="AZ69" s="26"/>
      <c r="BA69" s="24"/>
      <c r="BB69" s="24"/>
      <c r="BE69" s="25"/>
      <c r="BF69" s="24"/>
      <c r="BG69" s="23"/>
    </row>
    <row r="70" spans="10:59" ht="25.9" customHeight="1">
      <c r="L70" s="586" t="s">
        <v>203</v>
      </c>
      <c r="M70" s="430">
        <v>0</v>
      </c>
      <c r="N70" s="430">
        <v>0</v>
      </c>
      <c r="O70" s="430">
        <v>0</v>
      </c>
      <c r="P70" s="430">
        <v>0</v>
      </c>
      <c r="Q70" s="430">
        <v>0</v>
      </c>
      <c r="R70" s="655">
        <v>0</v>
      </c>
      <c r="S70" s="430"/>
      <c r="T70" s="568">
        <f t="shared" si="34"/>
        <v>0</v>
      </c>
      <c r="U70" s="587"/>
      <c r="V70" s="466"/>
      <c r="W70" s="466"/>
      <c r="X70" s="466"/>
      <c r="Y70" s="465"/>
      <c r="Z70" s="466"/>
      <c r="AA70" s="466"/>
      <c r="AB70" s="466"/>
      <c r="AC70" s="465"/>
      <c r="AD70" s="466"/>
      <c r="AG70" s="26"/>
      <c r="AH70" s="24"/>
      <c r="AK70" s="49"/>
      <c r="AL70" s="24"/>
      <c r="AM70" s="26"/>
      <c r="AN70" s="26"/>
      <c r="AY70" s="24"/>
      <c r="AZ70" s="24"/>
      <c r="BA70" s="24"/>
      <c r="BB70" s="24"/>
      <c r="BC70" s="25"/>
      <c r="BD70" s="25"/>
      <c r="BF70" s="23"/>
      <c r="BG70" s="23"/>
    </row>
    <row r="71" spans="10:59" ht="25.9" customHeight="1" thickBot="1">
      <c r="L71" s="588" t="s">
        <v>191</v>
      </c>
      <c r="M71" s="589">
        <f t="shared" ref="M71" si="35">SUM(M61:M70)</f>
        <v>48.81</v>
      </c>
      <c r="N71" s="444">
        <f>SUM(N61:N70)</f>
        <v>2.1</v>
      </c>
      <c r="O71" s="444">
        <f t="shared" ref="O71" si="36">SUM(O61:O70)</f>
        <v>0</v>
      </c>
      <c r="P71" s="444">
        <f>SUM(P61:P70)</f>
        <v>5.5</v>
      </c>
      <c r="Q71" s="444">
        <f>SUM(Q61:Q70)</f>
        <v>0</v>
      </c>
      <c r="R71" s="444"/>
      <c r="S71" s="444">
        <f t="shared" ref="S71" si="37">SUM(S61:S70)</f>
        <v>0</v>
      </c>
      <c r="T71" s="630">
        <f>SUM(T61:T70)</f>
        <v>56.410000000000004</v>
      </c>
      <c r="U71" s="631">
        <f>SUM(U61:U70)</f>
        <v>0</v>
      </c>
      <c r="V71" s="466"/>
      <c r="W71" s="466"/>
      <c r="X71" s="466"/>
      <c r="Y71" s="465"/>
      <c r="Z71" s="466"/>
      <c r="AA71" s="466"/>
      <c r="AB71" s="466"/>
      <c r="AC71" s="465"/>
      <c r="AD71" s="466"/>
      <c r="AG71" s="26"/>
      <c r="AH71" s="24"/>
      <c r="AK71" s="49"/>
      <c r="AL71" s="24"/>
      <c r="AM71" s="26"/>
      <c r="AN71" s="26"/>
      <c r="AY71" s="24"/>
      <c r="AZ71" s="24"/>
      <c r="BA71" s="24"/>
      <c r="BB71" s="24"/>
      <c r="BC71" s="25"/>
      <c r="BD71" s="25"/>
      <c r="BF71" s="23"/>
      <c r="BG71" s="23"/>
    </row>
    <row r="72" spans="10:59" ht="25.9" customHeight="1" thickBot="1">
      <c r="L72" s="1932" t="s">
        <v>221</v>
      </c>
      <c r="M72" s="1932"/>
      <c r="N72" s="1932"/>
      <c r="O72" s="1932"/>
      <c r="P72" s="1932"/>
      <c r="Q72" s="1932"/>
      <c r="R72" s="1932"/>
      <c r="S72" s="1932"/>
      <c r="T72" s="1954">
        <f>T71+U71</f>
        <v>56.410000000000004</v>
      </c>
      <c r="U72" s="1955"/>
      <c r="V72" s="466"/>
      <c r="W72" s="466"/>
      <c r="X72" s="466"/>
      <c r="Y72" s="465"/>
      <c r="Z72" s="466"/>
      <c r="AA72" s="466"/>
      <c r="AB72" s="466"/>
      <c r="AC72" s="465"/>
      <c r="AD72" s="466"/>
      <c r="AG72" s="26"/>
      <c r="AH72" s="24"/>
      <c r="AK72" s="49"/>
      <c r="AL72" s="24"/>
      <c r="AM72" s="26"/>
      <c r="AN72" s="26"/>
      <c r="AY72" s="24"/>
      <c r="AZ72" s="24"/>
      <c r="BA72" s="24"/>
      <c r="BB72" s="24"/>
      <c r="BC72" s="25"/>
      <c r="BD72" s="25"/>
      <c r="BF72" s="23"/>
      <c r="BG72" s="23"/>
    </row>
    <row r="73" spans="10:59" ht="27" customHeight="1">
      <c r="L73" s="466"/>
      <c r="M73" s="466"/>
      <c r="N73" s="466"/>
      <c r="O73" s="1922" t="s">
        <v>235</v>
      </c>
      <c r="P73" s="1922"/>
      <c r="Q73" s="1922"/>
      <c r="R73" s="1922"/>
      <c r="S73" s="1922"/>
      <c r="T73" s="1977">
        <v>49</v>
      </c>
      <c r="U73" s="1978"/>
      <c r="V73" s="466"/>
      <c r="W73" s="466"/>
      <c r="X73" s="466"/>
      <c r="Y73" s="465"/>
      <c r="Z73" s="466"/>
      <c r="AA73" s="466"/>
      <c r="AB73" s="466"/>
      <c r="AC73" s="465"/>
      <c r="AD73" s="466"/>
      <c r="AG73" s="26"/>
      <c r="AH73" s="24"/>
      <c r="AK73" s="49"/>
      <c r="AL73" s="24"/>
      <c r="AM73" s="26"/>
      <c r="AN73" s="26"/>
      <c r="AY73" s="24"/>
      <c r="AZ73" s="24"/>
      <c r="BA73" s="24"/>
      <c r="BB73" s="24"/>
      <c r="BC73" s="25"/>
      <c r="BD73" s="25"/>
      <c r="BF73" s="23"/>
      <c r="BG73" s="23"/>
    </row>
    <row r="74" spans="10:59" ht="27" customHeight="1">
      <c r="L74" s="26"/>
      <c r="M74" s="26"/>
      <c r="N74" s="24"/>
      <c r="P74" s="26"/>
      <c r="Q74" s="26"/>
      <c r="R74" s="24"/>
      <c r="T74" s="26"/>
      <c r="U74" s="26"/>
      <c r="V74" s="466"/>
      <c r="W74" s="466"/>
      <c r="X74" s="466"/>
      <c r="Y74" s="465"/>
      <c r="Z74" s="466"/>
      <c r="AA74" s="466"/>
      <c r="AB74" s="466"/>
      <c r="AC74" s="465"/>
      <c r="AD74" s="466"/>
      <c r="AG74" s="26"/>
      <c r="AH74" s="24"/>
      <c r="AK74" s="49"/>
      <c r="AL74" s="24"/>
      <c r="AM74" s="26"/>
      <c r="AN74" s="26"/>
      <c r="AP74" s="24"/>
      <c r="AQ74" s="26"/>
      <c r="AR74" s="26"/>
      <c r="AT74" s="24"/>
      <c r="AU74" s="26"/>
      <c r="AV74" s="26"/>
      <c r="AW74" s="50"/>
      <c r="AX74" s="50"/>
      <c r="AY74" s="26"/>
      <c r="AZ74" s="26"/>
      <c r="BA74" s="24"/>
      <c r="BB74" s="24"/>
      <c r="BC74" s="25"/>
      <c r="BD74" s="25"/>
      <c r="BF74" s="23"/>
      <c r="BG74" s="23"/>
    </row>
    <row r="75" spans="10:59">
      <c r="L75" s="26"/>
      <c r="M75" s="26"/>
      <c r="N75" s="24"/>
      <c r="P75" s="26"/>
      <c r="Q75" s="26"/>
      <c r="R75" s="24"/>
      <c r="T75" s="26"/>
      <c r="U75" s="26"/>
      <c r="V75" s="24"/>
      <c r="W75" s="466"/>
      <c r="X75" s="466"/>
      <c r="Y75" s="466"/>
      <c r="Z75" s="465"/>
      <c r="AA75" s="466"/>
      <c r="AB75" s="466"/>
      <c r="AC75" s="466"/>
      <c r="AD75" s="465"/>
      <c r="AE75" s="466"/>
      <c r="AN75" s="26"/>
      <c r="AO75" s="26"/>
      <c r="AP75" s="24"/>
      <c r="AR75" s="26"/>
      <c r="AS75" s="26"/>
      <c r="AT75" s="24"/>
      <c r="AV75" s="26"/>
      <c r="AW75" s="26"/>
      <c r="AX75" s="50"/>
      <c r="AZ75" s="26"/>
      <c r="BA75" s="26"/>
      <c r="BB75" s="24"/>
      <c r="BD75" s="25"/>
      <c r="BE75" s="25"/>
      <c r="BF75" s="24"/>
      <c r="BG75" s="23"/>
    </row>
    <row r="76" spans="10:59">
      <c r="L76" s="26"/>
      <c r="M76" s="26"/>
      <c r="N76" s="24"/>
      <c r="P76" s="26"/>
      <c r="Q76" s="26"/>
      <c r="R76" s="24"/>
      <c r="T76" s="26"/>
      <c r="U76" s="26"/>
      <c r="V76" s="24"/>
      <c r="W76" s="466"/>
      <c r="X76" s="466"/>
      <c r="Y76" s="466"/>
      <c r="Z76" s="465"/>
      <c r="AA76" s="466"/>
      <c r="AB76" s="466"/>
      <c r="AC76" s="466"/>
      <c r="AD76" s="465"/>
      <c r="AE76" s="466"/>
      <c r="AN76" s="26"/>
      <c r="AO76" s="26"/>
      <c r="AP76" s="24"/>
      <c r="AR76" s="26"/>
      <c r="AS76" s="26"/>
      <c r="AT76" s="24"/>
      <c r="AV76" s="26"/>
      <c r="AW76" s="26"/>
      <c r="AX76" s="50"/>
      <c r="AZ76" s="26"/>
      <c r="BA76" s="26"/>
      <c r="BB76" s="24"/>
      <c r="BD76" s="25"/>
      <c r="BE76" s="25"/>
      <c r="BF76" s="24"/>
      <c r="BG76" s="23"/>
    </row>
    <row r="77" spans="10:59">
      <c r="L77" s="26"/>
      <c r="M77" s="26"/>
      <c r="N77" s="24"/>
      <c r="P77" s="26"/>
      <c r="Q77" s="26"/>
      <c r="R77" s="24"/>
      <c r="T77" s="26"/>
      <c r="U77" s="26"/>
      <c r="V77" s="24"/>
      <c r="W77" s="466"/>
      <c r="X77" s="466"/>
      <c r="Y77" s="466"/>
      <c r="Z77" s="465"/>
      <c r="AA77" s="466"/>
      <c r="AB77" s="466"/>
      <c r="AC77" s="466"/>
      <c r="AD77" s="465"/>
      <c r="AE77" s="466"/>
      <c r="AN77" s="26"/>
      <c r="AO77" s="26"/>
      <c r="AP77" s="24"/>
      <c r="AR77" s="26"/>
      <c r="AS77" s="26"/>
      <c r="AT77" s="24"/>
      <c r="AV77" s="26"/>
      <c r="AW77" s="26"/>
      <c r="AX77" s="50"/>
      <c r="AZ77" s="26"/>
      <c r="BA77" s="26"/>
      <c r="BB77" s="24"/>
      <c r="BD77" s="25"/>
      <c r="BE77" s="25"/>
      <c r="BF77" s="24"/>
      <c r="BG77" s="23"/>
    </row>
    <row r="78" spans="10:59" ht="21.75" customHeight="1">
      <c r="L78" s="26"/>
      <c r="M78" s="26"/>
      <c r="N78" s="24"/>
      <c r="P78" s="26"/>
      <c r="Q78" s="26"/>
      <c r="R78" s="24"/>
      <c r="T78" s="26"/>
      <c r="U78" s="26"/>
      <c r="V78" s="24"/>
      <c r="W78" s="466"/>
      <c r="X78" s="466"/>
      <c r="Y78" s="466"/>
      <c r="Z78" s="465"/>
      <c r="AA78" s="466"/>
      <c r="AB78" s="466"/>
      <c r="AC78" s="466"/>
      <c r="AD78" s="465"/>
      <c r="AE78" s="466"/>
      <c r="AN78" s="26"/>
      <c r="AO78" s="26"/>
      <c r="AP78" s="24"/>
      <c r="AR78" s="26"/>
      <c r="AS78" s="26"/>
      <c r="AT78" s="24"/>
      <c r="AV78" s="26"/>
      <c r="AW78" s="26"/>
      <c r="AX78" s="50"/>
      <c r="AZ78" s="26"/>
      <c r="BA78" s="26"/>
      <c r="BB78" s="24"/>
      <c r="BD78" s="25"/>
      <c r="BE78" s="25"/>
      <c r="BF78" s="24"/>
      <c r="BG78" s="23"/>
    </row>
    <row r="79" spans="10:59" ht="21.75" customHeight="1">
      <c r="L79" s="26"/>
      <c r="M79" s="26"/>
      <c r="N79" s="24"/>
      <c r="P79" s="26"/>
      <c r="Q79" s="26"/>
      <c r="R79" s="24"/>
      <c r="T79" s="26"/>
      <c r="U79" s="26"/>
      <c r="V79" s="24"/>
      <c r="X79" s="26"/>
      <c r="Y79" s="26"/>
      <c r="Z79" s="24"/>
      <c r="AB79" s="26"/>
      <c r="AC79" s="26"/>
      <c r="AD79" s="24"/>
      <c r="AF79" s="26"/>
      <c r="AG79" s="26"/>
      <c r="AH79" s="24"/>
      <c r="AJ79" s="49"/>
      <c r="AK79" s="49"/>
      <c r="AL79" s="24"/>
      <c r="AN79" s="26"/>
      <c r="AO79" s="26"/>
      <c r="AP79" s="24"/>
      <c r="AR79" s="26"/>
      <c r="AS79" s="26"/>
      <c r="AT79" s="24"/>
      <c r="AV79" s="26"/>
      <c r="AW79" s="26"/>
      <c r="AX79" s="50"/>
      <c r="AZ79" s="26"/>
      <c r="BA79" s="26"/>
      <c r="BB79" s="24"/>
      <c r="BD79" s="25"/>
      <c r="BE79" s="25"/>
      <c r="BF79" s="24"/>
      <c r="BG79" s="23"/>
    </row>
    <row r="80" spans="10:59" ht="21.75" customHeight="1">
      <c r="L80" s="26"/>
      <c r="M80" s="26"/>
      <c r="N80" s="24"/>
      <c r="P80" s="26"/>
      <c r="Q80" s="26"/>
      <c r="R80" s="24"/>
      <c r="T80" s="26"/>
      <c r="U80" s="26"/>
      <c r="V80" s="24"/>
      <c r="X80" s="26"/>
      <c r="Y80" s="26"/>
      <c r="Z80" s="24"/>
      <c r="AB80" s="26"/>
      <c r="AC80" s="26"/>
      <c r="AD80" s="24"/>
      <c r="AF80" s="26"/>
      <c r="AG80" s="26"/>
      <c r="AH80" s="24"/>
      <c r="AJ80" s="49"/>
      <c r="AK80" s="49"/>
      <c r="AL80" s="24"/>
      <c r="AN80" s="26"/>
      <c r="AO80" s="26"/>
      <c r="AP80" s="24"/>
      <c r="AR80" s="26"/>
      <c r="AS80" s="26"/>
      <c r="AT80" s="24"/>
      <c r="AV80" s="26"/>
      <c r="AW80" s="26"/>
      <c r="AX80" s="50"/>
      <c r="AZ80" s="26"/>
      <c r="BA80" s="26"/>
      <c r="BB80" s="24"/>
      <c r="BD80" s="25"/>
      <c r="BE80" s="25"/>
      <c r="BF80" s="24"/>
      <c r="BG80" s="23"/>
    </row>
    <row r="81" ht="21.75" customHeight="1"/>
    <row r="82" ht="21.75" customHeight="1"/>
    <row r="83" ht="21.75" customHeight="1"/>
    <row r="84" ht="21.75" customHeight="1"/>
    <row r="85" ht="21.75" customHeight="1"/>
    <row r="86" ht="21.75" customHeight="1"/>
    <row r="87" ht="21.75" customHeight="1"/>
    <row r="88" ht="21.75" customHeight="1"/>
  </sheetData>
  <mergeCells count="62">
    <mergeCell ref="AD59:AE59"/>
    <mergeCell ref="V45:AE45"/>
    <mergeCell ref="V58:AC58"/>
    <mergeCell ref="AD58:AE58"/>
    <mergeCell ref="Y59:AC59"/>
    <mergeCell ref="C15:C24"/>
    <mergeCell ref="H15:H23"/>
    <mergeCell ref="H24:I24"/>
    <mergeCell ref="H26:I26"/>
    <mergeCell ref="R13:U13"/>
    <mergeCell ref="L45:T45"/>
    <mergeCell ref="N2:AZ2"/>
    <mergeCell ref="C2:F2"/>
    <mergeCell ref="H2:K2"/>
    <mergeCell ref="C6:C9"/>
    <mergeCell ref="H6:H9"/>
    <mergeCell ref="D4:F4"/>
    <mergeCell ref="H4:I5"/>
    <mergeCell ref="C5:D5"/>
    <mergeCell ref="H10:I10"/>
    <mergeCell ref="D13:F13"/>
    <mergeCell ref="H13:I14"/>
    <mergeCell ref="C14:D14"/>
    <mergeCell ref="H12:BI12"/>
    <mergeCell ref="J13:M13"/>
    <mergeCell ref="N13:Q13"/>
    <mergeCell ref="BB2:BI2"/>
    <mergeCell ref="H3:BI3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O58:R58"/>
    <mergeCell ref="S58:T58"/>
    <mergeCell ref="BB13:BE13"/>
    <mergeCell ref="BF13:BI13"/>
    <mergeCell ref="BC27:BC28"/>
    <mergeCell ref="BH27:BI27"/>
    <mergeCell ref="L31:S31"/>
    <mergeCell ref="AH13:AK13"/>
    <mergeCell ref="AL13:AO13"/>
    <mergeCell ref="AP13:AS13"/>
    <mergeCell ref="AT13:AW13"/>
    <mergeCell ref="AX13:BA13"/>
    <mergeCell ref="V13:Y13"/>
    <mergeCell ref="Z13:AC13"/>
    <mergeCell ref="AD13:AG13"/>
    <mergeCell ref="V31:AD31"/>
    <mergeCell ref="L59:U59"/>
    <mergeCell ref="L72:S72"/>
    <mergeCell ref="T72:U72"/>
    <mergeCell ref="O73:S73"/>
    <mergeCell ref="T73:U73"/>
  </mergeCells>
  <conditionalFormatting sqref="M47:R56">
    <cfRule type="cellIs" dxfId="29" priority="2" operator="equal">
      <formula>0</formula>
    </cfRule>
  </conditionalFormatting>
  <conditionalFormatting sqref="M61:R70">
    <cfRule type="cellIs" dxfId="28" priority="1" operator="equal">
      <formula>0</formula>
    </cfRule>
  </conditionalFormatting>
  <printOptions horizontalCentered="1"/>
  <pageMargins left="0.70866141732283472" right="0.70866141732283472" top="0.93" bottom="0.74803149606299213" header="0.31496062992125984" footer="0.31496062992125984"/>
  <pageSetup paperSize="9" scale="83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I80"/>
  <sheetViews>
    <sheetView topLeftCell="G1" zoomScale="55" zoomScaleNormal="55" workbookViewId="0">
      <pane xSplit="3" topLeftCell="J1" activePane="topRight" state="frozen"/>
      <selection activeCell="G1" sqref="G1"/>
      <selection pane="topRight" activeCell="V27" sqref="V27:AC28"/>
    </sheetView>
  </sheetViews>
  <sheetFormatPr defaultColWidth="9.140625" defaultRowHeight="15"/>
  <cols>
    <col min="1" max="2" width="9.140625" style="23" hidden="1" customWidth="1"/>
    <col min="3" max="3" width="14.5703125" style="23" hidden="1" customWidth="1"/>
    <col min="4" max="4" width="11.42578125" style="27" hidden="1" customWidth="1"/>
    <col min="5" max="5" width="6.85546875" style="27" hidden="1" customWidth="1"/>
    <col min="6" max="6" width="9.140625" style="27" hidden="1" customWidth="1"/>
    <col min="7" max="7" width="3.42578125" style="23" hidden="1" customWidth="1"/>
    <col min="8" max="8" width="4.85546875" style="23" customWidth="1"/>
    <col min="9" max="9" width="20.7109375" style="27" customWidth="1"/>
    <col min="10" max="10" width="9" style="26" bestFit="1" customWidth="1"/>
    <col min="11" max="11" width="9.140625" style="24" customWidth="1"/>
    <col min="12" max="13" width="12.85546875" style="24" customWidth="1"/>
    <col min="14" max="14" width="10.5703125" style="26" customWidth="1"/>
    <col min="15" max="15" width="10.28515625" style="24" customWidth="1"/>
    <col min="16" max="17" width="10.5703125" style="24" customWidth="1"/>
    <col min="18" max="18" width="8.5703125" style="26" customWidth="1"/>
    <col min="19" max="19" width="11.5703125" style="24" customWidth="1"/>
    <col min="20" max="21" width="14" style="24" bestFit="1" customWidth="1"/>
    <col min="22" max="22" width="13.7109375" style="26" bestFit="1" customWidth="1"/>
    <col min="23" max="23" width="12.5703125" style="24" bestFit="1" customWidth="1"/>
    <col min="24" max="25" width="9.7109375" style="24" customWidth="1"/>
    <col min="26" max="26" width="11" style="26" customWidth="1"/>
    <col min="27" max="27" width="12.42578125" style="24" customWidth="1"/>
    <col min="28" max="29" width="11.85546875" style="24" customWidth="1"/>
    <col min="30" max="30" width="11.5703125" style="26" bestFit="1" customWidth="1"/>
    <col min="31" max="31" width="11.7109375" style="24" bestFit="1" customWidth="1"/>
    <col min="32" max="32" width="10.5703125" style="24" bestFit="1" customWidth="1"/>
    <col min="33" max="33" width="10.5703125" style="24" customWidth="1"/>
    <col min="34" max="34" width="11.5703125" style="26" bestFit="1" customWidth="1"/>
    <col min="35" max="35" width="13.5703125" style="24" customWidth="1"/>
    <col min="36" max="37" width="11.5703125" style="24" customWidth="1"/>
    <col min="38" max="38" width="10.5703125" style="49" customWidth="1"/>
    <col min="39" max="39" width="11" style="24" bestFit="1" customWidth="1"/>
    <col min="40" max="40" width="12" style="24" bestFit="1" customWidth="1"/>
    <col min="41" max="41" width="12" style="24" customWidth="1"/>
    <col min="42" max="42" width="8.42578125" style="26" customWidth="1"/>
    <col min="43" max="43" width="10" style="24" bestFit="1" customWidth="1"/>
    <col min="44" max="44" width="13.85546875" style="24" bestFit="1" customWidth="1"/>
    <col min="45" max="45" width="13.85546875" style="24" customWidth="1"/>
    <col min="46" max="46" width="11.7109375" style="26" customWidth="1"/>
    <col min="47" max="47" width="11.7109375" style="24" customWidth="1"/>
    <col min="48" max="48" width="10.5703125" style="24" bestFit="1" customWidth="1"/>
    <col min="49" max="49" width="10.5703125" style="24" customWidth="1"/>
    <col min="50" max="50" width="9.140625" style="26" bestFit="1" customWidth="1"/>
    <col min="51" max="51" width="9.140625" style="50" bestFit="1" customWidth="1"/>
    <col min="52" max="52" width="10.5703125" style="50" bestFit="1" customWidth="1"/>
    <col min="53" max="53" width="10.5703125" style="50" customWidth="1"/>
    <col min="54" max="54" width="10.7109375" style="26" bestFit="1" customWidth="1"/>
    <col min="55" max="55" width="12.85546875" style="24" bestFit="1" customWidth="1"/>
    <col min="56" max="56" width="10.5703125" style="24" bestFit="1" customWidth="1"/>
    <col min="57" max="57" width="10.5703125" style="24" customWidth="1"/>
    <col min="58" max="58" width="16" style="25" bestFit="1" customWidth="1"/>
    <col min="59" max="59" width="10.7109375" style="24" bestFit="1" customWidth="1"/>
    <col min="60" max="60" width="13" style="23" bestFit="1" customWidth="1"/>
    <col min="61" max="61" width="10.28515625" style="23" bestFit="1" customWidth="1"/>
    <col min="62" max="16384" width="9.140625" style="23"/>
  </cols>
  <sheetData>
    <row r="1" spans="3:61" ht="15" customHeight="1" thickBot="1"/>
    <row r="2" spans="3:61" ht="21.75" thickBot="1">
      <c r="C2" s="1899" t="s">
        <v>45</v>
      </c>
      <c r="D2" s="1900"/>
      <c r="E2" s="1900"/>
      <c r="F2" s="1901"/>
      <c r="H2" s="1915"/>
      <c r="I2" s="1567"/>
      <c r="J2" s="1567"/>
      <c r="K2" s="1567"/>
      <c r="L2" s="1020"/>
      <c r="M2" s="1020"/>
      <c r="N2" s="1916" t="s">
        <v>249</v>
      </c>
      <c r="O2" s="1916"/>
      <c r="P2" s="1916"/>
      <c r="Q2" s="1916"/>
      <c r="R2" s="1916"/>
      <c r="S2" s="1916"/>
      <c r="T2" s="1916"/>
      <c r="U2" s="1916"/>
      <c r="V2" s="1916"/>
      <c r="W2" s="1916"/>
      <c r="X2" s="1916"/>
      <c r="Y2" s="1916"/>
      <c r="Z2" s="1916"/>
      <c r="AA2" s="1916"/>
      <c r="AB2" s="1916"/>
      <c r="AC2" s="1916"/>
      <c r="AD2" s="1916"/>
      <c r="AE2" s="1916"/>
      <c r="AF2" s="1916"/>
      <c r="AG2" s="1916"/>
      <c r="AH2" s="1916"/>
      <c r="AI2" s="1916"/>
      <c r="AJ2" s="1916"/>
      <c r="AK2" s="1916"/>
      <c r="AL2" s="1916"/>
      <c r="AM2" s="1916"/>
      <c r="AN2" s="1916"/>
      <c r="AO2" s="1916"/>
      <c r="AP2" s="1916"/>
      <c r="AQ2" s="1916"/>
      <c r="AR2" s="1916"/>
      <c r="AS2" s="1916"/>
      <c r="AT2" s="1916"/>
      <c r="AU2" s="1916"/>
      <c r="AV2" s="1916"/>
      <c r="AW2" s="1916"/>
      <c r="AX2" s="1916"/>
      <c r="AY2" s="1916"/>
      <c r="AZ2" s="1916"/>
      <c r="BA2" s="1020"/>
      <c r="BB2" s="1902" t="s">
        <v>118</v>
      </c>
      <c r="BC2" s="1903"/>
      <c r="BD2" s="1903"/>
      <c r="BE2" s="1903"/>
      <c r="BF2" s="1903"/>
      <c r="BG2" s="1903"/>
      <c r="BH2" s="1903"/>
      <c r="BI2" s="1904"/>
    </row>
    <row r="3" spans="3:61" ht="19.5" thickBot="1">
      <c r="C3" s="1019"/>
      <c r="D3" s="1017"/>
      <c r="E3" s="1017"/>
      <c r="F3" s="1023"/>
      <c r="H3" s="1905" t="s">
        <v>115</v>
      </c>
      <c r="I3" s="1906"/>
      <c r="J3" s="1906"/>
      <c r="K3" s="1906"/>
      <c r="L3" s="1906"/>
      <c r="M3" s="1906"/>
      <c r="N3" s="1906"/>
      <c r="O3" s="1906"/>
      <c r="P3" s="1906"/>
      <c r="Q3" s="1906"/>
      <c r="R3" s="1906"/>
      <c r="S3" s="1906"/>
      <c r="T3" s="1906"/>
      <c r="U3" s="1906"/>
      <c r="V3" s="1906"/>
      <c r="W3" s="1906"/>
      <c r="X3" s="1906"/>
      <c r="Y3" s="1906"/>
      <c r="Z3" s="1906"/>
      <c r="AA3" s="1906"/>
      <c r="AB3" s="1906"/>
      <c r="AC3" s="1906"/>
      <c r="AD3" s="1906"/>
      <c r="AE3" s="1906"/>
      <c r="AF3" s="1906"/>
      <c r="AG3" s="1906"/>
      <c r="AH3" s="1906"/>
      <c r="AI3" s="1906"/>
      <c r="AJ3" s="1906"/>
      <c r="AK3" s="1906"/>
      <c r="AL3" s="1906"/>
      <c r="AM3" s="1906"/>
      <c r="AN3" s="1906"/>
      <c r="AO3" s="1906"/>
      <c r="AP3" s="1906"/>
      <c r="AQ3" s="1906"/>
      <c r="AR3" s="1906"/>
      <c r="AS3" s="1906"/>
      <c r="AT3" s="1906"/>
      <c r="AU3" s="1906"/>
      <c r="AV3" s="1906"/>
      <c r="AW3" s="1906"/>
      <c r="AX3" s="1906"/>
      <c r="AY3" s="1906"/>
      <c r="AZ3" s="1906"/>
      <c r="BA3" s="1906"/>
      <c r="BB3" s="1906"/>
      <c r="BC3" s="1906"/>
      <c r="BD3" s="1906"/>
      <c r="BE3" s="1906"/>
      <c r="BF3" s="1906"/>
      <c r="BG3" s="1906"/>
      <c r="BH3" s="1906"/>
      <c r="BI3" s="1907"/>
    </row>
    <row r="4" spans="3:61" ht="18.75">
      <c r="C4" s="37" t="s">
        <v>44</v>
      </c>
      <c r="D4" s="1869"/>
      <c r="E4" s="1869"/>
      <c r="F4" s="1870"/>
      <c r="H4" s="1908" t="s">
        <v>33</v>
      </c>
      <c r="I4" s="1909"/>
      <c r="J4" s="1871" t="s">
        <v>43</v>
      </c>
      <c r="K4" s="1872"/>
      <c r="L4" s="1872"/>
      <c r="M4" s="1873"/>
      <c r="N4" s="1871" t="s">
        <v>42</v>
      </c>
      <c r="O4" s="1872"/>
      <c r="P4" s="1872"/>
      <c r="Q4" s="1873"/>
      <c r="R4" s="1871" t="s">
        <v>41</v>
      </c>
      <c r="S4" s="1872"/>
      <c r="T4" s="1872"/>
      <c r="U4" s="1873"/>
      <c r="V4" s="1871" t="s">
        <v>40</v>
      </c>
      <c r="W4" s="1872"/>
      <c r="X4" s="1872"/>
      <c r="Y4" s="1873"/>
      <c r="Z4" s="1871" t="s">
        <v>39</v>
      </c>
      <c r="AA4" s="1872"/>
      <c r="AB4" s="1872"/>
      <c r="AC4" s="1873"/>
      <c r="AD4" s="1871" t="s">
        <v>38</v>
      </c>
      <c r="AE4" s="1872"/>
      <c r="AF4" s="1872"/>
      <c r="AG4" s="1873"/>
      <c r="AH4" s="1874" t="s">
        <v>122</v>
      </c>
      <c r="AI4" s="1875"/>
      <c r="AJ4" s="1875"/>
      <c r="AK4" s="1876"/>
      <c r="AL4" s="1871" t="s">
        <v>37</v>
      </c>
      <c r="AM4" s="1872"/>
      <c r="AN4" s="1872"/>
      <c r="AO4" s="1873"/>
      <c r="AP4" s="1871" t="s">
        <v>36</v>
      </c>
      <c r="AQ4" s="1872"/>
      <c r="AR4" s="1872"/>
      <c r="AS4" s="1873"/>
      <c r="AT4" s="1871" t="s">
        <v>35</v>
      </c>
      <c r="AU4" s="1872"/>
      <c r="AV4" s="1872"/>
      <c r="AW4" s="1873"/>
      <c r="AX4" s="1871" t="s">
        <v>34</v>
      </c>
      <c r="AY4" s="1872"/>
      <c r="AZ4" s="1872"/>
      <c r="BA4" s="1873"/>
      <c r="BB4" s="1874" t="s">
        <v>123</v>
      </c>
      <c r="BC4" s="1875"/>
      <c r="BD4" s="1875"/>
      <c r="BE4" s="1876"/>
      <c r="BF4" s="1877" t="s">
        <v>17</v>
      </c>
      <c r="BG4" s="1878"/>
      <c r="BH4" s="1878"/>
      <c r="BI4" s="1878"/>
    </row>
    <row r="5" spans="3:61" ht="19.5" customHeight="1">
      <c r="C5" s="1879" t="s">
        <v>33</v>
      </c>
      <c r="D5" s="1869"/>
      <c r="E5" s="1017" t="s">
        <v>1</v>
      </c>
      <c r="F5" s="1023" t="s">
        <v>2</v>
      </c>
      <c r="H5" s="1910"/>
      <c r="I5" s="1911"/>
      <c r="J5" s="36" t="s">
        <v>1</v>
      </c>
      <c r="K5" s="271" t="s">
        <v>2</v>
      </c>
      <c r="L5" s="693" t="s">
        <v>182</v>
      </c>
      <c r="M5" s="35" t="s">
        <v>247</v>
      </c>
      <c r="N5" s="36" t="s">
        <v>1</v>
      </c>
      <c r="O5" s="271" t="s">
        <v>2</v>
      </c>
      <c r="P5" s="693" t="s">
        <v>182</v>
      </c>
      <c r="Q5" s="35" t="s">
        <v>247</v>
      </c>
      <c r="R5" s="36" t="s">
        <v>1</v>
      </c>
      <c r="S5" s="271" t="s">
        <v>2</v>
      </c>
      <c r="T5" s="693" t="s">
        <v>182</v>
      </c>
      <c r="U5" s="35" t="s">
        <v>247</v>
      </c>
      <c r="V5" s="36" t="s">
        <v>1</v>
      </c>
      <c r="W5" s="271" t="s">
        <v>2</v>
      </c>
      <c r="X5" s="693" t="s">
        <v>182</v>
      </c>
      <c r="Y5" s="35" t="s">
        <v>247</v>
      </c>
      <c r="Z5" s="36" t="s">
        <v>1</v>
      </c>
      <c r="AA5" s="271" t="s">
        <v>2</v>
      </c>
      <c r="AB5" s="693" t="s">
        <v>182</v>
      </c>
      <c r="AC5" s="35" t="s">
        <v>247</v>
      </c>
      <c r="AD5" s="36" t="s">
        <v>1</v>
      </c>
      <c r="AE5" s="271" t="s">
        <v>2</v>
      </c>
      <c r="AF5" s="693" t="s">
        <v>182</v>
      </c>
      <c r="AG5" s="35" t="s">
        <v>247</v>
      </c>
      <c r="AH5" s="36" t="s">
        <v>1</v>
      </c>
      <c r="AI5" s="271" t="s">
        <v>2</v>
      </c>
      <c r="AJ5" s="271" t="s">
        <v>182</v>
      </c>
      <c r="AK5" s="690" t="s">
        <v>196</v>
      </c>
      <c r="AL5" s="36" t="s">
        <v>1</v>
      </c>
      <c r="AM5" s="271" t="s">
        <v>2</v>
      </c>
      <c r="AN5" s="693" t="s">
        <v>182</v>
      </c>
      <c r="AO5" s="35" t="s">
        <v>247</v>
      </c>
      <c r="AP5" s="36" t="s">
        <v>1</v>
      </c>
      <c r="AQ5" s="271" t="s">
        <v>2</v>
      </c>
      <c r="AR5" s="693" t="s">
        <v>182</v>
      </c>
      <c r="AS5" s="35" t="s">
        <v>247</v>
      </c>
      <c r="AT5" s="36" t="s">
        <v>1</v>
      </c>
      <c r="AU5" s="271" t="s">
        <v>2</v>
      </c>
      <c r="AV5" s="693" t="s">
        <v>182</v>
      </c>
      <c r="AW5" s="35" t="s">
        <v>247</v>
      </c>
      <c r="AX5" s="36" t="s">
        <v>1</v>
      </c>
      <c r="AY5" s="271" t="s">
        <v>2</v>
      </c>
      <c r="AZ5" s="693" t="s">
        <v>182</v>
      </c>
      <c r="BA5" s="35" t="s">
        <v>247</v>
      </c>
      <c r="BB5" s="36" t="s">
        <v>1</v>
      </c>
      <c r="BC5" s="271" t="s">
        <v>2</v>
      </c>
      <c r="BD5" s="271" t="s">
        <v>182</v>
      </c>
      <c r="BE5" s="690" t="s">
        <v>196</v>
      </c>
      <c r="BF5" s="274" t="s">
        <v>1</v>
      </c>
      <c r="BG5" s="275" t="s">
        <v>2</v>
      </c>
      <c r="BH5" s="275" t="s">
        <v>182</v>
      </c>
      <c r="BI5" s="698" t="s">
        <v>196</v>
      </c>
    </row>
    <row r="6" spans="3:61" s="28" customFormat="1" ht="19.5" customHeight="1">
      <c r="C6" s="1879" t="s">
        <v>19</v>
      </c>
      <c r="D6" s="1017" t="s">
        <v>32</v>
      </c>
      <c r="E6" s="1017"/>
      <c r="F6" s="1018"/>
      <c r="H6" s="1886" t="s">
        <v>32</v>
      </c>
      <c r="I6" s="33" t="s">
        <v>32</v>
      </c>
      <c r="J6" s="462"/>
      <c r="K6" s="463"/>
      <c r="L6" s="463"/>
      <c r="M6" s="691"/>
      <c r="N6" s="462"/>
      <c r="O6" s="463"/>
      <c r="P6" s="463"/>
      <c r="Q6" s="691"/>
      <c r="R6" s="462"/>
      <c r="S6" s="463"/>
      <c r="T6" s="463"/>
      <c r="U6" s="691"/>
      <c r="V6" s="462"/>
      <c r="W6" s="463"/>
      <c r="X6" s="463"/>
      <c r="Y6" s="691"/>
      <c r="Z6" s="462"/>
      <c r="AA6" s="463"/>
      <c r="AB6" s="463"/>
      <c r="AC6" s="691"/>
      <c r="AD6" s="462"/>
      <c r="AE6" s="463"/>
      <c r="AF6" s="463"/>
      <c r="AG6" s="691"/>
      <c r="AH6" s="128">
        <f>J6+N6+R6+V6+Z6+AD6</f>
        <v>0</v>
      </c>
      <c r="AI6" s="273">
        <f>K6+O6+S6+W6+AA6+AE6</f>
        <v>0</v>
      </c>
      <c r="AJ6" s="273">
        <f>L6+P6+T6+X6+AB6+AF6</f>
        <v>0</v>
      </c>
      <c r="AK6" s="694">
        <f>M6+Q6+U6+Y6+AC6+AG6</f>
        <v>0</v>
      </c>
      <c r="AL6" s="462"/>
      <c r="AM6" s="463"/>
      <c r="AN6" s="1212"/>
      <c r="AO6" s="691"/>
      <c r="AP6" s="462"/>
      <c r="AQ6" s="463"/>
      <c r="AR6" s="463"/>
      <c r="AS6" s="691"/>
      <c r="AT6" s="462"/>
      <c r="AU6" s="463"/>
      <c r="AV6" s="463"/>
      <c r="AW6" s="691"/>
      <c r="AX6" s="462"/>
      <c r="AY6" s="463"/>
      <c r="AZ6" s="463"/>
      <c r="BA6" s="691"/>
      <c r="BB6" s="128">
        <f>AL6+AP6+AT6+AX6</f>
        <v>0</v>
      </c>
      <c r="BC6" s="273">
        <f>AM6+AQ6+AU6+AY6</f>
        <v>0</v>
      </c>
      <c r="BD6" s="273">
        <f>AN6+AR6+AV6+AZ6</f>
        <v>0</v>
      </c>
      <c r="BE6" s="273">
        <f>AO6+AS6+AW6+BA6</f>
        <v>0</v>
      </c>
      <c r="BF6" s="276">
        <f>AH6+BB6</f>
        <v>0</v>
      </c>
      <c r="BG6" s="277">
        <f>AI6+BC6</f>
        <v>0</v>
      </c>
      <c r="BH6" s="701">
        <f>AJ6+BD6</f>
        <v>0</v>
      </c>
      <c r="BI6" s="699">
        <f>AK6+BE6</f>
        <v>0</v>
      </c>
    </row>
    <row r="7" spans="3:61" s="28" customFormat="1" ht="19.5" customHeight="1">
      <c r="C7" s="1879"/>
      <c r="D7" s="1017" t="s">
        <v>31</v>
      </c>
      <c r="E7" s="1017"/>
      <c r="F7" s="1018"/>
      <c r="H7" s="1887"/>
      <c r="I7" s="33" t="s">
        <v>31</v>
      </c>
      <c r="J7" s="462"/>
      <c r="K7" s="463"/>
      <c r="L7" s="463"/>
      <c r="M7" s="691"/>
      <c r="N7" s="462"/>
      <c r="O7" s="463"/>
      <c r="P7" s="463"/>
      <c r="Q7" s="691"/>
      <c r="R7" s="462"/>
      <c r="S7" s="463"/>
      <c r="T7" s="463"/>
      <c r="U7" s="691"/>
      <c r="V7" s="462"/>
      <c r="W7" s="463"/>
      <c r="X7" s="463"/>
      <c r="Y7" s="691"/>
      <c r="Z7" s="462"/>
      <c r="AA7" s="463"/>
      <c r="AB7" s="463"/>
      <c r="AC7" s="691"/>
      <c r="AD7" s="462"/>
      <c r="AE7" s="463"/>
      <c r="AF7" s="463"/>
      <c r="AG7" s="691"/>
      <c r="AH7" s="128">
        <f t="shared" ref="AH7:AK9" si="0">J7+N7+R7+V7+Z7+AD7</f>
        <v>0</v>
      </c>
      <c r="AI7" s="273">
        <f t="shared" si="0"/>
        <v>0</v>
      </c>
      <c r="AJ7" s="273">
        <f t="shared" si="0"/>
        <v>0</v>
      </c>
      <c r="AK7" s="694">
        <f t="shared" si="0"/>
        <v>0</v>
      </c>
      <c r="AL7" s="462"/>
      <c r="AM7" s="463"/>
      <c r="AN7" s="463"/>
      <c r="AO7" s="691"/>
      <c r="AP7" s="462"/>
      <c r="AQ7" s="463"/>
      <c r="AR7" s="463"/>
      <c r="AS7" s="691"/>
      <c r="AT7" s="462"/>
      <c r="AU7" s="463"/>
      <c r="AV7" s="463"/>
      <c r="AW7" s="691"/>
      <c r="AX7" s="462"/>
      <c r="AY7" s="463"/>
      <c r="AZ7" s="463"/>
      <c r="BA7" s="691"/>
      <c r="BB7" s="128">
        <f t="shared" ref="BB7:BE9" si="1">AL7+AP7+AT7+AX7</f>
        <v>0</v>
      </c>
      <c r="BC7" s="273">
        <f t="shared" si="1"/>
        <v>0</v>
      </c>
      <c r="BD7" s="273">
        <f t="shared" si="1"/>
        <v>0</v>
      </c>
      <c r="BE7" s="273">
        <f t="shared" si="1"/>
        <v>0</v>
      </c>
      <c r="BF7" s="276">
        <f t="shared" ref="BF7:BI9" si="2">AH7+BB7</f>
        <v>0</v>
      </c>
      <c r="BG7" s="277">
        <f t="shared" si="2"/>
        <v>0</v>
      </c>
      <c r="BH7" s="277">
        <f t="shared" si="2"/>
        <v>0</v>
      </c>
      <c r="BI7" s="699">
        <f t="shared" si="2"/>
        <v>0</v>
      </c>
    </row>
    <row r="8" spans="3:61" s="28" customFormat="1" ht="19.5" customHeight="1">
      <c r="C8" s="1879"/>
      <c r="D8" s="1017" t="s">
        <v>30</v>
      </c>
      <c r="E8" s="1017"/>
      <c r="F8" s="1018"/>
      <c r="H8" s="1887"/>
      <c r="I8" s="33" t="s">
        <v>30</v>
      </c>
      <c r="J8" s="462"/>
      <c r="K8" s="463"/>
      <c r="L8" s="463"/>
      <c r="M8" s="691"/>
      <c r="N8" s="462"/>
      <c r="O8" s="463"/>
      <c r="P8" s="463"/>
      <c r="Q8" s="691"/>
      <c r="R8" s="462"/>
      <c r="S8" s="463"/>
      <c r="T8" s="463"/>
      <c r="U8" s="691"/>
      <c r="V8" s="462"/>
      <c r="W8" s="463"/>
      <c r="X8" s="463"/>
      <c r="Y8" s="691"/>
      <c r="Z8" s="462"/>
      <c r="AA8" s="463"/>
      <c r="AB8" s="463"/>
      <c r="AC8" s="691"/>
      <c r="AD8" s="462"/>
      <c r="AE8" s="463"/>
      <c r="AF8" s="463"/>
      <c r="AG8" s="691"/>
      <c r="AH8" s="128">
        <f t="shared" si="0"/>
        <v>0</v>
      </c>
      <c r="AI8" s="273">
        <f t="shared" si="0"/>
        <v>0</v>
      </c>
      <c r="AJ8" s="273">
        <f t="shared" si="0"/>
        <v>0</v>
      </c>
      <c r="AK8" s="694">
        <f t="shared" si="0"/>
        <v>0</v>
      </c>
      <c r="AL8" s="462"/>
      <c r="AM8" s="463"/>
      <c r="AN8" s="463"/>
      <c r="AO8" s="691"/>
      <c r="AP8" s="462"/>
      <c r="AQ8" s="463"/>
      <c r="AR8" s="463"/>
      <c r="AS8" s="691"/>
      <c r="AT8" s="462"/>
      <c r="AU8" s="463"/>
      <c r="AV8" s="463"/>
      <c r="AW8" s="691"/>
      <c r="AX8" s="462"/>
      <c r="AY8" s="463"/>
      <c r="AZ8" s="463"/>
      <c r="BA8" s="691"/>
      <c r="BB8" s="128">
        <f t="shared" si="1"/>
        <v>0</v>
      </c>
      <c r="BC8" s="273">
        <f t="shared" si="1"/>
        <v>0</v>
      </c>
      <c r="BD8" s="273">
        <f t="shared" si="1"/>
        <v>0</v>
      </c>
      <c r="BE8" s="273">
        <f t="shared" si="1"/>
        <v>0</v>
      </c>
      <c r="BF8" s="276">
        <f t="shared" si="2"/>
        <v>0</v>
      </c>
      <c r="BG8" s="277">
        <f t="shared" si="2"/>
        <v>0</v>
      </c>
      <c r="BH8" s="277">
        <f t="shared" si="2"/>
        <v>0</v>
      </c>
      <c r="BI8" s="699">
        <f t="shared" si="2"/>
        <v>0</v>
      </c>
    </row>
    <row r="9" spans="3:61" s="28" customFormat="1" ht="19.5" customHeight="1">
      <c r="C9" s="1885"/>
      <c r="D9" s="1017" t="s">
        <v>29</v>
      </c>
      <c r="E9" s="1017"/>
      <c r="F9" s="1018"/>
      <c r="H9" s="1887"/>
      <c r="I9" s="33" t="s">
        <v>109</v>
      </c>
      <c r="J9" s="462"/>
      <c r="K9" s="463"/>
      <c r="L9" s="463"/>
      <c r="M9" s="691"/>
      <c r="N9" s="462"/>
      <c r="O9" s="463"/>
      <c r="P9" s="463"/>
      <c r="Q9" s="691"/>
      <c r="R9" s="462"/>
      <c r="S9" s="463"/>
      <c r="T9" s="463"/>
      <c r="U9" s="691"/>
      <c r="V9" s="462"/>
      <c r="W9" s="463"/>
      <c r="X9" s="463"/>
      <c r="Y9" s="691"/>
      <c r="Z9" s="462"/>
      <c r="AA9" s="463"/>
      <c r="AB9" s="463"/>
      <c r="AC9" s="691"/>
      <c r="AD9" s="462"/>
      <c r="AE9" s="463"/>
      <c r="AF9" s="463"/>
      <c r="AG9" s="691"/>
      <c r="AH9" s="128">
        <f t="shared" si="0"/>
        <v>0</v>
      </c>
      <c r="AI9" s="273">
        <f t="shared" si="0"/>
        <v>0</v>
      </c>
      <c r="AJ9" s="273">
        <f t="shared" si="0"/>
        <v>0</v>
      </c>
      <c r="AK9" s="694">
        <f t="shared" si="0"/>
        <v>0</v>
      </c>
      <c r="AL9" s="462"/>
      <c r="AM9" s="463"/>
      <c r="AN9" s="463"/>
      <c r="AO9" s="691"/>
      <c r="AP9" s="462"/>
      <c r="AQ9" s="463"/>
      <c r="AR9" s="463"/>
      <c r="AS9" s="691"/>
      <c r="AT9" s="462"/>
      <c r="AU9" s="463"/>
      <c r="AV9" s="463"/>
      <c r="AW9" s="691"/>
      <c r="AX9" s="462"/>
      <c r="AY9" s="463"/>
      <c r="AZ9" s="463"/>
      <c r="BA9" s="691"/>
      <c r="BB9" s="128">
        <f t="shared" si="1"/>
        <v>0</v>
      </c>
      <c r="BC9" s="273">
        <f t="shared" si="1"/>
        <v>0</v>
      </c>
      <c r="BD9" s="273">
        <f t="shared" si="1"/>
        <v>0</v>
      </c>
      <c r="BE9" s="273">
        <f t="shared" si="1"/>
        <v>0</v>
      </c>
      <c r="BF9" s="276">
        <f t="shared" si="2"/>
        <v>0</v>
      </c>
      <c r="BG9" s="277">
        <f t="shared" si="2"/>
        <v>0</v>
      </c>
      <c r="BH9" s="277">
        <f t="shared" si="2"/>
        <v>0</v>
      </c>
      <c r="BI9" s="699">
        <f t="shared" si="2"/>
        <v>0</v>
      </c>
    </row>
    <row r="10" spans="3:61" s="28" customFormat="1" ht="19.5" customHeight="1" thickBot="1">
      <c r="C10" s="32"/>
      <c r="D10" s="31" t="s">
        <v>18</v>
      </c>
      <c r="E10" s="31"/>
      <c r="F10" s="30"/>
      <c r="H10" s="1865" t="s">
        <v>47</v>
      </c>
      <c r="I10" s="1866"/>
      <c r="J10" s="118">
        <f t="shared" ref="J10:BG10" si="3">SUM(J6:J9)</f>
        <v>0</v>
      </c>
      <c r="K10" s="272">
        <f t="shared" si="3"/>
        <v>0</v>
      </c>
      <c r="L10" s="272">
        <f t="shared" si="3"/>
        <v>0</v>
      </c>
      <c r="M10" s="272">
        <f t="shared" si="3"/>
        <v>0</v>
      </c>
      <c r="N10" s="118">
        <f t="shared" si="3"/>
        <v>0</v>
      </c>
      <c r="O10" s="272">
        <f t="shared" si="3"/>
        <v>0</v>
      </c>
      <c r="P10" s="272">
        <f t="shared" si="3"/>
        <v>0</v>
      </c>
      <c r="Q10" s="272">
        <f t="shared" si="3"/>
        <v>0</v>
      </c>
      <c r="R10" s="118">
        <f t="shared" si="3"/>
        <v>0</v>
      </c>
      <c r="S10" s="272">
        <f t="shared" si="3"/>
        <v>0</v>
      </c>
      <c r="T10" s="272">
        <f t="shared" si="3"/>
        <v>0</v>
      </c>
      <c r="U10" s="272">
        <f t="shared" si="3"/>
        <v>0</v>
      </c>
      <c r="V10" s="118">
        <f t="shared" si="3"/>
        <v>0</v>
      </c>
      <c r="W10" s="272">
        <f t="shared" si="3"/>
        <v>0</v>
      </c>
      <c r="X10" s="272">
        <f t="shared" si="3"/>
        <v>0</v>
      </c>
      <c r="Y10" s="272">
        <f t="shared" si="3"/>
        <v>0</v>
      </c>
      <c r="Z10" s="118">
        <f t="shared" si="3"/>
        <v>0</v>
      </c>
      <c r="AA10" s="272">
        <f t="shared" si="3"/>
        <v>0</v>
      </c>
      <c r="AB10" s="272">
        <f t="shared" si="3"/>
        <v>0</v>
      </c>
      <c r="AC10" s="272">
        <f t="shared" si="3"/>
        <v>0</v>
      </c>
      <c r="AD10" s="118">
        <f t="shared" si="3"/>
        <v>0</v>
      </c>
      <c r="AE10" s="272">
        <f t="shared" si="3"/>
        <v>0</v>
      </c>
      <c r="AF10" s="272">
        <f t="shared" si="3"/>
        <v>0</v>
      </c>
      <c r="AG10" s="272">
        <f t="shared" si="3"/>
        <v>0</v>
      </c>
      <c r="AH10" s="118">
        <f t="shared" si="3"/>
        <v>0</v>
      </c>
      <c r="AI10" s="272">
        <f t="shared" si="3"/>
        <v>0</v>
      </c>
      <c r="AJ10" s="272">
        <f>SUM(AJ6:AJ9)</f>
        <v>0</v>
      </c>
      <c r="AK10" s="695">
        <f>SUM(AK6:AK9)</f>
        <v>0</v>
      </c>
      <c r="AL10" s="118">
        <f t="shared" si="3"/>
        <v>0</v>
      </c>
      <c r="AM10" s="272">
        <f t="shared" si="3"/>
        <v>0</v>
      </c>
      <c r="AN10" s="272">
        <f t="shared" si="3"/>
        <v>0</v>
      </c>
      <c r="AO10" s="272">
        <f t="shared" si="3"/>
        <v>0</v>
      </c>
      <c r="AP10" s="118">
        <f t="shared" si="3"/>
        <v>0</v>
      </c>
      <c r="AQ10" s="272">
        <f t="shared" si="3"/>
        <v>0</v>
      </c>
      <c r="AR10" s="272">
        <f t="shared" si="3"/>
        <v>0</v>
      </c>
      <c r="AS10" s="272">
        <f t="shared" si="3"/>
        <v>0</v>
      </c>
      <c r="AT10" s="118">
        <f t="shared" si="3"/>
        <v>0</v>
      </c>
      <c r="AU10" s="272">
        <f t="shared" si="3"/>
        <v>0</v>
      </c>
      <c r="AV10" s="272">
        <f t="shared" si="3"/>
        <v>0</v>
      </c>
      <c r="AW10" s="272">
        <f t="shared" si="3"/>
        <v>0</v>
      </c>
      <c r="AX10" s="118">
        <f t="shared" si="3"/>
        <v>0</v>
      </c>
      <c r="AY10" s="272">
        <f t="shared" si="3"/>
        <v>0</v>
      </c>
      <c r="AZ10" s="272">
        <f t="shared" si="3"/>
        <v>0</v>
      </c>
      <c r="BA10" s="272">
        <f t="shared" si="3"/>
        <v>0</v>
      </c>
      <c r="BB10" s="118">
        <f t="shared" si="3"/>
        <v>0</v>
      </c>
      <c r="BC10" s="272">
        <f t="shared" si="3"/>
        <v>0</v>
      </c>
      <c r="BD10" s="272">
        <f t="shared" si="3"/>
        <v>0</v>
      </c>
      <c r="BE10" s="272">
        <f t="shared" si="3"/>
        <v>0</v>
      </c>
      <c r="BF10" s="278">
        <f t="shared" si="3"/>
        <v>0</v>
      </c>
      <c r="BG10" s="279">
        <f t="shared" si="3"/>
        <v>0</v>
      </c>
      <c r="BH10" s="702">
        <f>AJ10+BD10</f>
        <v>0</v>
      </c>
      <c r="BI10" s="700">
        <f>AK10+BE10</f>
        <v>0</v>
      </c>
    </row>
    <row r="11" spans="3:61" s="119" customFormat="1" ht="9.75" customHeight="1">
      <c r="D11" s="120"/>
      <c r="E11" s="120"/>
      <c r="F11" s="120"/>
      <c r="H11" s="122"/>
      <c r="I11" s="122"/>
      <c r="J11" s="125"/>
      <c r="K11" s="126"/>
      <c r="L11" s="126"/>
      <c r="M11" s="126"/>
      <c r="N11" s="125"/>
      <c r="O11" s="126"/>
      <c r="P11" s="126"/>
      <c r="Q11" s="126"/>
      <c r="R11" s="125"/>
      <c r="S11" s="126"/>
      <c r="T11" s="126"/>
      <c r="U11" s="126"/>
      <c r="V11" s="125"/>
      <c r="W11" s="126"/>
      <c r="X11" s="126"/>
      <c r="Y11" s="126"/>
      <c r="Z11" s="125"/>
      <c r="AA11" s="126"/>
      <c r="AB11" s="126"/>
      <c r="AC11" s="126"/>
      <c r="AD11" s="125"/>
      <c r="AE11" s="126"/>
      <c r="AF11" s="126"/>
      <c r="AG11" s="126"/>
      <c r="AH11" s="125"/>
      <c r="AI11" s="126"/>
      <c r="AJ11" s="126"/>
      <c r="AK11" s="126"/>
      <c r="AL11" s="125"/>
      <c r="AM11" s="126"/>
      <c r="AN11" s="126"/>
      <c r="AO11" s="126"/>
      <c r="AP11" s="125"/>
      <c r="AQ11" s="126"/>
      <c r="AR11" s="126"/>
      <c r="AS11" s="126"/>
      <c r="AT11" s="125"/>
      <c r="AU11" s="126"/>
      <c r="AV11" s="126"/>
      <c r="AW11" s="126"/>
      <c r="AX11" s="125"/>
      <c r="AY11" s="126"/>
      <c r="AZ11" s="126"/>
      <c r="BA11" s="126"/>
      <c r="BB11" s="125"/>
      <c r="BC11" s="126"/>
      <c r="BD11" s="126"/>
      <c r="BE11" s="126"/>
      <c r="BF11" s="125"/>
      <c r="BG11" s="126"/>
    </row>
    <row r="12" spans="3:61" ht="19.5" customHeight="1" thickBot="1">
      <c r="C12" s="1019"/>
      <c r="D12" s="1017"/>
      <c r="E12" s="1017"/>
      <c r="F12" s="1023"/>
      <c r="H12" s="1867" t="s">
        <v>114</v>
      </c>
      <c r="I12" s="1868"/>
      <c r="J12" s="1868"/>
      <c r="K12" s="1868"/>
      <c r="L12" s="1868"/>
      <c r="M12" s="1868"/>
      <c r="N12" s="1868"/>
      <c r="O12" s="1868"/>
      <c r="P12" s="1868"/>
      <c r="Q12" s="1868"/>
      <c r="R12" s="1868"/>
      <c r="S12" s="1868"/>
      <c r="T12" s="1868"/>
      <c r="U12" s="1868"/>
      <c r="V12" s="1868"/>
      <c r="W12" s="1868"/>
      <c r="X12" s="1868"/>
      <c r="Y12" s="1868"/>
      <c r="Z12" s="1868"/>
      <c r="AA12" s="1868"/>
      <c r="AB12" s="1868"/>
      <c r="AC12" s="1868"/>
      <c r="AD12" s="1868"/>
      <c r="AE12" s="1868"/>
      <c r="AF12" s="1868"/>
      <c r="AG12" s="1868"/>
      <c r="AH12" s="1868"/>
      <c r="AI12" s="1868"/>
      <c r="AJ12" s="1868"/>
      <c r="AK12" s="1868"/>
      <c r="AL12" s="1868"/>
      <c r="AM12" s="1868"/>
      <c r="AN12" s="1868"/>
      <c r="AO12" s="1868"/>
      <c r="AP12" s="1868"/>
      <c r="AQ12" s="1868"/>
      <c r="AR12" s="1868"/>
      <c r="AS12" s="1868"/>
      <c r="AT12" s="1868"/>
      <c r="AU12" s="1868"/>
      <c r="AV12" s="1868"/>
      <c r="AW12" s="1868"/>
      <c r="AX12" s="1868"/>
      <c r="AY12" s="1868"/>
      <c r="AZ12" s="1868"/>
      <c r="BA12" s="1868"/>
      <c r="BB12" s="1868"/>
      <c r="BC12" s="1868"/>
      <c r="BD12" s="1868"/>
      <c r="BE12" s="1868"/>
      <c r="BF12" s="1868"/>
      <c r="BG12" s="1868"/>
      <c r="BH12" s="1868"/>
      <c r="BI12" s="1868"/>
    </row>
    <row r="13" spans="3:61" ht="19.5" customHeight="1">
      <c r="C13" s="37" t="s">
        <v>44</v>
      </c>
      <c r="D13" s="1869"/>
      <c r="E13" s="1869"/>
      <c r="F13" s="1870"/>
      <c r="H13" s="1895" t="s">
        <v>117</v>
      </c>
      <c r="I13" s="1896"/>
      <c r="J13" s="1890" t="s">
        <v>43</v>
      </c>
      <c r="K13" s="1891"/>
      <c r="L13" s="1891"/>
      <c r="M13" s="1892"/>
      <c r="N13" s="1890" t="s">
        <v>42</v>
      </c>
      <c r="O13" s="1891"/>
      <c r="P13" s="1891"/>
      <c r="Q13" s="1892"/>
      <c r="R13" s="1890" t="s">
        <v>41</v>
      </c>
      <c r="S13" s="1891"/>
      <c r="T13" s="1891"/>
      <c r="U13" s="1892"/>
      <c r="V13" s="1890" t="s">
        <v>40</v>
      </c>
      <c r="W13" s="1891"/>
      <c r="X13" s="1891"/>
      <c r="Y13" s="1892"/>
      <c r="Z13" s="1890" t="s">
        <v>39</v>
      </c>
      <c r="AA13" s="1891"/>
      <c r="AB13" s="1891"/>
      <c r="AC13" s="1892"/>
      <c r="AD13" s="1890" t="s">
        <v>38</v>
      </c>
      <c r="AE13" s="1891"/>
      <c r="AF13" s="1891"/>
      <c r="AG13" s="1892"/>
      <c r="AH13" s="1882" t="s">
        <v>122</v>
      </c>
      <c r="AI13" s="1883"/>
      <c r="AJ13" s="1883"/>
      <c r="AK13" s="1884"/>
      <c r="AL13" s="1890" t="s">
        <v>37</v>
      </c>
      <c r="AM13" s="1891"/>
      <c r="AN13" s="1891"/>
      <c r="AO13" s="1892"/>
      <c r="AP13" s="1890" t="s">
        <v>36</v>
      </c>
      <c r="AQ13" s="1891"/>
      <c r="AR13" s="1891"/>
      <c r="AS13" s="1892"/>
      <c r="AT13" s="1890" t="s">
        <v>35</v>
      </c>
      <c r="AU13" s="1891"/>
      <c r="AV13" s="1891"/>
      <c r="AW13" s="1892"/>
      <c r="AX13" s="1890" t="s">
        <v>34</v>
      </c>
      <c r="AY13" s="1891"/>
      <c r="AZ13" s="1891"/>
      <c r="BA13" s="1892"/>
      <c r="BB13" s="1882" t="s">
        <v>123</v>
      </c>
      <c r="BC13" s="1883"/>
      <c r="BD13" s="1883"/>
      <c r="BE13" s="1884"/>
      <c r="BF13" s="1880" t="s">
        <v>17</v>
      </c>
      <c r="BG13" s="1881"/>
      <c r="BH13" s="1881"/>
      <c r="BI13" s="1881"/>
    </row>
    <row r="14" spans="3:61" ht="19.5" customHeight="1">
      <c r="C14" s="1879" t="s">
        <v>33</v>
      </c>
      <c r="D14" s="1869"/>
      <c r="E14" s="1017" t="s">
        <v>1</v>
      </c>
      <c r="F14" s="1023" t="s">
        <v>2</v>
      </c>
      <c r="H14" s="1897"/>
      <c r="I14" s="1898"/>
      <c r="J14" s="36" t="s">
        <v>1</v>
      </c>
      <c r="K14" s="271" t="s">
        <v>2</v>
      </c>
      <c r="L14" s="271" t="s">
        <v>182</v>
      </c>
      <c r="M14" s="35" t="s">
        <v>247</v>
      </c>
      <c r="N14" s="36" t="s">
        <v>1</v>
      </c>
      <c r="O14" s="271" t="s">
        <v>2</v>
      </c>
      <c r="P14" s="271" t="s">
        <v>182</v>
      </c>
      <c r="Q14" s="35" t="s">
        <v>247</v>
      </c>
      <c r="R14" s="36" t="s">
        <v>1</v>
      </c>
      <c r="S14" s="271" t="s">
        <v>2</v>
      </c>
      <c r="T14" s="271" t="s">
        <v>182</v>
      </c>
      <c r="U14" s="35" t="s">
        <v>247</v>
      </c>
      <c r="V14" s="36" t="s">
        <v>1</v>
      </c>
      <c r="W14" s="271" t="s">
        <v>2</v>
      </c>
      <c r="X14" s="271" t="s">
        <v>182</v>
      </c>
      <c r="Y14" s="35" t="s">
        <v>247</v>
      </c>
      <c r="Z14" s="36" t="s">
        <v>1</v>
      </c>
      <c r="AA14" s="271" t="s">
        <v>2</v>
      </c>
      <c r="AB14" s="271" t="s">
        <v>182</v>
      </c>
      <c r="AC14" s="35" t="s">
        <v>247</v>
      </c>
      <c r="AD14" s="36" t="s">
        <v>1</v>
      </c>
      <c r="AE14" s="271" t="s">
        <v>2</v>
      </c>
      <c r="AF14" s="271" t="s">
        <v>182</v>
      </c>
      <c r="AG14" s="35" t="s">
        <v>247</v>
      </c>
      <c r="AH14" s="36" t="s">
        <v>1</v>
      </c>
      <c r="AI14" s="271" t="s">
        <v>2</v>
      </c>
      <c r="AJ14" s="271" t="s">
        <v>182</v>
      </c>
      <c r="AK14" s="690" t="s">
        <v>196</v>
      </c>
      <c r="AL14" s="36" t="s">
        <v>1</v>
      </c>
      <c r="AM14" s="271" t="s">
        <v>2</v>
      </c>
      <c r="AN14" s="271" t="s">
        <v>182</v>
      </c>
      <c r="AO14" s="35" t="s">
        <v>247</v>
      </c>
      <c r="AP14" s="36" t="s">
        <v>1</v>
      </c>
      <c r="AQ14" s="271" t="s">
        <v>2</v>
      </c>
      <c r="AR14" s="271" t="s">
        <v>182</v>
      </c>
      <c r="AS14" s="35" t="s">
        <v>247</v>
      </c>
      <c r="AT14" s="36" t="s">
        <v>1</v>
      </c>
      <c r="AU14" s="271" t="s">
        <v>2</v>
      </c>
      <c r="AV14" s="271" t="s">
        <v>182</v>
      </c>
      <c r="AW14" s="35" t="s">
        <v>247</v>
      </c>
      <c r="AX14" s="36" t="s">
        <v>1</v>
      </c>
      <c r="AY14" s="271" t="s">
        <v>2</v>
      </c>
      <c r="AZ14" s="271" t="s">
        <v>182</v>
      </c>
      <c r="BA14" s="35" t="s">
        <v>247</v>
      </c>
      <c r="BB14" s="36" t="s">
        <v>1</v>
      </c>
      <c r="BC14" s="271" t="s">
        <v>2</v>
      </c>
      <c r="BD14" s="271" t="s">
        <v>182</v>
      </c>
      <c r="BE14" s="690" t="s">
        <v>196</v>
      </c>
      <c r="BF14" s="274" t="s">
        <v>1</v>
      </c>
      <c r="BG14" s="275" t="s">
        <v>2</v>
      </c>
      <c r="BH14" s="275" t="s">
        <v>182</v>
      </c>
      <c r="BI14" s="703" t="s">
        <v>196</v>
      </c>
    </row>
    <row r="15" spans="3:61" s="28" customFormat="1" ht="19.5" customHeight="1">
      <c r="C15" s="1879" t="s">
        <v>28</v>
      </c>
      <c r="D15" s="1017" t="s">
        <v>27</v>
      </c>
      <c r="E15" s="1021"/>
      <c r="F15" s="34"/>
      <c r="H15" s="1888" t="s">
        <v>112</v>
      </c>
      <c r="I15" s="33" t="s">
        <v>27</v>
      </c>
      <c r="J15" s="462"/>
      <c r="K15" s="463"/>
      <c r="L15" s="463"/>
      <c r="M15" s="692"/>
      <c r="N15" s="462"/>
      <c r="O15" s="463"/>
      <c r="P15" s="463"/>
      <c r="Q15" s="692"/>
      <c r="R15" s="462"/>
      <c r="S15" s="463"/>
      <c r="T15" s="463"/>
      <c r="U15" s="692"/>
      <c r="V15" s="462"/>
      <c r="W15" s="463"/>
      <c r="X15" s="463"/>
      <c r="Y15" s="692"/>
      <c r="Z15" s="462"/>
      <c r="AA15" s="463"/>
      <c r="AB15" s="463"/>
      <c r="AC15" s="692"/>
      <c r="AD15" s="462"/>
      <c r="AE15" s="463"/>
      <c r="AF15" s="463"/>
      <c r="AG15" s="692"/>
      <c r="AH15" s="128">
        <f>J15+N15+R15+V15+Z15+AD15</f>
        <v>0</v>
      </c>
      <c r="AI15" s="273">
        <f>K15+O15+S15+W15+AA15+AE15</f>
        <v>0</v>
      </c>
      <c r="AJ15" s="273">
        <f>L15+P15+T15+X15+AB15+AF15</f>
        <v>0</v>
      </c>
      <c r="AK15" s="694">
        <f>M15+Q15+U15+Y15+AC15+AG15</f>
        <v>0</v>
      </c>
      <c r="AL15" s="462"/>
      <c r="AM15" s="463"/>
      <c r="AN15" s="463"/>
      <c r="AO15" s="692"/>
      <c r="AP15" s="462"/>
      <c r="AQ15" s="463"/>
      <c r="AR15" s="463"/>
      <c r="AS15" s="692"/>
      <c r="AT15" s="462"/>
      <c r="AU15" s="463"/>
      <c r="AV15" s="463"/>
      <c r="AW15" s="692"/>
      <c r="AX15" s="462"/>
      <c r="AY15" s="463"/>
      <c r="AZ15" s="463"/>
      <c r="BA15" s="692"/>
      <c r="BB15" s="128">
        <f>AL15+AP15+AT15+AX15</f>
        <v>0</v>
      </c>
      <c r="BC15" s="273">
        <f>AM15+AQ15+AU15+AY15</f>
        <v>0</v>
      </c>
      <c r="BD15" s="273">
        <f>AN15+AR15+AV15+AZ15</f>
        <v>0</v>
      </c>
      <c r="BE15" s="273">
        <f>AO15+AS15+AW15+BA15</f>
        <v>0</v>
      </c>
      <c r="BF15" s="276">
        <f t="shared" ref="BF15:BI23" si="4">AH15+BB15</f>
        <v>0</v>
      </c>
      <c r="BG15" s="277">
        <f t="shared" si="4"/>
        <v>0</v>
      </c>
      <c r="BH15" s="277">
        <f t="shared" si="4"/>
        <v>0</v>
      </c>
      <c r="BI15" s="704">
        <f t="shared" si="4"/>
        <v>0</v>
      </c>
    </row>
    <row r="16" spans="3:61" s="28" customFormat="1" ht="19.5" customHeight="1">
      <c r="C16" s="1879"/>
      <c r="D16" s="1017" t="s">
        <v>26</v>
      </c>
      <c r="E16" s="1017"/>
      <c r="F16" s="1018"/>
      <c r="H16" s="1889"/>
      <c r="I16" s="33" t="s">
        <v>26</v>
      </c>
      <c r="J16" s="462"/>
      <c r="K16" s="463"/>
      <c r="L16" s="463"/>
      <c r="M16" s="692"/>
      <c r="N16" s="462"/>
      <c r="O16" s="463"/>
      <c r="P16" s="463"/>
      <c r="Q16" s="692"/>
      <c r="R16" s="462"/>
      <c r="S16" s="463"/>
      <c r="T16" s="463"/>
      <c r="U16" s="692"/>
      <c r="V16" s="462"/>
      <c r="W16" s="463"/>
      <c r="X16" s="463"/>
      <c r="Y16" s="692"/>
      <c r="Z16" s="462"/>
      <c r="AA16" s="463"/>
      <c r="AB16" s="463"/>
      <c r="AC16" s="692"/>
      <c r="AD16" s="462"/>
      <c r="AE16" s="463"/>
      <c r="AF16" s="463"/>
      <c r="AG16" s="692"/>
      <c r="AH16" s="128">
        <f t="shared" ref="AH16:AK23" si="5">J16+N16+R16+V16+Z16+AD16</f>
        <v>0</v>
      </c>
      <c r="AI16" s="273">
        <f t="shared" si="5"/>
        <v>0</v>
      </c>
      <c r="AJ16" s="273">
        <f t="shared" si="5"/>
        <v>0</v>
      </c>
      <c r="AK16" s="694">
        <f t="shared" si="5"/>
        <v>0</v>
      </c>
      <c r="AL16" s="462"/>
      <c r="AM16" s="463"/>
      <c r="AN16" s="463"/>
      <c r="AO16" s="692"/>
      <c r="AP16" s="462"/>
      <c r="AQ16" s="463"/>
      <c r="AR16" s="463"/>
      <c r="AS16" s="692"/>
      <c r="AT16" s="462"/>
      <c r="AU16" s="463"/>
      <c r="AV16" s="463"/>
      <c r="AW16" s="692"/>
      <c r="AX16" s="462"/>
      <c r="AY16" s="463"/>
      <c r="AZ16" s="463"/>
      <c r="BA16" s="692"/>
      <c r="BB16" s="128">
        <f t="shared" ref="BB16:BE23" si="6">AL16+AP16+AT16+AX16</f>
        <v>0</v>
      </c>
      <c r="BC16" s="273">
        <f t="shared" si="6"/>
        <v>0</v>
      </c>
      <c r="BD16" s="273">
        <f t="shared" si="6"/>
        <v>0</v>
      </c>
      <c r="BE16" s="273">
        <f t="shared" si="6"/>
        <v>0</v>
      </c>
      <c r="BF16" s="276">
        <f t="shared" si="4"/>
        <v>0</v>
      </c>
      <c r="BG16" s="277">
        <f t="shared" si="4"/>
        <v>0</v>
      </c>
      <c r="BH16" s="277">
        <f t="shared" si="4"/>
        <v>0</v>
      </c>
      <c r="BI16" s="704">
        <f t="shared" si="4"/>
        <v>0</v>
      </c>
    </row>
    <row r="17" spans="3:61" s="28" customFormat="1" ht="19.5" customHeight="1">
      <c r="C17" s="1879"/>
      <c r="D17" s="1017" t="s">
        <v>25</v>
      </c>
      <c r="E17" s="1017"/>
      <c r="F17" s="1018"/>
      <c r="H17" s="1889"/>
      <c r="I17" s="33" t="s">
        <v>25</v>
      </c>
      <c r="J17" s="462"/>
      <c r="K17" s="463"/>
      <c r="L17" s="463"/>
      <c r="M17" s="692"/>
      <c r="N17" s="462"/>
      <c r="O17" s="463"/>
      <c r="P17" s="463"/>
      <c r="Q17" s="692"/>
      <c r="R17" s="462"/>
      <c r="S17" s="463"/>
      <c r="T17" s="463"/>
      <c r="U17" s="692"/>
      <c r="V17" s="462"/>
      <c r="W17" s="463"/>
      <c r="X17" s="463"/>
      <c r="Y17" s="692"/>
      <c r="Z17" s="462"/>
      <c r="AA17" s="463"/>
      <c r="AB17" s="463"/>
      <c r="AC17" s="692"/>
      <c r="AD17" s="462"/>
      <c r="AE17" s="463"/>
      <c r="AF17" s="463"/>
      <c r="AG17" s="692"/>
      <c r="AH17" s="128">
        <f t="shared" si="5"/>
        <v>0</v>
      </c>
      <c r="AI17" s="273">
        <f t="shared" si="5"/>
        <v>0</v>
      </c>
      <c r="AJ17" s="273">
        <f t="shared" si="5"/>
        <v>0</v>
      </c>
      <c r="AK17" s="694">
        <f t="shared" si="5"/>
        <v>0</v>
      </c>
      <c r="AL17" s="462"/>
      <c r="AM17" s="463"/>
      <c r="AN17" s="463"/>
      <c r="AO17" s="692"/>
      <c r="AP17" s="462"/>
      <c r="AQ17" s="463"/>
      <c r="AR17" s="463"/>
      <c r="AS17" s="692"/>
      <c r="AT17" s="462"/>
      <c r="AU17" s="463"/>
      <c r="AV17" s="463"/>
      <c r="AW17" s="692"/>
      <c r="AX17" s="462"/>
      <c r="AY17" s="463"/>
      <c r="AZ17" s="463"/>
      <c r="BA17" s="692"/>
      <c r="BB17" s="128">
        <f t="shared" si="6"/>
        <v>0</v>
      </c>
      <c r="BC17" s="273">
        <f t="shared" si="6"/>
        <v>0</v>
      </c>
      <c r="BD17" s="273">
        <f t="shared" si="6"/>
        <v>0</v>
      </c>
      <c r="BE17" s="273">
        <f t="shared" si="6"/>
        <v>0</v>
      </c>
      <c r="BF17" s="276">
        <f t="shared" si="4"/>
        <v>0</v>
      </c>
      <c r="BG17" s="277">
        <f t="shared" si="4"/>
        <v>0</v>
      </c>
      <c r="BH17" s="277">
        <f t="shared" si="4"/>
        <v>0</v>
      </c>
      <c r="BI17" s="704">
        <f t="shared" si="4"/>
        <v>0</v>
      </c>
    </row>
    <row r="18" spans="3:61" s="28" customFormat="1" ht="19.5" customHeight="1">
      <c r="C18" s="1879"/>
      <c r="D18" s="1017" t="s">
        <v>24</v>
      </c>
      <c r="E18" s="1017"/>
      <c r="F18" s="1018"/>
      <c r="H18" s="1889"/>
      <c r="I18" s="33" t="s">
        <v>24</v>
      </c>
      <c r="J18" s="462"/>
      <c r="K18" s="463"/>
      <c r="L18" s="463"/>
      <c r="M18" s="692"/>
      <c r="N18" s="462"/>
      <c r="O18" s="463"/>
      <c r="P18" s="463"/>
      <c r="Q18" s="692"/>
      <c r="R18" s="462"/>
      <c r="S18" s="463"/>
      <c r="T18" s="463"/>
      <c r="U18" s="692"/>
      <c r="V18" s="462"/>
      <c r="W18" s="463"/>
      <c r="X18" s="463"/>
      <c r="Y18" s="692"/>
      <c r="Z18" s="462"/>
      <c r="AA18" s="463"/>
      <c r="AB18" s="463"/>
      <c r="AC18" s="692"/>
      <c r="AD18" s="462"/>
      <c r="AE18" s="463"/>
      <c r="AF18" s="463"/>
      <c r="AG18" s="692"/>
      <c r="AH18" s="128">
        <f t="shared" si="5"/>
        <v>0</v>
      </c>
      <c r="AI18" s="273">
        <f t="shared" si="5"/>
        <v>0</v>
      </c>
      <c r="AJ18" s="273">
        <f t="shared" si="5"/>
        <v>0</v>
      </c>
      <c r="AK18" s="694">
        <f t="shared" si="5"/>
        <v>0</v>
      </c>
      <c r="AL18" s="462"/>
      <c r="AM18" s="463"/>
      <c r="AN18" s="463"/>
      <c r="AO18" s="692"/>
      <c r="AP18" s="462"/>
      <c r="AQ18" s="463"/>
      <c r="AR18" s="463"/>
      <c r="AS18" s="692"/>
      <c r="AT18" s="462"/>
      <c r="AU18" s="463"/>
      <c r="AV18" s="463"/>
      <c r="AW18" s="692"/>
      <c r="AX18" s="462"/>
      <c r="AY18" s="463"/>
      <c r="AZ18" s="463"/>
      <c r="BA18" s="692"/>
      <c r="BB18" s="128">
        <f t="shared" si="6"/>
        <v>0</v>
      </c>
      <c r="BC18" s="273">
        <f t="shared" si="6"/>
        <v>0</v>
      </c>
      <c r="BD18" s="273">
        <f t="shared" si="6"/>
        <v>0</v>
      </c>
      <c r="BE18" s="273">
        <f t="shared" si="6"/>
        <v>0</v>
      </c>
      <c r="BF18" s="276">
        <f t="shared" si="4"/>
        <v>0</v>
      </c>
      <c r="BG18" s="277">
        <f t="shared" si="4"/>
        <v>0</v>
      </c>
      <c r="BH18" s="277">
        <f t="shared" si="4"/>
        <v>0</v>
      </c>
      <c r="BI18" s="704">
        <f t="shared" si="4"/>
        <v>0</v>
      </c>
    </row>
    <row r="19" spans="3:61" s="28" customFormat="1" ht="19.5" customHeight="1">
      <c r="C19" s="1879"/>
      <c r="D19" s="1017" t="s">
        <v>23</v>
      </c>
      <c r="E19" s="1017"/>
      <c r="F19" s="1018"/>
      <c r="H19" s="1889"/>
      <c r="I19" s="33" t="s">
        <v>23</v>
      </c>
      <c r="J19" s="462"/>
      <c r="K19" s="463"/>
      <c r="L19" s="463"/>
      <c r="M19" s="692"/>
      <c r="N19" s="462"/>
      <c r="O19" s="463"/>
      <c r="P19" s="463"/>
      <c r="Q19" s="692"/>
      <c r="R19" s="462"/>
      <c r="S19" s="463"/>
      <c r="T19" s="463"/>
      <c r="U19" s="692"/>
      <c r="V19" s="462"/>
      <c r="W19" s="463"/>
      <c r="X19" s="463"/>
      <c r="Y19" s="692"/>
      <c r="Z19" s="462"/>
      <c r="AA19" s="463"/>
      <c r="AB19" s="463"/>
      <c r="AC19" s="692"/>
      <c r="AD19" s="462"/>
      <c r="AE19" s="463"/>
      <c r="AF19" s="463"/>
      <c r="AG19" s="692"/>
      <c r="AH19" s="128">
        <f t="shared" si="5"/>
        <v>0</v>
      </c>
      <c r="AI19" s="273">
        <f t="shared" si="5"/>
        <v>0</v>
      </c>
      <c r="AJ19" s="273">
        <f t="shared" si="5"/>
        <v>0</v>
      </c>
      <c r="AK19" s="694">
        <f t="shared" si="5"/>
        <v>0</v>
      </c>
      <c r="AL19" s="1213"/>
      <c r="AM19" s="463"/>
      <c r="AN19" s="463"/>
      <c r="AO19" s="692"/>
      <c r="AP19" s="462"/>
      <c r="AQ19" s="463"/>
      <c r="AR19" s="463"/>
      <c r="AS19" s="692"/>
      <c r="AT19" s="462"/>
      <c r="AU19" s="463"/>
      <c r="AV19" s="463"/>
      <c r="AW19" s="692"/>
      <c r="AX19" s="462"/>
      <c r="AY19" s="463"/>
      <c r="AZ19" s="463"/>
      <c r="BA19" s="692"/>
      <c r="BB19" s="128">
        <f t="shared" si="6"/>
        <v>0</v>
      </c>
      <c r="BC19" s="273">
        <f t="shared" si="6"/>
        <v>0</v>
      </c>
      <c r="BD19" s="273">
        <f t="shared" si="6"/>
        <v>0</v>
      </c>
      <c r="BE19" s="273">
        <f t="shared" si="6"/>
        <v>0</v>
      </c>
      <c r="BF19" s="276">
        <f t="shared" si="4"/>
        <v>0</v>
      </c>
      <c r="BG19" s="277">
        <f t="shared" si="4"/>
        <v>0</v>
      </c>
      <c r="BH19" s="277">
        <f t="shared" si="4"/>
        <v>0</v>
      </c>
      <c r="BI19" s="704">
        <f t="shared" si="4"/>
        <v>0</v>
      </c>
    </row>
    <row r="20" spans="3:61" s="28" customFormat="1" ht="19.5" customHeight="1">
      <c r="C20" s="1879"/>
      <c r="D20" s="1017" t="s">
        <v>22</v>
      </c>
      <c r="E20" s="1017"/>
      <c r="F20" s="1018"/>
      <c r="H20" s="1889"/>
      <c r="I20" s="33" t="s">
        <v>22</v>
      </c>
      <c r="J20" s="462"/>
      <c r="K20" s="463"/>
      <c r="L20" s="463"/>
      <c r="M20" s="692"/>
      <c r="N20" s="462"/>
      <c r="O20" s="463"/>
      <c r="P20" s="463"/>
      <c r="Q20" s="692"/>
      <c r="R20" s="462"/>
      <c r="S20" s="463"/>
      <c r="T20" s="463"/>
      <c r="U20" s="692"/>
      <c r="V20" s="462"/>
      <c r="W20" s="463"/>
      <c r="X20" s="463"/>
      <c r="Y20" s="692"/>
      <c r="Z20" s="462"/>
      <c r="AA20" s="463"/>
      <c r="AB20" s="463"/>
      <c r="AC20" s="692"/>
      <c r="AD20" s="462"/>
      <c r="AE20" s="463"/>
      <c r="AF20" s="463"/>
      <c r="AG20" s="692"/>
      <c r="AH20" s="128">
        <f t="shared" si="5"/>
        <v>0</v>
      </c>
      <c r="AI20" s="273">
        <f t="shared" si="5"/>
        <v>0</v>
      </c>
      <c r="AJ20" s="273">
        <f t="shared" si="5"/>
        <v>0</v>
      </c>
      <c r="AK20" s="694">
        <f t="shared" si="5"/>
        <v>0</v>
      </c>
      <c r="AL20" s="462"/>
      <c r="AM20" s="463"/>
      <c r="AN20" s="463"/>
      <c r="AO20" s="692"/>
      <c r="AP20" s="462"/>
      <c r="AQ20" s="463"/>
      <c r="AR20" s="463"/>
      <c r="AS20" s="692"/>
      <c r="AT20" s="462"/>
      <c r="AU20" s="463"/>
      <c r="AV20" s="463"/>
      <c r="AW20" s="692"/>
      <c r="AX20" s="462"/>
      <c r="AY20" s="463"/>
      <c r="AZ20" s="463"/>
      <c r="BA20" s="692"/>
      <c r="BB20" s="128">
        <f t="shared" si="6"/>
        <v>0</v>
      </c>
      <c r="BC20" s="273">
        <f t="shared" si="6"/>
        <v>0</v>
      </c>
      <c r="BD20" s="273">
        <f t="shared" si="6"/>
        <v>0</v>
      </c>
      <c r="BE20" s="273">
        <f t="shared" si="6"/>
        <v>0</v>
      </c>
      <c r="BF20" s="276">
        <f t="shared" si="4"/>
        <v>0</v>
      </c>
      <c r="BG20" s="277">
        <f t="shared" si="4"/>
        <v>0</v>
      </c>
      <c r="BH20" s="277">
        <f t="shared" si="4"/>
        <v>0</v>
      </c>
      <c r="BI20" s="704">
        <f t="shared" si="4"/>
        <v>0</v>
      </c>
    </row>
    <row r="21" spans="3:61" s="28" customFormat="1" ht="19.5" customHeight="1">
      <c r="C21" s="1885"/>
      <c r="D21" s="1017"/>
      <c r="E21" s="1017"/>
      <c r="F21" s="1018"/>
      <c r="H21" s="1889"/>
      <c r="I21" s="33" t="s">
        <v>21</v>
      </c>
      <c r="J21" s="462"/>
      <c r="K21" s="463"/>
      <c r="L21" s="463"/>
      <c r="M21" s="692"/>
      <c r="N21" s="462"/>
      <c r="O21" s="463"/>
      <c r="P21" s="463"/>
      <c r="Q21" s="692"/>
      <c r="R21" s="462"/>
      <c r="S21" s="463"/>
      <c r="T21" s="463"/>
      <c r="U21" s="692"/>
      <c r="V21" s="462"/>
      <c r="W21" s="463"/>
      <c r="X21" s="463"/>
      <c r="Y21" s="692"/>
      <c r="Z21" s="462"/>
      <c r="AA21" s="463"/>
      <c r="AB21" s="463"/>
      <c r="AC21" s="692"/>
      <c r="AD21" s="462"/>
      <c r="AE21" s="463"/>
      <c r="AF21" s="463"/>
      <c r="AG21" s="692"/>
      <c r="AH21" s="128">
        <f t="shared" si="5"/>
        <v>0</v>
      </c>
      <c r="AI21" s="273">
        <f t="shared" si="5"/>
        <v>0</v>
      </c>
      <c r="AJ21" s="273">
        <f t="shared" si="5"/>
        <v>0</v>
      </c>
      <c r="AK21" s="694">
        <f t="shared" si="5"/>
        <v>0</v>
      </c>
      <c r="AL21" s="462"/>
      <c r="AM21" s="463"/>
      <c r="AN21" s="463"/>
      <c r="AO21" s="692"/>
      <c r="AP21" s="462"/>
      <c r="AQ21" s="463"/>
      <c r="AR21" s="463"/>
      <c r="AS21" s="692"/>
      <c r="AT21" s="462"/>
      <c r="AU21" s="463"/>
      <c r="AV21" s="463"/>
      <c r="AW21" s="692"/>
      <c r="AX21" s="462"/>
      <c r="AY21" s="463"/>
      <c r="AZ21" s="463"/>
      <c r="BA21" s="692"/>
      <c r="BB21" s="128">
        <f t="shared" si="6"/>
        <v>0</v>
      </c>
      <c r="BC21" s="273">
        <f t="shared" si="6"/>
        <v>0</v>
      </c>
      <c r="BD21" s="273">
        <f t="shared" si="6"/>
        <v>0</v>
      </c>
      <c r="BE21" s="273">
        <f t="shared" si="6"/>
        <v>0</v>
      </c>
      <c r="BF21" s="276">
        <f t="shared" si="4"/>
        <v>0</v>
      </c>
      <c r="BG21" s="277">
        <f t="shared" si="4"/>
        <v>0</v>
      </c>
      <c r="BH21" s="277">
        <f t="shared" si="4"/>
        <v>0</v>
      </c>
      <c r="BI21" s="704">
        <f t="shared" si="4"/>
        <v>0</v>
      </c>
    </row>
    <row r="22" spans="3:61" s="28" customFormat="1" ht="19.5" customHeight="1">
      <c r="C22" s="1885"/>
      <c r="D22" s="1017"/>
      <c r="E22" s="1017"/>
      <c r="F22" s="1018"/>
      <c r="H22" s="1889"/>
      <c r="I22" s="33" t="s">
        <v>20</v>
      </c>
      <c r="J22" s="462"/>
      <c r="K22" s="463"/>
      <c r="L22" s="463"/>
      <c r="M22" s="692"/>
      <c r="N22" s="462"/>
      <c r="O22" s="463"/>
      <c r="P22" s="463"/>
      <c r="Q22" s="692"/>
      <c r="R22" s="462"/>
      <c r="S22" s="463"/>
      <c r="T22" s="463"/>
      <c r="U22" s="692"/>
      <c r="V22" s="462"/>
      <c r="W22" s="463"/>
      <c r="X22" s="463"/>
      <c r="Y22" s="692"/>
      <c r="Z22" s="462"/>
      <c r="AA22" s="463"/>
      <c r="AB22" s="463"/>
      <c r="AC22" s="692"/>
      <c r="AD22" s="462"/>
      <c r="AE22" s="463"/>
      <c r="AF22" s="463"/>
      <c r="AG22" s="692"/>
      <c r="AH22" s="128">
        <f t="shared" si="5"/>
        <v>0</v>
      </c>
      <c r="AI22" s="273">
        <f t="shared" si="5"/>
        <v>0</v>
      </c>
      <c r="AJ22" s="273">
        <f t="shared" si="5"/>
        <v>0</v>
      </c>
      <c r="AK22" s="694">
        <f t="shared" si="5"/>
        <v>0</v>
      </c>
      <c r="AL22" s="462"/>
      <c r="AM22" s="463"/>
      <c r="AN22" s="463"/>
      <c r="AO22" s="692"/>
      <c r="AP22" s="462"/>
      <c r="AQ22" s="463"/>
      <c r="AR22" s="463"/>
      <c r="AS22" s="692"/>
      <c r="AT22" s="462"/>
      <c r="AU22" s="463"/>
      <c r="AV22" s="463"/>
      <c r="AW22" s="692"/>
      <c r="AX22" s="462"/>
      <c r="AY22" s="463"/>
      <c r="AZ22" s="463"/>
      <c r="BA22" s="692"/>
      <c r="BB22" s="128">
        <f t="shared" si="6"/>
        <v>0</v>
      </c>
      <c r="BC22" s="273">
        <f t="shared" si="6"/>
        <v>0</v>
      </c>
      <c r="BD22" s="273">
        <f t="shared" si="6"/>
        <v>0</v>
      </c>
      <c r="BE22" s="273">
        <f t="shared" si="6"/>
        <v>0</v>
      </c>
      <c r="BF22" s="276">
        <f t="shared" si="4"/>
        <v>0</v>
      </c>
      <c r="BG22" s="277">
        <f t="shared" si="4"/>
        <v>0</v>
      </c>
      <c r="BH22" s="277">
        <f t="shared" si="4"/>
        <v>0</v>
      </c>
      <c r="BI22" s="704">
        <f t="shared" si="4"/>
        <v>0</v>
      </c>
    </row>
    <row r="23" spans="3:61" s="28" customFormat="1" ht="19.5" customHeight="1">
      <c r="C23" s="1885"/>
      <c r="D23" s="1017"/>
      <c r="E23" s="1017"/>
      <c r="F23" s="1018"/>
      <c r="H23" s="1889"/>
      <c r="I23" s="33" t="s">
        <v>19</v>
      </c>
      <c r="J23" s="462"/>
      <c r="K23" s="463"/>
      <c r="L23" s="463"/>
      <c r="M23" s="692"/>
      <c r="N23" s="462"/>
      <c r="O23" s="463"/>
      <c r="P23" s="463"/>
      <c r="Q23" s="692"/>
      <c r="R23" s="462"/>
      <c r="S23" s="463"/>
      <c r="T23" s="463"/>
      <c r="U23" s="692"/>
      <c r="V23" s="462"/>
      <c r="W23" s="463"/>
      <c r="X23" s="463"/>
      <c r="Y23" s="692"/>
      <c r="Z23" s="462"/>
      <c r="AA23" s="463"/>
      <c r="AB23" s="463"/>
      <c r="AC23" s="692"/>
      <c r="AD23" s="462"/>
      <c r="AE23" s="463"/>
      <c r="AF23" s="463"/>
      <c r="AG23" s="692"/>
      <c r="AH23" s="128">
        <f t="shared" si="5"/>
        <v>0</v>
      </c>
      <c r="AI23" s="273">
        <f t="shared" si="5"/>
        <v>0</v>
      </c>
      <c r="AJ23" s="273">
        <f t="shared" si="5"/>
        <v>0</v>
      </c>
      <c r="AK23" s="694">
        <f t="shared" si="5"/>
        <v>0</v>
      </c>
      <c r="AL23" s="462"/>
      <c r="AM23" s="463"/>
      <c r="AN23" s="463"/>
      <c r="AO23" s="692"/>
      <c r="AP23" s="462"/>
      <c r="AQ23" s="463"/>
      <c r="AR23" s="463"/>
      <c r="AS23" s="692"/>
      <c r="AT23" s="462"/>
      <c r="AU23" s="463"/>
      <c r="AV23" s="463"/>
      <c r="AW23" s="692"/>
      <c r="AX23" s="462"/>
      <c r="AY23" s="463"/>
      <c r="AZ23" s="463"/>
      <c r="BA23" s="692"/>
      <c r="BB23" s="128">
        <f t="shared" si="6"/>
        <v>0</v>
      </c>
      <c r="BC23" s="273">
        <f t="shared" si="6"/>
        <v>0</v>
      </c>
      <c r="BD23" s="273">
        <f t="shared" si="6"/>
        <v>0</v>
      </c>
      <c r="BE23" s="273">
        <f t="shared" si="6"/>
        <v>0</v>
      </c>
      <c r="BF23" s="276">
        <f t="shared" si="4"/>
        <v>0</v>
      </c>
      <c r="BG23" s="277">
        <f t="shared" si="4"/>
        <v>0</v>
      </c>
      <c r="BH23" s="277">
        <f t="shared" si="4"/>
        <v>0</v>
      </c>
      <c r="BI23" s="704">
        <f t="shared" si="4"/>
        <v>0</v>
      </c>
    </row>
    <row r="24" spans="3:61" s="28" customFormat="1" ht="19.5" customHeight="1" thickBot="1">
      <c r="C24" s="1885"/>
      <c r="D24" s="1017"/>
      <c r="E24" s="1017"/>
      <c r="F24" s="1018"/>
      <c r="H24" s="1865" t="s">
        <v>116</v>
      </c>
      <c r="I24" s="1866"/>
      <c r="J24" s="118">
        <f t="shared" ref="J24:BI24" si="7">SUM(J15:J23)</f>
        <v>0</v>
      </c>
      <c r="K24" s="272">
        <f t="shared" si="7"/>
        <v>0</v>
      </c>
      <c r="L24" s="272">
        <f>SUM(L15:L23)</f>
        <v>0</v>
      </c>
      <c r="M24" s="272">
        <f>SUM(M15:M23)</f>
        <v>0</v>
      </c>
      <c r="N24" s="118">
        <f t="shared" ref="N24:AI24" si="8">SUM(N15:N23)</f>
        <v>0</v>
      </c>
      <c r="O24" s="272">
        <f t="shared" si="8"/>
        <v>0</v>
      </c>
      <c r="P24" s="272">
        <f t="shared" si="8"/>
        <v>0</v>
      </c>
      <c r="Q24" s="272">
        <f t="shared" si="8"/>
        <v>0</v>
      </c>
      <c r="R24" s="118">
        <f t="shared" si="8"/>
        <v>0</v>
      </c>
      <c r="S24" s="272">
        <f t="shared" si="8"/>
        <v>0</v>
      </c>
      <c r="T24" s="272">
        <f t="shared" si="8"/>
        <v>0</v>
      </c>
      <c r="U24" s="272">
        <f t="shared" si="8"/>
        <v>0</v>
      </c>
      <c r="V24" s="118">
        <f t="shared" si="8"/>
        <v>0</v>
      </c>
      <c r="W24" s="272">
        <f t="shared" si="8"/>
        <v>0</v>
      </c>
      <c r="X24" s="272">
        <f t="shared" si="8"/>
        <v>0</v>
      </c>
      <c r="Y24" s="272">
        <f t="shared" si="8"/>
        <v>0</v>
      </c>
      <c r="Z24" s="118">
        <f t="shared" si="8"/>
        <v>0</v>
      </c>
      <c r="AA24" s="272">
        <f t="shared" si="8"/>
        <v>0</v>
      </c>
      <c r="AB24" s="272">
        <f t="shared" si="8"/>
        <v>0</v>
      </c>
      <c r="AC24" s="272">
        <f t="shared" si="8"/>
        <v>0</v>
      </c>
      <c r="AD24" s="118">
        <f t="shared" si="8"/>
        <v>0</v>
      </c>
      <c r="AE24" s="272">
        <f t="shared" si="8"/>
        <v>0</v>
      </c>
      <c r="AF24" s="272">
        <f t="shared" si="8"/>
        <v>0</v>
      </c>
      <c r="AG24" s="272">
        <f t="shared" si="8"/>
        <v>0</v>
      </c>
      <c r="AH24" s="118">
        <f t="shared" si="8"/>
        <v>0</v>
      </c>
      <c r="AI24" s="272">
        <f t="shared" si="8"/>
        <v>0</v>
      </c>
      <c r="AJ24" s="272">
        <f>SUM(AJ15:AJ23)</f>
        <v>0</v>
      </c>
      <c r="AK24" s="695">
        <f>SUM(AK15:AK23)</f>
        <v>0</v>
      </c>
      <c r="AL24" s="118">
        <f t="shared" ref="AL24:BC24" si="9">SUM(AL15:AL23)</f>
        <v>0</v>
      </c>
      <c r="AM24" s="272">
        <f t="shared" si="9"/>
        <v>0</v>
      </c>
      <c r="AN24" s="272">
        <f t="shared" si="9"/>
        <v>0</v>
      </c>
      <c r="AO24" s="272">
        <f t="shared" si="9"/>
        <v>0</v>
      </c>
      <c r="AP24" s="118">
        <f t="shared" si="9"/>
        <v>0</v>
      </c>
      <c r="AQ24" s="272">
        <f t="shared" si="9"/>
        <v>0</v>
      </c>
      <c r="AR24" s="272">
        <f t="shared" si="9"/>
        <v>0</v>
      </c>
      <c r="AS24" s="272">
        <f t="shared" si="9"/>
        <v>0</v>
      </c>
      <c r="AT24" s="118">
        <f t="shared" si="9"/>
        <v>0</v>
      </c>
      <c r="AU24" s="272">
        <f t="shared" si="9"/>
        <v>0</v>
      </c>
      <c r="AV24" s="272">
        <f t="shared" si="9"/>
        <v>0</v>
      </c>
      <c r="AW24" s="272">
        <f t="shared" si="9"/>
        <v>0</v>
      </c>
      <c r="AX24" s="118">
        <f t="shared" si="9"/>
        <v>0</v>
      </c>
      <c r="AY24" s="272">
        <f t="shared" si="9"/>
        <v>0</v>
      </c>
      <c r="AZ24" s="272">
        <f t="shared" si="9"/>
        <v>0</v>
      </c>
      <c r="BA24" s="272">
        <f t="shared" si="9"/>
        <v>0</v>
      </c>
      <c r="BB24" s="118">
        <f t="shared" si="9"/>
        <v>0</v>
      </c>
      <c r="BC24" s="272">
        <f t="shared" si="9"/>
        <v>0</v>
      </c>
      <c r="BD24" s="272">
        <f>SUM(BD15:BD23)</f>
        <v>0</v>
      </c>
      <c r="BE24" s="272">
        <f>SUM(BE15:BE23)</f>
        <v>0</v>
      </c>
      <c r="BF24" s="278">
        <f t="shared" si="7"/>
        <v>0</v>
      </c>
      <c r="BG24" s="279">
        <f t="shared" si="7"/>
        <v>0</v>
      </c>
      <c r="BH24" s="279">
        <f t="shared" si="7"/>
        <v>0</v>
      </c>
      <c r="BI24" s="705">
        <f t="shared" si="7"/>
        <v>0</v>
      </c>
    </row>
    <row r="25" spans="3:61" s="119" customFormat="1" ht="9" customHeight="1" thickBot="1">
      <c r="C25" s="121"/>
      <c r="D25" s="121"/>
      <c r="E25" s="121"/>
      <c r="F25" s="121"/>
      <c r="H25" s="122"/>
      <c r="I25" s="122"/>
      <c r="J25" s="125"/>
      <c r="K25" s="126"/>
      <c r="L25" s="126"/>
      <c r="M25" s="126"/>
      <c r="N25" s="125"/>
      <c r="O25" s="126"/>
      <c r="P25" s="126"/>
      <c r="Q25" s="126"/>
      <c r="R25" s="125"/>
      <c r="S25" s="126"/>
      <c r="T25" s="126"/>
      <c r="U25" s="126"/>
      <c r="V25" s="125"/>
      <c r="W25" s="126"/>
      <c r="X25" s="126"/>
      <c r="Y25" s="126"/>
      <c r="Z25" s="125"/>
      <c r="AA25" s="126"/>
      <c r="AB25" s="126"/>
      <c r="AC25" s="126"/>
      <c r="AD25" s="125"/>
      <c r="AE25" s="126"/>
      <c r="AF25" s="126"/>
      <c r="AG25" s="126"/>
      <c r="AH25" s="125"/>
      <c r="AI25" s="126"/>
      <c r="AJ25" s="126"/>
      <c r="AK25" s="126"/>
      <c r="AL25" s="125"/>
      <c r="AM25" s="126"/>
      <c r="AN25" s="126"/>
      <c r="AO25" s="126"/>
      <c r="AP25" s="125"/>
      <c r="AQ25" s="126"/>
      <c r="AR25" s="126"/>
      <c r="AS25" s="126"/>
      <c r="AT25" s="125"/>
      <c r="AU25" s="126"/>
      <c r="AV25" s="126"/>
      <c r="AW25" s="126"/>
      <c r="AX25" s="125"/>
      <c r="AY25" s="126"/>
      <c r="AZ25" s="126"/>
      <c r="BA25" s="126"/>
      <c r="BB25" s="125"/>
      <c r="BC25" s="126"/>
      <c r="BD25" s="126"/>
      <c r="BE25" s="126"/>
      <c r="BF25" s="125"/>
      <c r="BG25" s="126"/>
    </row>
    <row r="26" spans="3:61" s="28" customFormat="1" ht="26.25" customHeight="1" thickBot="1">
      <c r="D26" s="29"/>
      <c r="E26" s="29"/>
      <c r="F26" s="29"/>
      <c r="H26" s="1893" t="s">
        <v>49</v>
      </c>
      <c r="I26" s="1894"/>
      <c r="J26" s="123">
        <f t="shared" ref="J26:BI26" si="10">J10+J24</f>
        <v>0</v>
      </c>
      <c r="K26" s="280">
        <f t="shared" si="10"/>
        <v>0</v>
      </c>
      <c r="L26" s="280">
        <f>L10+L24</f>
        <v>0</v>
      </c>
      <c r="M26" s="280">
        <f>M10+M24</f>
        <v>0</v>
      </c>
      <c r="N26" s="123">
        <f t="shared" ref="N26:O26" si="11">N10+N24</f>
        <v>0</v>
      </c>
      <c r="O26" s="280">
        <f t="shared" si="11"/>
        <v>0</v>
      </c>
      <c r="P26" s="280">
        <f>P10+P24</f>
        <v>0</v>
      </c>
      <c r="Q26" s="280">
        <f>Q10+Q24</f>
        <v>0</v>
      </c>
      <c r="R26" s="123">
        <f t="shared" ref="R26:S26" si="12">R10+R24</f>
        <v>0</v>
      </c>
      <c r="S26" s="280">
        <f t="shared" si="12"/>
        <v>0</v>
      </c>
      <c r="T26" s="280">
        <f>T10+T24</f>
        <v>0</v>
      </c>
      <c r="U26" s="280">
        <f>U10+U24</f>
        <v>0</v>
      </c>
      <c r="V26" s="123">
        <f t="shared" ref="V26:W26" si="13">V10+V24</f>
        <v>0</v>
      </c>
      <c r="W26" s="280">
        <f t="shared" si="13"/>
        <v>0</v>
      </c>
      <c r="X26" s="280">
        <f>X10+X24</f>
        <v>0</v>
      </c>
      <c r="Y26" s="280">
        <f>Y10+Y24</f>
        <v>0</v>
      </c>
      <c r="Z26" s="123">
        <f t="shared" ref="Z26:AA26" si="14">Z10+Z24</f>
        <v>0</v>
      </c>
      <c r="AA26" s="280">
        <f t="shared" si="14"/>
        <v>0</v>
      </c>
      <c r="AB26" s="280">
        <f>AB10+AB24</f>
        <v>0</v>
      </c>
      <c r="AC26" s="280">
        <f>AC10+AC24</f>
        <v>0</v>
      </c>
      <c r="AD26" s="123">
        <f t="shared" ref="AD26:AE26" si="15">AD10+AD24</f>
        <v>0</v>
      </c>
      <c r="AE26" s="280">
        <f t="shared" si="15"/>
        <v>0</v>
      </c>
      <c r="AF26" s="280">
        <f>AF10+AF24</f>
        <v>0</v>
      </c>
      <c r="AG26" s="280">
        <f>AG10+AG24</f>
        <v>0</v>
      </c>
      <c r="AH26" s="127">
        <f t="shared" ref="AH26:AI26" si="16">AH10+AH24</f>
        <v>0</v>
      </c>
      <c r="AI26" s="280">
        <f t="shared" si="16"/>
        <v>0</v>
      </c>
      <c r="AJ26" s="697">
        <f>AJ10+AJ24</f>
        <v>0</v>
      </c>
      <c r="AK26" s="696">
        <f>AK10+AK24</f>
        <v>0</v>
      </c>
      <c r="AL26" s="123">
        <f t="shared" ref="AL26:AM26" si="17">AL10+AL24</f>
        <v>0</v>
      </c>
      <c r="AM26" s="280">
        <f t="shared" si="17"/>
        <v>0</v>
      </c>
      <c r="AN26" s="280">
        <f>AN10+AN24</f>
        <v>0</v>
      </c>
      <c r="AO26" s="280">
        <f>AO10+AO24</f>
        <v>0</v>
      </c>
      <c r="AP26" s="123">
        <f t="shared" ref="AP26:AQ26" si="18">AP10+AP24</f>
        <v>0</v>
      </c>
      <c r="AQ26" s="280">
        <f t="shared" si="18"/>
        <v>0</v>
      </c>
      <c r="AR26" s="280">
        <f>AR10+AR24</f>
        <v>0</v>
      </c>
      <c r="AS26" s="280">
        <f>AS10+AS24</f>
        <v>0</v>
      </c>
      <c r="AT26" s="123">
        <f t="shared" ref="AT26:AU26" si="19">AT10+AT24</f>
        <v>0</v>
      </c>
      <c r="AU26" s="280">
        <f t="shared" si="19"/>
        <v>0</v>
      </c>
      <c r="AV26" s="280">
        <f>AV10+AV24</f>
        <v>0</v>
      </c>
      <c r="AW26" s="280">
        <f>AW10+AW24</f>
        <v>0</v>
      </c>
      <c r="AX26" s="123">
        <f t="shared" ref="AX26:AY26" si="20">AX10+AX24</f>
        <v>0</v>
      </c>
      <c r="AY26" s="280">
        <f t="shared" si="20"/>
        <v>0</v>
      </c>
      <c r="AZ26" s="280">
        <f>AZ10+AZ24</f>
        <v>0</v>
      </c>
      <c r="BA26" s="280">
        <f>BA10+BA24</f>
        <v>0</v>
      </c>
      <c r="BB26" s="127">
        <f t="shared" ref="BB26:BC26" si="21">BB10+BB24</f>
        <v>0</v>
      </c>
      <c r="BC26" s="280">
        <f t="shared" si="21"/>
        <v>0</v>
      </c>
      <c r="BD26" s="697">
        <f>BD10+BD24</f>
        <v>0</v>
      </c>
      <c r="BE26" s="697">
        <f>BE10+BE24</f>
        <v>0</v>
      </c>
      <c r="BF26" s="124">
        <f>BF10+BF24</f>
        <v>0</v>
      </c>
      <c r="BG26" s="707">
        <f t="shared" si="10"/>
        <v>0</v>
      </c>
      <c r="BH26" s="706">
        <f t="shared" si="10"/>
        <v>0</v>
      </c>
      <c r="BI26" s="284">
        <f t="shared" si="10"/>
        <v>0</v>
      </c>
    </row>
    <row r="27" spans="3:61" ht="21" customHeight="1">
      <c r="H27" s="320"/>
      <c r="I27" s="320"/>
      <c r="J27" s="321"/>
      <c r="K27" s="321"/>
      <c r="L27" s="323"/>
      <c r="M27" s="323"/>
      <c r="N27" s="321"/>
      <c r="O27" s="321"/>
      <c r="P27" s="321"/>
      <c r="Q27" s="321"/>
      <c r="R27" s="321"/>
      <c r="S27" s="321"/>
      <c r="T27" s="321"/>
      <c r="U27" s="321"/>
      <c r="V27" s="321"/>
      <c r="W27" s="321"/>
      <c r="X27" s="323"/>
      <c r="Y27" s="323"/>
      <c r="Z27" s="321"/>
      <c r="AA27" s="321"/>
      <c r="AB27" s="323"/>
      <c r="AC27" s="323"/>
      <c r="AD27" s="321"/>
      <c r="AE27" s="321"/>
      <c r="AF27" s="321"/>
      <c r="AG27" s="321"/>
      <c r="AH27" s="321"/>
      <c r="AI27" s="321"/>
      <c r="AJ27" s="321"/>
      <c r="AK27" s="321"/>
      <c r="AL27" s="321"/>
      <c r="AM27" s="321"/>
      <c r="AN27" s="321"/>
      <c r="AO27" s="321"/>
      <c r="AP27" s="321"/>
      <c r="AQ27" s="321"/>
      <c r="AR27" s="321"/>
      <c r="AS27" s="321"/>
      <c r="AT27" s="321"/>
      <c r="AU27" s="321"/>
      <c r="AV27" s="321"/>
      <c r="AW27" s="321"/>
      <c r="AX27" s="321"/>
      <c r="AY27" s="321"/>
      <c r="AZ27" s="321"/>
      <c r="BA27" s="321"/>
      <c r="BB27" s="335"/>
      <c r="BC27" s="1918">
        <f>SUM(I27:AZ29)</f>
        <v>0</v>
      </c>
      <c r="BD27" s="335"/>
      <c r="BE27" s="335"/>
      <c r="BF27" s="335"/>
      <c r="BG27" s="335"/>
      <c r="BH27" s="1917">
        <f>BH26+BI26</f>
        <v>0</v>
      </c>
      <c r="BI27" s="1917"/>
    </row>
    <row r="28" spans="3:61" ht="21" customHeight="1">
      <c r="H28" s="320"/>
      <c r="I28" s="320"/>
      <c r="J28" s="322"/>
      <c r="K28" s="323"/>
      <c r="L28" s="323"/>
      <c r="M28" s="323"/>
      <c r="N28" s="322"/>
      <c r="O28" s="323"/>
      <c r="P28" s="323"/>
      <c r="Q28" s="323"/>
      <c r="R28" s="322"/>
      <c r="S28" s="323"/>
      <c r="T28" s="323"/>
      <c r="U28" s="323"/>
      <c r="V28" s="321"/>
      <c r="W28" s="323"/>
      <c r="X28" s="323"/>
      <c r="Y28" s="323"/>
      <c r="Z28" s="322"/>
      <c r="AA28" s="323"/>
      <c r="AB28" s="323"/>
      <c r="AC28" s="323"/>
      <c r="AD28" s="322"/>
      <c r="AE28" s="323"/>
      <c r="AF28" s="323"/>
      <c r="AG28" s="322"/>
      <c r="AH28" s="322"/>
      <c r="AI28" s="323"/>
      <c r="AJ28" s="323"/>
      <c r="AK28" s="323"/>
      <c r="AL28" s="321"/>
      <c r="AM28" s="323"/>
      <c r="AN28" s="622"/>
      <c r="AO28" s="622"/>
      <c r="AP28" s="321"/>
      <c r="AQ28" s="323"/>
      <c r="AR28" s="323"/>
      <c r="AS28" s="323"/>
      <c r="AT28" s="322"/>
      <c r="AU28" s="323"/>
      <c r="AV28" s="323"/>
      <c r="AW28" s="323"/>
      <c r="AX28" s="322"/>
      <c r="AY28" s="468"/>
      <c r="AZ28" s="468"/>
      <c r="BA28" s="468"/>
      <c r="BB28" s="392"/>
      <c r="BC28" s="1919"/>
      <c r="BD28" s="434"/>
      <c r="BE28" s="434"/>
      <c r="BF28" s="435"/>
      <c r="BG28" s="434"/>
      <c r="BH28" s="726"/>
      <c r="BI28" s="434"/>
    </row>
    <row r="29" spans="3:61" ht="23.25">
      <c r="H29" s="320"/>
      <c r="I29" s="320"/>
      <c r="J29" s="322"/>
      <c r="K29" s="323"/>
      <c r="L29" s="323"/>
      <c r="M29" s="323"/>
      <c r="N29" s="322"/>
      <c r="O29" s="323"/>
      <c r="P29" s="323"/>
      <c r="Q29" s="323"/>
      <c r="R29" s="322"/>
      <c r="S29" s="323"/>
      <c r="T29" s="323"/>
      <c r="U29" s="323"/>
      <c r="V29" s="322"/>
      <c r="W29" s="323"/>
      <c r="X29" s="323"/>
      <c r="Y29" s="323"/>
      <c r="Z29" s="322"/>
      <c r="AA29" s="323"/>
      <c r="AB29" s="323"/>
      <c r="AC29" s="323"/>
      <c r="AD29" s="322"/>
      <c r="AE29" s="323"/>
      <c r="AF29" s="688"/>
      <c r="AG29" s="688"/>
      <c r="AH29" s="322"/>
      <c r="AI29" s="322"/>
      <c r="AJ29" s="323"/>
      <c r="AK29" s="323"/>
      <c r="AL29" s="321"/>
      <c r="AM29" s="323"/>
      <c r="AN29" s="321"/>
      <c r="AO29" s="321"/>
      <c r="AP29" s="322"/>
      <c r="AQ29" s="323"/>
      <c r="AR29" s="323"/>
      <c r="AS29" s="323"/>
      <c r="AT29" s="322"/>
      <c r="AU29" s="323"/>
      <c r="AV29" s="323"/>
      <c r="AW29" s="323"/>
      <c r="AX29" s="322"/>
      <c r="AY29" s="468"/>
      <c r="AZ29" s="468"/>
      <c r="BA29" s="468"/>
      <c r="BB29" s="392"/>
      <c r="BC29" s="434"/>
      <c r="BD29" s="434"/>
      <c r="BE29" s="434"/>
      <c r="BF29" s="435"/>
      <c r="BG29" s="434"/>
      <c r="BH29" s="682"/>
      <c r="BI29" s="434"/>
    </row>
    <row r="30" spans="3:61" s="464" customFormat="1" ht="21.75" thickBot="1">
      <c r="D30" s="576"/>
      <c r="E30" s="576"/>
      <c r="F30" s="576"/>
      <c r="I30" s="577"/>
      <c r="J30" s="578"/>
      <c r="K30" s="579"/>
      <c r="L30" s="579"/>
      <c r="M30" s="579"/>
      <c r="N30" s="578"/>
      <c r="O30" s="579"/>
      <c r="P30" s="579"/>
      <c r="Q30" s="579"/>
      <c r="R30" s="578"/>
      <c r="S30" s="579"/>
      <c r="T30" s="579"/>
      <c r="U30" s="579"/>
      <c r="V30" s="578"/>
      <c r="W30" s="578"/>
      <c r="X30" s="579"/>
      <c r="Y30" s="579"/>
      <c r="Z30" s="579"/>
      <c r="AA30" s="578"/>
      <c r="AB30" s="579"/>
      <c r="AC30" s="579"/>
      <c r="AD30" s="579"/>
      <c r="AE30" s="578"/>
      <c r="AF30" s="579"/>
      <c r="AG30" s="579"/>
      <c r="AH30" s="621"/>
      <c r="AI30" s="578"/>
      <c r="AJ30" s="579"/>
      <c r="AK30" s="579"/>
      <c r="AM30" s="580"/>
      <c r="AN30" s="579"/>
      <c r="AO30" s="579"/>
      <c r="AP30" s="579"/>
      <c r="AQ30" s="578"/>
      <c r="AR30" s="579"/>
      <c r="AS30" s="579"/>
      <c r="AT30" s="579"/>
      <c r="AU30" s="578"/>
      <c r="AV30" s="579"/>
      <c r="AW30" s="579"/>
      <c r="AZ30" s="581"/>
      <c r="BA30" s="581"/>
      <c r="BB30" s="581"/>
      <c r="BC30" s="582"/>
      <c r="BD30" s="583"/>
      <c r="BE30" s="583"/>
      <c r="BF30" s="583"/>
      <c r="BG30" s="584"/>
      <c r="BH30" s="583"/>
      <c r="BI30" s="585"/>
    </row>
    <row r="31" spans="3:61" ht="35.25" customHeight="1" thickBot="1">
      <c r="L31" s="1929" t="s">
        <v>356</v>
      </c>
      <c r="M31" s="1930"/>
      <c r="N31" s="1930"/>
      <c r="O31" s="1930"/>
      <c r="P31" s="1930"/>
      <c r="Q31" s="1930"/>
      <c r="R31" s="1930"/>
      <c r="S31" s="1931"/>
      <c r="T31" s="579"/>
      <c r="U31" s="579"/>
      <c r="V31" s="1929" t="s">
        <v>204</v>
      </c>
      <c r="W31" s="1930"/>
      <c r="X31" s="1930"/>
      <c r="Y31" s="1930"/>
      <c r="Z31" s="1930"/>
      <c r="AA31" s="1930"/>
      <c r="AB31" s="1930"/>
      <c r="AC31" s="1935"/>
      <c r="AD31" s="1936"/>
      <c r="AE31" s="579"/>
      <c r="AF31" s="579"/>
      <c r="AG31" s="26"/>
      <c r="AH31" s="24"/>
      <c r="AJ31" s="685"/>
      <c r="AL31" s="24"/>
      <c r="AM31" s="599"/>
      <c r="AN31" s="1014"/>
      <c r="AP31" s="24"/>
      <c r="AS31" s="26"/>
      <c r="AT31" s="24"/>
      <c r="AX31" s="24"/>
      <c r="AY31" s="25"/>
      <c r="AZ31" s="25"/>
      <c r="BA31" s="24"/>
      <c r="BB31" s="24"/>
      <c r="BE31" s="23"/>
      <c r="BF31" s="23"/>
      <c r="BG31" s="23"/>
    </row>
    <row r="32" spans="3:61" s="24" customFormat="1" ht="28.5" customHeight="1" thickBot="1">
      <c r="C32" s="23"/>
      <c r="D32" s="27"/>
      <c r="E32" s="27"/>
      <c r="F32" s="27"/>
      <c r="G32" s="23"/>
      <c r="H32" s="23"/>
      <c r="I32" s="27"/>
      <c r="L32" s="450" t="s">
        <v>0</v>
      </c>
      <c r="M32" s="439" t="s">
        <v>200</v>
      </c>
      <c r="N32" s="454" t="s">
        <v>205</v>
      </c>
      <c r="O32" s="439" t="s">
        <v>31</v>
      </c>
      <c r="P32" s="448" t="s">
        <v>201</v>
      </c>
      <c r="Q32" s="455" t="s">
        <v>206</v>
      </c>
      <c r="R32" s="436" t="s">
        <v>22</v>
      </c>
      <c r="S32" s="438" t="s">
        <v>191</v>
      </c>
      <c r="T32" s="579"/>
      <c r="U32" s="579"/>
      <c r="V32" s="571" t="s">
        <v>0</v>
      </c>
      <c r="W32" s="572" t="s">
        <v>200</v>
      </c>
      <c r="X32" s="623" t="s">
        <v>205</v>
      </c>
      <c r="Y32" s="572" t="s">
        <v>31</v>
      </c>
      <c r="Z32" s="573" t="s">
        <v>201</v>
      </c>
      <c r="AA32" s="574" t="s">
        <v>206</v>
      </c>
      <c r="AB32" s="717" t="s">
        <v>22</v>
      </c>
      <c r="AC32" s="721" t="s">
        <v>191</v>
      </c>
      <c r="AD32" s="722" t="s">
        <v>226</v>
      </c>
      <c r="AE32" s="579"/>
      <c r="AF32" s="579"/>
      <c r="AG32" s="599"/>
      <c r="AH32" s="599"/>
      <c r="AI32" s="599"/>
      <c r="AN32" s="26"/>
      <c r="AT32" s="25"/>
      <c r="AU32" s="25"/>
      <c r="AW32" s="23"/>
      <c r="AX32" s="23"/>
    </row>
    <row r="33" spans="1:59" ht="23.25">
      <c r="L33" s="441" t="s">
        <v>189</v>
      </c>
      <c r="M33" s="470">
        <f>$J$6</f>
        <v>0</v>
      </c>
      <c r="N33" s="430">
        <f>$J9</f>
        <v>0</v>
      </c>
      <c r="O33" s="430">
        <f>$J7</f>
        <v>0</v>
      </c>
      <c r="P33" s="430">
        <f>$J8</f>
        <v>0</v>
      </c>
      <c r="Q33" s="430">
        <f>J15+J16+J17+J18+J19+J21+J22+J23</f>
        <v>0</v>
      </c>
      <c r="R33" s="430">
        <f>$J20</f>
        <v>0</v>
      </c>
      <c r="S33" s="446">
        <f t="shared" ref="S33:S42" si="22">SUM(M33:R33)</f>
        <v>0</v>
      </c>
      <c r="T33" s="579"/>
      <c r="U33" s="579"/>
      <c r="V33" s="447" t="s">
        <v>189</v>
      </c>
      <c r="W33" s="569">
        <f>L$6</f>
        <v>0</v>
      </c>
      <c r="X33" s="570">
        <f>$L9</f>
        <v>0</v>
      </c>
      <c r="Y33" s="570">
        <f>$L7</f>
        <v>0</v>
      </c>
      <c r="Z33" s="570">
        <f>$L8</f>
        <v>0</v>
      </c>
      <c r="AA33" s="570">
        <f>L$15+L$16+L$17+L$18+L$19+L$21+L$22+L$23</f>
        <v>0</v>
      </c>
      <c r="AB33" s="718">
        <f>$L20</f>
        <v>0</v>
      </c>
      <c r="AC33" s="723">
        <f t="shared" ref="AC33:AC42" si="23">SUM(W33:AB33)</f>
        <v>0</v>
      </c>
      <c r="AD33" s="587">
        <f>M6+M7+M8++M9+M15+M16+M17+M18+M19+M21+M20+M22+M23</f>
        <v>0</v>
      </c>
      <c r="AE33" s="579">
        <f>AC33+AD33</f>
        <v>0</v>
      </c>
      <c r="AF33" s="579"/>
      <c r="AG33" s="599"/>
      <c r="AH33" s="599"/>
      <c r="AI33" s="599"/>
      <c r="AL33" s="24"/>
      <c r="AN33" s="26"/>
      <c r="AP33" s="24"/>
      <c r="AT33" s="25"/>
      <c r="AU33" s="25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</row>
    <row r="34" spans="1:59" s="24" customFormat="1" ht="23.25">
      <c r="A34" s="23"/>
      <c r="B34" s="23"/>
      <c r="C34" s="23"/>
      <c r="D34" s="27"/>
      <c r="E34" s="27"/>
      <c r="F34" s="27"/>
      <c r="G34" s="23"/>
      <c r="H34" s="23"/>
      <c r="I34" s="27"/>
      <c r="L34" s="441" t="s">
        <v>183</v>
      </c>
      <c r="M34" s="470">
        <f>$N$6</f>
        <v>0</v>
      </c>
      <c r="N34" s="430">
        <f>$N9</f>
        <v>0</v>
      </c>
      <c r="O34" s="430">
        <f>$N7</f>
        <v>0</v>
      </c>
      <c r="P34" s="430">
        <f>$N8</f>
        <v>0</v>
      </c>
      <c r="Q34" s="430">
        <f>N15+N16+N17+N18+N19+N21+N22+N23</f>
        <v>0</v>
      </c>
      <c r="R34" s="430">
        <f>$N20</f>
        <v>0</v>
      </c>
      <c r="S34" s="446">
        <f t="shared" si="22"/>
        <v>0</v>
      </c>
      <c r="T34" s="686"/>
      <c r="U34" s="26"/>
      <c r="V34" s="441" t="s">
        <v>183</v>
      </c>
      <c r="W34" s="440">
        <f>P$6</f>
        <v>0</v>
      </c>
      <c r="X34" s="430">
        <f>$P9</f>
        <v>0</v>
      </c>
      <c r="Y34" s="430">
        <f>$P7</f>
        <v>0</v>
      </c>
      <c r="Z34" s="430">
        <f>$P8</f>
        <v>0</v>
      </c>
      <c r="AA34" s="430">
        <f>P$15+P$16+P$17+P$18+P$19+P$21+P$22+P$23</f>
        <v>0</v>
      </c>
      <c r="AB34" s="719">
        <f>$P20</f>
        <v>0</v>
      </c>
      <c r="AC34" s="723">
        <f t="shared" si="23"/>
        <v>0</v>
      </c>
      <c r="AD34" s="587">
        <f>Q6+Q7+Q8+Q9+Q15+Q16+Q17+Q18+Q19+Q20+Q21+Q22+Q23</f>
        <v>0</v>
      </c>
      <c r="AE34" s="579">
        <f t="shared" ref="AE34:AE43" si="24">AC34+AD34</f>
        <v>0</v>
      </c>
      <c r="AG34" s="599"/>
      <c r="AH34" s="599"/>
      <c r="AI34" s="599"/>
      <c r="AN34" s="26"/>
      <c r="AT34" s="25"/>
    </row>
    <row r="35" spans="1:59" ht="23.25">
      <c r="L35" s="441" t="s">
        <v>184</v>
      </c>
      <c r="M35" s="470">
        <f>$R$6</f>
        <v>0</v>
      </c>
      <c r="N35" s="430">
        <f>$R9</f>
        <v>0</v>
      </c>
      <c r="O35" s="430">
        <f>$R7</f>
        <v>0</v>
      </c>
      <c r="P35" s="430">
        <f>$R8</f>
        <v>0</v>
      </c>
      <c r="Q35" s="430">
        <f>R15+R16+R17+R18+R19+R21+R22+R23</f>
        <v>0</v>
      </c>
      <c r="R35" s="430">
        <f>$R20</f>
        <v>0</v>
      </c>
      <c r="S35" s="446">
        <f t="shared" si="22"/>
        <v>0</v>
      </c>
      <c r="T35" s="686"/>
      <c r="U35" s="26"/>
      <c r="V35" s="441" t="s">
        <v>184</v>
      </c>
      <c r="W35" s="440">
        <f>T$6</f>
        <v>0</v>
      </c>
      <c r="X35" s="430">
        <f>$T9</f>
        <v>0</v>
      </c>
      <c r="Y35" s="430">
        <f>$T7</f>
        <v>0</v>
      </c>
      <c r="Z35" s="430">
        <f>$T8</f>
        <v>0</v>
      </c>
      <c r="AA35" s="430">
        <f>T$15+T$16+T$17+T$18+T$19+T$21+T$22+T$23</f>
        <v>0</v>
      </c>
      <c r="AB35" s="719">
        <f>$T20</f>
        <v>0</v>
      </c>
      <c r="AC35" s="723">
        <f t="shared" si="23"/>
        <v>0</v>
      </c>
      <c r="AD35" s="587">
        <f>U6+U7+U8+U9+U15+U16+U17+U18+U19+U20+U21+U22+U23</f>
        <v>0</v>
      </c>
      <c r="AE35" s="579">
        <f t="shared" si="24"/>
        <v>0</v>
      </c>
      <c r="AF35" s="26"/>
      <c r="AG35" s="599"/>
      <c r="AH35" s="599"/>
      <c r="AI35" s="599"/>
      <c r="AL35" s="24"/>
      <c r="AN35" s="26"/>
      <c r="AP35" s="24"/>
      <c r="AT35" s="25"/>
      <c r="AU35" s="25"/>
      <c r="AX35" s="23"/>
      <c r="AY35" s="23"/>
      <c r="AZ35" s="23"/>
      <c r="BA35" s="23"/>
      <c r="BB35" s="23"/>
      <c r="BC35" s="23"/>
      <c r="BD35" s="23"/>
      <c r="BE35" s="23"/>
      <c r="BF35" s="23"/>
      <c r="BG35" s="23"/>
    </row>
    <row r="36" spans="1:59" ht="23.25">
      <c r="L36" s="441" t="s">
        <v>192</v>
      </c>
      <c r="M36" s="470">
        <f>$V$6</f>
        <v>0</v>
      </c>
      <c r="N36" s="430">
        <f>$V9</f>
        <v>0</v>
      </c>
      <c r="O36" s="430">
        <f>$V7</f>
        <v>0</v>
      </c>
      <c r="P36" s="430">
        <f>$V8</f>
        <v>0</v>
      </c>
      <c r="Q36" s="430">
        <f>V15+V16+V17+V18+V19+V21++V22+V23</f>
        <v>0</v>
      </c>
      <c r="R36" s="430">
        <f>$V20</f>
        <v>0</v>
      </c>
      <c r="S36" s="446">
        <f t="shared" si="22"/>
        <v>0</v>
      </c>
      <c r="T36" s="686"/>
      <c r="U36" s="26"/>
      <c r="V36" s="441" t="s">
        <v>192</v>
      </c>
      <c r="W36" s="440">
        <f>X$6</f>
        <v>0</v>
      </c>
      <c r="X36" s="430">
        <f>$X9</f>
        <v>0</v>
      </c>
      <c r="Y36" s="430">
        <f>$X7</f>
        <v>0</v>
      </c>
      <c r="Z36" s="430">
        <f>$X8</f>
        <v>0</v>
      </c>
      <c r="AA36" s="430">
        <f>X$15+X$16+X$17+X$18+X$19+X$21+X$22+X$23</f>
        <v>0</v>
      </c>
      <c r="AB36" s="719">
        <f>$X20</f>
        <v>0</v>
      </c>
      <c r="AC36" s="723">
        <f t="shared" si="23"/>
        <v>0</v>
      </c>
      <c r="AD36" s="587">
        <f>Y6+Y7+Y8+Y9+Y15+Y16+Y17+Y18+Y19+Y20+Y21+Y22+Y23</f>
        <v>0</v>
      </c>
      <c r="AE36" s="579">
        <f t="shared" si="24"/>
        <v>0</v>
      </c>
      <c r="AF36" s="26"/>
      <c r="AG36" s="599"/>
      <c r="AH36" s="599"/>
      <c r="AI36" s="599"/>
      <c r="AL36" s="24"/>
      <c r="AN36" s="26"/>
      <c r="AP36" s="24"/>
      <c r="AT36" s="25"/>
      <c r="AU36" s="25"/>
      <c r="AX36" s="23"/>
      <c r="AY36" s="23"/>
      <c r="AZ36" s="23"/>
      <c r="BA36" s="23"/>
      <c r="BB36" s="23"/>
      <c r="BC36" s="23"/>
      <c r="BD36" s="23"/>
      <c r="BE36" s="23"/>
      <c r="BF36" s="23"/>
      <c r="BG36" s="23"/>
    </row>
    <row r="37" spans="1:59" ht="23.25">
      <c r="L37" s="441" t="s">
        <v>171</v>
      </c>
      <c r="M37" s="470">
        <f>$Z$6</f>
        <v>0</v>
      </c>
      <c r="N37" s="430">
        <f>$Z9</f>
        <v>0</v>
      </c>
      <c r="O37" s="430">
        <f>$Z7</f>
        <v>0</v>
      </c>
      <c r="P37" s="430">
        <f>$Z8</f>
        <v>0</v>
      </c>
      <c r="Q37" s="430">
        <f>Z15+Z16+Z17+Z18+Z19+Z21+Z22+Z23</f>
        <v>0</v>
      </c>
      <c r="R37" s="430">
        <f>$Z20</f>
        <v>0</v>
      </c>
      <c r="S37" s="446">
        <f t="shared" si="22"/>
        <v>0</v>
      </c>
      <c r="T37" s="686"/>
      <c r="U37" s="26"/>
      <c r="V37" s="441" t="s">
        <v>171</v>
      </c>
      <c r="W37" s="440">
        <f>AB$6</f>
        <v>0</v>
      </c>
      <c r="X37" s="430">
        <f>$AB9</f>
        <v>0</v>
      </c>
      <c r="Y37" s="430">
        <f>$AB7</f>
        <v>0</v>
      </c>
      <c r="Z37" s="430">
        <f>$AB8</f>
        <v>0</v>
      </c>
      <c r="AA37" s="430">
        <f>AB$15+AB$16+AB$17+AB$18+AB$19+AB$21+AB$22+AB$23</f>
        <v>0</v>
      </c>
      <c r="AB37" s="719">
        <f>$AB20</f>
        <v>0</v>
      </c>
      <c r="AC37" s="723">
        <f t="shared" si="23"/>
        <v>0</v>
      </c>
      <c r="AD37" s="587">
        <f>AC6+AC7+AC8+AC9+AC15+AC17+AC16+AC18+AC19+AC20+AC21+AC22+AC23</f>
        <v>0</v>
      </c>
      <c r="AE37" s="579">
        <f t="shared" si="24"/>
        <v>0</v>
      </c>
      <c r="AF37" s="26"/>
      <c r="AG37" s="26"/>
      <c r="AI37" s="26"/>
      <c r="AJ37" s="26"/>
      <c r="AK37" s="26"/>
      <c r="AL37" s="24"/>
      <c r="AN37" s="26"/>
      <c r="AP37" s="24"/>
      <c r="AT37" s="24"/>
      <c r="AU37" s="25"/>
      <c r="AX37" s="23"/>
      <c r="AY37" s="23"/>
      <c r="AZ37" s="23"/>
      <c r="BA37" s="23"/>
      <c r="BB37" s="23"/>
      <c r="BC37" s="23"/>
      <c r="BD37" s="23"/>
      <c r="BE37" s="23"/>
      <c r="BF37" s="23"/>
      <c r="BG37" s="23"/>
    </row>
    <row r="38" spans="1:59" ht="23.25">
      <c r="L38" s="441" t="s">
        <v>190</v>
      </c>
      <c r="M38" s="492">
        <f>$AD$6</f>
        <v>0</v>
      </c>
      <c r="N38" s="471">
        <f>$AD9</f>
        <v>0</v>
      </c>
      <c r="O38" s="471">
        <f>$AD7</f>
        <v>0</v>
      </c>
      <c r="P38" s="471">
        <f>$AD8</f>
        <v>0</v>
      </c>
      <c r="Q38" s="430">
        <f>AD15+AD16+AD17+AD18+AD19+AD21+AD22+AD23</f>
        <v>0</v>
      </c>
      <c r="R38" s="471">
        <f>$AD20</f>
        <v>0</v>
      </c>
      <c r="S38" s="446">
        <f t="shared" si="22"/>
        <v>0</v>
      </c>
      <c r="T38" s="686"/>
      <c r="U38" s="26"/>
      <c r="V38" s="441" t="s">
        <v>190</v>
      </c>
      <c r="W38" s="440">
        <f>AF$6</f>
        <v>0</v>
      </c>
      <c r="X38" s="430">
        <f>$AF9</f>
        <v>0</v>
      </c>
      <c r="Y38" s="430">
        <f>$AF7</f>
        <v>0</v>
      </c>
      <c r="Z38" s="430">
        <f>$AF8</f>
        <v>0</v>
      </c>
      <c r="AA38" s="430">
        <f>AF$15+AF$16+AF$17+AF$18+AF$19+AF$21+AF$22+AF$23</f>
        <v>0</v>
      </c>
      <c r="AB38" s="719">
        <f>$AF20</f>
        <v>0</v>
      </c>
      <c r="AC38" s="723">
        <f t="shared" si="23"/>
        <v>0</v>
      </c>
      <c r="AD38" s="587">
        <f>AG6+AG7+AG8+AG9+AG15+AG16+AG17+AG18+AG19+AG20+AG21+AG22+AG23</f>
        <v>0</v>
      </c>
      <c r="AE38" s="579">
        <f t="shared" si="24"/>
        <v>0</v>
      </c>
      <c r="AF38" s="26"/>
      <c r="AG38" s="26"/>
      <c r="AI38" s="26"/>
      <c r="AJ38" s="26"/>
      <c r="AK38" s="26"/>
      <c r="AL38" s="24"/>
      <c r="AN38" s="26"/>
      <c r="AP38" s="24"/>
      <c r="AT38" s="24"/>
      <c r="AX38" s="23"/>
      <c r="AY38" s="23"/>
      <c r="AZ38" s="23"/>
      <c r="BA38" s="23"/>
      <c r="BB38" s="23"/>
      <c r="BC38" s="23"/>
      <c r="BD38" s="23"/>
      <c r="BE38" s="23"/>
      <c r="BF38" s="23"/>
      <c r="BG38" s="23"/>
    </row>
    <row r="39" spans="1:59" ht="23.25">
      <c r="L39" s="441" t="s">
        <v>185</v>
      </c>
      <c r="M39" s="470">
        <f>$AL$6</f>
        <v>0</v>
      </c>
      <c r="N39" s="430">
        <f>$AL9</f>
        <v>0</v>
      </c>
      <c r="O39" s="430">
        <f>$AL7</f>
        <v>0</v>
      </c>
      <c r="P39" s="430">
        <f>$AL8</f>
        <v>0</v>
      </c>
      <c r="Q39" s="430">
        <f>AL15+AL16+AL17+AL18+AL19+AL21+AL22+AL23</f>
        <v>0</v>
      </c>
      <c r="R39" s="430">
        <f>$AL20</f>
        <v>0</v>
      </c>
      <c r="S39" s="446">
        <f t="shared" si="22"/>
        <v>0</v>
      </c>
      <c r="T39" s="686"/>
      <c r="U39" s="26"/>
      <c r="V39" s="441" t="s">
        <v>185</v>
      </c>
      <c r="W39" s="469">
        <f>AN$6</f>
        <v>0</v>
      </c>
      <c r="X39" s="430">
        <f>$AN9</f>
        <v>0</v>
      </c>
      <c r="Y39" s="430">
        <f>$AN7</f>
        <v>0</v>
      </c>
      <c r="Z39" s="430">
        <f>$AN8</f>
        <v>0</v>
      </c>
      <c r="AA39" s="430">
        <f>AN$15+AN$16+AN$17+AN$18+AN$19+AN$21+AN$22+AN$23</f>
        <v>0</v>
      </c>
      <c r="AB39" s="719">
        <f>$AN20</f>
        <v>0</v>
      </c>
      <c r="AC39" s="723">
        <f t="shared" si="23"/>
        <v>0</v>
      </c>
      <c r="AD39" s="587">
        <f>AO6+AO7+AO8+AO9+AO15+AO16+AO17+AO18+AO19+AO20+AO21+AO22+AO23</f>
        <v>0</v>
      </c>
      <c r="AE39" s="579">
        <f t="shared" si="24"/>
        <v>0</v>
      </c>
      <c r="AF39" s="23"/>
      <c r="AG39" s="26"/>
      <c r="AI39" s="26"/>
      <c r="AJ39" s="26"/>
      <c r="AK39" s="26"/>
      <c r="AL39" s="24"/>
      <c r="AN39" s="26"/>
      <c r="AP39" s="24"/>
      <c r="AT39" s="24"/>
      <c r="AX39" s="23"/>
      <c r="AY39" s="23"/>
      <c r="AZ39" s="23"/>
      <c r="BA39" s="23"/>
      <c r="BB39" s="23"/>
      <c r="BC39" s="23"/>
      <c r="BD39" s="23"/>
      <c r="BE39" s="23"/>
      <c r="BF39" s="23"/>
      <c r="BG39" s="23"/>
    </row>
    <row r="40" spans="1:59" ht="23.25">
      <c r="L40" s="441" t="s">
        <v>202</v>
      </c>
      <c r="M40" s="470">
        <f>$AP$6</f>
        <v>0</v>
      </c>
      <c r="N40" s="430">
        <f>$AP9</f>
        <v>0</v>
      </c>
      <c r="O40" s="430">
        <f>$AP7</f>
        <v>0</v>
      </c>
      <c r="P40" s="430">
        <f>$AP8</f>
        <v>0</v>
      </c>
      <c r="Q40" s="430">
        <f>AP15+AP16+AP17+AP18+AP19+AP21+AP22+AP23</f>
        <v>0</v>
      </c>
      <c r="R40" s="430">
        <f>$AP20</f>
        <v>0</v>
      </c>
      <c r="S40" s="446">
        <f t="shared" si="22"/>
        <v>0</v>
      </c>
      <c r="T40" s="686"/>
      <c r="U40" s="26"/>
      <c r="V40" s="441" t="s">
        <v>202</v>
      </c>
      <c r="W40" s="440">
        <f>AR$6</f>
        <v>0</v>
      </c>
      <c r="X40" s="430">
        <f>$AR9</f>
        <v>0</v>
      </c>
      <c r="Y40" s="430">
        <f>$AR7</f>
        <v>0</v>
      </c>
      <c r="Z40" s="430">
        <f>$AR8</f>
        <v>0</v>
      </c>
      <c r="AA40" s="430">
        <f>AR$15+AR$16+AR$17+AR$18+AR$19+AR$21+AR$22+AR$23</f>
        <v>0</v>
      </c>
      <c r="AB40" s="719">
        <f>$AR20</f>
        <v>0</v>
      </c>
      <c r="AC40" s="723">
        <f t="shared" si="23"/>
        <v>0</v>
      </c>
      <c r="AD40" s="587">
        <f>AS6+AS7+AS8+AS9+AS15+AS16+AS17+AS18+AS19+AS20+AS21+AS22+AS23</f>
        <v>0</v>
      </c>
      <c r="AE40" s="579">
        <f t="shared" si="24"/>
        <v>0</v>
      </c>
      <c r="AF40" s="28"/>
      <c r="AG40" s="26"/>
      <c r="AI40" s="26"/>
      <c r="AJ40" s="26"/>
      <c r="AK40" s="26"/>
      <c r="AL40" s="24"/>
      <c r="AN40" s="26"/>
      <c r="AP40" s="24"/>
      <c r="AS40" s="23"/>
      <c r="AT40" s="24"/>
      <c r="AX40" s="23"/>
      <c r="AY40" s="23"/>
      <c r="AZ40" s="23"/>
      <c r="BA40" s="23"/>
      <c r="BB40" s="23"/>
      <c r="BC40" s="23"/>
      <c r="BD40" s="23"/>
      <c r="BE40" s="23"/>
      <c r="BF40" s="23"/>
      <c r="BG40" s="23"/>
    </row>
    <row r="41" spans="1:59" ht="23.25">
      <c r="L41" s="441" t="s">
        <v>186</v>
      </c>
      <c r="M41" s="470">
        <f>$AT$6</f>
        <v>0</v>
      </c>
      <c r="N41" s="430">
        <f>$AT9</f>
        <v>0</v>
      </c>
      <c r="O41" s="430">
        <f>$AT7</f>
        <v>0</v>
      </c>
      <c r="P41" s="430">
        <f>$AT8</f>
        <v>0</v>
      </c>
      <c r="Q41" s="430">
        <f>AT15+AT16+AT17+AT18+AT19+AT21+AT22+AT23</f>
        <v>0</v>
      </c>
      <c r="R41" s="430">
        <f>$AT20</f>
        <v>0</v>
      </c>
      <c r="S41" s="446">
        <f t="shared" si="22"/>
        <v>0</v>
      </c>
      <c r="T41" s="686"/>
      <c r="U41" s="26"/>
      <c r="V41" s="441" t="s">
        <v>186</v>
      </c>
      <c r="W41" s="440">
        <f>AV$6</f>
        <v>0</v>
      </c>
      <c r="X41" s="430">
        <f>$AV9</f>
        <v>0</v>
      </c>
      <c r="Y41" s="430">
        <f>$AV7</f>
        <v>0</v>
      </c>
      <c r="Z41" s="430">
        <f>$AV8</f>
        <v>0</v>
      </c>
      <c r="AA41" s="430">
        <f>AV$15+AV$16+AV$17+AV$18+AV$19+AV$21+AV$22+AV$23</f>
        <v>0</v>
      </c>
      <c r="AB41" s="719">
        <f>$AV20</f>
        <v>0</v>
      </c>
      <c r="AC41" s="723">
        <f t="shared" si="23"/>
        <v>0</v>
      </c>
      <c r="AD41" s="587">
        <v>0</v>
      </c>
      <c r="AE41" s="579">
        <f t="shared" si="24"/>
        <v>0</v>
      </c>
      <c r="AH41" s="24"/>
      <c r="AJ41" s="25"/>
      <c r="AL41" s="24"/>
      <c r="AN41" s="25"/>
      <c r="AP41" s="24"/>
      <c r="AR41" s="25"/>
      <c r="AT41" s="24"/>
      <c r="AX41" s="23"/>
      <c r="AY41" s="23"/>
      <c r="AZ41" s="23"/>
      <c r="BA41" s="23"/>
      <c r="BB41" s="23"/>
      <c r="BC41" s="23"/>
      <c r="BD41" s="23"/>
      <c r="BE41" s="23"/>
      <c r="BF41" s="23"/>
      <c r="BG41" s="23"/>
    </row>
    <row r="42" spans="1:59" ht="23.25">
      <c r="L42" s="441" t="s">
        <v>203</v>
      </c>
      <c r="M42" s="470">
        <f>$AX$6</f>
        <v>0</v>
      </c>
      <c r="N42" s="430">
        <f>$AX9</f>
        <v>0</v>
      </c>
      <c r="O42" s="430">
        <f>$AX7</f>
        <v>0</v>
      </c>
      <c r="P42" s="430">
        <f>$AX8</f>
        <v>0</v>
      </c>
      <c r="Q42" s="430">
        <f>AX15+AX16+AX17+AX18+AX19+AX21+AX22+AX23</f>
        <v>0</v>
      </c>
      <c r="R42" s="430">
        <f>$AX20</f>
        <v>0</v>
      </c>
      <c r="S42" s="446">
        <f t="shared" si="22"/>
        <v>0</v>
      </c>
      <c r="T42" s="686"/>
      <c r="U42" s="26"/>
      <c r="V42" s="441" t="s">
        <v>203</v>
      </c>
      <c r="W42" s="440">
        <f>AZ$6</f>
        <v>0</v>
      </c>
      <c r="X42" s="430">
        <f>$AZ9</f>
        <v>0</v>
      </c>
      <c r="Y42" s="430">
        <f>$AZ7</f>
        <v>0</v>
      </c>
      <c r="Z42" s="430">
        <f>$AZ8</f>
        <v>0</v>
      </c>
      <c r="AA42" s="430">
        <f>AZ$15+AZ$16+AZ$17+AZ$18+AZ$19+AZ$21+AZ$22+AZ$23</f>
        <v>0</v>
      </c>
      <c r="AB42" s="719">
        <f>$AZ20</f>
        <v>0</v>
      </c>
      <c r="AC42" s="723">
        <f t="shared" si="23"/>
        <v>0</v>
      </c>
      <c r="AD42" s="587">
        <f>BA6+BA7+BA8+BA9+BA15+BA16+BA17+BA18+BA19+BA20+BA21+BA22+BA23</f>
        <v>0</v>
      </c>
      <c r="AE42" s="579">
        <f t="shared" si="24"/>
        <v>0</v>
      </c>
      <c r="AH42" s="24"/>
      <c r="AJ42" s="25"/>
      <c r="AL42" s="24"/>
      <c r="AN42" s="25"/>
      <c r="AP42" s="24"/>
      <c r="AR42" s="25"/>
      <c r="AT42" s="24"/>
      <c r="AV42" s="25"/>
      <c r="AX42" s="23"/>
      <c r="AY42" s="23"/>
      <c r="AZ42" s="23"/>
      <c r="BA42" s="23"/>
      <c r="BB42" s="23"/>
      <c r="BC42" s="23"/>
      <c r="BD42" s="23"/>
      <c r="BE42" s="23"/>
      <c r="BF42" s="23"/>
      <c r="BG42" s="23"/>
    </row>
    <row r="43" spans="1:59" ht="24" thickBot="1">
      <c r="L43" s="442" t="s">
        <v>191</v>
      </c>
      <c r="M43" s="443">
        <f t="shared" ref="M43" si="25">SUM(M33:M42)</f>
        <v>0</v>
      </c>
      <c r="N43" s="444">
        <f>SUM(N33:N42)</f>
        <v>0</v>
      </c>
      <c r="O43" s="443">
        <f t="shared" ref="O43" si="26">SUM(O33:O42)</f>
        <v>0</v>
      </c>
      <c r="P43" s="444">
        <f>SUM(P33:P42)</f>
        <v>0</v>
      </c>
      <c r="Q43" s="444">
        <f>SUM(Q33:Q42)</f>
        <v>0</v>
      </c>
      <c r="R43" s="445">
        <f>SUM(R33:R42)</f>
        <v>0</v>
      </c>
      <c r="S43" s="451">
        <f>SUM(S33:S42)</f>
        <v>0</v>
      </c>
      <c r="T43" s="687"/>
      <c r="U43" s="26"/>
      <c r="V43" s="442" t="s">
        <v>191</v>
      </c>
      <c r="W43" s="443">
        <f t="shared" ref="W43:Y43" si="27">SUM(W33:W42)</f>
        <v>0</v>
      </c>
      <c r="X43" s="444">
        <f>SUM(X33:X42)</f>
        <v>0</v>
      </c>
      <c r="Y43" s="443">
        <f t="shared" si="27"/>
        <v>0</v>
      </c>
      <c r="Z43" s="444">
        <f>SUM(Z33:Z42)</f>
        <v>0</v>
      </c>
      <c r="AA43" s="444">
        <f>SUM(AA33:AA42)</f>
        <v>0</v>
      </c>
      <c r="AB43" s="720">
        <f>SUM(AB33:AB42)</f>
        <v>0</v>
      </c>
      <c r="AC43" s="724">
        <f>SUM(AC33:AC42)</f>
        <v>0</v>
      </c>
      <c r="AD43" s="725">
        <f>SUM(AD33:AD42)</f>
        <v>0</v>
      </c>
      <c r="AE43" s="579">
        <f t="shared" si="24"/>
        <v>0</v>
      </c>
      <c r="AH43" s="24"/>
      <c r="AJ43" s="25"/>
      <c r="AL43" s="24"/>
      <c r="AN43" s="25"/>
      <c r="AP43" s="24"/>
      <c r="AR43" s="25"/>
      <c r="AT43" s="24"/>
      <c r="AV43" s="25"/>
      <c r="AX43" s="23"/>
      <c r="AY43" s="23"/>
      <c r="AZ43" s="23"/>
      <c r="BA43" s="23"/>
      <c r="BB43" s="23"/>
      <c r="BC43" s="23"/>
      <c r="BD43" s="23"/>
      <c r="BE43" s="23"/>
      <c r="BF43" s="23"/>
      <c r="BG43" s="23"/>
    </row>
    <row r="44" spans="1:59" ht="15" customHeight="1" thickBot="1">
      <c r="L44" s="26"/>
      <c r="M44" s="26"/>
      <c r="N44" s="24"/>
      <c r="P44" s="26"/>
      <c r="Q44" s="26"/>
      <c r="R44" s="24"/>
      <c r="T44" s="26"/>
      <c r="U44" s="26"/>
      <c r="V44" s="24"/>
      <c r="Z44" s="24"/>
      <c r="AD44" s="24"/>
      <c r="AE44" s="26"/>
      <c r="AF44" s="466"/>
      <c r="AG44" s="466"/>
      <c r="AH44" s="466"/>
      <c r="AI44" s="467"/>
      <c r="AL44" s="24"/>
      <c r="AM44" s="25"/>
      <c r="AP44" s="24"/>
      <c r="AQ44" s="25"/>
      <c r="AT44" s="24"/>
      <c r="AU44" s="25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</row>
    <row r="45" spans="1:59" ht="33.75" customHeight="1" thickBot="1">
      <c r="L45" s="1929" t="str">
        <f>L31</f>
        <v>Mode wise Collection Plan-22-12-2021</v>
      </c>
      <c r="M45" s="1930"/>
      <c r="N45" s="1930"/>
      <c r="O45" s="1930"/>
      <c r="P45" s="1930"/>
      <c r="Q45" s="1930"/>
      <c r="R45" s="1930"/>
      <c r="S45" s="1930"/>
      <c r="T45" s="1931"/>
      <c r="U45" s="26"/>
      <c r="V45" s="1923" t="s">
        <v>281</v>
      </c>
      <c r="W45" s="1937"/>
      <c r="X45" s="1937"/>
      <c r="Y45" s="1937"/>
      <c r="Z45" s="1937"/>
      <c r="AA45" s="1937"/>
      <c r="AB45" s="1937"/>
      <c r="AC45" s="1937"/>
      <c r="AD45" s="1937"/>
      <c r="AE45" s="1938"/>
      <c r="AF45" s="466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</row>
    <row r="46" spans="1:59" s="28" customFormat="1" ht="31.5">
      <c r="D46" s="29"/>
      <c r="E46" s="29"/>
      <c r="F46" s="29"/>
      <c r="I46" s="29"/>
      <c r="J46" s="1011" t="s">
        <v>270</v>
      </c>
      <c r="K46" s="1011" t="s">
        <v>196</v>
      </c>
      <c r="L46" s="450" t="s">
        <v>0</v>
      </c>
      <c r="M46" s="439" t="s">
        <v>200</v>
      </c>
      <c r="N46" s="454" t="s">
        <v>205</v>
      </c>
      <c r="O46" s="439" t="s">
        <v>31</v>
      </c>
      <c r="P46" s="448" t="s">
        <v>201</v>
      </c>
      <c r="Q46" s="455" t="s">
        <v>206</v>
      </c>
      <c r="R46" s="436" t="s">
        <v>22</v>
      </c>
      <c r="S46" s="438" t="s">
        <v>191</v>
      </c>
      <c r="T46" s="438" t="s">
        <v>244</v>
      </c>
      <c r="U46" s="26"/>
      <c r="V46" s="596" t="s">
        <v>0</v>
      </c>
      <c r="W46" s="436" t="s">
        <v>200</v>
      </c>
      <c r="X46" s="454" t="s">
        <v>205</v>
      </c>
      <c r="Y46" s="436" t="s">
        <v>31</v>
      </c>
      <c r="Z46" s="448" t="s">
        <v>201</v>
      </c>
      <c r="AA46" s="453" t="s">
        <v>206</v>
      </c>
      <c r="AB46" s="453" t="s">
        <v>210</v>
      </c>
      <c r="AC46" s="436" t="s">
        <v>22</v>
      </c>
      <c r="AD46" s="437" t="s">
        <v>191</v>
      </c>
      <c r="AE46" s="438" t="s">
        <v>244</v>
      </c>
      <c r="AF46" s="952" t="s">
        <v>32</v>
      </c>
      <c r="AG46" s="1022" t="s">
        <v>25</v>
      </c>
      <c r="AH46" s="1105" t="s">
        <v>22</v>
      </c>
      <c r="AI46" s="1022" t="s">
        <v>271</v>
      </c>
      <c r="AJ46" s="23"/>
      <c r="AK46" s="23"/>
      <c r="AL46" s="23"/>
      <c r="AM46" s="23"/>
      <c r="AN46" s="23"/>
      <c r="AO46" s="23"/>
      <c r="AP46" s="23"/>
      <c r="AQ46" s="23"/>
      <c r="AR46" s="23"/>
    </row>
    <row r="47" spans="1:59" ht="23.25">
      <c r="J47" s="441"/>
      <c r="K47" s="441">
        <f>19.8+19.6</f>
        <v>39.400000000000006</v>
      </c>
      <c r="L47" s="441" t="s">
        <v>189</v>
      </c>
      <c r="M47" s="470">
        <v>40</v>
      </c>
      <c r="N47" s="430">
        <v>7</v>
      </c>
      <c r="O47" s="430">
        <v>0</v>
      </c>
      <c r="P47" s="430">
        <v>0</v>
      </c>
      <c r="Q47" s="430">
        <v>0</v>
      </c>
      <c r="R47" s="430">
        <v>27.7</v>
      </c>
      <c r="S47" s="446">
        <f t="shared" ref="S47:S56" si="28">SUM(M47:R47)</f>
        <v>74.7</v>
      </c>
      <c r="T47" s="446"/>
      <c r="U47" s="26"/>
      <c r="V47" s="586" t="s">
        <v>189</v>
      </c>
      <c r="W47" s="430">
        <v>57.6</v>
      </c>
      <c r="X47" s="430">
        <v>5.0999999999999996</v>
      </c>
      <c r="Y47" s="430">
        <v>0</v>
      </c>
      <c r="Z47" s="430">
        <v>5</v>
      </c>
      <c r="AA47" s="430">
        <v>0</v>
      </c>
      <c r="AB47" s="655"/>
      <c r="AC47" s="430"/>
      <c r="AD47" s="568">
        <f t="shared" ref="AD47:AD56" si="29">SUM(W47:AC47)</f>
        <v>67.7</v>
      </c>
      <c r="AE47" s="587">
        <f>L27+L28+L29</f>
        <v>0</v>
      </c>
      <c r="AF47" s="953"/>
      <c r="AG47" s="1017">
        <v>19.940000000000001</v>
      </c>
      <c r="AH47" s="1017">
        <v>19.95</v>
      </c>
      <c r="AI47" s="1017"/>
      <c r="AJ47" s="28"/>
      <c r="AK47" s="28"/>
      <c r="AL47" s="28"/>
      <c r="AM47" s="28"/>
      <c r="AN47" s="28"/>
      <c r="AO47" s="28"/>
      <c r="AP47" s="28"/>
      <c r="AQ47" s="28"/>
      <c r="AR47" s="28"/>
      <c r="AT47" s="24"/>
      <c r="AU47" s="25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</row>
    <row r="48" spans="1:59" ht="23.25">
      <c r="J48" s="441"/>
      <c r="K48" s="441"/>
      <c r="L48" s="441" t="s">
        <v>183</v>
      </c>
      <c r="M48" s="470">
        <v>12</v>
      </c>
      <c r="N48" s="430">
        <v>0</v>
      </c>
      <c r="O48" s="430">
        <v>0</v>
      </c>
      <c r="P48" s="430">
        <v>0</v>
      </c>
      <c r="Q48" s="430">
        <v>20</v>
      </c>
      <c r="R48" s="430">
        <v>0</v>
      </c>
      <c r="S48" s="446">
        <f t="shared" si="28"/>
        <v>32</v>
      </c>
      <c r="T48" s="446">
        <v>16</v>
      </c>
      <c r="U48" s="466"/>
      <c r="V48" s="586" t="s">
        <v>183</v>
      </c>
      <c r="W48" s="430">
        <v>37</v>
      </c>
      <c r="X48" s="430">
        <v>0</v>
      </c>
      <c r="Y48" s="430">
        <v>0</v>
      </c>
      <c r="Z48" s="430">
        <v>0.5</v>
      </c>
      <c r="AA48" s="430">
        <v>0</v>
      </c>
      <c r="AB48" s="655"/>
      <c r="AC48" s="430"/>
      <c r="AD48" s="568">
        <f t="shared" si="29"/>
        <v>37.5</v>
      </c>
      <c r="AE48" s="587">
        <f>P27+P28+P29</f>
        <v>0</v>
      </c>
      <c r="AF48" s="953"/>
      <c r="AG48" s="951"/>
      <c r="AH48" s="951"/>
      <c r="AI48" s="655"/>
      <c r="AL48" s="24"/>
      <c r="AM48" s="25"/>
      <c r="AP48" s="24"/>
      <c r="AQ48" s="25"/>
      <c r="AT48" s="24"/>
      <c r="AU48" s="25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</row>
    <row r="49" spans="4:59" ht="23.25">
      <c r="J49" s="441"/>
      <c r="K49" s="441">
        <v>18</v>
      </c>
      <c r="L49" s="441" t="s">
        <v>184</v>
      </c>
      <c r="M49" s="470">
        <v>0</v>
      </c>
      <c r="N49" s="430">
        <v>0</v>
      </c>
      <c r="O49" s="430">
        <v>0</v>
      </c>
      <c r="P49" s="430">
        <v>0</v>
      </c>
      <c r="Q49" s="430">
        <v>10</v>
      </c>
      <c r="R49" s="430">
        <v>0</v>
      </c>
      <c r="S49" s="446">
        <f t="shared" si="28"/>
        <v>10</v>
      </c>
      <c r="T49" s="446">
        <v>7</v>
      </c>
      <c r="U49" s="466"/>
      <c r="V49" s="586" t="s">
        <v>184</v>
      </c>
      <c r="W49" s="430">
        <v>45.46</v>
      </c>
      <c r="X49" s="430">
        <v>1.9</v>
      </c>
      <c r="Y49" s="430">
        <v>7.92</v>
      </c>
      <c r="Z49" s="430">
        <v>0</v>
      </c>
      <c r="AA49" s="430">
        <v>9.18</v>
      </c>
      <c r="AB49" s="655"/>
      <c r="AC49" s="430"/>
      <c r="AD49" s="568">
        <f t="shared" si="29"/>
        <v>64.460000000000008</v>
      </c>
      <c r="AE49" s="587">
        <f>T27+T28+T29</f>
        <v>0</v>
      </c>
      <c r="AF49" s="953"/>
      <c r="AG49" s="951"/>
      <c r="AH49" s="951"/>
      <c r="AI49" s="655"/>
      <c r="AL49" s="24"/>
      <c r="AM49" s="25"/>
      <c r="AP49" s="24"/>
      <c r="AQ49" s="25"/>
      <c r="AT49" s="24"/>
      <c r="AU49" s="25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</row>
    <row r="50" spans="4:59" ht="23.25">
      <c r="J50" s="441"/>
      <c r="K50" s="441">
        <v>8</v>
      </c>
      <c r="L50" s="441" t="s">
        <v>192</v>
      </c>
      <c r="M50" s="470">
        <v>0</v>
      </c>
      <c r="N50" s="430">
        <v>3</v>
      </c>
      <c r="O50" s="430">
        <v>22</v>
      </c>
      <c r="P50" s="430">
        <v>0</v>
      </c>
      <c r="Q50" s="430">
        <v>0</v>
      </c>
      <c r="R50" s="430">
        <v>0</v>
      </c>
      <c r="S50" s="446">
        <f t="shared" si="28"/>
        <v>25</v>
      </c>
      <c r="T50" s="1214">
        <v>7.25</v>
      </c>
      <c r="U50" s="466"/>
      <c r="V50" s="586" t="s">
        <v>192</v>
      </c>
      <c r="W50" s="430">
        <v>45</v>
      </c>
      <c r="X50" s="430">
        <v>8.1</v>
      </c>
      <c r="Y50" s="430">
        <v>0</v>
      </c>
      <c r="Z50" s="430">
        <v>3</v>
      </c>
      <c r="AA50" s="430">
        <v>0</v>
      </c>
      <c r="AB50" s="655"/>
      <c r="AC50" s="430">
        <v>34.630000000000003</v>
      </c>
      <c r="AD50" s="568">
        <f t="shared" si="29"/>
        <v>90.73</v>
      </c>
      <c r="AE50" s="587">
        <f>X27+X28+X29</f>
        <v>0</v>
      </c>
      <c r="AF50" s="953"/>
      <c r="AG50" s="951"/>
      <c r="AH50" s="951"/>
      <c r="AI50" s="655"/>
      <c r="AL50" s="24"/>
      <c r="AM50" s="25"/>
      <c r="AP50" s="24"/>
      <c r="AQ50" s="25"/>
      <c r="AT50" s="24"/>
      <c r="AU50" s="25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</row>
    <row r="51" spans="4:59" ht="23.25">
      <c r="J51" s="441"/>
      <c r="K51" s="441"/>
      <c r="L51" s="441" t="s">
        <v>171</v>
      </c>
      <c r="M51" s="470">
        <v>2</v>
      </c>
      <c r="N51" s="430">
        <v>3</v>
      </c>
      <c r="O51" s="430">
        <v>0</v>
      </c>
      <c r="P51" s="430">
        <v>0</v>
      </c>
      <c r="Q51" s="430">
        <v>0</v>
      </c>
      <c r="R51" s="430">
        <v>0</v>
      </c>
      <c r="S51" s="446">
        <f t="shared" si="28"/>
        <v>5</v>
      </c>
      <c r="T51" s="1214">
        <v>11.5</v>
      </c>
      <c r="U51" s="466"/>
      <c r="V51" s="586" t="s">
        <v>171</v>
      </c>
      <c r="W51" s="430">
        <v>0</v>
      </c>
      <c r="X51" s="430">
        <v>0</v>
      </c>
      <c r="Y51" s="430">
        <v>0</v>
      </c>
      <c r="Z51" s="430">
        <v>0</v>
      </c>
      <c r="AA51" s="430">
        <v>0</v>
      </c>
      <c r="AB51" s="655"/>
      <c r="AC51" s="430"/>
      <c r="AD51" s="568">
        <f t="shared" si="29"/>
        <v>0</v>
      </c>
      <c r="AE51" s="587">
        <f>AB27+AB28+AB29</f>
        <v>0</v>
      </c>
      <c r="AF51" s="953"/>
      <c r="AG51" s="951"/>
      <c r="AH51" s="951"/>
      <c r="AI51" s="655"/>
      <c r="AL51" s="24"/>
      <c r="AM51" s="25"/>
      <c r="AP51" s="24"/>
      <c r="AQ51" s="25"/>
      <c r="AT51" s="24"/>
      <c r="AU51" s="25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</row>
    <row r="52" spans="4:59" ht="23.25">
      <c r="J52" s="441">
        <v>20</v>
      </c>
      <c r="K52" s="441"/>
      <c r="L52" s="441" t="s">
        <v>190</v>
      </c>
      <c r="M52" s="492">
        <v>15</v>
      </c>
      <c r="N52" s="471">
        <v>0</v>
      </c>
      <c r="O52" s="471">
        <v>0</v>
      </c>
      <c r="P52" s="471">
        <v>15</v>
      </c>
      <c r="Q52" s="430">
        <v>0</v>
      </c>
      <c r="R52" s="471">
        <v>0</v>
      </c>
      <c r="S52" s="446">
        <f t="shared" si="28"/>
        <v>30</v>
      </c>
      <c r="T52" s="1214">
        <v>10</v>
      </c>
      <c r="U52" s="466"/>
      <c r="V52" s="586" t="s">
        <v>190</v>
      </c>
      <c r="W52" s="430">
        <v>12</v>
      </c>
      <c r="X52" s="430">
        <v>8.6999999999999993</v>
      </c>
      <c r="Y52" s="430">
        <v>0</v>
      </c>
      <c r="Z52" s="430">
        <v>4.5999999999999996</v>
      </c>
      <c r="AA52" s="430">
        <v>0</v>
      </c>
      <c r="AB52" s="655"/>
      <c r="AC52" s="430"/>
      <c r="AD52" s="568">
        <f t="shared" si="29"/>
        <v>25.299999999999997</v>
      </c>
      <c r="AE52" s="587">
        <f>AF27+AF28+AF29</f>
        <v>0</v>
      </c>
      <c r="AF52" s="954">
        <v>24.26</v>
      </c>
      <c r="AG52" s="951"/>
      <c r="AH52" s="951"/>
      <c r="AI52" s="655"/>
      <c r="AL52" s="24"/>
      <c r="AM52" s="25"/>
      <c r="AP52" s="24"/>
      <c r="AQ52" s="25"/>
      <c r="AT52" s="24"/>
      <c r="AU52" s="25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</row>
    <row r="53" spans="4:59" ht="23.25">
      <c r="J53" s="441">
        <v>19.8</v>
      </c>
      <c r="K53" s="441">
        <v>19.8</v>
      </c>
      <c r="L53" s="441" t="s">
        <v>185</v>
      </c>
      <c r="M53" s="470">
        <v>11</v>
      </c>
      <c r="N53" s="430">
        <v>0</v>
      </c>
      <c r="O53" s="430">
        <v>0</v>
      </c>
      <c r="P53" s="430">
        <v>0</v>
      </c>
      <c r="Q53" s="430">
        <v>8.5</v>
      </c>
      <c r="R53" s="430">
        <v>0</v>
      </c>
      <c r="S53" s="446">
        <f t="shared" si="28"/>
        <v>19.5</v>
      </c>
      <c r="T53" s="1214"/>
      <c r="U53" s="466"/>
      <c r="V53" s="586" t="s">
        <v>185</v>
      </c>
      <c r="W53" s="430">
        <v>37.590000000000003</v>
      </c>
      <c r="X53" s="430">
        <v>0</v>
      </c>
      <c r="Y53" s="430">
        <v>0</v>
      </c>
      <c r="Z53" s="430">
        <v>29.58</v>
      </c>
      <c r="AA53" s="430">
        <v>0</v>
      </c>
      <c r="AB53" s="655"/>
      <c r="AC53" s="430"/>
      <c r="AD53" s="568">
        <f t="shared" si="29"/>
        <v>67.17</v>
      </c>
      <c r="AE53" s="587">
        <f>AN27+AN28+AN29</f>
        <v>0</v>
      </c>
      <c r="AF53" s="954">
        <f>19.82+9.9</f>
        <v>29.72</v>
      </c>
      <c r="AG53" s="951"/>
      <c r="AH53" s="951"/>
      <c r="AI53" s="655"/>
      <c r="AL53" s="24"/>
      <c r="AM53" s="25"/>
      <c r="AP53" s="24"/>
      <c r="AQ53" s="25"/>
      <c r="AT53" s="24"/>
      <c r="AU53" s="25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</row>
    <row r="54" spans="4:59" ht="23.25">
      <c r="J54" s="441"/>
      <c r="K54" s="441"/>
      <c r="L54" s="441" t="s">
        <v>202</v>
      </c>
      <c r="M54" s="470">
        <v>0</v>
      </c>
      <c r="N54" s="430">
        <v>0</v>
      </c>
      <c r="O54" s="430">
        <v>0</v>
      </c>
      <c r="P54" s="430">
        <v>0</v>
      </c>
      <c r="Q54" s="430">
        <v>0</v>
      </c>
      <c r="R54" s="430">
        <v>10.6</v>
      </c>
      <c r="S54" s="446">
        <f t="shared" si="28"/>
        <v>10.6</v>
      </c>
      <c r="T54" s="1214"/>
      <c r="U54" s="466"/>
      <c r="V54" s="586" t="s">
        <v>202</v>
      </c>
      <c r="W54" s="430">
        <v>46.34</v>
      </c>
      <c r="X54" s="430">
        <v>0</v>
      </c>
      <c r="Y54" s="430">
        <v>0</v>
      </c>
      <c r="Z54" s="430">
        <v>0</v>
      </c>
      <c r="AA54" s="430">
        <v>0</v>
      </c>
      <c r="AB54" s="655"/>
      <c r="AC54" s="430"/>
      <c r="AD54" s="568">
        <f t="shared" si="29"/>
        <v>46.34</v>
      </c>
      <c r="AE54" s="587">
        <f>AR27+AR28+AR29</f>
        <v>0</v>
      </c>
      <c r="AF54" s="952"/>
      <c r="AG54" s="951"/>
      <c r="AH54" s="951"/>
      <c r="AI54" s="655"/>
      <c r="AL54" s="24"/>
      <c r="AM54" s="25"/>
      <c r="AP54" s="24"/>
      <c r="AQ54" s="25"/>
      <c r="AT54" s="24"/>
      <c r="AU54" s="25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</row>
    <row r="55" spans="4:59" ht="23.25">
      <c r="J55" s="441">
        <v>12</v>
      </c>
      <c r="K55" s="441">
        <v>8</v>
      </c>
      <c r="L55" s="441" t="s">
        <v>186</v>
      </c>
      <c r="M55" s="470">
        <v>15</v>
      </c>
      <c r="N55" s="430">
        <v>0</v>
      </c>
      <c r="O55" s="430">
        <v>0</v>
      </c>
      <c r="P55" s="430">
        <v>0</v>
      </c>
      <c r="Q55" s="430">
        <v>0</v>
      </c>
      <c r="R55" s="430">
        <v>15</v>
      </c>
      <c r="S55" s="446">
        <f t="shared" si="28"/>
        <v>30</v>
      </c>
      <c r="T55" s="1214"/>
      <c r="U55" s="466"/>
      <c r="V55" s="586" t="s">
        <v>186</v>
      </c>
      <c r="W55" s="430">
        <v>40.879999999999995</v>
      </c>
      <c r="X55" s="430">
        <v>0.49</v>
      </c>
      <c r="Y55" s="430">
        <v>0</v>
      </c>
      <c r="Z55" s="430">
        <v>2.4</v>
      </c>
      <c r="AA55" s="430">
        <v>0</v>
      </c>
      <c r="AB55" s="655"/>
      <c r="AC55" s="430">
        <v>12</v>
      </c>
      <c r="AD55" s="568">
        <f t="shared" si="29"/>
        <v>55.769999999999996</v>
      </c>
      <c r="AE55" s="587">
        <f>AV27+AV28+AV29</f>
        <v>0</v>
      </c>
      <c r="AF55" s="952"/>
      <c r="AG55" s="951"/>
      <c r="AH55" s="951"/>
      <c r="AI55" s="655"/>
      <c r="AL55" s="24"/>
      <c r="AM55" s="25"/>
      <c r="AP55" s="24"/>
      <c r="AQ55" s="25"/>
      <c r="AT55" s="24"/>
      <c r="AU55" s="25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</row>
    <row r="56" spans="4:59" ht="23.25">
      <c r="J56" s="441"/>
      <c r="K56" s="441"/>
      <c r="L56" s="441" t="s">
        <v>203</v>
      </c>
      <c r="M56" s="470">
        <v>12</v>
      </c>
      <c r="N56" s="430">
        <v>0</v>
      </c>
      <c r="O56" s="430">
        <v>0</v>
      </c>
      <c r="P56" s="430">
        <v>0</v>
      </c>
      <c r="Q56" s="430">
        <v>5</v>
      </c>
      <c r="R56" s="430">
        <v>15</v>
      </c>
      <c r="S56" s="446">
        <f t="shared" si="28"/>
        <v>32</v>
      </c>
      <c r="T56" s="446">
        <v>21</v>
      </c>
      <c r="U56" s="466"/>
      <c r="V56" s="586" t="s">
        <v>203</v>
      </c>
      <c r="W56" s="430">
        <v>2.5</v>
      </c>
      <c r="X56" s="430">
        <v>2</v>
      </c>
      <c r="Y56" s="430">
        <v>0</v>
      </c>
      <c r="Z56" s="430">
        <v>10.64</v>
      </c>
      <c r="AA56" s="430">
        <v>0</v>
      </c>
      <c r="AB56" s="655"/>
      <c r="AC56" s="430"/>
      <c r="AD56" s="568">
        <f t="shared" si="29"/>
        <v>15.14</v>
      </c>
      <c r="AE56" s="587">
        <f>AZ27+AZ28+AZ29</f>
        <v>0</v>
      </c>
      <c r="AF56" s="952"/>
      <c r="AG56" s="951"/>
      <c r="AH56" s="951"/>
      <c r="AI56" s="655"/>
      <c r="AJ56" s="24">
        <v>68</v>
      </c>
      <c r="AL56" s="24"/>
      <c r="AM56" s="25"/>
      <c r="AP56" s="24"/>
      <c r="AQ56" s="25"/>
      <c r="AT56" s="24"/>
      <c r="AU56" s="25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</row>
    <row r="57" spans="4:59" ht="24" thickBot="1">
      <c r="J57" s="442">
        <f t="shared" ref="J57:K57" si="30">SUM(J47:J56)</f>
        <v>51.8</v>
      </c>
      <c r="K57" s="442">
        <f t="shared" si="30"/>
        <v>93.2</v>
      </c>
      <c r="L57" s="442" t="s">
        <v>191</v>
      </c>
      <c r="M57" s="443">
        <f t="shared" ref="M57" si="31">SUM(M47:M56)</f>
        <v>107</v>
      </c>
      <c r="N57" s="444">
        <f>SUM(N47:N56)</f>
        <v>13</v>
      </c>
      <c r="O57" s="443">
        <f t="shared" ref="O57" si="32">SUM(O47:O56)</f>
        <v>22</v>
      </c>
      <c r="P57" s="444">
        <f>SUM(P47:P56)</f>
        <v>15</v>
      </c>
      <c r="Q57" s="444">
        <f>SUM(Q47:Q56)</f>
        <v>43.5</v>
      </c>
      <c r="R57" s="445">
        <f>SUM(R47:R56)</f>
        <v>68.3</v>
      </c>
      <c r="S57" s="451">
        <f>SUM(S47:S56)</f>
        <v>268.79999999999995</v>
      </c>
      <c r="T57" s="451">
        <f>SUM(T47:T56)</f>
        <v>72.75</v>
      </c>
      <c r="U57" s="466"/>
      <c r="V57" s="588" t="s">
        <v>191</v>
      </c>
      <c r="W57" s="589">
        <f t="shared" ref="W57" si="33">SUM(W47:W56)</f>
        <v>324.37</v>
      </c>
      <c r="X57" s="444">
        <f>SUM(X47:X56)</f>
        <v>26.289999999999996</v>
      </c>
      <c r="Y57" s="444">
        <f t="shared" ref="Y57" si="34">SUM(Y47:Y56)</f>
        <v>7.92</v>
      </c>
      <c r="Z57" s="444">
        <f>SUM(Z47:Z56)</f>
        <v>55.72</v>
      </c>
      <c r="AA57" s="444">
        <f>SUM(AA47:AA56)</f>
        <v>9.18</v>
      </c>
      <c r="AB57" s="444"/>
      <c r="AC57" s="444">
        <f t="shared" ref="AC57" si="35">SUM(AC47:AC56)</f>
        <v>46.63</v>
      </c>
      <c r="AD57" s="630">
        <f>SUM(AD47:AD56)</f>
        <v>470.11</v>
      </c>
      <c r="AE57" s="631">
        <f>SUM(AE47:AE56)</f>
        <v>0</v>
      </c>
      <c r="AF57" s="1016">
        <f t="shared" ref="AF57:AI57" si="36">SUM(AF47:AF56)</f>
        <v>53.980000000000004</v>
      </c>
      <c r="AG57" s="1015">
        <f t="shared" si="36"/>
        <v>19.940000000000001</v>
      </c>
      <c r="AH57" s="1015">
        <f t="shared" si="36"/>
        <v>19.95</v>
      </c>
      <c r="AI57" s="1015">
        <f t="shared" si="36"/>
        <v>0</v>
      </c>
      <c r="AJ57" s="24">
        <v>40</v>
      </c>
      <c r="AL57" s="24"/>
      <c r="AM57" s="25"/>
      <c r="AP57" s="24"/>
      <c r="AQ57" s="25"/>
      <c r="AT57" s="24"/>
      <c r="AU57" s="25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</row>
    <row r="58" spans="4:59" ht="24" customHeight="1" thickBot="1">
      <c r="N58" s="24"/>
      <c r="O58" s="1924" t="s">
        <v>254</v>
      </c>
      <c r="P58" s="1925"/>
      <c r="Q58" s="1925"/>
      <c r="R58" s="1926"/>
      <c r="S58" s="1927">
        <f>S57+T57</f>
        <v>341.54999999999995</v>
      </c>
      <c r="T58" s="1928"/>
      <c r="U58" s="466"/>
      <c r="V58" s="1932" t="s">
        <v>221</v>
      </c>
      <c r="W58" s="1932"/>
      <c r="X58" s="1932"/>
      <c r="Y58" s="1932"/>
      <c r="Z58" s="1932"/>
      <c r="AA58" s="1932"/>
      <c r="AB58" s="1932"/>
      <c r="AC58" s="1932"/>
      <c r="AD58" s="1933">
        <f>AD57+AE57</f>
        <v>470.11</v>
      </c>
      <c r="AE58" s="1934"/>
      <c r="AF58" s="466"/>
      <c r="AH58" s="24"/>
      <c r="AI58" s="25"/>
      <c r="AJ58" s="24">
        <v>23</v>
      </c>
      <c r="AL58" s="24"/>
      <c r="AM58" s="25"/>
      <c r="AP58" s="24"/>
      <c r="AQ58" s="25"/>
      <c r="AT58" s="24"/>
      <c r="AU58" s="25"/>
      <c r="AX58" s="24"/>
      <c r="AY58" s="24"/>
      <c r="AZ58" s="25"/>
      <c r="BA58" s="24"/>
      <c r="BB58" s="24"/>
      <c r="BC58" s="23"/>
      <c r="BD58" s="23"/>
      <c r="BE58" s="23"/>
      <c r="BF58" s="23"/>
      <c r="BG58" s="23"/>
    </row>
    <row r="59" spans="4:59" ht="31.5" customHeight="1" thickBot="1">
      <c r="J59" s="24"/>
      <c r="N59" s="24"/>
      <c r="R59" s="24"/>
      <c r="T59" s="26"/>
      <c r="U59" s="26"/>
      <c r="V59" s="1922" t="s">
        <v>235</v>
      </c>
      <c r="W59" s="1922"/>
      <c r="X59" s="1922"/>
      <c r="Y59" s="1922"/>
      <c r="Z59" s="1922"/>
      <c r="AA59" s="1922"/>
      <c r="AB59" s="1922"/>
      <c r="AC59" s="1922"/>
      <c r="AD59" s="1920">
        <f>BH6+BI6+BD20+BE20+M17</f>
        <v>0</v>
      </c>
      <c r="AE59" s="1921"/>
      <c r="AF59" s="466"/>
      <c r="AH59" s="24"/>
      <c r="AI59" s="25"/>
      <c r="AJ59" s="24">
        <v>12.5</v>
      </c>
      <c r="AL59" s="24"/>
      <c r="AP59" s="25"/>
      <c r="AT59" s="25"/>
      <c r="AX59" s="25"/>
      <c r="AY59" s="24"/>
      <c r="AZ59" s="24"/>
      <c r="BA59" s="24"/>
      <c r="BB59" s="25"/>
      <c r="BE59" s="23">
        <v>82.5</v>
      </c>
      <c r="BF59" s="23"/>
      <c r="BG59" s="23"/>
    </row>
    <row r="60" spans="4:59" s="28" customFormat="1" ht="27" customHeight="1" thickBot="1">
      <c r="D60" s="29"/>
      <c r="E60" s="29"/>
      <c r="F60" s="29"/>
      <c r="I60" s="29"/>
      <c r="J60" s="1062"/>
      <c r="K60" s="1062"/>
      <c r="L60" s="1923" t="s">
        <v>319</v>
      </c>
      <c r="M60" s="1937"/>
      <c r="N60" s="1937"/>
      <c r="O60" s="1937"/>
      <c r="P60" s="1937"/>
      <c r="Q60" s="1937"/>
      <c r="R60" s="1937"/>
      <c r="S60" s="1937"/>
      <c r="T60" s="1937"/>
      <c r="U60" s="1938"/>
      <c r="V60" s="966"/>
      <c r="W60" s="966"/>
      <c r="X60" s="966"/>
      <c r="Y60" s="1013"/>
      <c r="Z60" s="966"/>
      <c r="AA60" s="966"/>
      <c r="AB60" s="966"/>
      <c r="AC60" s="1013"/>
      <c r="AD60" s="966"/>
      <c r="AE60" s="964"/>
      <c r="AF60" s="966"/>
      <c r="AG60" s="964"/>
      <c r="AH60" s="964"/>
      <c r="AI60" s="967"/>
      <c r="AJ60" s="964"/>
      <c r="AK60" s="964"/>
      <c r="AL60" s="964"/>
      <c r="AM60" s="964"/>
      <c r="AN60" s="964"/>
      <c r="AO60" s="964"/>
      <c r="AP60" s="967"/>
      <c r="AQ60" s="964"/>
      <c r="AR60" s="964"/>
      <c r="AS60" s="964"/>
      <c r="AT60" s="967"/>
      <c r="AU60" s="964"/>
      <c r="AV60" s="964"/>
      <c r="AW60" s="964"/>
      <c r="AX60" s="967"/>
      <c r="AY60" s="965"/>
      <c r="AZ60" s="965"/>
      <c r="BA60" s="964"/>
      <c r="BB60" s="964"/>
      <c r="BC60" s="967"/>
      <c r="BD60" s="967"/>
      <c r="BE60" s="964">
        <v>27.4</v>
      </c>
    </row>
    <row r="61" spans="4:59" ht="31.5">
      <c r="J61" s="1062"/>
      <c r="K61" s="1062"/>
      <c r="L61" s="596" t="s">
        <v>0</v>
      </c>
      <c r="M61" s="436" t="s">
        <v>200</v>
      </c>
      <c r="N61" s="454" t="s">
        <v>205</v>
      </c>
      <c r="O61" s="436" t="s">
        <v>31</v>
      </c>
      <c r="P61" s="448" t="s">
        <v>201</v>
      </c>
      <c r="Q61" s="453" t="s">
        <v>206</v>
      </c>
      <c r="R61" s="453" t="s">
        <v>210</v>
      </c>
      <c r="S61" s="436" t="s">
        <v>22</v>
      </c>
      <c r="T61" s="437" t="s">
        <v>191</v>
      </c>
      <c r="U61" s="438" t="s">
        <v>244</v>
      </c>
      <c r="V61" s="466"/>
      <c r="W61" s="466"/>
      <c r="X61" s="466"/>
      <c r="Y61" s="465"/>
      <c r="Z61" s="466"/>
      <c r="AA61" s="466"/>
      <c r="AB61" s="466"/>
      <c r="AC61" s="465"/>
      <c r="AD61" s="466"/>
      <c r="AF61" s="466"/>
      <c r="AH61" s="24"/>
      <c r="AI61" s="25"/>
      <c r="AL61" s="24"/>
      <c r="AM61" s="26"/>
      <c r="AN61" s="26"/>
      <c r="AP61" s="24"/>
      <c r="AQ61" s="26"/>
      <c r="AR61" s="26"/>
      <c r="AT61" s="24"/>
      <c r="AU61" s="26"/>
      <c r="AV61" s="26"/>
      <c r="AX61" s="24"/>
      <c r="AY61" s="26"/>
      <c r="AZ61" s="26"/>
      <c r="BA61" s="24"/>
      <c r="BB61" s="24"/>
      <c r="BC61" s="25"/>
      <c r="BD61" s="25"/>
      <c r="BE61" s="24">
        <v>48</v>
      </c>
      <c r="BF61" s="23"/>
      <c r="BG61" s="23"/>
    </row>
    <row r="62" spans="4:59" ht="23.25">
      <c r="J62" s="1062"/>
      <c r="K62" s="1062"/>
      <c r="L62" s="586" t="s">
        <v>189</v>
      </c>
      <c r="M62" s="430">
        <v>7</v>
      </c>
      <c r="N62" s="430">
        <v>7.5</v>
      </c>
      <c r="O62" s="430">
        <v>0</v>
      </c>
      <c r="P62" s="430">
        <v>0</v>
      </c>
      <c r="Q62" s="430">
        <v>0</v>
      </c>
      <c r="R62" s="655"/>
      <c r="S62" s="430"/>
      <c r="T62" s="568">
        <f t="shared" ref="T62:T71" si="37">SUM(M62:S62)</f>
        <v>14.5</v>
      </c>
      <c r="U62" s="587">
        <v>0</v>
      </c>
      <c r="V62" s="466"/>
      <c r="W62" s="466"/>
      <c r="X62" s="466"/>
      <c r="Y62" s="465"/>
      <c r="Z62" s="466"/>
      <c r="AA62" s="466"/>
      <c r="AB62" s="466"/>
      <c r="AC62" s="465"/>
      <c r="AD62" s="466"/>
      <c r="AF62" s="466"/>
      <c r="AH62" s="24"/>
      <c r="AI62" s="25"/>
      <c r="AL62" s="24"/>
      <c r="AM62" s="26"/>
      <c r="AN62" s="26"/>
      <c r="AP62" s="24"/>
      <c r="AQ62" s="26"/>
      <c r="AR62" s="26"/>
      <c r="AT62" s="24"/>
      <c r="AU62" s="26"/>
      <c r="AV62" s="26"/>
      <c r="AX62" s="24"/>
      <c r="AY62" s="26"/>
      <c r="AZ62" s="26"/>
      <c r="BA62" s="24"/>
      <c r="BB62" s="24"/>
      <c r="BC62" s="25"/>
      <c r="BD62" s="25"/>
      <c r="BE62" s="24">
        <v>24</v>
      </c>
      <c r="BF62" s="23"/>
      <c r="BG62" s="23"/>
    </row>
    <row r="63" spans="4:59" ht="23.25">
      <c r="J63" s="1062"/>
      <c r="K63" s="1062"/>
      <c r="L63" s="586" t="s">
        <v>183</v>
      </c>
      <c r="M63" s="430">
        <v>10</v>
      </c>
      <c r="N63" s="430">
        <v>0</v>
      </c>
      <c r="O63" s="430">
        <v>0</v>
      </c>
      <c r="P63" s="430">
        <v>0</v>
      </c>
      <c r="Q63" s="430">
        <v>0</v>
      </c>
      <c r="R63" s="655">
        <v>0</v>
      </c>
      <c r="S63" s="430"/>
      <c r="T63" s="568">
        <f t="shared" si="37"/>
        <v>10</v>
      </c>
      <c r="U63" s="587">
        <v>0</v>
      </c>
      <c r="V63" s="466"/>
      <c r="W63" s="466"/>
      <c r="X63" s="466"/>
      <c r="Y63" s="465"/>
      <c r="Z63" s="466"/>
      <c r="AA63" s="466"/>
      <c r="AB63" s="466"/>
      <c r="AC63" s="465"/>
      <c r="AD63" s="466"/>
      <c r="AG63" s="26"/>
      <c r="AH63" s="24"/>
      <c r="AK63" s="49"/>
      <c r="AL63" s="24"/>
      <c r="AM63" s="26"/>
      <c r="AN63" s="26"/>
      <c r="AP63" s="24"/>
      <c r="AQ63" s="26"/>
      <c r="AR63" s="26"/>
      <c r="AT63" s="24"/>
      <c r="AU63" s="26"/>
      <c r="AV63" s="26"/>
      <c r="AX63" s="24"/>
      <c r="AY63" s="26"/>
      <c r="AZ63" s="26"/>
      <c r="BA63" s="24"/>
      <c r="BB63" s="24"/>
      <c r="BC63" s="25"/>
      <c r="BD63" s="25"/>
      <c r="BE63" s="24">
        <v>40</v>
      </c>
      <c r="BF63" s="23"/>
      <c r="BG63" s="23"/>
    </row>
    <row r="64" spans="4:59" ht="23.25">
      <c r="J64" s="1062"/>
      <c r="K64" s="1062"/>
      <c r="L64" s="586" t="s">
        <v>184</v>
      </c>
      <c r="M64" s="430">
        <v>7</v>
      </c>
      <c r="N64" s="430">
        <v>0.85</v>
      </c>
      <c r="O64" s="430">
        <v>0</v>
      </c>
      <c r="P64" s="430">
        <v>0</v>
      </c>
      <c r="Q64" s="430">
        <v>0</v>
      </c>
      <c r="R64" s="655">
        <v>0</v>
      </c>
      <c r="S64" s="430"/>
      <c r="T64" s="568">
        <f t="shared" si="37"/>
        <v>7.85</v>
      </c>
      <c r="U64" s="587">
        <v>0</v>
      </c>
      <c r="V64" s="466"/>
      <c r="W64" s="466"/>
      <c r="X64" s="466"/>
      <c r="Y64" s="465"/>
      <c r="Z64" s="466"/>
      <c r="AA64" s="466"/>
      <c r="AB64" s="466"/>
      <c r="AC64" s="465"/>
      <c r="AD64" s="466"/>
      <c r="AG64" s="26"/>
      <c r="AH64" s="24"/>
      <c r="AK64" s="49"/>
      <c r="AL64" s="24"/>
      <c r="AO64" s="26"/>
      <c r="AP64" s="24"/>
      <c r="AQ64" s="26"/>
      <c r="AR64" s="26"/>
      <c r="AT64" s="24"/>
      <c r="AU64" s="26"/>
      <c r="AV64" s="26"/>
      <c r="AX64" s="24"/>
      <c r="AY64" s="26"/>
      <c r="AZ64" s="26"/>
      <c r="BA64" s="24"/>
      <c r="BB64" s="24"/>
      <c r="BE64" s="25"/>
      <c r="BF64" s="24"/>
      <c r="BG64" s="23"/>
    </row>
    <row r="65" spans="10:59" ht="23.25">
      <c r="J65" s="1062"/>
      <c r="K65" s="1062"/>
      <c r="L65" s="586" t="s">
        <v>192</v>
      </c>
      <c r="M65" s="430">
        <v>0</v>
      </c>
      <c r="N65" s="430">
        <v>2</v>
      </c>
      <c r="O65" s="430">
        <v>0</v>
      </c>
      <c r="P65" s="430">
        <v>0</v>
      </c>
      <c r="Q65" s="430">
        <v>0</v>
      </c>
      <c r="R65" s="655">
        <v>0</v>
      </c>
      <c r="S65" s="430"/>
      <c r="T65" s="568">
        <f t="shared" si="37"/>
        <v>2</v>
      </c>
      <c r="U65" s="587">
        <v>7.25</v>
      </c>
      <c r="V65" s="466"/>
      <c r="W65" s="466"/>
      <c r="X65" s="466"/>
      <c r="Y65" s="465"/>
      <c r="Z65" s="466"/>
      <c r="AA65" s="466"/>
      <c r="AB65" s="466"/>
      <c r="AC65" s="465"/>
      <c r="AD65" s="466"/>
      <c r="AG65" s="26"/>
      <c r="AH65" s="24"/>
      <c r="AK65" s="49"/>
      <c r="AL65" s="24"/>
      <c r="AO65" s="26"/>
      <c r="AP65" s="24"/>
      <c r="AQ65" s="26"/>
      <c r="AR65" s="26"/>
      <c r="AT65" s="24"/>
      <c r="AU65" s="26"/>
      <c r="AV65" s="26"/>
      <c r="AX65" s="24"/>
      <c r="AY65" s="26"/>
      <c r="AZ65" s="26"/>
      <c r="BA65" s="24"/>
      <c r="BB65" s="24"/>
      <c r="BE65" s="25"/>
      <c r="BF65" s="24"/>
      <c r="BG65" s="23"/>
    </row>
    <row r="66" spans="10:59" ht="23.25">
      <c r="J66" s="1062"/>
      <c r="K66" s="1062"/>
      <c r="L66" s="586" t="s">
        <v>171</v>
      </c>
      <c r="M66" s="430">
        <v>0</v>
      </c>
      <c r="N66" s="430">
        <v>1</v>
      </c>
      <c r="O66" s="430">
        <v>0</v>
      </c>
      <c r="P66" s="430">
        <v>0</v>
      </c>
      <c r="Q66" s="430">
        <v>0</v>
      </c>
      <c r="R66" s="655">
        <v>0</v>
      </c>
      <c r="S66" s="430"/>
      <c r="T66" s="568">
        <f t="shared" si="37"/>
        <v>1</v>
      </c>
      <c r="U66" s="587">
        <v>11.5</v>
      </c>
      <c r="V66" s="466"/>
      <c r="W66" s="466"/>
      <c r="X66" s="466"/>
      <c r="Y66" s="465"/>
      <c r="Z66" s="466"/>
      <c r="AA66" s="466"/>
      <c r="AB66" s="466"/>
      <c r="AC66" s="465"/>
      <c r="AD66" s="466"/>
      <c r="AG66" s="26"/>
      <c r="AH66" s="24"/>
      <c r="AK66" s="49"/>
      <c r="AL66" s="24"/>
      <c r="AO66" s="26"/>
      <c r="AP66" s="24"/>
      <c r="AQ66" s="26"/>
      <c r="AR66" s="26"/>
      <c r="AT66" s="24"/>
      <c r="AU66" s="26"/>
      <c r="AV66" s="26"/>
      <c r="AX66" s="24"/>
      <c r="AY66" s="26"/>
      <c r="AZ66" s="26"/>
      <c r="BA66" s="24"/>
      <c r="BB66" s="24"/>
      <c r="BE66" s="25"/>
      <c r="BF66" s="24"/>
      <c r="BG66" s="23"/>
    </row>
    <row r="67" spans="10:59" ht="23.25">
      <c r="J67" s="1062"/>
      <c r="K67" s="1062"/>
      <c r="L67" s="586" t="s">
        <v>190</v>
      </c>
      <c r="M67" s="430">
        <v>20</v>
      </c>
      <c r="N67" s="430">
        <v>1.7</v>
      </c>
      <c r="O67" s="430">
        <v>0</v>
      </c>
      <c r="P67" s="430">
        <v>0</v>
      </c>
      <c r="Q67" s="430">
        <v>0</v>
      </c>
      <c r="R67" s="655">
        <v>0</v>
      </c>
      <c r="S67" s="430"/>
      <c r="T67" s="568">
        <f t="shared" si="37"/>
        <v>21.7</v>
      </c>
      <c r="U67" s="587">
        <v>0</v>
      </c>
      <c r="V67" s="466"/>
      <c r="W67" s="466"/>
      <c r="X67" s="466"/>
      <c r="Y67" s="465"/>
      <c r="Z67" s="466"/>
      <c r="AA67" s="466"/>
      <c r="AB67" s="466"/>
      <c r="AC67" s="465"/>
      <c r="AD67" s="466"/>
      <c r="AG67" s="26"/>
      <c r="AH67" s="24"/>
      <c r="AK67" s="49"/>
      <c r="AL67" s="24"/>
      <c r="AO67" s="26"/>
      <c r="AP67" s="24"/>
      <c r="AQ67" s="26"/>
      <c r="AR67" s="26"/>
      <c r="AT67" s="24"/>
      <c r="AU67" s="26"/>
      <c r="AV67" s="26"/>
      <c r="AX67" s="24"/>
      <c r="AY67" s="26"/>
      <c r="AZ67" s="26"/>
      <c r="BA67" s="24"/>
      <c r="BB67" s="24"/>
      <c r="BE67" s="25"/>
      <c r="BF67" s="24"/>
      <c r="BG67" s="23"/>
    </row>
    <row r="68" spans="10:59" ht="24.75" customHeight="1">
      <c r="J68" s="24"/>
      <c r="L68" s="586" t="s">
        <v>185</v>
      </c>
      <c r="M68" s="430">
        <v>9.5</v>
      </c>
      <c r="N68" s="430">
        <v>5.2</v>
      </c>
      <c r="O68" s="430">
        <v>0</v>
      </c>
      <c r="P68" s="430">
        <v>0</v>
      </c>
      <c r="Q68" s="430">
        <v>0</v>
      </c>
      <c r="R68" s="655">
        <v>0</v>
      </c>
      <c r="S68" s="430"/>
      <c r="T68" s="568">
        <f t="shared" si="37"/>
        <v>14.7</v>
      </c>
      <c r="U68" s="587">
        <v>0</v>
      </c>
      <c r="V68" s="466"/>
      <c r="W68" s="466"/>
      <c r="X68" s="466"/>
      <c r="Y68" s="465"/>
      <c r="Z68" s="466"/>
      <c r="AA68" s="466"/>
      <c r="AB68" s="466"/>
      <c r="AC68" s="465"/>
      <c r="AD68" s="466"/>
      <c r="AG68" s="26"/>
      <c r="AH68" s="24"/>
      <c r="AK68" s="49"/>
      <c r="AL68" s="24"/>
      <c r="AO68" s="26"/>
      <c r="AP68" s="24"/>
      <c r="AQ68" s="26"/>
      <c r="AR68" s="26"/>
      <c r="AT68" s="24"/>
      <c r="AU68" s="26"/>
      <c r="AV68" s="26"/>
      <c r="AX68" s="24"/>
      <c r="AY68" s="26"/>
      <c r="AZ68" s="26"/>
      <c r="BA68" s="24"/>
      <c r="BB68" s="24"/>
      <c r="BE68" s="25"/>
      <c r="BF68" s="24"/>
      <c r="BG68" s="23"/>
    </row>
    <row r="69" spans="10:59" ht="23.25">
      <c r="L69" s="586" t="s">
        <v>202</v>
      </c>
      <c r="M69" s="430">
        <v>0</v>
      </c>
      <c r="N69" s="430">
        <v>0</v>
      </c>
      <c r="O69" s="430">
        <v>0</v>
      </c>
      <c r="P69" s="430">
        <v>0</v>
      </c>
      <c r="Q69" s="430">
        <v>0</v>
      </c>
      <c r="R69" s="655">
        <v>0</v>
      </c>
      <c r="S69" s="430"/>
      <c r="T69" s="568">
        <f t="shared" si="37"/>
        <v>0</v>
      </c>
      <c r="U69" s="587">
        <v>0</v>
      </c>
      <c r="V69" s="466"/>
      <c r="W69" s="466"/>
      <c r="X69" s="466"/>
      <c r="Y69" s="465"/>
      <c r="Z69" s="466"/>
      <c r="AA69" s="466"/>
      <c r="AB69" s="466"/>
      <c r="AC69" s="465"/>
      <c r="AD69" s="466"/>
      <c r="AG69" s="26"/>
      <c r="AH69" s="24"/>
      <c r="AK69" s="49"/>
      <c r="AL69" s="24"/>
      <c r="AO69" s="26"/>
      <c r="AP69" s="24"/>
      <c r="AQ69" s="26"/>
      <c r="AR69" s="26"/>
      <c r="AT69" s="24"/>
      <c r="AU69" s="26"/>
      <c r="AV69" s="26"/>
      <c r="AX69" s="24"/>
      <c r="AY69" s="26"/>
      <c r="AZ69" s="26"/>
      <c r="BA69" s="24"/>
      <c r="BB69" s="24"/>
      <c r="BE69" s="25"/>
      <c r="BF69" s="24"/>
      <c r="BG69" s="23"/>
    </row>
    <row r="70" spans="10:59" ht="23.25">
      <c r="L70" s="586" t="s">
        <v>186</v>
      </c>
      <c r="M70" s="430">
        <v>0</v>
      </c>
      <c r="N70" s="430">
        <v>0</v>
      </c>
      <c r="O70" s="430">
        <v>0</v>
      </c>
      <c r="P70" s="430">
        <v>0</v>
      </c>
      <c r="Q70" s="430"/>
      <c r="R70" s="655">
        <v>0</v>
      </c>
      <c r="S70" s="430"/>
      <c r="T70" s="568">
        <f t="shared" si="37"/>
        <v>0</v>
      </c>
      <c r="U70" s="587">
        <v>0</v>
      </c>
      <c r="V70" s="466"/>
      <c r="W70" s="466"/>
      <c r="X70" s="466"/>
      <c r="Y70" s="465"/>
      <c r="Z70" s="466"/>
      <c r="AA70" s="466"/>
      <c r="AB70" s="466"/>
      <c r="AC70" s="465"/>
      <c r="AD70" s="466"/>
      <c r="AG70" s="26"/>
      <c r="AH70" s="24"/>
      <c r="AK70" s="49"/>
      <c r="AL70" s="24"/>
      <c r="AM70" s="26"/>
      <c r="AN70" s="26"/>
      <c r="AY70" s="24"/>
      <c r="AZ70" s="24"/>
      <c r="BA70" s="24"/>
      <c r="BB70" s="24"/>
      <c r="BC70" s="25"/>
      <c r="BD70" s="25"/>
      <c r="BF70" s="23"/>
      <c r="BG70" s="23"/>
    </row>
    <row r="71" spans="10:59" ht="23.25">
      <c r="L71" s="586" t="s">
        <v>203</v>
      </c>
      <c r="M71" s="430">
        <v>10</v>
      </c>
      <c r="N71" s="430">
        <v>0</v>
      </c>
      <c r="O71" s="430">
        <v>0</v>
      </c>
      <c r="P71" s="430">
        <v>0</v>
      </c>
      <c r="Q71" s="430">
        <v>0</v>
      </c>
      <c r="R71" s="655">
        <v>0</v>
      </c>
      <c r="S71" s="430"/>
      <c r="T71" s="568">
        <f t="shared" si="37"/>
        <v>10</v>
      </c>
      <c r="U71" s="587">
        <v>20</v>
      </c>
      <c r="V71" s="466"/>
      <c r="W71" s="466"/>
      <c r="X71" s="466"/>
      <c r="Y71" s="465"/>
      <c r="Z71" s="466"/>
      <c r="AA71" s="466"/>
      <c r="AB71" s="466"/>
      <c r="AC71" s="465"/>
      <c r="AD71" s="466"/>
      <c r="AG71" s="26"/>
      <c r="AH71" s="24"/>
      <c r="AK71" s="49"/>
      <c r="AL71" s="24"/>
      <c r="AM71" s="26"/>
      <c r="AN71" s="26"/>
      <c r="AY71" s="24"/>
      <c r="AZ71" s="24"/>
      <c r="BA71" s="24"/>
      <c r="BB71" s="24"/>
      <c r="BC71" s="25"/>
      <c r="BD71" s="25"/>
      <c r="BF71" s="23"/>
      <c r="BG71" s="23"/>
    </row>
    <row r="72" spans="10:59" ht="24" thickBot="1">
      <c r="L72" s="588" t="s">
        <v>191</v>
      </c>
      <c r="M72" s="589">
        <f>SUM(M62:M71)</f>
        <v>63.5</v>
      </c>
      <c r="N72" s="444">
        <f>SUM(N62:N71)</f>
        <v>18.25</v>
      </c>
      <c r="O72" s="444">
        <f t="shared" ref="O72" si="38">SUM(O62:O71)</f>
        <v>0</v>
      </c>
      <c r="P72" s="444">
        <f>SUM(P62:P71)</f>
        <v>0</v>
      </c>
      <c r="Q72" s="444">
        <f>SUM(Q62:Q71)</f>
        <v>0</v>
      </c>
      <c r="R72" s="444">
        <f>SUM(R62:R71)</f>
        <v>0</v>
      </c>
      <c r="S72" s="444">
        <f t="shared" ref="S72" si="39">SUM(S62:S71)</f>
        <v>0</v>
      </c>
      <c r="T72" s="630">
        <f>SUM(T62:T71)</f>
        <v>81.75</v>
      </c>
      <c r="U72" s="631">
        <f>SUM(U62:U71)</f>
        <v>38.75</v>
      </c>
      <c r="V72" s="466"/>
      <c r="W72" s="466"/>
      <c r="X72" s="466"/>
      <c r="Y72" s="465"/>
      <c r="Z72" s="466"/>
      <c r="AA72" s="466"/>
      <c r="AB72" s="466"/>
      <c r="AC72" s="465"/>
      <c r="AD72" s="466"/>
      <c r="AG72" s="26"/>
      <c r="AH72" s="24"/>
      <c r="AK72" s="49"/>
      <c r="AL72" s="24"/>
      <c r="AM72" s="26"/>
      <c r="AN72" s="26"/>
      <c r="AY72" s="24"/>
      <c r="AZ72" s="24"/>
      <c r="BA72" s="24"/>
      <c r="BB72" s="24"/>
      <c r="BC72" s="25"/>
      <c r="BD72" s="25"/>
      <c r="BF72" s="23"/>
      <c r="BG72" s="23"/>
    </row>
    <row r="73" spans="10:59" ht="30" customHeight="1" thickBot="1">
      <c r="L73" s="1932" t="s">
        <v>221</v>
      </c>
      <c r="M73" s="1932"/>
      <c r="N73" s="1932"/>
      <c r="O73" s="1932"/>
      <c r="P73" s="1932"/>
      <c r="Q73" s="1932"/>
      <c r="R73" s="1932"/>
      <c r="S73" s="1932"/>
      <c r="T73" s="1933">
        <f>T72+U72</f>
        <v>120.5</v>
      </c>
      <c r="U73" s="1934"/>
      <c r="V73" s="466"/>
      <c r="W73" s="466"/>
      <c r="X73" s="466"/>
      <c r="Y73" s="465"/>
      <c r="Z73" s="466"/>
      <c r="AA73" s="466"/>
      <c r="AB73" s="466"/>
      <c r="AC73" s="465"/>
      <c r="AD73" s="466"/>
      <c r="AG73" s="26"/>
      <c r="AH73" s="24"/>
      <c r="AK73" s="49"/>
      <c r="AL73" s="24"/>
      <c r="AM73" s="26"/>
      <c r="AN73" s="26"/>
      <c r="AY73" s="24"/>
      <c r="AZ73" s="24"/>
      <c r="BA73" s="24"/>
      <c r="BB73" s="24"/>
      <c r="BC73" s="25"/>
      <c r="BD73" s="25"/>
      <c r="BF73" s="23"/>
      <c r="BG73" s="23"/>
    </row>
    <row r="74" spans="10:59" ht="27" customHeight="1">
      <c r="L74" s="1922" t="s">
        <v>235</v>
      </c>
      <c r="M74" s="1922"/>
      <c r="N74" s="1922"/>
      <c r="O74" s="1922"/>
      <c r="P74" s="1922"/>
      <c r="Q74" s="1922"/>
      <c r="R74" s="1922"/>
      <c r="S74" s="1922"/>
      <c r="T74" s="1920">
        <v>70</v>
      </c>
      <c r="U74" s="1921"/>
      <c r="V74" s="466"/>
      <c r="W74" s="466"/>
      <c r="X74" s="466"/>
      <c r="Y74" s="465"/>
      <c r="Z74" s="466"/>
      <c r="AA74" s="466"/>
      <c r="AB74" s="466"/>
      <c r="AC74" s="465"/>
      <c r="AD74" s="466"/>
      <c r="AG74" s="26"/>
      <c r="AH74" s="24"/>
      <c r="AK74" s="49"/>
      <c r="AL74" s="24"/>
      <c r="AM74" s="26"/>
      <c r="AN74" s="26"/>
      <c r="AP74" s="24"/>
      <c r="AQ74" s="26"/>
      <c r="AR74" s="26"/>
      <c r="AT74" s="24"/>
      <c r="AU74" s="26"/>
      <c r="AV74" s="26"/>
      <c r="AW74" s="50"/>
      <c r="AX74" s="50"/>
      <c r="AY74" s="26"/>
      <c r="AZ74" s="26"/>
      <c r="BA74" s="24"/>
      <c r="BB74" s="24"/>
      <c r="BC74" s="25"/>
      <c r="BD74" s="25"/>
      <c r="BF74" s="23"/>
      <c r="BG74" s="23"/>
    </row>
    <row r="75" spans="10:59">
      <c r="L75" s="26"/>
      <c r="M75" s="26"/>
      <c r="N75" s="24"/>
      <c r="P75" s="26"/>
      <c r="Q75" s="26"/>
      <c r="R75" s="24"/>
      <c r="T75" s="26"/>
      <c r="U75" s="26"/>
      <c r="V75" s="24"/>
      <c r="W75" s="466"/>
      <c r="X75" s="466"/>
      <c r="Y75" s="466"/>
      <c r="Z75" s="465"/>
      <c r="AA75" s="466"/>
      <c r="AB75" s="466"/>
      <c r="AC75" s="466"/>
      <c r="AD75" s="465"/>
      <c r="AE75" s="466"/>
      <c r="AN75" s="26"/>
      <c r="AO75" s="26"/>
      <c r="AP75" s="24"/>
      <c r="AR75" s="26"/>
      <c r="AS75" s="26"/>
      <c r="AT75" s="24"/>
      <c r="AV75" s="26"/>
      <c r="AW75" s="26"/>
      <c r="AX75" s="50"/>
      <c r="AZ75" s="26"/>
      <c r="BA75" s="26"/>
      <c r="BB75" s="24"/>
      <c r="BD75" s="25"/>
      <c r="BE75" s="25"/>
      <c r="BF75" s="24"/>
      <c r="BG75" s="23"/>
    </row>
    <row r="76" spans="10:59">
      <c r="L76" s="26"/>
      <c r="M76" s="26"/>
      <c r="N76" s="24"/>
      <c r="P76" s="26"/>
      <c r="Q76" s="26"/>
      <c r="R76" s="24"/>
      <c r="T76" s="26"/>
      <c r="U76" s="26"/>
      <c r="V76" s="24"/>
      <c r="W76" s="466"/>
      <c r="X76" s="466"/>
      <c r="Y76" s="466"/>
      <c r="Z76" s="465"/>
      <c r="AA76" s="466"/>
      <c r="AB76" s="466"/>
      <c r="AC76" s="466"/>
      <c r="AD76" s="465"/>
      <c r="AE76" s="466"/>
      <c r="AN76" s="26"/>
      <c r="AO76" s="26"/>
      <c r="AP76" s="24"/>
      <c r="AR76" s="26"/>
      <c r="AS76" s="26"/>
      <c r="AT76" s="24"/>
      <c r="AV76" s="26"/>
      <c r="AW76" s="26"/>
      <c r="AX76" s="50"/>
      <c r="AZ76" s="26"/>
      <c r="BA76" s="26"/>
      <c r="BB76" s="24"/>
      <c r="BD76" s="25"/>
      <c r="BE76" s="25"/>
      <c r="BF76" s="24"/>
      <c r="BG76" s="23"/>
    </row>
    <row r="77" spans="10:59">
      <c r="L77" s="26"/>
      <c r="M77" s="26"/>
      <c r="N77" s="24"/>
      <c r="P77" s="26"/>
      <c r="Q77" s="26"/>
      <c r="R77" s="24"/>
      <c r="T77" s="26"/>
      <c r="U77" s="26"/>
      <c r="V77" s="24"/>
      <c r="W77" s="466"/>
      <c r="X77" s="466"/>
      <c r="Y77" s="466"/>
      <c r="Z77" s="465"/>
      <c r="AA77" s="466"/>
      <c r="AB77" s="466"/>
      <c r="AC77" s="466"/>
      <c r="AD77" s="465"/>
      <c r="AE77" s="466"/>
      <c r="AN77" s="26"/>
      <c r="AO77" s="26"/>
      <c r="AP77" s="24"/>
      <c r="AR77" s="26"/>
      <c r="AS77" s="26"/>
      <c r="AT77" s="24"/>
      <c r="AV77" s="26"/>
      <c r="AW77" s="26"/>
      <c r="AX77" s="50"/>
      <c r="AZ77" s="26"/>
      <c r="BA77" s="26"/>
      <c r="BB77" s="24"/>
      <c r="BD77" s="25"/>
      <c r="BE77" s="25"/>
      <c r="BF77" s="24"/>
      <c r="BG77" s="23"/>
    </row>
    <row r="78" spans="10:59">
      <c r="L78" s="26"/>
      <c r="M78" s="26"/>
      <c r="N78" s="24"/>
      <c r="P78" s="26"/>
      <c r="Q78" s="26"/>
      <c r="R78" s="24"/>
      <c r="T78" s="26"/>
      <c r="U78" s="26"/>
      <c r="V78" s="24"/>
      <c r="W78" s="466"/>
      <c r="X78" s="466"/>
      <c r="Y78" s="466"/>
      <c r="Z78" s="465"/>
      <c r="AA78" s="466"/>
      <c r="AB78" s="466"/>
      <c r="AC78" s="466"/>
      <c r="AD78" s="465"/>
      <c r="AE78" s="466"/>
      <c r="AN78" s="26"/>
      <c r="AO78" s="26"/>
      <c r="AP78" s="24"/>
      <c r="AR78" s="26"/>
      <c r="AS78" s="26"/>
      <c r="AT78" s="24"/>
      <c r="AV78" s="26"/>
      <c r="AW78" s="26"/>
      <c r="AX78" s="50"/>
      <c r="AZ78" s="26"/>
      <c r="BA78" s="26"/>
      <c r="BB78" s="24"/>
      <c r="BD78" s="25"/>
      <c r="BE78" s="25"/>
      <c r="BF78" s="24"/>
      <c r="BG78" s="23"/>
    </row>
    <row r="79" spans="10:59">
      <c r="L79" s="26"/>
      <c r="M79" s="26"/>
      <c r="N79" s="24"/>
      <c r="P79" s="26"/>
      <c r="Q79" s="26"/>
      <c r="R79" s="24"/>
      <c r="T79" s="26"/>
      <c r="U79" s="26"/>
      <c r="V79" s="24"/>
      <c r="X79" s="26"/>
      <c r="Y79" s="26"/>
      <c r="Z79" s="24"/>
      <c r="AB79" s="26"/>
      <c r="AC79" s="26"/>
      <c r="AD79" s="24"/>
      <c r="AF79" s="26"/>
      <c r="AG79" s="26"/>
      <c r="AH79" s="24"/>
      <c r="AJ79" s="49"/>
      <c r="AK79" s="49"/>
      <c r="AL79" s="24"/>
      <c r="AN79" s="26"/>
      <c r="AO79" s="26"/>
      <c r="AP79" s="24"/>
      <c r="AR79" s="26"/>
      <c r="AS79" s="26"/>
      <c r="AT79" s="24"/>
      <c r="AV79" s="26"/>
      <c r="AW79" s="26"/>
      <c r="AX79" s="50"/>
      <c r="AZ79" s="26"/>
      <c r="BA79" s="26"/>
      <c r="BB79" s="24"/>
      <c r="BD79" s="25"/>
      <c r="BE79" s="25"/>
      <c r="BF79" s="24"/>
      <c r="BG79" s="23"/>
    </row>
    <row r="80" spans="10:59">
      <c r="L80" s="26"/>
      <c r="M80" s="26"/>
      <c r="N80" s="24"/>
      <c r="P80" s="26"/>
      <c r="Q80" s="26"/>
      <c r="R80" s="24"/>
      <c r="T80" s="26"/>
      <c r="U80" s="26"/>
      <c r="V80" s="24"/>
      <c r="X80" s="26"/>
      <c r="Y80" s="26"/>
      <c r="Z80" s="24"/>
      <c r="AB80" s="26"/>
      <c r="AC80" s="26"/>
      <c r="AD80" s="24"/>
      <c r="AF80" s="26"/>
      <c r="AG80" s="26"/>
      <c r="AH80" s="24"/>
      <c r="AJ80" s="49"/>
      <c r="AK80" s="49"/>
      <c r="AL80" s="24"/>
      <c r="AN80" s="26"/>
      <c r="AO80" s="26"/>
      <c r="AP80" s="24"/>
      <c r="AR80" s="26"/>
      <c r="AS80" s="26"/>
      <c r="AT80" s="24"/>
      <c r="AV80" s="26"/>
      <c r="AW80" s="26"/>
      <c r="AX80" s="50"/>
      <c r="AZ80" s="26"/>
      <c r="BA80" s="26"/>
      <c r="BB80" s="24"/>
      <c r="BD80" s="25"/>
      <c r="BE80" s="25"/>
      <c r="BF80" s="24"/>
      <c r="BG80" s="23"/>
    </row>
  </sheetData>
  <mergeCells count="62">
    <mergeCell ref="L60:U60"/>
    <mergeCell ref="L73:S73"/>
    <mergeCell ref="T73:U73"/>
    <mergeCell ref="L74:S74"/>
    <mergeCell ref="T74:U74"/>
    <mergeCell ref="AD59:AE59"/>
    <mergeCell ref="L45:T45"/>
    <mergeCell ref="V45:AE45"/>
    <mergeCell ref="V58:AC58"/>
    <mergeCell ref="AD58:AE58"/>
    <mergeCell ref="O58:R58"/>
    <mergeCell ref="S58:T58"/>
    <mergeCell ref="V59:AC59"/>
    <mergeCell ref="C15:C24"/>
    <mergeCell ref="H15:H23"/>
    <mergeCell ref="H24:I24"/>
    <mergeCell ref="H26:I26"/>
    <mergeCell ref="V31:AD31"/>
    <mergeCell ref="H10:I10"/>
    <mergeCell ref="H12:BI12"/>
    <mergeCell ref="V13:Y13"/>
    <mergeCell ref="Z13:AC13"/>
    <mergeCell ref="AD13:AG13"/>
    <mergeCell ref="BB13:BE13"/>
    <mergeCell ref="BF13:BI13"/>
    <mergeCell ref="D13:F13"/>
    <mergeCell ref="H13:I14"/>
    <mergeCell ref="C14:D14"/>
    <mergeCell ref="J13:M13"/>
    <mergeCell ref="N13:Q13"/>
    <mergeCell ref="C2:F2"/>
    <mergeCell ref="H2:K2"/>
    <mergeCell ref="N2:AZ2"/>
    <mergeCell ref="C6:C9"/>
    <mergeCell ref="H6:H9"/>
    <mergeCell ref="D4:F4"/>
    <mergeCell ref="H4:I5"/>
    <mergeCell ref="C5:D5"/>
    <mergeCell ref="BB2:BI2"/>
    <mergeCell ref="H3:BI3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C27:BC28"/>
    <mergeCell ref="BH27:BI27"/>
    <mergeCell ref="L31:S31"/>
    <mergeCell ref="AH13:AK13"/>
    <mergeCell ref="AL13:AO13"/>
    <mergeCell ref="AP13:AS13"/>
    <mergeCell ref="AT13:AW13"/>
    <mergeCell ref="AX13:BA13"/>
    <mergeCell ref="R13:U13"/>
  </mergeCells>
  <conditionalFormatting sqref="M47:R56">
    <cfRule type="cellIs" dxfId="27" priority="2" operator="equal">
      <formula>0</formula>
    </cfRule>
  </conditionalFormatting>
  <conditionalFormatting sqref="M62:R71">
    <cfRule type="cellIs" dxfId="26" priority="1" operator="equal">
      <formula>0</formula>
    </cfRule>
  </conditionalFormatting>
  <pageMargins left="0.24" right="0.28999999999999998" top="0.75" bottom="0.75" header="0.3" footer="0.3"/>
  <pageSetup scale="16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BI85"/>
  <sheetViews>
    <sheetView topLeftCell="G1" zoomScale="55" zoomScaleNormal="55" workbookViewId="0">
      <pane xSplit="3" topLeftCell="AF1" activePane="topRight" state="frozen"/>
      <selection activeCell="G1" sqref="G1"/>
      <selection pane="topRight" activeCell="AN27" sqref="AN27:AX27"/>
    </sheetView>
  </sheetViews>
  <sheetFormatPr defaultColWidth="9.140625" defaultRowHeight="15"/>
  <cols>
    <col min="1" max="2" width="9.140625" style="23" hidden="1" customWidth="1"/>
    <col min="3" max="3" width="14.5703125" style="23" hidden="1" customWidth="1"/>
    <col min="4" max="4" width="11.42578125" style="27" hidden="1" customWidth="1"/>
    <col min="5" max="5" width="6.85546875" style="27" hidden="1" customWidth="1"/>
    <col min="6" max="6" width="9.140625" style="27" hidden="1" customWidth="1"/>
    <col min="7" max="7" width="3.42578125" style="23" hidden="1" customWidth="1"/>
    <col min="8" max="8" width="6.140625" style="23" customWidth="1"/>
    <col min="9" max="9" width="15.28515625" style="27" bestFit="1" customWidth="1"/>
    <col min="10" max="10" width="11.5703125" style="26" customWidth="1"/>
    <col min="11" max="11" width="9.140625" style="24" customWidth="1"/>
    <col min="12" max="13" width="12.85546875" style="24" customWidth="1"/>
    <col min="14" max="14" width="10.5703125" style="26" customWidth="1"/>
    <col min="15" max="15" width="10.28515625" style="24" customWidth="1"/>
    <col min="16" max="17" width="10.5703125" style="24" customWidth="1"/>
    <col min="18" max="18" width="8.5703125" style="26" customWidth="1"/>
    <col min="19" max="19" width="11.5703125" style="24" customWidth="1"/>
    <col min="20" max="20" width="14" style="24" bestFit="1" customWidth="1"/>
    <col min="21" max="21" width="11.5703125" style="24" bestFit="1" customWidth="1"/>
    <col min="22" max="22" width="13.7109375" style="26" bestFit="1" customWidth="1"/>
    <col min="23" max="23" width="11.5703125" style="24" bestFit="1" customWidth="1"/>
    <col min="24" max="25" width="9.7109375" style="24" customWidth="1"/>
    <col min="26" max="26" width="11" style="26" customWidth="1"/>
    <col min="27" max="27" width="12.42578125" style="24" customWidth="1"/>
    <col min="28" max="29" width="11.85546875" style="24" customWidth="1"/>
    <col min="30" max="30" width="11" style="26" bestFit="1" customWidth="1"/>
    <col min="31" max="31" width="11.7109375" style="24" bestFit="1" customWidth="1"/>
    <col min="32" max="32" width="10.5703125" style="24" bestFit="1" customWidth="1"/>
    <col min="33" max="33" width="10.5703125" style="24" customWidth="1"/>
    <col min="34" max="34" width="11.5703125" style="26" bestFit="1" customWidth="1"/>
    <col min="35" max="35" width="13.5703125" style="24" customWidth="1"/>
    <col min="36" max="37" width="11.5703125" style="24" customWidth="1"/>
    <col min="38" max="38" width="10.5703125" style="49" customWidth="1"/>
    <col min="39" max="39" width="11.7109375" style="24" bestFit="1" customWidth="1"/>
    <col min="40" max="40" width="12" style="24" bestFit="1" customWidth="1"/>
    <col min="41" max="41" width="12" style="24" customWidth="1"/>
    <col min="42" max="42" width="8.42578125" style="26" customWidth="1"/>
    <col min="43" max="43" width="10" style="24" bestFit="1" customWidth="1"/>
    <col min="44" max="44" width="13.85546875" style="24" bestFit="1" customWidth="1"/>
    <col min="45" max="45" width="13.85546875" style="24" customWidth="1"/>
    <col min="46" max="46" width="11.7109375" style="26" customWidth="1"/>
    <col min="47" max="47" width="11.7109375" style="24" customWidth="1"/>
    <col min="48" max="48" width="10.5703125" style="24" bestFit="1" customWidth="1"/>
    <col min="49" max="49" width="10.5703125" style="24" customWidth="1"/>
    <col min="50" max="50" width="9.28515625" style="26" bestFit="1" customWidth="1"/>
    <col min="51" max="51" width="9.140625" style="50" bestFit="1" customWidth="1"/>
    <col min="52" max="52" width="10.5703125" style="50" bestFit="1" customWidth="1"/>
    <col min="53" max="53" width="10.5703125" style="50" customWidth="1"/>
    <col min="54" max="54" width="10.7109375" style="26" bestFit="1" customWidth="1"/>
    <col min="55" max="55" width="12.85546875" style="24" bestFit="1" customWidth="1"/>
    <col min="56" max="56" width="10.5703125" style="24" bestFit="1" customWidth="1"/>
    <col min="57" max="57" width="10.5703125" style="24" customWidth="1"/>
    <col min="58" max="58" width="16" style="25" bestFit="1" customWidth="1"/>
    <col min="59" max="59" width="10.7109375" style="24" bestFit="1" customWidth="1"/>
    <col min="60" max="60" width="13" style="23" bestFit="1" customWidth="1"/>
    <col min="61" max="16384" width="9.140625" style="23"/>
  </cols>
  <sheetData>
    <row r="1" spans="3:61" ht="15" customHeight="1" thickBot="1"/>
    <row r="2" spans="3:61" ht="21.75" thickBot="1">
      <c r="C2" s="1899" t="s">
        <v>45</v>
      </c>
      <c r="D2" s="1900"/>
      <c r="E2" s="1900"/>
      <c r="F2" s="1901"/>
      <c r="H2" s="1915"/>
      <c r="I2" s="1567"/>
      <c r="J2" s="1567"/>
      <c r="K2" s="1567"/>
      <c r="L2" s="1020"/>
      <c r="M2" s="1020"/>
      <c r="N2" s="1916" t="s">
        <v>249</v>
      </c>
      <c r="O2" s="1916"/>
      <c r="P2" s="1916"/>
      <c r="Q2" s="1916"/>
      <c r="R2" s="1916"/>
      <c r="S2" s="1916"/>
      <c r="T2" s="1916"/>
      <c r="U2" s="1916"/>
      <c r="V2" s="1916"/>
      <c r="W2" s="1916"/>
      <c r="X2" s="1916"/>
      <c r="Y2" s="1916"/>
      <c r="Z2" s="1916"/>
      <c r="AA2" s="1916"/>
      <c r="AB2" s="1916"/>
      <c r="AC2" s="1916"/>
      <c r="AD2" s="1916"/>
      <c r="AE2" s="1916"/>
      <c r="AF2" s="1916"/>
      <c r="AG2" s="1916"/>
      <c r="AH2" s="1916"/>
      <c r="AI2" s="1916"/>
      <c r="AJ2" s="1916"/>
      <c r="AK2" s="1916"/>
      <c r="AL2" s="1916"/>
      <c r="AM2" s="1916"/>
      <c r="AN2" s="1916"/>
      <c r="AO2" s="1916"/>
      <c r="AP2" s="1916"/>
      <c r="AQ2" s="1916"/>
      <c r="AR2" s="1916"/>
      <c r="AS2" s="1916"/>
      <c r="AT2" s="1916"/>
      <c r="AU2" s="1916"/>
      <c r="AV2" s="1916"/>
      <c r="AW2" s="1916"/>
      <c r="AX2" s="1916"/>
      <c r="AY2" s="1916"/>
      <c r="AZ2" s="1916"/>
      <c r="BA2" s="1020"/>
      <c r="BB2" s="1902" t="s">
        <v>118</v>
      </c>
      <c r="BC2" s="1903"/>
      <c r="BD2" s="1903"/>
      <c r="BE2" s="1903"/>
      <c r="BF2" s="1903"/>
      <c r="BG2" s="1903"/>
      <c r="BH2" s="1903"/>
      <c r="BI2" s="1904"/>
    </row>
    <row r="3" spans="3:61" ht="19.5" thickBot="1">
      <c r="C3" s="1019"/>
      <c r="D3" s="1017"/>
      <c r="E3" s="1017"/>
      <c r="F3" s="1023"/>
      <c r="H3" s="1905" t="s">
        <v>115</v>
      </c>
      <c r="I3" s="1906"/>
      <c r="J3" s="1906"/>
      <c r="K3" s="1906"/>
      <c r="L3" s="1906"/>
      <c r="M3" s="1906"/>
      <c r="N3" s="1906"/>
      <c r="O3" s="1906"/>
      <c r="P3" s="1906"/>
      <c r="Q3" s="1906"/>
      <c r="R3" s="1906"/>
      <c r="S3" s="1906"/>
      <c r="T3" s="1906"/>
      <c r="U3" s="1906"/>
      <c r="V3" s="1906"/>
      <c r="W3" s="1906"/>
      <c r="X3" s="1906"/>
      <c r="Y3" s="1906"/>
      <c r="Z3" s="1906"/>
      <c r="AA3" s="1906"/>
      <c r="AB3" s="1906"/>
      <c r="AC3" s="1906"/>
      <c r="AD3" s="1906"/>
      <c r="AE3" s="1906"/>
      <c r="AF3" s="1906"/>
      <c r="AG3" s="1906"/>
      <c r="AH3" s="1906"/>
      <c r="AI3" s="1906"/>
      <c r="AJ3" s="1906"/>
      <c r="AK3" s="1906"/>
      <c r="AL3" s="1906"/>
      <c r="AM3" s="1906"/>
      <c r="AN3" s="1906"/>
      <c r="AO3" s="1906"/>
      <c r="AP3" s="1906"/>
      <c r="AQ3" s="1906"/>
      <c r="AR3" s="1906"/>
      <c r="AS3" s="1906"/>
      <c r="AT3" s="1906"/>
      <c r="AU3" s="1906"/>
      <c r="AV3" s="1906"/>
      <c r="AW3" s="1906"/>
      <c r="AX3" s="1906"/>
      <c r="AY3" s="1906"/>
      <c r="AZ3" s="1906"/>
      <c r="BA3" s="1906"/>
      <c r="BB3" s="1906"/>
      <c r="BC3" s="1906"/>
      <c r="BD3" s="1906"/>
      <c r="BE3" s="1906"/>
      <c r="BF3" s="1906"/>
      <c r="BG3" s="1906"/>
      <c r="BH3" s="1906"/>
      <c r="BI3" s="1907"/>
    </row>
    <row r="4" spans="3:61" ht="18.75">
      <c r="C4" s="37" t="s">
        <v>44</v>
      </c>
      <c r="D4" s="1869"/>
      <c r="E4" s="1869"/>
      <c r="F4" s="1870"/>
      <c r="H4" s="1908" t="s">
        <v>33</v>
      </c>
      <c r="I4" s="1909"/>
      <c r="J4" s="1871" t="s">
        <v>43</v>
      </c>
      <c r="K4" s="1872"/>
      <c r="L4" s="1872"/>
      <c r="M4" s="1873"/>
      <c r="N4" s="1871" t="s">
        <v>42</v>
      </c>
      <c r="O4" s="1872"/>
      <c r="P4" s="1872"/>
      <c r="Q4" s="1873"/>
      <c r="R4" s="1871" t="s">
        <v>41</v>
      </c>
      <c r="S4" s="1872"/>
      <c r="T4" s="1872"/>
      <c r="U4" s="1873"/>
      <c r="V4" s="1871" t="s">
        <v>40</v>
      </c>
      <c r="W4" s="1872"/>
      <c r="X4" s="1872"/>
      <c r="Y4" s="1873"/>
      <c r="Z4" s="1871" t="s">
        <v>39</v>
      </c>
      <c r="AA4" s="1872"/>
      <c r="AB4" s="1872"/>
      <c r="AC4" s="1873"/>
      <c r="AD4" s="1871" t="s">
        <v>38</v>
      </c>
      <c r="AE4" s="1872"/>
      <c r="AF4" s="1872"/>
      <c r="AG4" s="1873"/>
      <c r="AH4" s="1874" t="s">
        <v>122</v>
      </c>
      <c r="AI4" s="1875"/>
      <c r="AJ4" s="1875"/>
      <c r="AK4" s="1876"/>
      <c r="AL4" s="1871" t="s">
        <v>37</v>
      </c>
      <c r="AM4" s="1872"/>
      <c r="AN4" s="1872"/>
      <c r="AO4" s="1873"/>
      <c r="AP4" s="1871" t="s">
        <v>36</v>
      </c>
      <c r="AQ4" s="1872"/>
      <c r="AR4" s="1872"/>
      <c r="AS4" s="1873"/>
      <c r="AT4" s="1871" t="s">
        <v>35</v>
      </c>
      <c r="AU4" s="1872"/>
      <c r="AV4" s="1872"/>
      <c r="AW4" s="1873"/>
      <c r="AX4" s="1871" t="s">
        <v>34</v>
      </c>
      <c r="AY4" s="1872"/>
      <c r="AZ4" s="1872"/>
      <c r="BA4" s="1873"/>
      <c r="BB4" s="1874" t="s">
        <v>123</v>
      </c>
      <c r="BC4" s="1875"/>
      <c r="BD4" s="1875"/>
      <c r="BE4" s="1876"/>
      <c r="BF4" s="1877" t="s">
        <v>17</v>
      </c>
      <c r="BG4" s="1878"/>
      <c r="BH4" s="1878"/>
      <c r="BI4" s="1878"/>
    </row>
    <row r="5" spans="3:61" ht="15.75" customHeight="1">
      <c r="C5" s="1879" t="s">
        <v>33</v>
      </c>
      <c r="D5" s="1869"/>
      <c r="E5" s="1017" t="s">
        <v>1</v>
      </c>
      <c r="F5" s="1023" t="s">
        <v>2</v>
      </c>
      <c r="H5" s="1910"/>
      <c r="I5" s="1911"/>
      <c r="J5" s="36" t="s">
        <v>1</v>
      </c>
      <c r="K5" s="271" t="s">
        <v>2</v>
      </c>
      <c r="L5" s="693" t="s">
        <v>182</v>
      </c>
      <c r="M5" s="35" t="s">
        <v>247</v>
      </c>
      <c r="N5" s="36" t="s">
        <v>1</v>
      </c>
      <c r="O5" s="271" t="s">
        <v>2</v>
      </c>
      <c r="P5" s="693" t="s">
        <v>182</v>
      </c>
      <c r="Q5" s="35" t="s">
        <v>247</v>
      </c>
      <c r="R5" s="36" t="s">
        <v>1</v>
      </c>
      <c r="S5" s="271" t="s">
        <v>2</v>
      </c>
      <c r="T5" s="693" t="s">
        <v>182</v>
      </c>
      <c r="U5" s="35" t="s">
        <v>247</v>
      </c>
      <c r="V5" s="36" t="s">
        <v>1</v>
      </c>
      <c r="W5" s="271" t="s">
        <v>2</v>
      </c>
      <c r="X5" s="693" t="s">
        <v>182</v>
      </c>
      <c r="Y5" s="35" t="s">
        <v>247</v>
      </c>
      <c r="Z5" s="36" t="s">
        <v>1</v>
      </c>
      <c r="AA5" s="271" t="s">
        <v>2</v>
      </c>
      <c r="AB5" s="693" t="s">
        <v>182</v>
      </c>
      <c r="AC5" s="35" t="s">
        <v>247</v>
      </c>
      <c r="AD5" s="36" t="s">
        <v>1</v>
      </c>
      <c r="AE5" s="271" t="s">
        <v>2</v>
      </c>
      <c r="AF5" s="693" t="s">
        <v>182</v>
      </c>
      <c r="AG5" s="35" t="s">
        <v>247</v>
      </c>
      <c r="AH5" s="36" t="s">
        <v>1</v>
      </c>
      <c r="AI5" s="271" t="s">
        <v>2</v>
      </c>
      <c r="AJ5" s="271" t="s">
        <v>182</v>
      </c>
      <c r="AK5" s="690" t="s">
        <v>196</v>
      </c>
      <c r="AL5" s="36" t="s">
        <v>1</v>
      </c>
      <c r="AM5" s="271" t="s">
        <v>2</v>
      </c>
      <c r="AN5" s="693" t="s">
        <v>182</v>
      </c>
      <c r="AO5" s="35" t="s">
        <v>247</v>
      </c>
      <c r="AP5" s="36" t="s">
        <v>1</v>
      </c>
      <c r="AQ5" s="271" t="s">
        <v>2</v>
      </c>
      <c r="AR5" s="693" t="s">
        <v>182</v>
      </c>
      <c r="AS5" s="35" t="s">
        <v>247</v>
      </c>
      <c r="AT5" s="36" t="s">
        <v>1</v>
      </c>
      <c r="AU5" s="271" t="s">
        <v>2</v>
      </c>
      <c r="AV5" s="693" t="s">
        <v>182</v>
      </c>
      <c r="AW5" s="35" t="s">
        <v>247</v>
      </c>
      <c r="AX5" s="36" t="s">
        <v>1</v>
      </c>
      <c r="AY5" s="271" t="s">
        <v>2</v>
      </c>
      <c r="AZ5" s="693" t="s">
        <v>182</v>
      </c>
      <c r="BA5" s="35" t="s">
        <v>247</v>
      </c>
      <c r="BB5" s="36" t="s">
        <v>1</v>
      </c>
      <c r="BC5" s="271" t="s">
        <v>2</v>
      </c>
      <c r="BD5" s="271" t="s">
        <v>182</v>
      </c>
      <c r="BE5" s="690" t="s">
        <v>196</v>
      </c>
      <c r="BF5" s="274" t="s">
        <v>1</v>
      </c>
      <c r="BG5" s="275" t="s">
        <v>2</v>
      </c>
      <c r="BH5" s="275" t="s">
        <v>182</v>
      </c>
      <c r="BI5" s="698" t="s">
        <v>196</v>
      </c>
    </row>
    <row r="6" spans="3:61" s="28" customFormat="1" ht="20.100000000000001" customHeight="1">
      <c r="C6" s="1879" t="s">
        <v>19</v>
      </c>
      <c r="D6" s="1017" t="s">
        <v>32</v>
      </c>
      <c r="E6" s="1017"/>
      <c r="F6" s="1018"/>
      <c r="H6" s="1886" t="s">
        <v>32</v>
      </c>
      <c r="I6" s="33" t="s">
        <v>32</v>
      </c>
      <c r="J6" s="462"/>
      <c r="K6" s="463"/>
      <c r="L6" s="463"/>
      <c r="M6" s="691"/>
      <c r="N6" s="462"/>
      <c r="O6" s="463"/>
      <c r="P6" s="463"/>
      <c r="Q6" s="691"/>
      <c r="R6" s="462"/>
      <c r="S6" s="463"/>
      <c r="T6" s="463"/>
      <c r="U6" s="691"/>
      <c r="V6" s="462"/>
      <c r="W6" s="463"/>
      <c r="X6" s="463"/>
      <c r="Y6" s="691"/>
      <c r="Z6" s="462"/>
      <c r="AA6" s="463"/>
      <c r="AB6" s="463"/>
      <c r="AC6" s="691"/>
      <c r="AD6" s="462"/>
      <c r="AE6" s="463"/>
      <c r="AF6" s="463"/>
      <c r="AG6" s="691"/>
      <c r="AH6" s="128">
        <f>J6+N6+R6+V6+Z6+AD6</f>
        <v>0</v>
      </c>
      <c r="AI6" s="273">
        <f>K6+O6+S6+W6+AA6+AE6</f>
        <v>0</v>
      </c>
      <c r="AJ6" s="273">
        <f>L6+P6+T6+X6+AB6+AF6</f>
        <v>0</v>
      </c>
      <c r="AK6" s="694">
        <f>M6+Q6+U6+Y6+AC6+AG6</f>
        <v>0</v>
      </c>
      <c r="AL6" s="462"/>
      <c r="AM6" s="463"/>
      <c r="AN6" s="1175"/>
      <c r="AO6" s="691"/>
      <c r="AP6" s="462"/>
      <c r="AQ6" s="463"/>
      <c r="AR6" s="463"/>
      <c r="AS6" s="691"/>
      <c r="AT6" s="462"/>
      <c r="AU6" s="463"/>
      <c r="AV6" s="463"/>
      <c r="AW6" s="691"/>
      <c r="AX6" s="462"/>
      <c r="AY6" s="463"/>
      <c r="AZ6" s="463"/>
      <c r="BA6" s="691"/>
      <c r="BB6" s="128">
        <f>AL6+AP6+AT6+AX6</f>
        <v>0</v>
      </c>
      <c r="BC6" s="273">
        <f>AM6+AQ6+AU6+AY6</f>
        <v>0</v>
      </c>
      <c r="BD6" s="273">
        <f>AN6+AR6+AV6+AZ6</f>
        <v>0</v>
      </c>
      <c r="BE6" s="273">
        <f>AO6+AS6+AW6+BA6</f>
        <v>0</v>
      </c>
      <c r="BF6" s="276">
        <f>AH6+BB6</f>
        <v>0</v>
      </c>
      <c r="BG6" s="277">
        <f>AI6+BC6</f>
        <v>0</v>
      </c>
      <c r="BH6" s="701">
        <f>AJ6+BD6</f>
        <v>0</v>
      </c>
      <c r="BI6" s="699">
        <f>AK6+BE6</f>
        <v>0</v>
      </c>
    </row>
    <row r="7" spans="3:61" s="28" customFormat="1" ht="20.100000000000001" customHeight="1">
      <c r="C7" s="1879"/>
      <c r="D7" s="1017" t="s">
        <v>31</v>
      </c>
      <c r="E7" s="1017"/>
      <c r="F7" s="1018"/>
      <c r="H7" s="1887"/>
      <c r="I7" s="33" t="s">
        <v>31</v>
      </c>
      <c r="J7" s="462"/>
      <c r="K7" s="463"/>
      <c r="L7" s="463"/>
      <c r="M7" s="691"/>
      <c r="N7" s="462"/>
      <c r="O7" s="463"/>
      <c r="P7" s="463"/>
      <c r="Q7" s="691"/>
      <c r="R7" s="462"/>
      <c r="S7" s="463"/>
      <c r="T7" s="463"/>
      <c r="U7" s="691"/>
      <c r="V7" s="462"/>
      <c r="W7" s="463"/>
      <c r="X7" s="463"/>
      <c r="Y7" s="691"/>
      <c r="Z7" s="462"/>
      <c r="AA7" s="463"/>
      <c r="AB7" s="463"/>
      <c r="AC7" s="691"/>
      <c r="AD7" s="462"/>
      <c r="AE7" s="463"/>
      <c r="AF7" s="463"/>
      <c r="AG7" s="691"/>
      <c r="AH7" s="128">
        <f t="shared" ref="AH7:AK9" si="0">J7+N7+R7+V7+Z7+AD7</f>
        <v>0</v>
      </c>
      <c r="AI7" s="273">
        <f t="shared" si="0"/>
        <v>0</v>
      </c>
      <c r="AJ7" s="273">
        <f t="shared" si="0"/>
        <v>0</v>
      </c>
      <c r="AK7" s="694">
        <f t="shared" si="0"/>
        <v>0</v>
      </c>
      <c r="AL7" s="462"/>
      <c r="AM7" s="463"/>
      <c r="AN7" s="463"/>
      <c r="AO7" s="691"/>
      <c r="AP7" s="462"/>
      <c r="AQ7" s="463"/>
      <c r="AR7" s="463"/>
      <c r="AS7" s="691"/>
      <c r="AT7" s="462"/>
      <c r="AU7" s="463"/>
      <c r="AV7" s="463"/>
      <c r="AW7" s="691"/>
      <c r="AX7" s="462"/>
      <c r="AY7" s="463"/>
      <c r="AZ7" s="463"/>
      <c r="BA7" s="691"/>
      <c r="BB7" s="128">
        <f t="shared" ref="BB7:BE9" si="1">AL7+AP7+AT7+AX7</f>
        <v>0</v>
      </c>
      <c r="BC7" s="273">
        <f t="shared" si="1"/>
        <v>0</v>
      </c>
      <c r="BD7" s="273">
        <f t="shared" si="1"/>
        <v>0</v>
      </c>
      <c r="BE7" s="273">
        <f t="shared" si="1"/>
        <v>0</v>
      </c>
      <c r="BF7" s="276">
        <f t="shared" ref="BF7:BI9" si="2">AH7+BB7</f>
        <v>0</v>
      </c>
      <c r="BG7" s="277">
        <f t="shared" si="2"/>
        <v>0</v>
      </c>
      <c r="BH7" s="277">
        <f t="shared" si="2"/>
        <v>0</v>
      </c>
      <c r="BI7" s="699">
        <f t="shared" si="2"/>
        <v>0</v>
      </c>
    </row>
    <row r="8" spans="3:61" s="28" customFormat="1" ht="20.100000000000001" customHeight="1">
      <c r="C8" s="1879"/>
      <c r="D8" s="1017" t="s">
        <v>30</v>
      </c>
      <c r="E8" s="1017"/>
      <c r="F8" s="1018"/>
      <c r="H8" s="1887"/>
      <c r="I8" s="33" t="s">
        <v>30</v>
      </c>
      <c r="J8" s="462"/>
      <c r="K8" s="463"/>
      <c r="L8" s="463"/>
      <c r="M8" s="691"/>
      <c r="N8" s="462"/>
      <c r="O8" s="463"/>
      <c r="P8" s="463"/>
      <c r="Q8" s="691"/>
      <c r="R8" s="462"/>
      <c r="S8" s="463"/>
      <c r="T8" s="463"/>
      <c r="U8" s="691"/>
      <c r="V8" s="462"/>
      <c r="W8" s="463"/>
      <c r="X8" s="463"/>
      <c r="Y8" s="691"/>
      <c r="Z8" s="462"/>
      <c r="AA8" s="463"/>
      <c r="AB8" s="463"/>
      <c r="AC8" s="691"/>
      <c r="AD8" s="462"/>
      <c r="AE8" s="463"/>
      <c r="AF8" s="463"/>
      <c r="AG8" s="691"/>
      <c r="AH8" s="128">
        <f t="shared" si="0"/>
        <v>0</v>
      </c>
      <c r="AI8" s="273">
        <f t="shared" si="0"/>
        <v>0</v>
      </c>
      <c r="AJ8" s="273">
        <f t="shared" si="0"/>
        <v>0</v>
      </c>
      <c r="AK8" s="694">
        <f t="shared" si="0"/>
        <v>0</v>
      </c>
      <c r="AL8" s="462"/>
      <c r="AM8" s="463"/>
      <c r="AN8" s="463"/>
      <c r="AO8" s="691"/>
      <c r="AP8" s="462"/>
      <c r="AQ8" s="463"/>
      <c r="AR8" s="463"/>
      <c r="AS8" s="691"/>
      <c r="AT8" s="462"/>
      <c r="AU8" s="463"/>
      <c r="AV8" s="463"/>
      <c r="AW8" s="691"/>
      <c r="AX8" s="462"/>
      <c r="AY8" s="463"/>
      <c r="AZ8" s="463"/>
      <c r="BA8" s="691"/>
      <c r="BB8" s="128">
        <f t="shared" si="1"/>
        <v>0</v>
      </c>
      <c r="BC8" s="273">
        <f t="shared" si="1"/>
        <v>0</v>
      </c>
      <c r="BD8" s="273">
        <f t="shared" si="1"/>
        <v>0</v>
      </c>
      <c r="BE8" s="273">
        <f t="shared" si="1"/>
        <v>0</v>
      </c>
      <c r="BF8" s="276">
        <f t="shared" si="2"/>
        <v>0</v>
      </c>
      <c r="BG8" s="277">
        <f t="shared" si="2"/>
        <v>0</v>
      </c>
      <c r="BH8" s="277">
        <f t="shared" si="2"/>
        <v>0</v>
      </c>
      <c r="BI8" s="699">
        <f t="shared" si="2"/>
        <v>0</v>
      </c>
    </row>
    <row r="9" spans="3:61" s="28" customFormat="1" ht="20.100000000000001" customHeight="1">
      <c r="C9" s="1885"/>
      <c r="D9" s="1017" t="s">
        <v>29</v>
      </c>
      <c r="E9" s="1017"/>
      <c r="F9" s="1018"/>
      <c r="H9" s="1887"/>
      <c r="I9" s="33" t="s">
        <v>109</v>
      </c>
      <c r="J9" s="462"/>
      <c r="K9" s="463"/>
      <c r="L9" s="463"/>
      <c r="M9" s="691"/>
      <c r="N9" s="462"/>
      <c r="O9" s="463"/>
      <c r="P9" s="463"/>
      <c r="Q9" s="691"/>
      <c r="R9" s="462"/>
      <c r="S9" s="463"/>
      <c r="T9" s="463"/>
      <c r="U9" s="691"/>
      <c r="V9" s="462"/>
      <c r="W9" s="463"/>
      <c r="X9" s="463"/>
      <c r="Y9" s="691"/>
      <c r="Z9" s="462"/>
      <c r="AA9" s="463"/>
      <c r="AB9" s="463"/>
      <c r="AC9" s="691"/>
      <c r="AD9" s="462"/>
      <c r="AE9" s="463"/>
      <c r="AF9" s="463"/>
      <c r="AG9" s="691"/>
      <c r="AH9" s="128">
        <f t="shared" si="0"/>
        <v>0</v>
      </c>
      <c r="AI9" s="273">
        <f t="shared" si="0"/>
        <v>0</v>
      </c>
      <c r="AJ9" s="273">
        <f t="shared" si="0"/>
        <v>0</v>
      </c>
      <c r="AK9" s="694">
        <f t="shared" si="0"/>
        <v>0</v>
      </c>
      <c r="AL9" s="462"/>
      <c r="AM9" s="463"/>
      <c r="AN9" s="463"/>
      <c r="AO9" s="691"/>
      <c r="AP9" s="462"/>
      <c r="AQ9" s="463"/>
      <c r="AR9" s="463"/>
      <c r="AS9" s="691"/>
      <c r="AT9" s="462"/>
      <c r="AU9" s="463"/>
      <c r="AV9" s="463"/>
      <c r="AW9" s="691"/>
      <c r="AX9" s="462"/>
      <c r="AY9" s="463"/>
      <c r="AZ9" s="463"/>
      <c r="BA9" s="691"/>
      <c r="BB9" s="128">
        <f t="shared" si="1"/>
        <v>0</v>
      </c>
      <c r="BC9" s="273">
        <f t="shared" si="1"/>
        <v>0</v>
      </c>
      <c r="BD9" s="273">
        <f t="shared" si="1"/>
        <v>0</v>
      </c>
      <c r="BE9" s="273">
        <f t="shared" si="1"/>
        <v>0</v>
      </c>
      <c r="BF9" s="276">
        <f t="shared" si="2"/>
        <v>0</v>
      </c>
      <c r="BG9" s="277">
        <f t="shared" si="2"/>
        <v>0</v>
      </c>
      <c r="BH9" s="277">
        <f t="shared" si="2"/>
        <v>0</v>
      </c>
      <c r="BI9" s="699">
        <f t="shared" si="2"/>
        <v>0</v>
      </c>
    </row>
    <row r="10" spans="3:61" s="28" customFormat="1" ht="19.5" customHeight="1" thickBot="1">
      <c r="C10" s="32"/>
      <c r="D10" s="31" t="s">
        <v>18</v>
      </c>
      <c r="E10" s="31"/>
      <c r="F10" s="30"/>
      <c r="H10" s="1865" t="s">
        <v>47</v>
      </c>
      <c r="I10" s="1866"/>
      <c r="J10" s="118">
        <f t="shared" ref="J10:BG10" si="3">SUM(J6:J9)</f>
        <v>0</v>
      </c>
      <c r="K10" s="272">
        <f t="shared" si="3"/>
        <v>0</v>
      </c>
      <c r="L10" s="272">
        <f t="shared" si="3"/>
        <v>0</v>
      </c>
      <c r="M10" s="272">
        <f t="shared" si="3"/>
        <v>0</v>
      </c>
      <c r="N10" s="118">
        <f t="shared" si="3"/>
        <v>0</v>
      </c>
      <c r="O10" s="272">
        <f t="shared" si="3"/>
        <v>0</v>
      </c>
      <c r="P10" s="272">
        <f t="shared" si="3"/>
        <v>0</v>
      </c>
      <c r="Q10" s="272">
        <f t="shared" si="3"/>
        <v>0</v>
      </c>
      <c r="R10" s="118">
        <f t="shared" si="3"/>
        <v>0</v>
      </c>
      <c r="S10" s="272">
        <f t="shared" si="3"/>
        <v>0</v>
      </c>
      <c r="T10" s="272">
        <f t="shared" si="3"/>
        <v>0</v>
      </c>
      <c r="U10" s="272">
        <f t="shared" si="3"/>
        <v>0</v>
      </c>
      <c r="V10" s="118">
        <f t="shared" si="3"/>
        <v>0</v>
      </c>
      <c r="W10" s="272">
        <f t="shared" si="3"/>
        <v>0</v>
      </c>
      <c r="X10" s="272">
        <f t="shared" si="3"/>
        <v>0</v>
      </c>
      <c r="Y10" s="272">
        <f t="shared" si="3"/>
        <v>0</v>
      </c>
      <c r="Z10" s="118">
        <f t="shared" si="3"/>
        <v>0</v>
      </c>
      <c r="AA10" s="272">
        <f t="shared" si="3"/>
        <v>0</v>
      </c>
      <c r="AB10" s="272">
        <f t="shared" si="3"/>
        <v>0</v>
      </c>
      <c r="AC10" s="272">
        <f t="shared" si="3"/>
        <v>0</v>
      </c>
      <c r="AD10" s="118">
        <f t="shared" si="3"/>
        <v>0</v>
      </c>
      <c r="AE10" s="272">
        <f t="shared" si="3"/>
        <v>0</v>
      </c>
      <c r="AF10" s="272">
        <f t="shared" si="3"/>
        <v>0</v>
      </c>
      <c r="AG10" s="272">
        <f t="shared" si="3"/>
        <v>0</v>
      </c>
      <c r="AH10" s="118">
        <f t="shared" si="3"/>
        <v>0</v>
      </c>
      <c r="AI10" s="272">
        <f t="shared" si="3"/>
        <v>0</v>
      </c>
      <c r="AJ10" s="272">
        <f>SUM(AJ6:AJ9)</f>
        <v>0</v>
      </c>
      <c r="AK10" s="695">
        <f>SUM(AK6:AK9)</f>
        <v>0</v>
      </c>
      <c r="AL10" s="118">
        <f t="shared" si="3"/>
        <v>0</v>
      </c>
      <c r="AM10" s="272">
        <f t="shared" si="3"/>
        <v>0</v>
      </c>
      <c r="AN10" s="272">
        <f t="shared" si="3"/>
        <v>0</v>
      </c>
      <c r="AO10" s="272">
        <f t="shared" si="3"/>
        <v>0</v>
      </c>
      <c r="AP10" s="118">
        <f t="shared" si="3"/>
        <v>0</v>
      </c>
      <c r="AQ10" s="272">
        <f t="shared" si="3"/>
        <v>0</v>
      </c>
      <c r="AR10" s="272">
        <f t="shared" si="3"/>
        <v>0</v>
      </c>
      <c r="AS10" s="272">
        <f t="shared" si="3"/>
        <v>0</v>
      </c>
      <c r="AT10" s="118">
        <f t="shared" si="3"/>
        <v>0</v>
      </c>
      <c r="AU10" s="272">
        <f t="shared" si="3"/>
        <v>0</v>
      </c>
      <c r="AV10" s="272">
        <f t="shared" si="3"/>
        <v>0</v>
      </c>
      <c r="AW10" s="272">
        <f t="shared" si="3"/>
        <v>0</v>
      </c>
      <c r="AX10" s="118">
        <f t="shared" si="3"/>
        <v>0</v>
      </c>
      <c r="AY10" s="272">
        <f t="shared" si="3"/>
        <v>0</v>
      </c>
      <c r="AZ10" s="272">
        <f t="shared" si="3"/>
        <v>0</v>
      </c>
      <c r="BA10" s="272">
        <f t="shared" si="3"/>
        <v>0</v>
      </c>
      <c r="BB10" s="118">
        <f t="shared" si="3"/>
        <v>0</v>
      </c>
      <c r="BC10" s="272">
        <f t="shared" si="3"/>
        <v>0</v>
      </c>
      <c r="BD10" s="272">
        <f t="shared" si="3"/>
        <v>0</v>
      </c>
      <c r="BE10" s="272">
        <f t="shared" si="3"/>
        <v>0</v>
      </c>
      <c r="BF10" s="278">
        <f t="shared" si="3"/>
        <v>0</v>
      </c>
      <c r="BG10" s="279">
        <f t="shared" si="3"/>
        <v>0</v>
      </c>
      <c r="BH10" s="702">
        <f>AJ10+BD10</f>
        <v>0</v>
      </c>
      <c r="BI10" s="700">
        <f>AK10+BE10</f>
        <v>0</v>
      </c>
    </row>
    <row r="11" spans="3:61" s="119" customFormat="1" ht="5.25" customHeight="1">
      <c r="D11" s="120"/>
      <c r="E11" s="120"/>
      <c r="F11" s="120"/>
      <c r="H11" s="122"/>
      <c r="I11" s="122"/>
      <c r="J11" s="125"/>
      <c r="K11" s="126"/>
      <c r="L11" s="126"/>
      <c r="M11" s="126"/>
      <c r="N11" s="125"/>
      <c r="O11" s="126"/>
      <c r="P11" s="126"/>
      <c r="Q11" s="126"/>
      <c r="R11" s="125"/>
      <c r="S11" s="126"/>
      <c r="T11" s="126"/>
      <c r="U11" s="126"/>
      <c r="V11" s="125"/>
      <c r="W11" s="126"/>
      <c r="X11" s="126"/>
      <c r="Y11" s="126"/>
      <c r="Z11" s="125"/>
      <c r="AA11" s="126"/>
      <c r="AB11" s="126"/>
      <c r="AC11" s="126"/>
      <c r="AD11" s="125"/>
      <c r="AE11" s="126"/>
      <c r="AF11" s="126"/>
      <c r="AG11" s="126"/>
      <c r="AH11" s="125"/>
      <c r="AI11" s="126"/>
      <c r="AJ11" s="126"/>
      <c r="AK11" s="126"/>
      <c r="AL11" s="125"/>
      <c r="AM11" s="126"/>
      <c r="AN11" s="126"/>
      <c r="AO11" s="126"/>
      <c r="AP11" s="125"/>
      <c r="AQ11" s="126"/>
      <c r="AR11" s="126"/>
      <c r="AS11" s="126"/>
      <c r="AT11" s="125"/>
      <c r="AU11" s="126"/>
      <c r="AV11" s="126"/>
      <c r="AW11" s="126"/>
      <c r="AX11" s="125"/>
      <c r="AY11" s="126"/>
      <c r="AZ11" s="126"/>
      <c r="BA11" s="126"/>
      <c r="BB11" s="125"/>
      <c r="BC11" s="126"/>
      <c r="BD11" s="126"/>
      <c r="BE11" s="126"/>
      <c r="BF11" s="125"/>
      <c r="BG11" s="126"/>
    </row>
    <row r="12" spans="3:61" ht="19.5" thickBot="1">
      <c r="C12" s="1019"/>
      <c r="D12" s="1017"/>
      <c r="E12" s="1017"/>
      <c r="F12" s="1023"/>
      <c r="H12" s="1867" t="s">
        <v>114</v>
      </c>
      <c r="I12" s="1868"/>
      <c r="J12" s="1868"/>
      <c r="K12" s="1868"/>
      <c r="L12" s="1868"/>
      <c r="M12" s="1868"/>
      <c r="N12" s="1868"/>
      <c r="O12" s="1868"/>
      <c r="P12" s="1868"/>
      <c r="Q12" s="1868"/>
      <c r="R12" s="1868"/>
      <c r="S12" s="1868"/>
      <c r="T12" s="1868"/>
      <c r="U12" s="1868"/>
      <c r="V12" s="1868"/>
      <c r="W12" s="1868"/>
      <c r="X12" s="1868"/>
      <c r="Y12" s="1868"/>
      <c r="Z12" s="1868"/>
      <c r="AA12" s="1868"/>
      <c r="AB12" s="1868"/>
      <c r="AC12" s="1868"/>
      <c r="AD12" s="1868"/>
      <c r="AE12" s="1868"/>
      <c r="AF12" s="1868"/>
      <c r="AG12" s="1868"/>
      <c r="AH12" s="1868"/>
      <c r="AI12" s="1868"/>
      <c r="AJ12" s="1868"/>
      <c r="AK12" s="1868"/>
      <c r="AL12" s="1868"/>
      <c r="AM12" s="1868"/>
      <c r="AN12" s="1868"/>
      <c r="AO12" s="1868"/>
      <c r="AP12" s="1868"/>
      <c r="AQ12" s="1868"/>
      <c r="AR12" s="1868"/>
      <c r="AS12" s="1868"/>
      <c r="AT12" s="1868"/>
      <c r="AU12" s="1868"/>
      <c r="AV12" s="1868"/>
      <c r="AW12" s="1868"/>
      <c r="AX12" s="1868"/>
      <c r="AY12" s="1868"/>
      <c r="AZ12" s="1868"/>
      <c r="BA12" s="1868"/>
      <c r="BB12" s="1868"/>
      <c r="BC12" s="1868"/>
      <c r="BD12" s="1868"/>
      <c r="BE12" s="1868"/>
      <c r="BF12" s="1868"/>
      <c r="BG12" s="1868"/>
      <c r="BH12" s="1868"/>
      <c r="BI12" s="1868"/>
    </row>
    <row r="13" spans="3:61" ht="18.75" customHeight="1">
      <c r="C13" s="37" t="s">
        <v>44</v>
      </c>
      <c r="D13" s="1869"/>
      <c r="E13" s="1869"/>
      <c r="F13" s="1870"/>
      <c r="H13" s="1895" t="s">
        <v>117</v>
      </c>
      <c r="I13" s="1896"/>
      <c r="J13" s="1890" t="s">
        <v>43</v>
      </c>
      <c r="K13" s="1891"/>
      <c r="L13" s="1891"/>
      <c r="M13" s="1892"/>
      <c r="N13" s="1890" t="s">
        <v>42</v>
      </c>
      <c r="O13" s="1891"/>
      <c r="P13" s="1891"/>
      <c r="Q13" s="1892"/>
      <c r="R13" s="1890" t="s">
        <v>41</v>
      </c>
      <c r="S13" s="1891"/>
      <c r="T13" s="1891"/>
      <c r="U13" s="1892"/>
      <c r="V13" s="1890" t="s">
        <v>40</v>
      </c>
      <c r="W13" s="1891"/>
      <c r="X13" s="1891"/>
      <c r="Y13" s="1892"/>
      <c r="Z13" s="1890" t="s">
        <v>39</v>
      </c>
      <c r="AA13" s="1891"/>
      <c r="AB13" s="1891"/>
      <c r="AC13" s="1892"/>
      <c r="AD13" s="1890" t="s">
        <v>38</v>
      </c>
      <c r="AE13" s="1891"/>
      <c r="AF13" s="1891"/>
      <c r="AG13" s="1892"/>
      <c r="AH13" s="1882" t="s">
        <v>122</v>
      </c>
      <c r="AI13" s="1883"/>
      <c r="AJ13" s="1883"/>
      <c r="AK13" s="1884"/>
      <c r="AL13" s="1890" t="s">
        <v>37</v>
      </c>
      <c r="AM13" s="1891"/>
      <c r="AN13" s="1891"/>
      <c r="AO13" s="1892"/>
      <c r="AP13" s="1890" t="s">
        <v>36</v>
      </c>
      <c r="AQ13" s="1891"/>
      <c r="AR13" s="1891"/>
      <c r="AS13" s="1892"/>
      <c r="AT13" s="1890" t="s">
        <v>35</v>
      </c>
      <c r="AU13" s="1891"/>
      <c r="AV13" s="1891"/>
      <c r="AW13" s="1892"/>
      <c r="AX13" s="1890" t="s">
        <v>34</v>
      </c>
      <c r="AY13" s="1891"/>
      <c r="AZ13" s="1891"/>
      <c r="BA13" s="1892"/>
      <c r="BB13" s="1882" t="s">
        <v>123</v>
      </c>
      <c r="BC13" s="1883"/>
      <c r="BD13" s="1883"/>
      <c r="BE13" s="1884"/>
      <c r="BF13" s="1880" t="s">
        <v>17</v>
      </c>
      <c r="BG13" s="1881"/>
      <c r="BH13" s="1881"/>
      <c r="BI13" s="1881"/>
    </row>
    <row r="14" spans="3:61" ht="27" customHeight="1">
      <c r="C14" s="1879" t="s">
        <v>33</v>
      </c>
      <c r="D14" s="1869"/>
      <c r="E14" s="1017" t="s">
        <v>1</v>
      </c>
      <c r="F14" s="1023" t="s">
        <v>2</v>
      </c>
      <c r="H14" s="1897"/>
      <c r="I14" s="1898"/>
      <c r="J14" s="36" t="s">
        <v>1</v>
      </c>
      <c r="K14" s="271" t="s">
        <v>2</v>
      </c>
      <c r="L14" s="271" t="s">
        <v>182</v>
      </c>
      <c r="M14" s="35" t="s">
        <v>247</v>
      </c>
      <c r="N14" s="36" t="s">
        <v>1</v>
      </c>
      <c r="O14" s="271" t="s">
        <v>2</v>
      </c>
      <c r="P14" s="271" t="s">
        <v>182</v>
      </c>
      <c r="Q14" s="35" t="s">
        <v>247</v>
      </c>
      <c r="R14" s="36" t="s">
        <v>1</v>
      </c>
      <c r="S14" s="271" t="s">
        <v>2</v>
      </c>
      <c r="T14" s="271" t="s">
        <v>182</v>
      </c>
      <c r="U14" s="35" t="s">
        <v>247</v>
      </c>
      <c r="V14" s="36" t="s">
        <v>1</v>
      </c>
      <c r="W14" s="271" t="s">
        <v>2</v>
      </c>
      <c r="X14" s="271" t="s">
        <v>182</v>
      </c>
      <c r="Y14" s="35" t="s">
        <v>247</v>
      </c>
      <c r="Z14" s="36" t="s">
        <v>1</v>
      </c>
      <c r="AA14" s="271" t="s">
        <v>2</v>
      </c>
      <c r="AB14" s="271" t="s">
        <v>182</v>
      </c>
      <c r="AC14" s="35" t="s">
        <v>247</v>
      </c>
      <c r="AD14" s="36" t="s">
        <v>1</v>
      </c>
      <c r="AE14" s="271" t="s">
        <v>2</v>
      </c>
      <c r="AF14" s="271" t="s">
        <v>182</v>
      </c>
      <c r="AG14" s="35" t="s">
        <v>247</v>
      </c>
      <c r="AH14" s="36" t="s">
        <v>1</v>
      </c>
      <c r="AI14" s="271" t="s">
        <v>2</v>
      </c>
      <c r="AJ14" s="271" t="s">
        <v>182</v>
      </c>
      <c r="AK14" s="690" t="s">
        <v>196</v>
      </c>
      <c r="AL14" s="36" t="s">
        <v>1</v>
      </c>
      <c r="AM14" s="271" t="s">
        <v>2</v>
      </c>
      <c r="AN14" s="271" t="s">
        <v>182</v>
      </c>
      <c r="AO14" s="35" t="s">
        <v>247</v>
      </c>
      <c r="AP14" s="36" t="s">
        <v>1</v>
      </c>
      <c r="AQ14" s="271" t="s">
        <v>2</v>
      </c>
      <c r="AR14" s="271" t="s">
        <v>182</v>
      </c>
      <c r="AS14" s="35" t="s">
        <v>247</v>
      </c>
      <c r="AT14" s="36" t="s">
        <v>1</v>
      </c>
      <c r="AU14" s="271" t="s">
        <v>2</v>
      </c>
      <c r="AV14" s="271" t="s">
        <v>182</v>
      </c>
      <c r="AW14" s="35" t="s">
        <v>247</v>
      </c>
      <c r="AX14" s="36" t="s">
        <v>1</v>
      </c>
      <c r="AY14" s="271" t="s">
        <v>2</v>
      </c>
      <c r="AZ14" s="271" t="s">
        <v>182</v>
      </c>
      <c r="BA14" s="35" t="s">
        <v>247</v>
      </c>
      <c r="BB14" s="36" t="s">
        <v>1</v>
      </c>
      <c r="BC14" s="271" t="s">
        <v>2</v>
      </c>
      <c r="BD14" s="271" t="s">
        <v>182</v>
      </c>
      <c r="BE14" s="690" t="s">
        <v>196</v>
      </c>
      <c r="BF14" s="274" t="s">
        <v>1</v>
      </c>
      <c r="BG14" s="275" t="s">
        <v>2</v>
      </c>
      <c r="BH14" s="275" t="s">
        <v>182</v>
      </c>
      <c r="BI14" s="703" t="s">
        <v>196</v>
      </c>
    </row>
    <row r="15" spans="3:61" s="28" customFormat="1" ht="20.100000000000001" customHeight="1">
      <c r="C15" s="1879" t="s">
        <v>28</v>
      </c>
      <c r="D15" s="1017" t="s">
        <v>27</v>
      </c>
      <c r="E15" s="1021"/>
      <c r="F15" s="34"/>
      <c r="H15" s="1888" t="s">
        <v>112</v>
      </c>
      <c r="I15" s="33" t="s">
        <v>27</v>
      </c>
      <c r="J15" s="462"/>
      <c r="K15" s="463"/>
      <c r="L15" s="463"/>
      <c r="M15" s="692"/>
      <c r="N15" s="462"/>
      <c r="O15" s="463"/>
      <c r="P15" s="463"/>
      <c r="Q15" s="692"/>
      <c r="R15" s="462"/>
      <c r="S15" s="463"/>
      <c r="T15" s="463"/>
      <c r="U15" s="692"/>
      <c r="V15" s="462"/>
      <c r="W15" s="463"/>
      <c r="X15" s="463"/>
      <c r="Y15" s="692"/>
      <c r="Z15" s="462"/>
      <c r="AA15" s="463"/>
      <c r="AB15" s="463"/>
      <c r="AC15" s="692"/>
      <c r="AD15" s="462"/>
      <c r="AE15" s="463"/>
      <c r="AF15" s="463"/>
      <c r="AG15" s="692"/>
      <c r="AH15" s="128">
        <f>J15+N15+R15+V15+Z15+AD15</f>
        <v>0</v>
      </c>
      <c r="AI15" s="273">
        <f>K15+O15+S15+W15+AA15+AE15</f>
        <v>0</v>
      </c>
      <c r="AJ15" s="273">
        <f>L15+P15+T15+X15+AB15+AF15</f>
        <v>0</v>
      </c>
      <c r="AK15" s="694">
        <f>M15+Q15+U15+Y15+AC15+AG15</f>
        <v>0</v>
      </c>
      <c r="AL15" s="462"/>
      <c r="AM15" s="463"/>
      <c r="AN15" s="463"/>
      <c r="AO15" s="692"/>
      <c r="AP15" s="462"/>
      <c r="AQ15" s="463"/>
      <c r="AR15" s="463"/>
      <c r="AS15" s="692"/>
      <c r="AT15" s="462"/>
      <c r="AU15" s="463"/>
      <c r="AV15" s="463"/>
      <c r="AW15" s="692"/>
      <c r="AX15" s="462"/>
      <c r="AY15" s="463"/>
      <c r="AZ15" s="463"/>
      <c r="BA15" s="692"/>
      <c r="BB15" s="128">
        <f>AL15+AP15+AT15+AX15</f>
        <v>0</v>
      </c>
      <c r="BC15" s="273">
        <f>AM15+AQ15+AU15+AY15</f>
        <v>0</v>
      </c>
      <c r="BD15" s="273">
        <f>AN15+AR15+AV15+AZ15</f>
        <v>0</v>
      </c>
      <c r="BE15" s="273">
        <f>AO15+AS15+AW15+BA15</f>
        <v>0</v>
      </c>
      <c r="BF15" s="276">
        <f t="shared" ref="BF15:BI23" si="4">AH15+BB15</f>
        <v>0</v>
      </c>
      <c r="BG15" s="277">
        <f t="shared" si="4"/>
        <v>0</v>
      </c>
      <c r="BH15" s="277">
        <f t="shared" si="4"/>
        <v>0</v>
      </c>
      <c r="BI15" s="704">
        <f t="shared" si="4"/>
        <v>0</v>
      </c>
    </row>
    <row r="16" spans="3:61" s="28" customFormat="1" ht="20.100000000000001" customHeight="1">
      <c r="C16" s="1879"/>
      <c r="D16" s="1017" t="s">
        <v>26</v>
      </c>
      <c r="E16" s="1017"/>
      <c r="F16" s="1018"/>
      <c r="H16" s="1889"/>
      <c r="I16" s="33" t="s">
        <v>26</v>
      </c>
      <c r="J16" s="462"/>
      <c r="K16" s="463"/>
      <c r="L16" s="463"/>
      <c r="M16" s="692"/>
      <c r="N16" s="462"/>
      <c r="O16" s="463"/>
      <c r="P16" s="463"/>
      <c r="Q16" s="692"/>
      <c r="R16" s="462"/>
      <c r="S16" s="463"/>
      <c r="T16" s="463"/>
      <c r="U16" s="692"/>
      <c r="V16" s="462"/>
      <c r="W16" s="463"/>
      <c r="X16" s="463"/>
      <c r="Y16" s="692"/>
      <c r="Z16" s="462"/>
      <c r="AA16" s="463"/>
      <c r="AB16" s="463"/>
      <c r="AC16" s="692"/>
      <c r="AD16" s="462"/>
      <c r="AE16" s="463"/>
      <c r="AF16" s="463"/>
      <c r="AG16" s="692"/>
      <c r="AH16" s="128">
        <f t="shared" ref="AH16:AK23" si="5">J16+N16+R16+V16+Z16+AD16</f>
        <v>0</v>
      </c>
      <c r="AI16" s="273">
        <f t="shared" si="5"/>
        <v>0</v>
      </c>
      <c r="AJ16" s="273">
        <f t="shared" si="5"/>
        <v>0</v>
      </c>
      <c r="AK16" s="694">
        <f t="shared" si="5"/>
        <v>0</v>
      </c>
      <c r="AL16" s="462"/>
      <c r="AM16" s="463"/>
      <c r="AN16" s="463"/>
      <c r="AO16" s="692"/>
      <c r="AP16" s="462"/>
      <c r="AQ16" s="463"/>
      <c r="AR16" s="463"/>
      <c r="AS16" s="692"/>
      <c r="AT16" s="462"/>
      <c r="AU16" s="463"/>
      <c r="AV16" s="463"/>
      <c r="AW16" s="692"/>
      <c r="AX16" s="462"/>
      <c r="AY16" s="463"/>
      <c r="AZ16" s="463"/>
      <c r="BA16" s="692"/>
      <c r="BB16" s="128">
        <f t="shared" ref="BB16:BE23" si="6">AL16+AP16+AT16+AX16</f>
        <v>0</v>
      </c>
      <c r="BC16" s="273">
        <f t="shared" si="6"/>
        <v>0</v>
      </c>
      <c r="BD16" s="273">
        <f t="shared" si="6"/>
        <v>0</v>
      </c>
      <c r="BE16" s="273">
        <f t="shared" si="6"/>
        <v>0</v>
      </c>
      <c r="BF16" s="276">
        <f t="shared" si="4"/>
        <v>0</v>
      </c>
      <c r="BG16" s="277">
        <f t="shared" si="4"/>
        <v>0</v>
      </c>
      <c r="BH16" s="277">
        <f t="shared" si="4"/>
        <v>0</v>
      </c>
      <c r="BI16" s="704">
        <f t="shared" si="4"/>
        <v>0</v>
      </c>
    </row>
    <row r="17" spans="3:61" s="28" customFormat="1" ht="23.25" customHeight="1">
      <c r="C17" s="1879"/>
      <c r="D17" s="1017" t="s">
        <v>25</v>
      </c>
      <c r="E17" s="1017"/>
      <c r="F17" s="1018"/>
      <c r="H17" s="1889"/>
      <c r="I17" s="33" t="s">
        <v>25</v>
      </c>
      <c r="J17" s="462"/>
      <c r="K17" s="463"/>
      <c r="L17" s="463"/>
      <c r="M17" s="692"/>
      <c r="N17" s="462"/>
      <c r="O17" s="463"/>
      <c r="P17" s="463"/>
      <c r="Q17" s="692"/>
      <c r="R17" s="462"/>
      <c r="S17" s="463"/>
      <c r="T17" s="463"/>
      <c r="U17" s="692"/>
      <c r="V17" s="462"/>
      <c r="W17" s="463"/>
      <c r="X17" s="463"/>
      <c r="Y17" s="692"/>
      <c r="Z17" s="462"/>
      <c r="AA17" s="463"/>
      <c r="AB17" s="463"/>
      <c r="AC17" s="692"/>
      <c r="AD17" s="462"/>
      <c r="AE17" s="463"/>
      <c r="AF17" s="463"/>
      <c r="AG17" s="692"/>
      <c r="AH17" s="128">
        <f t="shared" si="5"/>
        <v>0</v>
      </c>
      <c r="AI17" s="273">
        <f t="shared" si="5"/>
        <v>0</v>
      </c>
      <c r="AJ17" s="273">
        <f t="shared" si="5"/>
        <v>0</v>
      </c>
      <c r="AK17" s="694">
        <f t="shared" si="5"/>
        <v>0</v>
      </c>
      <c r="AL17" s="462"/>
      <c r="AM17" s="463"/>
      <c r="AN17" s="463"/>
      <c r="AO17" s="692"/>
      <c r="AP17" s="462"/>
      <c r="AQ17" s="463"/>
      <c r="AR17" s="463"/>
      <c r="AS17" s="692"/>
      <c r="AT17" s="462"/>
      <c r="AU17" s="463"/>
      <c r="AV17" s="463"/>
      <c r="AW17" s="692"/>
      <c r="AX17" s="462"/>
      <c r="AY17" s="463"/>
      <c r="AZ17" s="463"/>
      <c r="BA17" s="692"/>
      <c r="BB17" s="128">
        <f t="shared" si="6"/>
        <v>0</v>
      </c>
      <c r="BC17" s="273">
        <f t="shared" si="6"/>
        <v>0</v>
      </c>
      <c r="BD17" s="273">
        <f t="shared" si="6"/>
        <v>0</v>
      </c>
      <c r="BE17" s="273">
        <f t="shared" si="6"/>
        <v>0</v>
      </c>
      <c r="BF17" s="276">
        <f t="shared" si="4"/>
        <v>0</v>
      </c>
      <c r="BG17" s="277">
        <f t="shared" si="4"/>
        <v>0</v>
      </c>
      <c r="BH17" s="277">
        <f t="shared" si="4"/>
        <v>0</v>
      </c>
      <c r="BI17" s="704">
        <f t="shared" si="4"/>
        <v>0</v>
      </c>
    </row>
    <row r="18" spans="3:61" s="28" customFormat="1" ht="21">
      <c r="C18" s="1879"/>
      <c r="D18" s="1017" t="s">
        <v>24</v>
      </c>
      <c r="E18" s="1017"/>
      <c r="F18" s="1018"/>
      <c r="H18" s="1889"/>
      <c r="I18" s="33" t="s">
        <v>24</v>
      </c>
      <c r="J18" s="462"/>
      <c r="K18" s="463"/>
      <c r="L18" s="463"/>
      <c r="M18" s="692"/>
      <c r="N18" s="462"/>
      <c r="O18" s="463"/>
      <c r="P18" s="463"/>
      <c r="Q18" s="692"/>
      <c r="R18" s="462"/>
      <c r="S18" s="463"/>
      <c r="T18" s="463"/>
      <c r="U18" s="692"/>
      <c r="V18" s="462"/>
      <c r="W18" s="463"/>
      <c r="X18" s="463"/>
      <c r="Y18" s="692"/>
      <c r="Z18" s="462"/>
      <c r="AA18" s="463"/>
      <c r="AB18" s="463"/>
      <c r="AC18" s="692"/>
      <c r="AD18" s="462"/>
      <c r="AE18" s="463"/>
      <c r="AF18" s="463"/>
      <c r="AG18" s="692"/>
      <c r="AH18" s="128">
        <f t="shared" si="5"/>
        <v>0</v>
      </c>
      <c r="AI18" s="273">
        <f t="shared" si="5"/>
        <v>0</v>
      </c>
      <c r="AJ18" s="273">
        <f t="shared" si="5"/>
        <v>0</v>
      </c>
      <c r="AK18" s="694">
        <f t="shared" si="5"/>
        <v>0</v>
      </c>
      <c r="AL18" s="462"/>
      <c r="AM18" s="463"/>
      <c r="AN18" s="463"/>
      <c r="AO18" s="692"/>
      <c r="AP18" s="462"/>
      <c r="AQ18" s="463"/>
      <c r="AR18" s="463"/>
      <c r="AS18" s="692"/>
      <c r="AT18" s="462"/>
      <c r="AU18" s="463"/>
      <c r="AV18" s="463"/>
      <c r="AW18" s="692"/>
      <c r="AX18" s="462"/>
      <c r="AY18" s="463"/>
      <c r="AZ18" s="463"/>
      <c r="BA18" s="692"/>
      <c r="BB18" s="128">
        <f t="shared" si="6"/>
        <v>0</v>
      </c>
      <c r="BC18" s="273">
        <f t="shared" si="6"/>
        <v>0</v>
      </c>
      <c r="BD18" s="273">
        <f t="shared" si="6"/>
        <v>0</v>
      </c>
      <c r="BE18" s="273">
        <f t="shared" si="6"/>
        <v>0</v>
      </c>
      <c r="BF18" s="276">
        <f t="shared" si="4"/>
        <v>0</v>
      </c>
      <c r="BG18" s="277">
        <f t="shared" si="4"/>
        <v>0</v>
      </c>
      <c r="BH18" s="277">
        <f t="shared" si="4"/>
        <v>0</v>
      </c>
      <c r="BI18" s="704">
        <f t="shared" si="4"/>
        <v>0</v>
      </c>
    </row>
    <row r="19" spans="3:61" s="28" customFormat="1" ht="19.5" customHeight="1">
      <c r="C19" s="1879"/>
      <c r="D19" s="1017" t="s">
        <v>23</v>
      </c>
      <c r="E19" s="1017"/>
      <c r="F19" s="1018"/>
      <c r="H19" s="1889"/>
      <c r="I19" s="33" t="s">
        <v>23</v>
      </c>
      <c r="J19" s="462"/>
      <c r="K19" s="463"/>
      <c r="L19" s="463"/>
      <c r="M19" s="692"/>
      <c r="N19" s="462"/>
      <c r="O19" s="463"/>
      <c r="P19" s="463"/>
      <c r="Q19" s="692"/>
      <c r="R19" s="462"/>
      <c r="S19" s="463"/>
      <c r="T19" s="463"/>
      <c r="U19" s="692"/>
      <c r="V19" s="462"/>
      <c r="W19" s="463"/>
      <c r="X19" s="463"/>
      <c r="Y19" s="692"/>
      <c r="Z19" s="462"/>
      <c r="AA19" s="463"/>
      <c r="AB19" s="463"/>
      <c r="AC19" s="692"/>
      <c r="AD19" s="462"/>
      <c r="AE19" s="463"/>
      <c r="AF19" s="463"/>
      <c r="AG19" s="692"/>
      <c r="AH19" s="128">
        <f t="shared" si="5"/>
        <v>0</v>
      </c>
      <c r="AI19" s="273">
        <f t="shared" si="5"/>
        <v>0</v>
      </c>
      <c r="AJ19" s="273">
        <f t="shared" si="5"/>
        <v>0</v>
      </c>
      <c r="AK19" s="694">
        <f t="shared" si="5"/>
        <v>0</v>
      </c>
      <c r="AL19" s="1012"/>
      <c r="AM19" s="463"/>
      <c r="AN19" s="463"/>
      <c r="AO19" s="692"/>
      <c r="AP19" s="462"/>
      <c r="AQ19" s="463"/>
      <c r="AR19" s="463"/>
      <c r="AS19" s="692"/>
      <c r="AT19" s="462"/>
      <c r="AU19" s="463"/>
      <c r="AV19" s="463"/>
      <c r="AW19" s="692"/>
      <c r="AX19" s="462"/>
      <c r="AY19" s="463"/>
      <c r="AZ19" s="463"/>
      <c r="BA19" s="692"/>
      <c r="BB19" s="128">
        <f t="shared" si="6"/>
        <v>0</v>
      </c>
      <c r="BC19" s="273">
        <f t="shared" si="6"/>
        <v>0</v>
      </c>
      <c r="BD19" s="273">
        <f t="shared" si="6"/>
        <v>0</v>
      </c>
      <c r="BE19" s="273">
        <f t="shared" si="6"/>
        <v>0</v>
      </c>
      <c r="BF19" s="276">
        <f t="shared" si="4"/>
        <v>0</v>
      </c>
      <c r="BG19" s="277">
        <f t="shared" si="4"/>
        <v>0</v>
      </c>
      <c r="BH19" s="277">
        <f t="shared" si="4"/>
        <v>0</v>
      </c>
      <c r="BI19" s="704">
        <f t="shared" si="4"/>
        <v>0</v>
      </c>
    </row>
    <row r="20" spans="3:61" s="28" customFormat="1" ht="20.100000000000001" customHeight="1">
      <c r="C20" s="1879"/>
      <c r="D20" s="1017" t="s">
        <v>22</v>
      </c>
      <c r="E20" s="1017"/>
      <c r="F20" s="1018"/>
      <c r="H20" s="1889"/>
      <c r="I20" s="33" t="s">
        <v>22</v>
      </c>
      <c r="J20" s="462"/>
      <c r="K20" s="463"/>
      <c r="L20" s="463"/>
      <c r="M20" s="692"/>
      <c r="N20" s="462"/>
      <c r="O20" s="463"/>
      <c r="P20" s="463"/>
      <c r="Q20" s="692"/>
      <c r="R20" s="462"/>
      <c r="S20" s="463"/>
      <c r="T20" s="463"/>
      <c r="U20" s="692"/>
      <c r="V20" s="462"/>
      <c r="W20" s="463"/>
      <c r="X20" s="463"/>
      <c r="Y20" s="692"/>
      <c r="Z20" s="462"/>
      <c r="AA20" s="463"/>
      <c r="AB20" s="463"/>
      <c r="AC20" s="692"/>
      <c r="AD20" s="462"/>
      <c r="AE20" s="463"/>
      <c r="AF20" s="463"/>
      <c r="AG20" s="692"/>
      <c r="AH20" s="128">
        <f t="shared" si="5"/>
        <v>0</v>
      </c>
      <c r="AI20" s="273">
        <f t="shared" si="5"/>
        <v>0</v>
      </c>
      <c r="AJ20" s="273">
        <f t="shared" si="5"/>
        <v>0</v>
      </c>
      <c r="AK20" s="694">
        <f t="shared" si="5"/>
        <v>0</v>
      </c>
      <c r="AL20" s="462"/>
      <c r="AM20" s="463"/>
      <c r="AN20" s="463"/>
      <c r="AO20" s="692"/>
      <c r="AP20" s="462"/>
      <c r="AQ20" s="463"/>
      <c r="AR20" s="463"/>
      <c r="AS20" s="692"/>
      <c r="AT20" s="462"/>
      <c r="AU20" s="463"/>
      <c r="AV20" s="463"/>
      <c r="AW20" s="692"/>
      <c r="AX20" s="462"/>
      <c r="AY20" s="463"/>
      <c r="AZ20" s="463"/>
      <c r="BA20" s="692"/>
      <c r="BB20" s="128">
        <f t="shared" si="6"/>
        <v>0</v>
      </c>
      <c r="BC20" s="273">
        <f t="shared" si="6"/>
        <v>0</v>
      </c>
      <c r="BD20" s="273">
        <f t="shared" si="6"/>
        <v>0</v>
      </c>
      <c r="BE20" s="273">
        <f t="shared" si="6"/>
        <v>0</v>
      </c>
      <c r="BF20" s="276">
        <f t="shared" si="4"/>
        <v>0</v>
      </c>
      <c r="BG20" s="277">
        <f t="shared" si="4"/>
        <v>0</v>
      </c>
      <c r="BH20" s="277">
        <f t="shared" si="4"/>
        <v>0</v>
      </c>
      <c r="BI20" s="704">
        <f t="shared" si="4"/>
        <v>0</v>
      </c>
    </row>
    <row r="21" spans="3:61" s="28" customFormat="1" ht="20.100000000000001" customHeight="1">
      <c r="C21" s="1885"/>
      <c r="D21" s="1017"/>
      <c r="E21" s="1017"/>
      <c r="F21" s="1018"/>
      <c r="H21" s="1889"/>
      <c r="I21" s="33" t="s">
        <v>21</v>
      </c>
      <c r="J21" s="462"/>
      <c r="K21" s="463"/>
      <c r="L21" s="463"/>
      <c r="M21" s="692"/>
      <c r="N21" s="462"/>
      <c r="O21" s="463"/>
      <c r="P21" s="463"/>
      <c r="Q21" s="692"/>
      <c r="R21" s="462"/>
      <c r="S21" s="463"/>
      <c r="T21" s="463"/>
      <c r="U21" s="692"/>
      <c r="V21" s="462"/>
      <c r="W21" s="463"/>
      <c r="X21" s="463"/>
      <c r="Y21" s="692"/>
      <c r="Z21" s="462"/>
      <c r="AA21" s="463"/>
      <c r="AB21" s="463"/>
      <c r="AC21" s="692"/>
      <c r="AD21" s="462"/>
      <c r="AE21" s="463"/>
      <c r="AF21" s="463"/>
      <c r="AG21" s="692"/>
      <c r="AH21" s="128">
        <f t="shared" si="5"/>
        <v>0</v>
      </c>
      <c r="AI21" s="273">
        <f t="shared" si="5"/>
        <v>0</v>
      </c>
      <c r="AJ21" s="273">
        <f t="shared" si="5"/>
        <v>0</v>
      </c>
      <c r="AK21" s="694">
        <f t="shared" si="5"/>
        <v>0</v>
      </c>
      <c r="AL21" s="462"/>
      <c r="AM21" s="463"/>
      <c r="AN21" s="463"/>
      <c r="AO21" s="692"/>
      <c r="AP21" s="462"/>
      <c r="AQ21" s="463"/>
      <c r="AR21" s="463"/>
      <c r="AS21" s="692"/>
      <c r="AT21" s="462"/>
      <c r="AU21" s="463"/>
      <c r="AV21" s="463"/>
      <c r="AW21" s="692"/>
      <c r="AX21" s="462"/>
      <c r="AY21" s="463"/>
      <c r="AZ21" s="463"/>
      <c r="BA21" s="692"/>
      <c r="BB21" s="128">
        <f t="shared" si="6"/>
        <v>0</v>
      </c>
      <c r="BC21" s="273">
        <f t="shared" si="6"/>
        <v>0</v>
      </c>
      <c r="BD21" s="273">
        <f t="shared" si="6"/>
        <v>0</v>
      </c>
      <c r="BE21" s="273">
        <f t="shared" si="6"/>
        <v>0</v>
      </c>
      <c r="BF21" s="276">
        <f t="shared" si="4"/>
        <v>0</v>
      </c>
      <c r="BG21" s="277">
        <f t="shared" si="4"/>
        <v>0</v>
      </c>
      <c r="BH21" s="277">
        <f t="shared" si="4"/>
        <v>0</v>
      </c>
      <c r="BI21" s="704">
        <f t="shared" si="4"/>
        <v>0</v>
      </c>
    </row>
    <row r="22" spans="3:61" s="28" customFormat="1" ht="20.100000000000001" customHeight="1">
      <c r="C22" s="1885"/>
      <c r="D22" s="1017"/>
      <c r="E22" s="1017"/>
      <c r="F22" s="1018"/>
      <c r="H22" s="1889"/>
      <c r="I22" s="33" t="s">
        <v>20</v>
      </c>
      <c r="J22" s="462"/>
      <c r="K22" s="463"/>
      <c r="L22" s="463"/>
      <c r="M22" s="692"/>
      <c r="N22" s="462"/>
      <c r="O22" s="463"/>
      <c r="P22" s="463"/>
      <c r="Q22" s="692"/>
      <c r="R22" s="462"/>
      <c r="S22" s="463"/>
      <c r="T22" s="463"/>
      <c r="U22" s="692"/>
      <c r="V22" s="462"/>
      <c r="W22" s="463"/>
      <c r="X22" s="463"/>
      <c r="Y22" s="692"/>
      <c r="Z22" s="462"/>
      <c r="AA22" s="463"/>
      <c r="AB22" s="463"/>
      <c r="AC22" s="692"/>
      <c r="AD22" s="462"/>
      <c r="AE22" s="463"/>
      <c r="AF22" s="463"/>
      <c r="AG22" s="692"/>
      <c r="AH22" s="128">
        <f t="shared" si="5"/>
        <v>0</v>
      </c>
      <c r="AI22" s="273">
        <f t="shared" si="5"/>
        <v>0</v>
      </c>
      <c r="AJ22" s="273">
        <f t="shared" si="5"/>
        <v>0</v>
      </c>
      <c r="AK22" s="694">
        <f t="shared" si="5"/>
        <v>0</v>
      </c>
      <c r="AL22" s="462"/>
      <c r="AM22" s="463"/>
      <c r="AN22" s="463"/>
      <c r="AO22" s="692"/>
      <c r="AP22" s="462"/>
      <c r="AQ22" s="463"/>
      <c r="AR22" s="463"/>
      <c r="AS22" s="692"/>
      <c r="AT22" s="462"/>
      <c r="AU22" s="463"/>
      <c r="AV22" s="463"/>
      <c r="AW22" s="692"/>
      <c r="AX22" s="462"/>
      <c r="AY22" s="463"/>
      <c r="AZ22" s="463"/>
      <c r="BA22" s="692"/>
      <c r="BB22" s="128">
        <f t="shared" si="6"/>
        <v>0</v>
      </c>
      <c r="BC22" s="273">
        <f t="shared" si="6"/>
        <v>0</v>
      </c>
      <c r="BD22" s="273">
        <f t="shared" si="6"/>
        <v>0</v>
      </c>
      <c r="BE22" s="273">
        <f t="shared" si="6"/>
        <v>0</v>
      </c>
      <c r="BF22" s="276">
        <f t="shared" si="4"/>
        <v>0</v>
      </c>
      <c r="BG22" s="277">
        <f t="shared" si="4"/>
        <v>0</v>
      </c>
      <c r="BH22" s="277">
        <f t="shared" si="4"/>
        <v>0</v>
      </c>
      <c r="BI22" s="704">
        <f t="shared" si="4"/>
        <v>0</v>
      </c>
    </row>
    <row r="23" spans="3:61" s="28" customFormat="1" ht="20.100000000000001" customHeight="1">
      <c r="C23" s="1885"/>
      <c r="D23" s="1017"/>
      <c r="E23" s="1017"/>
      <c r="F23" s="1018"/>
      <c r="H23" s="1889"/>
      <c r="I23" s="33" t="s">
        <v>19</v>
      </c>
      <c r="J23" s="462"/>
      <c r="K23" s="463"/>
      <c r="L23" s="463"/>
      <c r="M23" s="692"/>
      <c r="N23" s="462"/>
      <c r="O23" s="463"/>
      <c r="P23" s="463"/>
      <c r="Q23" s="692"/>
      <c r="R23" s="462"/>
      <c r="S23" s="463"/>
      <c r="T23" s="463"/>
      <c r="U23" s="692"/>
      <c r="V23" s="462"/>
      <c r="W23" s="463"/>
      <c r="X23" s="463"/>
      <c r="Y23" s="692"/>
      <c r="Z23" s="462"/>
      <c r="AA23" s="463"/>
      <c r="AB23" s="463"/>
      <c r="AC23" s="692"/>
      <c r="AD23" s="462"/>
      <c r="AE23" s="463"/>
      <c r="AF23" s="463"/>
      <c r="AG23" s="692"/>
      <c r="AH23" s="128">
        <f t="shared" si="5"/>
        <v>0</v>
      </c>
      <c r="AI23" s="273">
        <f t="shared" si="5"/>
        <v>0</v>
      </c>
      <c r="AJ23" s="273">
        <f t="shared" si="5"/>
        <v>0</v>
      </c>
      <c r="AK23" s="694">
        <f t="shared" si="5"/>
        <v>0</v>
      </c>
      <c r="AL23" s="462"/>
      <c r="AM23" s="463"/>
      <c r="AN23" s="463"/>
      <c r="AO23" s="692"/>
      <c r="AP23" s="462"/>
      <c r="AQ23" s="463"/>
      <c r="AR23" s="463"/>
      <c r="AS23" s="692"/>
      <c r="AT23" s="462"/>
      <c r="AU23" s="463"/>
      <c r="AV23" s="463"/>
      <c r="AW23" s="692"/>
      <c r="AX23" s="462"/>
      <c r="AY23" s="463"/>
      <c r="AZ23" s="463"/>
      <c r="BA23" s="692"/>
      <c r="BB23" s="128">
        <f t="shared" si="6"/>
        <v>0</v>
      </c>
      <c r="BC23" s="273">
        <f t="shared" si="6"/>
        <v>0</v>
      </c>
      <c r="BD23" s="273">
        <f t="shared" si="6"/>
        <v>0</v>
      </c>
      <c r="BE23" s="273">
        <f t="shared" si="6"/>
        <v>0</v>
      </c>
      <c r="BF23" s="276">
        <f t="shared" si="4"/>
        <v>0</v>
      </c>
      <c r="BG23" s="277">
        <f t="shared" si="4"/>
        <v>0</v>
      </c>
      <c r="BH23" s="277">
        <f t="shared" si="4"/>
        <v>0</v>
      </c>
      <c r="BI23" s="704">
        <f t="shared" si="4"/>
        <v>0</v>
      </c>
    </row>
    <row r="24" spans="3:61" s="28" customFormat="1" ht="20.100000000000001" customHeight="1" thickBot="1">
      <c r="C24" s="1885"/>
      <c r="D24" s="1017"/>
      <c r="E24" s="1017"/>
      <c r="F24" s="1018"/>
      <c r="H24" s="1865" t="s">
        <v>116</v>
      </c>
      <c r="I24" s="1866"/>
      <c r="J24" s="118">
        <f t="shared" ref="J24:BI24" si="7">SUM(J15:J23)</f>
        <v>0</v>
      </c>
      <c r="K24" s="272">
        <f t="shared" si="7"/>
        <v>0</v>
      </c>
      <c r="L24" s="272">
        <f>SUM(L15:L23)</f>
        <v>0</v>
      </c>
      <c r="M24" s="272">
        <f>SUM(M15:M23)</f>
        <v>0</v>
      </c>
      <c r="N24" s="118">
        <f t="shared" ref="N24:AI24" si="8">SUM(N15:N23)</f>
        <v>0</v>
      </c>
      <c r="O24" s="272">
        <f t="shared" si="8"/>
        <v>0</v>
      </c>
      <c r="P24" s="272">
        <f t="shared" si="8"/>
        <v>0</v>
      </c>
      <c r="Q24" s="272">
        <f t="shared" si="8"/>
        <v>0</v>
      </c>
      <c r="R24" s="118">
        <f t="shared" si="8"/>
        <v>0</v>
      </c>
      <c r="S24" s="272">
        <f t="shared" si="8"/>
        <v>0</v>
      </c>
      <c r="T24" s="272">
        <f t="shared" si="8"/>
        <v>0</v>
      </c>
      <c r="U24" s="272">
        <f t="shared" si="8"/>
        <v>0</v>
      </c>
      <c r="V24" s="118">
        <f t="shared" si="8"/>
        <v>0</v>
      </c>
      <c r="W24" s="272">
        <f t="shared" si="8"/>
        <v>0</v>
      </c>
      <c r="X24" s="272">
        <f t="shared" si="8"/>
        <v>0</v>
      </c>
      <c r="Y24" s="272">
        <f t="shared" si="8"/>
        <v>0</v>
      </c>
      <c r="Z24" s="118">
        <f t="shared" si="8"/>
        <v>0</v>
      </c>
      <c r="AA24" s="272">
        <f t="shared" si="8"/>
        <v>0</v>
      </c>
      <c r="AB24" s="272">
        <f t="shared" si="8"/>
        <v>0</v>
      </c>
      <c r="AC24" s="272">
        <f t="shared" si="8"/>
        <v>0</v>
      </c>
      <c r="AD24" s="118">
        <f t="shared" si="8"/>
        <v>0</v>
      </c>
      <c r="AE24" s="272">
        <f t="shared" si="8"/>
        <v>0</v>
      </c>
      <c r="AF24" s="272">
        <f t="shared" si="8"/>
        <v>0</v>
      </c>
      <c r="AG24" s="272">
        <f t="shared" si="8"/>
        <v>0</v>
      </c>
      <c r="AH24" s="118">
        <f t="shared" si="8"/>
        <v>0</v>
      </c>
      <c r="AI24" s="272">
        <f t="shared" si="8"/>
        <v>0</v>
      </c>
      <c r="AJ24" s="272">
        <f>SUM(AJ15:AJ23)</f>
        <v>0</v>
      </c>
      <c r="AK24" s="695">
        <f>SUM(AK15:AK23)</f>
        <v>0</v>
      </c>
      <c r="AL24" s="118">
        <f t="shared" ref="AL24:BC24" si="9">SUM(AL15:AL23)</f>
        <v>0</v>
      </c>
      <c r="AM24" s="272">
        <f t="shared" si="9"/>
        <v>0</v>
      </c>
      <c r="AN24" s="272">
        <f t="shared" si="9"/>
        <v>0</v>
      </c>
      <c r="AO24" s="272">
        <f t="shared" si="9"/>
        <v>0</v>
      </c>
      <c r="AP24" s="118">
        <f t="shared" si="9"/>
        <v>0</v>
      </c>
      <c r="AQ24" s="272">
        <f t="shared" si="9"/>
        <v>0</v>
      </c>
      <c r="AR24" s="272">
        <f t="shared" si="9"/>
        <v>0</v>
      </c>
      <c r="AS24" s="272">
        <f t="shared" si="9"/>
        <v>0</v>
      </c>
      <c r="AT24" s="118">
        <f t="shared" si="9"/>
        <v>0</v>
      </c>
      <c r="AU24" s="272">
        <f t="shared" si="9"/>
        <v>0</v>
      </c>
      <c r="AV24" s="272">
        <f t="shared" si="9"/>
        <v>0</v>
      </c>
      <c r="AW24" s="272">
        <f t="shared" si="9"/>
        <v>0</v>
      </c>
      <c r="AX24" s="118">
        <f t="shared" si="9"/>
        <v>0</v>
      </c>
      <c r="AY24" s="272">
        <f t="shared" si="9"/>
        <v>0</v>
      </c>
      <c r="AZ24" s="272">
        <f t="shared" si="9"/>
        <v>0</v>
      </c>
      <c r="BA24" s="272">
        <f t="shared" si="9"/>
        <v>0</v>
      </c>
      <c r="BB24" s="118">
        <f t="shared" si="9"/>
        <v>0</v>
      </c>
      <c r="BC24" s="272">
        <f t="shared" si="9"/>
        <v>0</v>
      </c>
      <c r="BD24" s="272">
        <f>SUM(BD15:BD23)</f>
        <v>0</v>
      </c>
      <c r="BE24" s="272">
        <f>SUM(BE15:BE23)</f>
        <v>0</v>
      </c>
      <c r="BF24" s="278">
        <f t="shared" si="7"/>
        <v>0</v>
      </c>
      <c r="BG24" s="279">
        <f t="shared" si="7"/>
        <v>0</v>
      </c>
      <c r="BH24" s="279">
        <f t="shared" si="7"/>
        <v>0</v>
      </c>
      <c r="BI24" s="705">
        <f t="shared" si="7"/>
        <v>0</v>
      </c>
    </row>
    <row r="25" spans="3:61" s="119" customFormat="1" ht="9" customHeight="1" thickBot="1">
      <c r="C25" s="121"/>
      <c r="D25" s="121"/>
      <c r="E25" s="121"/>
      <c r="F25" s="121"/>
      <c r="H25" s="122"/>
      <c r="I25" s="122"/>
      <c r="J25" s="125"/>
      <c r="K25" s="126"/>
      <c r="L25" s="126"/>
      <c r="M25" s="126"/>
      <c r="N25" s="125"/>
      <c r="O25" s="126"/>
      <c r="P25" s="126"/>
      <c r="Q25" s="126"/>
      <c r="R25" s="125"/>
      <c r="S25" s="126"/>
      <c r="T25" s="126"/>
      <c r="U25" s="126"/>
      <c r="V25" s="125"/>
      <c r="W25" s="126"/>
      <c r="X25" s="126"/>
      <c r="Y25" s="126"/>
      <c r="Z25" s="125"/>
      <c r="AA25" s="126"/>
      <c r="AB25" s="126"/>
      <c r="AC25" s="126"/>
      <c r="AD25" s="125"/>
      <c r="AE25" s="126"/>
      <c r="AF25" s="126"/>
      <c r="AG25" s="126"/>
      <c r="AH25" s="125"/>
      <c r="AI25" s="126"/>
      <c r="AJ25" s="126"/>
      <c r="AK25" s="126"/>
      <c r="AL25" s="125"/>
      <c r="AM25" s="126"/>
      <c r="AN25" s="126"/>
      <c r="AO25" s="126"/>
      <c r="AP25" s="125"/>
      <c r="AQ25" s="126"/>
      <c r="AR25" s="126"/>
      <c r="AS25" s="126"/>
      <c r="AT25" s="125"/>
      <c r="AU25" s="126"/>
      <c r="AV25" s="126"/>
      <c r="AW25" s="126"/>
      <c r="AX25" s="125"/>
      <c r="AY25" s="126"/>
      <c r="AZ25" s="126"/>
      <c r="BA25" s="126"/>
      <c r="BB25" s="125"/>
      <c r="BC25" s="126"/>
      <c r="BD25" s="126"/>
      <c r="BE25" s="126"/>
      <c r="BF25" s="125"/>
      <c r="BG25" s="126"/>
    </row>
    <row r="26" spans="3:61" s="28" customFormat="1" ht="26.25" customHeight="1" thickBot="1">
      <c r="D26" s="29"/>
      <c r="E26" s="29"/>
      <c r="F26" s="29"/>
      <c r="H26" s="1893" t="s">
        <v>49</v>
      </c>
      <c r="I26" s="1894"/>
      <c r="J26" s="123">
        <f t="shared" ref="J26:BI26" si="10">J10+J24</f>
        <v>0</v>
      </c>
      <c r="K26" s="280">
        <f t="shared" si="10"/>
        <v>0</v>
      </c>
      <c r="L26" s="280">
        <f>L10+L24</f>
        <v>0</v>
      </c>
      <c r="M26" s="280">
        <f>M10+M24</f>
        <v>0</v>
      </c>
      <c r="N26" s="123">
        <f t="shared" ref="N26:O26" si="11">N10+N24</f>
        <v>0</v>
      </c>
      <c r="O26" s="280">
        <f t="shared" si="11"/>
        <v>0</v>
      </c>
      <c r="P26" s="280">
        <f>P10+P24</f>
        <v>0</v>
      </c>
      <c r="Q26" s="280">
        <f>Q10+Q24</f>
        <v>0</v>
      </c>
      <c r="R26" s="123">
        <f t="shared" ref="R26:S26" si="12">R10+R24</f>
        <v>0</v>
      </c>
      <c r="S26" s="280">
        <f t="shared" si="12"/>
        <v>0</v>
      </c>
      <c r="T26" s="280">
        <f>T10+T24</f>
        <v>0</v>
      </c>
      <c r="U26" s="280">
        <f>U10+U24</f>
        <v>0</v>
      </c>
      <c r="V26" s="123">
        <f t="shared" ref="V26:W26" si="13">V10+V24</f>
        <v>0</v>
      </c>
      <c r="W26" s="280">
        <f t="shared" si="13"/>
        <v>0</v>
      </c>
      <c r="X26" s="280">
        <f>X10+X24</f>
        <v>0</v>
      </c>
      <c r="Y26" s="280">
        <f>Y10+Y24</f>
        <v>0</v>
      </c>
      <c r="Z26" s="123">
        <f t="shared" ref="Z26:AA26" si="14">Z10+Z24</f>
        <v>0</v>
      </c>
      <c r="AA26" s="280">
        <f t="shared" si="14"/>
        <v>0</v>
      </c>
      <c r="AB26" s="280">
        <f>AB10+AB24</f>
        <v>0</v>
      </c>
      <c r="AC26" s="280">
        <f>AC10+AC24</f>
        <v>0</v>
      </c>
      <c r="AD26" s="123">
        <f t="shared" ref="AD26:AE26" si="15">AD10+AD24</f>
        <v>0</v>
      </c>
      <c r="AE26" s="280">
        <f t="shared" si="15"/>
        <v>0</v>
      </c>
      <c r="AF26" s="280">
        <f>AF10+AF24</f>
        <v>0</v>
      </c>
      <c r="AG26" s="280">
        <f>AG10+AG24</f>
        <v>0</v>
      </c>
      <c r="AH26" s="127">
        <f t="shared" ref="AH26:AI26" si="16">AH10+AH24</f>
        <v>0</v>
      </c>
      <c r="AI26" s="280">
        <f t="shared" si="16"/>
        <v>0</v>
      </c>
      <c r="AJ26" s="697">
        <f>AJ10+AJ24</f>
        <v>0</v>
      </c>
      <c r="AK26" s="696">
        <f>AK10+AK24</f>
        <v>0</v>
      </c>
      <c r="AL26" s="123">
        <f t="shared" ref="AL26:AM26" si="17">AL10+AL24</f>
        <v>0</v>
      </c>
      <c r="AM26" s="280">
        <f t="shared" si="17"/>
        <v>0</v>
      </c>
      <c r="AN26" s="280">
        <f>AN10+AN24</f>
        <v>0</v>
      </c>
      <c r="AO26" s="280">
        <f>AO10+AO24</f>
        <v>0</v>
      </c>
      <c r="AP26" s="123">
        <f t="shared" ref="AP26:AQ26" si="18">AP10+AP24</f>
        <v>0</v>
      </c>
      <c r="AQ26" s="280">
        <f t="shared" si="18"/>
        <v>0</v>
      </c>
      <c r="AR26" s="280">
        <f>AR10+AR24</f>
        <v>0</v>
      </c>
      <c r="AS26" s="280">
        <f>AS10+AS24</f>
        <v>0</v>
      </c>
      <c r="AT26" s="123">
        <f t="shared" ref="AT26:AU26" si="19">AT10+AT24</f>
        <v>0</v>
      </c>
      <c r="AU26" s="280">
        <f t="shared" si="19"/>
        <v>0</v>
      </c>
      <c r="AV26" s="280">
        <f>AV10+AV24</f>
        <v>0</v>
      </c>
      <c r="AW26" s="280">
        <f>AW10+AW24</f>
        <v>0</v>
      </c>
      <c r="AX26" s="123">
        <f t="shared" ref="AX26:AY26" si="20">AX10+AX24</f>
        <v>0</v>
      </c>
      <c r="AY26" s="280">
        <f t="shared" si="20"/>
        <v>0</v>
      </c>
      <c r="AZ26" s="280">
        <f>AZ10+AZ24</f>
        <v>0</v>
      </c>
      <c r="BA26" s="280">
        <f>BA10+BA24</f>
        <v>0</v>
      </c>
      <c r="BB26" s="127">
        <f t="shared" ref="BB26:BC26" si="21">BB10+BB24</f>
        <v>0</v>
      </c>
      <c r="BC26" s="280">
        <f t="shared" si="21"/>
        <v>0</v>
      </c>
      <c r="BD26" s="697">
        <f>BD10+BD24</f>
        <v>0</v>
      </c>
      <c r="BE26" s="697">
        <f>BE10+BE24</f>
        <v>0</v>
      </c>
      <c r="BF26" s="124">
        <f>BF10+BF24</f>
        <v>0</v>
      </c>
      <c r="BG26" s="707">
        <f t="shared" si="10"/>
        <v>0</v>
      </c>
      <c r="BH26" s="706">
        <f t="shared" si="10"/>
        <v>0</v>
      </c>
      <c r="BI26" s="284">
        <f t="shared" si="10"/>
        <v>0</v>
      </c>
    </row>
    <row r="27" spans="3:61" ht="21" customHeight="1">
      <c r="H27" s="320"/>
      <c r="I27" s="320"/>
      <c r="J27" s="321"/>
      <c r="K27" s="321"/>
      <c r="L27" s="321"/>
      <c r="M27" s="321"/>
      <c r="N27" s="321"/>
      <c r="O27" s="321"/>
      <c r="P27" s="321"/>
      <c r="Q27" s="321"/>
      <c r="R27" s="321"/>
      <c r="S27" s="321"/>
      <c r="T27" s="321"/>
      <c r="U27" s="321"/>
      <c r="V27" s="321"/>
      <c r="W27" s="321"/>
      <c r="X27" s="323"/>
      <c r="Y27" s="323"/>
      <c r="Z27" s="321"/>
      <c r="AA27" s="321"/>
      <c r="AB27" s="323"/>
      <c r="AC27" s="323"/>
      <c r="AD27" s="321"/>
      <c r="AE27" s="321"/>
      <c r="AF27" s="321"/>
      <c r="AG27" s="321"/>
      <c r="AH27" s="321"/>
      <c r="AI27" s="321"/>
      <c r="AJ27" s="321"/>
      <c r="AK27" s="321"/>
      <c r="AL27" s="321"/>
      <c r="AM27" s="321"/>
      <c r="AN27" s="321"/>
      <c r="AO27" s="321"/>
      <c r="AP27" s="321"/>
      <c r="AQ27" s="321"/>
      <c r="AR27" s="321"/>
      <c r="AS27" s="321"/>
      <c r="AT27" s="321"/>
      <c r="AU27" s="321"/>
      <c r="AV27" s="321"/>
      <c r="AW27" s="321"/>
      <c r="AX27" s="321"/>
      <c r="AY27" s="321"/>
      <c r="AZ27" s="321"/>
      <c r="BA27" s="321"/>
      <c r="BB27" s="335"/>
      <c r="BC27" s="1918">
        <f>SUM(I27:AZ30)</f>
        <v>0</v>
      </c>
      <c r="BD27" s="335"/>
      <c r="BE27" s="335"/>
      <c r="BF27" s="335"/>
      <c r="BG27" s="335"/>
      <c r="BH27" s="1917">
        <f>BH26+BI26</f>
        <v>0</v>
      </c>
      <c r="BI27" s="1917"/>
    </row>
    <row r="28" spans="3:61" ht="21" customHeight="1">
      <c r="H28" s="320"/>
      <c r="I28" s="320"/>
      <c r="J28" s="321"/>
      <c r="K28" s="321"/>
      <c r="L28" s="321"/>
      <c r="M28" s="321"/>
      <c r="N28" s="321"/>
      <c r="O28" s="321"/>
      <c r="P28" s="321"/>
      <c r="Q28" s="321"/>
      <c r="R28" s="321"/>
      <c r="S28" s="321"/>
      <c r="T28" s="321"/>
      <c r="U28" s="321"/>
      <c r="V28" s="321"/>
      <c r="W28" s="321"/>
      <c r="X28" s="323"/>
      <c r="Y28" s="323"/>
      <c r="Z28" s="321"/>
      <c r="AA28" s="321"/>
      <c r="AB28" s="323"/>
      <c r="AC28" s="323"/>
      <c r="AD28" s="321"/>
      <c r="AE28" s="321"/>
      <c r="AF28" s="321"/>
      <c r="AG28" s="321"/>
      <c r="AH28" s="321"/>
      <c r="AI28" s="321"/>
      <c r="AJ28" s="321"/>
      <c r="AK28" s="321"/>
      <c r="AL28" s="321"/>
      <c r="AM28" s="321"/>
      <c r="AN28" s="321"/>
      <c r="AO28" s="321"/>
      <c r="AP28" s="321"/>
      <c r="AQ28" s="321"/>
      <c r="AR28" s="321"/>
      <c r="AS28" s="321"/>
      <c r="AT28" s="321"/>
      <c r="AU28" s="321"/>
      <c r="AV28" s="321"/>
      <c r="AW28" s="321"/>
      <c r="AX28" s="321"/>
      <c r="AY28" s="321"/>
      <c r="AZ28" s="321"/>
      <c r="BA28" s="321"/>
      <c r="BB28" s="335"/>
      <c r="BC28" s="1981"/>
      <c r="BD28" s="335"/>
      <c r="BE28" s="335"/>
      <c r="BF28" s="335"/>
      <c r="BG28" s="335"/>
      <c r="BH28" s="1215"/>
      <c r="BI28" s="1215"/>
    </row>
    <row r="29" spans="3:61" ht="21" customHeight="1">
      <c r="H29" s="320"/>
      <c r="I29" s="320"/>
      <c r="J29" s="322"/>
      <c r="K29" s="323"/>
      <c r="L29" s="323"/>
      <c r="M29" s="323"/>
      <c r="N29" s="322"/>
      <c r="O29" s="323"/>
      <c r="P29" s="323"/>
      <c r="Q29" s="323"/>
      <c r="R29" s="322"/>
      <c r="S29" s="323"/>
      <c r="T29" s="323"/>
      <c r="U29" s="323"/>
      <c r="V29" s="321"/>
      <c r="W29" s="323"/>
      <c r="X29" s="323"/>
      <c r="Y29" s="323"/>
      <c r="Z29" s="322"/>
      <c r="AA29" s="323"/>
      <c r="AB29" s="323"/>
      <c r="AC29" s="323"/>
      <c r="AD29" s="322"/>
      <c r="AE29" s="323"/>
      <c r="AF29" s="323"/>
      <c r="AG29" s="322"/>
      <c r="AH29" s="322"/>
      <c r="AI29" s="323"/>
      <c r="AJ29" s="323"/>
      <c r="AK29" s="323"/>
      <c r="AL29" s="321"/>
      <c r="AM29" s="323"/>
      <c r="AN29" s="622"/>
      <c r="AO29" s="622"/>
      <c r="AP29" s="321"/>
      <c r="AQ29" s="323"/>
      <c r="AR29" s="323"/>
      <c r="AS29" s="323"/>
      <c r="AT29" s="322"/>
      <c r="AU29" s="323"/>
      <c r="AV29" s="323"/>
      <c r="AW29" s="323"/>
      <c r="AX29" s="322"/>
      <c r="AY29" s="468"/>
      <c r="AZ29" s="468"/>
      <c r="BA29" s="468"/>
      <c r="BB29" s="392"/>
      <c r="BC29" s="1919"/>
      <c r="BD29" s="434"/>
      <c r="BE29" s="434"/>
      <c r="BF29" s="435"/>
      <c r="BG29" s="434"/>
      <c r="BH29" s="726"/>
      <c r="BI29" s="434"/>
    </row>
    <row r="30" spans="3:61" ht="23.25">
      <c r="H30" s="320"/>
      <c r="I30" s="320"/>
      <c r="J30" s="322"/>
      <c r="K30" s="323"/>
      <c r="L30" s="323"/>
      <c r="M30" s="323"/>
      <c r="N30" s="322"/>
      <c r="O30" s="323"/>
      <c r="P30" s="323"/>
      <c r="Q30" s="323"/>
      <c r="R30" s="322"/>
      <c r="S30" s="323"/>
      <c r="T30" s="323"/>
      <c r="U30" s="323"/>
      <c r="V30" s="322"/>
      <c r="W30" s="323"/>
      <c r="X30" s="323"/>
      <c r="Y30" s="323"/>
      <c r="Z30" s="322"/>
      <c r="AA30" s="323"/>
      <c r="AB30" s="323"/>
      <c r="AC30" s="323"/>
      <c r="AD30" s="322"/>
      <c r="AE30" s="323"/>
      <c r="AF30" s="688"/>
      <c r="AG30" s="688"/>
      <c r="AH30" s="322"/>
      <c r="AI30" s="322"/>
      <c r="AJ30" s="323"/>
      <c r="AK30" s="323"/>
      <c r="AL30" s="321"/>
      <c r="AM30" s="323"/>
      <c r="AN30" s="321"/>
      <c r="AO30" s="321"/>
      <c r="AP30" s="322"/>
      <c r="AQ30" s="323"/>
      <c r="AR30" s="323"/>
      <c r="AS30" s="323"/>
      <c r="AT30" s="322"/>
      <c r="AU30" s="323"/>
      <c r="AV30" s="323"/>
      <c r="AW30" s="323"/>
      <c r="AX30" s="322"/>
      <c r="AY30" s="468"/>
      <c r="AZ30" s="468"/>
      <c r="BA30" s="468"/>
      <c r="BB30" s="392"/>
      <c r="BC30" s="434"/>
      <c r="BD30" s="434"/>
      <c r="BE30" s="434"/>
      <c r="BF30" s="435"/>
      <c r="BG30" s="434"/>
      <c r="BH30" s="682"/>
      <c r="BI30" s="434"/>
    </row>
    <row r="31" spans="3:61" s="464" customFormat="1" ht="21.75" thickBot="1">
      <c r="D31" s="576"/>
      <c r="E31" s="576"/>
      <c r="F31" s="576"/>
      <c r="I31" s="577"/>
      <c r="J31" s="578"/>
      <c r="K31" s="579"/>
      <c r="L31" s="579"/>
      <c r="M31" s="579"/>
      <c r="N31" s="578"/>
      <c r="O31" s="579"/>
      <c r="P31" s="579"/>
      <c r="Q31" s="579"/>
      <c r="R31" s="578"/>
      <c r="S31" s="579"/>
      <c r="T31" s="579"/>
      <c r="U31" s="579"/>
      <c r="V31" s="578"/>
      <c r="W31" s="578"/>
      <c r="X31" s="579"/>
      <c r="Y31" s="579"/>
      <c r="Z31" s="579"/>
      <c r="AA31" s="578"/>
      <c r="AB31" s="579"/>
      <c r="AC31" s="579"/>
      <c r="AD31" s="579"/>
      <c r="AE31" s="578"/>
      <c r="AF31" s="579"/>
      <c r="AG31" s="579"/>
      <c r="AH31" s="621"/>
      <c r="AI31" s="578"/>
      <c r="AJ31" s="579"/>
      <c r="AK31" s="579"/>
      <c r="AM31" s="580"/>
      <c r="AN31" s="579"/>
      <c r="AO31" s="579"/>
      <c r="AP31" s="579"/>
      <c r="AQ31" s="578"/>
      <c r="AR31" s="579"/>
      <c r="AS31" s="579"/>
      <c r="AT31" s="579"/>
      <c r="AU31" s="578"/>
      <c r="AV31" s="579"/>
      <c r="AW31" s="579"/>
      <c r="AZ31" s="581"/>
      <c r="BA31" s="581"/>
      <c r="BB31" s="581"/>
      <c r="BC31" s="582"/>
      <c r="BD31" s="583"/>
      <c r="BE31" s="583"/>
      <c r="BF31" s="583"/>
      <c r="BG31" s="584"/>
      <c r="BH31" s="1053"/>
      <c r="BI31" s="585"/>
    </row>
    <row r="32" spans="3:61" ht="35.25" customHeight="1" thickBot="1">
      <c r="L32" s="1929" t="s">
        <v>357</v>
      </c>
      <c r="M32" s="1930"/>
      <c r="N32" s="1930"/>
      <c r="O32" s="1930"/>
      <c r="P32" s="1930"/>
      <c r="Q32" s="1930"/>
      <c r="R32" s="1930"/>
      <c r="S32" s="1931"/>
      <c r="T32" s="579"/>
      <c r="U32" s="579"/>
      <c r="V32" s="1929" t="s">
        <v>204</v>
      </c>
      <c r="W32" s="1930"/>
      <c r="X32" s="1930"/>
      <c r="Y32" s="1930"/>
      <c r="Z32" s="1930"/>
      <c r="AA32" s="1930"/>
      <c r="AB32" s="1930"/>
      <c r="AC32" s="1935"/>
      <c r="AD32" s="1936"/>
      <c r="AE32" s="579"/>
      <c r="AF32" s="579"/>
      <c r="AG32" s="26"/>
      <c r="AH32" s="24"/>
      <c r="AJ32" s="685"/>
      <c r="AL32" s="24"/>
      <c r="AM32" s="463"/>
      <c r="AN32" s="1014"/>
      <c r="AP32" s="24"/>
      <c r="AS32" s="26"/>
      <c r="AT32" s="24"/>
      <c r="AX32" s="24"/>
      <c r="AY32" s="25"/>
      <c r="AZ32" s="25"/>
      <c r="BA32" s="24"/>
      <c r="BB32" s="24"/>
      <c r="BE32" s="23"/>
      <c r="BF32" s="23"/>
      <c r="BG32" s="23"/>
    </row>
    <row r="33" spans="1:59" s="24" customFormat="1" ht="28.5" customHeight="1" thickBot="1">
      <c r="C33" s="23"/>
      <c r="D33" s="27"/>
      <c r="E33" s="27"/>
      <c r="F33" s="27"/>
      <c r="G33" s="23"/>
      <c r="H33" s="23"/>
      <c r="I33" s="27"/>
      <c r="L33" s="450" t="s">
        <v>0</v>
      </c>
      <c r="M33" s="439" t="s">
        <v>200</v>
      </c>
      <c r="N33" s="454" t="s">
        <v>205</v>
      </c>
      <c r="O33" s="439" t="s">
        <v>31</v>
      </c>
      <c r="P33" s="448" t="s">
        <v>201</v>
      </c>
      <c r="Q33" s="455" t="s">
        <v>206</v>
      </c>
      <c r="R33" s="436" t="s">
        <v>22</v>
      </c>
      <c r="S33" s="438" t="s">
        <v>191</v>
      </c>
      <c r="T33" s="579"/>
      <c r="U33" s="579"/>
      <c r="V33" s="571" t="s">
        <v>0</v>
      </c>
      <c r="W33" s="572" t="s">
        <v>200</v>
      </c>
      <c r="X33" s="623" t="s">
        <v>205</v>
      </c>
      <c r="Y33" s="572" t="s">
        <v>31</v>
      </c>
      <c r="Z33" s="573" t="s">
        <v>201</v>
      </c>
      <c r="AA33" s="574" t="s">
        <v>206</v>
      </c>
      <c r="AB33" s="717" t="s">
        <v>22</v>
      </c>
      <c r="AC33" s="721" t="s">
        <v>191</v>
      </c>
      <c r="AD33" s="722" t="s">
        <v>226</v>
      </c>
      <c r="AE33" s="579"/>
      <c r="AF33" s="579"/>
      <c r="AG33" s="599"/>
      <c r="AH33" s="599"/>
      <c r="AI33" s="599"/>
      <c r="AN33" s="26"/>
      <c r="AS33" s="26"/>
      <c r="AY33" s="25"/>
      <c r="AZ33" s="25"/>
      <c r="BA33" s="24">
        <v>23</v>
      </c>
    </row>
    <row r="34" spans="1:59" ht="23.25">
      <c r="L34" s="441" t="s">
        <v>189</v>
      </c>
      <c r="M34" s="470">
        <f>$J$6</f>
        <v>0</v>
      </c>
      <c r="N34" s="430">
        <f>$J9</f>
        <v>0</v>
      </c>
      <c r="O34" s="430">
        <f>$J7</f>
        <v>0</v>
      </c>
      <c r="P34" s="430">
        <f>$J8</f>
        <v>0</v>
      </c>
      <c r="Q34" s="430">
        <f>J15+J16+J17+J18+J19+J21+J22+J23</f>
        <v>0</v>
      </c>
      <c r="R34" s="430">
        <f>$J20</f>
        <v>0</v>
      </c>
      <c r="S34" s="446">
        <f t="shared" ref="S34:S43" si="22">SUM(M34:R34)</f>
        <v>0</v>
      </c>
      <c r="T34" s="579"/>
      <c r="U34" s="579"/>
      <c r="V34" s="447" t="s">
        <v>189</v>
      </c>
      <c r="W34" s="569">
        <f>L$6</f>
        <v>0</v>
      </c>
      <c r="X34" s="570">
        <f>$L9</f>
        <v>0</v>
      </c>
      <c r="Y34" s="570">
        <f>$L7</f>
        <v>0</v>
      </c>
      <c r="Z34" s="570">
        <f>$L8</f>
        <v>0</v>
      </c>
      <c r="AA34" s="570">
        <f>L$15+L$16+L$17+L$18+L$19+L$21+L$22+L$23</f>
        <v>0</v>
      </c>
      <c r="AB34" s="718">
        <f>$L20</f>
        <v>0</v>
      </c>
      <c r="AC34" s="723">
        <f t="shared" ref="AC34:AC43" si="23">SUM(W34:AB34)</f>
        <v>0</v>
      </c>
      <c r="AD34" s="587">
        <f>M6+M7+M8++M9+M15+M16+M17+M18+M19+M21+M20+M22+M23</f>
        <v>0</v>
      </c>
      <c r="AE34" s="579">
        <f>AC34+AD34</f>
        <v>0</v>
      </c>
      <c r="AF34" s="579"/>
      <c r="AG34" s="599"/>
      <c r="AH34" s="599"/>
      <c r="AI34" s="599"/>
      <c r="AL34" s="24"/>
      <c r="AN34" s="26"/>
      <c r="AP34" s="24"/>
      <c r="AS34" s="26"/>
      <c r="AT34" s="24"/>
      <c r="AX34" s="24"/>
      <c r="AY34" s="25"/>
      <c r="AZ34" s="25"/>
      <c r="BA34" s="23">
        <v>12</v>
      </c>
      <c r="BB34" s="23"/>
      <c r="BC34" s="23"/>
      <c r="BD34" s="23"/>
      <c r="BE34" s="23"/>
      <c r="BF34" s="23"/>
      <c r="BG34" s="23"/>
    </row>
    <row r="35" spans="1:59" s="24" customFormat="1" ht="23.25">
      <c r="A35" s="23"/>
      <c r="B35" s="23"/>
      <c r="C35" s="23"/>
      <c r="D35" s="27"/>
      <c r="E35" s="27"/>
      <c r="F35" s="27"/>
      <c r="G35" s="23"/>
      <c r="H35" s="23"/>
      <c r="I35" s="27"/>
      <c r="L35" s="441" t="s">
        <v>183</v>
      </c>
      <c r="M35" s="470">
        <f>$N$6</f>
        <v>0</v>
      </c>
      <c r="N35" s="430">
        <f>$N9</f>
        <v>0</v>
      </c>
      <c r="O35" s="430">
        <f>$N7</f>
        <v>0</v>
      </c>
      <c r="P35" s="430">
        <f>$N8</f>
        <v>0</v>
      </c>
      <c r="Q35" s="430">
        <f>N15+N16+N17+N18+N19+N21+N22+N23</f>
        <v>0</v>
      </c>
      <c r="R35" s="430">
        <f>$N20</f>
        <v>0</v>
      </c>
      <c r="S35" s="446">
        <f t="shared" si="22"/>
        <v>0</v>
      </c>
      <c r="T35" s="686"/>
      <c r="U35" s="26"/>
      <c r="V35" s="441" t="s">
        <v>183</v>
      </c>
      <c r="W35" s="440">
        <f>P$6</f>
        <v>0</v>
      </c>
      <c r="X35" s="430">
        <f>$P9</f>
        <v>0</v>
      </c>
      <c r="Y35" s="430">
        <f>$P7</f>
        <v>0</v>
      </c>
      <c r="Z35" s="430">
        <f>$P8</f>
        <v>0</v>
      </c>
      <c r="AA35" s="430">
        <f>P$15+P$16+P$17+P$18+P$19+P$21+P$22+P$23</f>
        <v>0</v>
      </c>
      <c r="AB35" s="719">
        <f>$P20</f>
        <v>0</v>
      </c>
      <c r="AC35" s="723">
        <f t="shared" si="23"/>
        <v>0</v>
      </c>
      <c r="AD35" s="587">
        <f>Q6+Q7+Q8+Q9+Q15+Q16+Q17+Q18+Q19+Q20+Q21+Q22+Q23</f>
        <v>0</v>
      </c>
      <c r="AE35" s="579">
        <f t="shared" ref="AE35:AE44" si="24">AC35+AD35</f>
        <v>0</v>
      </c>
      <c r="AG35" s="599"/>
      <c r="AH35" s="599"/>
      <c r="AI35" s="599"/>
      <c r="AN35" s="26"/>
      <c r="AS35" s="26"/>
      <c r="AY35" s="25"/>
      <c r="AZ35" s="25"/>
      <c r="BA35" s="24">
        <v>10</v>
      </c>
    </row>
    <row r="36" spans="1:59" ht="23.25">
      <c r="L36" s="441" t="s">
        <v>184</v>
      </c>
      <c r="M36" s="470">
        <f>$R$6</f>
        <v>0</v>
      </c>
      <c r="N36" s="430">
        <f>$R9</f>
        <v>0</v>
      </c>
      <c r="O36" s="430">
        <f>$R7</f>
        <v>0</v>
      </c>
      <c r="P36" s="430">
        <f>$R8</f>
        <v>0</v>
      </c>
      <c r="Q36" s="430">
        <f>R15+R16+R17+R18+R19+R21+R22+R23</f>
        <v>0</v>
      </c>
      <c r="R36" s="430">
        <f>$R20</f>
        <v>0</v>
      </c>
      <c r="S36" s="446">
        <f t="shared" si="22"/>
        <v>0</v>
      </c>
      <c r="T36" s="686"/>
      <c r="U36" s="26"/>
      <c r="V36" s="441" t="s">
        <v>184</v>
      </c>
      <c r="W36" s="440">
        <f>T$6</f>
        <v>0</v>
      </c>
      <c r="X36" s="430">
        <f>$T9</f>
        <v>0</v>
      </c>
      <c r="Y36" s="430">
        <f>$T7</f>
        <v>0</v>
      </c>
      <c r="Z36" s="430">
        <f>$T8</f>
        <v>0</v>
      </c>
      <c r="AA36" s="430">
        <f>T$15+T$16+T$17+T$18+T$19+T$21+T$22+T$23</f>
        <v>0</v>
      </c>
      <c r="AB36" s="719">
        <f>$T20</f>
        <v>0</v>
      </c>
      <c r="AC36" s="723">
        <f t="shared" si="23"/>
        <v>0</v>
      </c>
      <c r="AD36" s="587">
        <f>U6+U7+U8+U9+U15+U16+U17+U18+U19+U20+U21+U22+U23</f>
        <v>0</v>
      </c>
      <c r="AE36" s="579">
        <f t="shared" si="24"/>
        <v>0</v>
      </c>
      <c r="AF36" s="26"/>
      <c r="AG36" s="599"/>
      <c r="AH36" s="599"/>
      <c r="AI36" s="599"/>
      <c r="AL36" s="24"/>
      <c r="AN36" s="26"/>
      <c r="AP36" s="24"/>
      <c r="AS36" s="26"/>
      <c r="AT36" s="24"/>
      <c r="AX36" s="24"/>
      <c r="AY36" s="25"/>
      <c r="AZ36" s="25"/>
      <c r="BA36" s="23">
        <v>20</v>
      </c>
      <c r="BB36" s="23"/>
      <c r="BC36" s="23"/>
      <c r="BD36" s="23"/>
      <c r="BE36" s="23"/>
      <c r="BF36" s="23"/>
      <c r="BG36" s="23"/>
    </row>
    <row r="37" spans="1:59" ht="23.25">
      <c r="L37" s="441" t="s">
        <v>192</v>
      </c>
      <c r="M37" s="470">
        <f>$V$6</f>
        <v>0</v>
      </c>
      <c r="N37" s="430">
        <f>$V9</f>
        <v>0</v>
      </c>
      <c r="O37" s="430">
        <f>$V7</f>
        <v>0</v>
      </c>
      <c r="P37" s="430">
        <f>$V8</f>
        <v>0</v>
      </c>
      <c r="Q37" s="430">
        <f>V15+V16+V17+V18+V19+V21++V22+V23</f>
        <v>0</v>
      </c>
      <c r="R37" s="430">
        <f>$V20</f>
        <v>0</v>
      </c>
      <c r="S37" s="446">
        <f t="shared" si="22"/>
        <v>0</v>
      </c>
      <c r="T37" s="686"/>
      <c r="U37" s="26"/>
      <c r="V37" s="441" t="s">
        <v>192</v>
      </c>
      <c r="W37" s="440">
        <f>X$6</f>
        <v>0</v>
      </c>
      <c r="X37" s="430">
        <f>$X9</f>
        <v>0</v>
      </c>
      <c r="Y37" s="430">
        <f>$X7</f>
        <v>0</v>
      </c>
      <c r="Z37" s="430">
        <f>$X8</f>
        <v>0</v>
      </c>
      <c r="AA37" s="430">
        <f>X$15+X$16+X$17+X$18+X$19+X$21+X$22+X$23</f>
        <v>0</v>
      </c>
      <c r="AB37" s="719">
        <f>$X20</f>
        <v>0</v>
      </c>
      <c r="AC37" s="723">
        <f t="shared" si="23"/>
        <v>0</v>
      </c>
      <c r="AD37" s="587">
        <f>Y6+Y7+Y8+Y9+Y15+Y16+Y17+Y18+Y19+Y20+Y21+Y22+Y23</f>
        <v>0</v>
      </c>
      <c r="AE37" s="579">
        <f t="shared" si="24"/>
        <v>0</v>
      </c>
      <c r="AF37" s="26"/>
      <c r="AG37" s="599"/>
      <c r="AH37" s="599"/>
      <c r="AI37" s="599"/>
      <c r="AL37" s="24"/>
      <c r="AN37" s="26"/>
      <c r="AP37" s="24"/>
      <c r="AT37" s="25"/>
      <c r="AU37" s="25"/>
      <c r="AX37" s="23"/>
      <c r="AY37" s="23"/>
      <c r="AZ37" s="23"/>
      <c r="BA37" s="23">
        <v>5</v>
      </c>
      <c r="BB37" s="23"/>
      <c r="BC37" s="23"/>
      <c r="BD37" s="23"/>
      <c r="BE37" s="23"/>
      <c r="BF37" s="23"/>
      <c r="BG37" s="23"/>
    </row>
    <row r="38" spans="1:59" ht="23.25">
      <c r="L38" s="441" t="s">
        <v>171</v>
      </c>
      <c r="M38" s="470">
        <f>$Z$6</f>
        <v>0</v>
      </c>
      <c r="N38" s="430">
        <f>$Z9</f>
        <v>0</v>
      </c>
      <c r="O38" s="430">
        <f>$Z7</f>
        <v>0</v>
      </c>
      <c r="P38" s="430">
        <f>$Z8</f>
        <v>0</v>
      </c>
      <c r="Q38" s="430">
        <f>Z15+Z16+Z17+Z18+Z19+Z21+Z22+Z23</f>
        <v>0</v>
      </c>
      <c r="R38" s="430">
        <f>$Z20</f>
        <v>0</v>
      </c>
      <c r="S38" s="446">
        <f t="shared" si="22"/>
        <v>0</v>
      </c>
      <c r="T38" s="686"/>
      <c r="U38" s="26"/>
      <c r="V38" s="441" t="s">
        <v>171</v>
      </c>
      <c r="W38" s="440">
        <f>AB$6</f>
        <v>0</v>
      </c>
      <c r="X38" s="430">
        <f>$AB9</f>
        <v>0</v>
      </c>
      <c r="Y38" s="430">
        <f>$AB7</f>
        <v>0</v>
      </c>
      <c r="Z38" s="430">
        <f>$AB8</f>
        <v>0</v>
      </c>
      <c r="AA38" s="430">
        <f>AB$15+AB$16+AB$17+AB$18+AB$19+AB$21+AB$22+AB$23</f>
        <v>0</v>
      </c>
      <c r="AB38" s="719">
        <f>$AB20</f>
        <v>0</v>
      </c>
      <c r="AC38" s="723">
        <f t="shared" si="23"/>
        <v>0</v>
      </c>
      <c r="AD38" s="587">
        <f>AC6+AC7+AC8+AC9+AC15+AC17+AC16+AC18+AC19+AC20+AC21+AC22+AC23</f>
        <v>0</v>
      </c>
      <c r="AE38" s="579">
        <f t="shared" si="24"/>
        <v>0</v>
      </c>
      <c r="AF38" s="26"/>
      <c r="AG38" s="26"/>
      <c r="AI38" s="26"/>
      <c r="AJ38" s="26"/>
      <c r="AK38" s="26"/>
      <c r="AL38" s="24"/>
      <c r="AN38" s="26"/>
      <c r="AP38" s="24"/>
      <c r="AT38" s="24"/>
      <c r="AX38" s="23"/>
      <c r="AY38" s="23"/>
      <c r="AZ38" s="23"/>
      <c r="BA38" s="23"/>
      <c r="BB38" s="23"/>
      <c r="BC38" s="23"/>
      <c r="BD38" s="23"/>
      <c r="BE38" s="23"/>
      <c r="BF38" s="23"/>
      <c r="BG38" s="23"/>
    </row>
    <row r="39" spans="1:59" ht="23.25">
      <c r="L39" s="441" t="s">
        <v>190</v>
      </c>
      <c r="M39" s="492">
        <f>$AD$6</f>
        <v>0</v>
      </c>
      <c r="N39" s="471">
        <f>$AD9</f>
        <v>0</v>
      </c>
      <c r="O39" s="471">
        <f>$AD7</f>
        <v>0</v>
      </c>
      <c r="P39" s="471">
        <f>$AD8</f>
        <v>0</v>
      </c>
      <c r="Q39" s="430">
        <f>AD15+AD16+AD17+AD18+AD19+AD21+AD22+AD23</f>
        <v>0</v>
      </c>
      <c r="R39" s="471">
        <f>$AD20</f>
        <v>0</v>
      </c>
      <c r="S39" s="446">
        <f t="shared" si="22"/>
        <v>0</v>
      </c>
      <c r="T39" s="686"/>
      <c r="U39" s="26"/>
      <c r="V39" s="441" t="s">
        <v>190</v>
      </c>
      <c r="W39" s="440">
        <f>AF$6</f>
        <v>0</v>
      </c>
      <c r="X39" s="430">
        <f>$AF9</f>
        <v>0</v>
      </c>
      <c r="Y39" s="430">
        <f>$AF7</f>
        <v>0</v>
      </c>
      <c r="Z39" s="430">
        <f>$AF8</f>
        <v>0</v>
      </c>
      <c r="AA39" s="430">
        <f>AF$15+AF$16+AF$17+AF$18+AF$19+AF$21+AF$22+AF$23</f>
        <v>0</v>
      </c>
      <c r="AB39" s="719">
        <f>$AF20</f>
        <v>0</v>
      </c>
      <c r="AC39" s="723">
        <f t="shared" si="23"/>
        <v>0</v>
      </c>
      <c r="AD39" s="587">
        <f>AG6+AG7+AG8+AG9+AG15+AG16+AG17+AG18+AG19+AG20+AG21+AG22+AG23</f>
        <v>0</v>
      </c>
      <c r="AE39" s="579">
        <f t="shared" si="24"/>
        <v>0</v>
      </c>
      <c r="AF39" s="26"/>
      <c r="AG39" s="26"/>
      <c r="AI39" s="26"/>
      <c r="AJ39" s="26"/>
      <c r="AK39" s="26"/>
      <c r="AL39" s="24"/>
      <c r="AN39" s="26"/>
      <c r="AP39" s="24"/>
      <c r="AT39" s="24"/>
      <c r="AX39" s="23"/>
      <c r="AY39" s="23"/>
      <c r="AZ39" s="23"/>
      <c r="BA39" s="23"/>
      <c r="BB39" s="23"/>
      <c r="BC39" s="23"/>
      <c r="BD39" s="23"/>
      <c r="BF39" s="23"/>
      <c r="BG39" s="23"/>
    </row>
    <row r="40" spans="1:59" ht="23.25">
      <c r="L40" s="441" t="s">
        <v>185</v>
      </c>
      <c r="M40" s="470">
        <f>$AL$6</f>
        <v>0</v>
      </c>
      <c r="N40" s="430">
        <f>$AL9</f>
        <v>0</v>
      </c>
      <c r="O40" s="430">
        <f>$AL7</f>
        <v>0</v>
      </c>
      <c r="P40" s="430">
        <f>$AL8</f>
        <v>0</v>
      </c>
      <c r="Q40" s="430">
        <f>AL15+AL16+AL17+AL18+AL19+AL21+AL22+AL23</f>
        <v>0</v>
      </c>
      <c r="R40" s="430">
        <f>$AL20</f>
        <v>0</v>
      </c>
      <c r="S40" s="446">
        <f t="shared" si="22"/>
        <v>0</v>
      </c>
      <c r="T40" s="686"/>
      <c r="U40" s="26"/>
      <c r="V40" s="441" t="s">
        <v>185</v>
      </c>
      <c r="W40" s="469">
        <f>AN$6</f>
        <v>0</v>
      </c>
      <c r="X40" s="430">
        <f>$AN9</f>
        <v>0</v>
      </c>
      <c r="Y40" s="430">
        <f>$AN7</f>
        <v>0</v>
      </c>
      <c r="Z40" s="430">
        <f>$AN8</f>
        <v>0</v>
      </c>
      <c r="AA40" s="430">
        <f>AN$15+AN$16+AN$17+AN$18+AN$19+AN$21+AN$22+AN$23</f>
        <v>0</v>
      </c>
      <c r="AB40" s="719">
        <f>$AN20</f>
        <v>0</v>
      </c>
      <c r="AC40" s="723">
        <f t="shared" si="23"/>
        <v>0</v>
      </c>
      <c r="AD40" s="587">
        <f>AO6+AO7+AO8+AO9+AO15+AO16+AO17+AO18+AO19+AO20+AO21+AO22+AO23</f>
        <v>0</v>
      </c>
      <c r="AE40" s="579">
        <f t="shared" si="24"/>
        <v>0</v>
      </c>
      <c r="AF40" s="23"/>
      <c r="AG40" s="26"/>
      <c r="AI40" s="26">
        <v>106</v>
      </c>
      <c r="AJ40" s="26"/>
      <c r="AK40" s="26"/>
      <c r="AL40" s="24"/>
      <c r="AN40" s="26"/>
      <c r="AP40" s="24"/>
      <c r="AT40" s="24"/>
      <c r="AX40" s="23"/>
      <c r="AY40" s="23"/>
      <c r="AZ40" s="23"/>
      <c r="BA40" s="23"/>
      <c r="BB40" s="23"/>
      <c r="BC40" s="23"/>
      <c r="BD40" s="23"/>
      <c r="BE40" s="23"/>
      <c r="BF40" s="23"/>
      <c r="BG40" s="23"/>
    </row>
    <row r="41" spans="1:59" ht="23.25">
      <c r="L41" s="441" t="s">
        <v>202</v>
      </c>
      <c r="M41" s="470">
        <f>$AP$6</f>
        <v>0</v>
      </c>
      <c r="N41" s="430">
        <f>$AP9</f>
        <v>0</v>
      </c>
      <c r="O41" s="430">
        <f>$AP7</f>
        <v>0</v>
      </c>
      <c r="P41" s="430">
        <f>$AP8</f>
        <v>0</v>
      </c>
      <c r="Q41" s="430">
        <f>AP15+AP16+AP17+AP18+AP19+AP21+AP22+AP23</f>
        <v>0</v>
      </c>
      <c r="R41" s="430">
        <f>$AP20</f>
        <v>0</v>
      </c>
      <c r="S41" s="446">
        <f t="shared" si="22"/>
        <v>0</v>
      </c>
      <c r="T41" s="686"/>
      <c r="U41" s="26"/>
      <c r="V41" s="441" t="s">
        <v>202</v>
      </c>
      <c r="W41" s="440">
        <f>AR$6</f>
        <v>0</v>
      </c>
      <c r="X41" s="430">
        <f>$AR9</f>
        <v>0</v>
      </c>
      <c r="Y41" s="430">
        <f>$AR7</f>
        <v>0</v>
      </c>
      <c r="Z41" s="430">
        <f>$AR8</f>
        <v>0</v>
      </c>
      <c r="AA41" s="430">
        <f>AR$15+AR$16+AR$17+AR$18+AR$19+AR$21+AR$22+AR$23</f>
        <v>0</v>
      </c>
      <c r="AB41" s="719">
        <f>$AR20</f>
        <v>0</v>
      </c>
      <c r="AC41" s="723">
        <f t="shared" si="23"/>
        <v>0</v>
      </c>
      <c r="AD41" s="587">
        <f>AS6+AS7+AS8+AS9+AS15+AS16+AS17+AS18+AS19+AS20+AS21+AS22+AS23</f>
        <v>0</v>
      </c>
      <c r="AE41" s="579">
        <f t="shared" si="24"/>
        <v>0</v>
      </c>
      <c r="AF41" s="28"/>
      <c r="AG41" s="26"/>
      <c r="AI41" s="26">
        <f>111-35</f>
        <v>76</v>
      </c>
      <c r="AJ41" s="26"/>
      <c r="AK41" s="26"/>
      <c r="AL41" s="24"/>
      <c r="AN41" s="26"/>
      <c r="AP41" s="24"/>
      <c r="AS41" s="23"/>
      <c r="AT41" s="24"/>
      <c r="AX41" s="23"/>
      <c r="AY41" s="23"/>
      <c r="AZ41" s="23"/>
      <c r="BA41" s="23"/>
      <c r="BB41" s="23"/>
      <c r="BC41" s="23"/>
      <c r="BD41" s="23"/>
      <c r="BE41" s="23"/>
      <c r="BF41" s="23"/>
      <c r="BG41" s="23"/>
    </row>
    <row r="42" spans="1:59" ht="23.25">
      <c r="L42" s="441" t="s">
        <v>186</v>
      </c>
      <c r="M42" s="470">
        <f>$AT$6</f>
        <v>0</v>
      </c>
      <c r="N42" s="430">
        <f>$AT9</f>
        <v>0</v>
      </c>
      <c r="O42" s="430">
        <f>$AT7</f>
        <v>0</v>
      </c>
      <c r="P42" s="430">
        <f>$AT8</f>
        <v>0</v>
      </c>
      <c r="Q42" s="430">
        <f>AT15+AT16+AT17+AT18+AT19+AT21+AT22+AT23</f>
        <v>0</v>
      </c>
      <c r="R42" s="430">
        <f>$AT20</f>
        <v>0</v>
      </c>
      <c r="S42" s="446">
        <f t="shared" si="22"/>
        <v>0</v>
      </c>
      <c r="T42" s="686"/>
      <c r="U42" s="26"/>
      <c r="V42" s="441" t="s">
        <v>186</v>
      </c>
      <c r="W42" s="440">
        <f>AV$6</f>
        <v>0</v>
      </c>
      <c r="X42" s="430">
        <f>$AV9</f>
        <v>0</v>
      </c>
      <c r="Y42" s="430">
        <f>$AV7</f>
        <v>0</v>
      </c>
      <c r="Z42" s="430">
        <f>$AV8</f>
        <v>0</v>
      </c>
      <c r="AA42" s="430">
        <f>AV$15+AV$16+AV$17+AV$18+AV$19+AV$21+AV$22+AV$23</f>
        <v>0</v>
      </c>
      <c r="AB42" s="719">
        <f>$AV20</f>
        <v>0</v>
      </c>
      <c r="AC42" s="723">
        <f t="shared" si="23"/>
        <v>0</v>
      </c>
      <c r="AD42" s="587">
        <f>AW6+AW7+AW8+AW9+AW15+AW16+AW17+AW18+AW20+AW19+AW21+AW22+AW23</f>
        <v>0</v>
      </c>
      <c r="AE42" s="579">
        <f t="shared" si="24"/>
        <v>0</v>
      </c>
      <c r="AH42" s="24"/>
      <c r="AJ42" s="25"/>
      <c r="AL42" s="24"/>
      <c r="AN42" s="25"/>
      <c r="AP42" s="24"/>
      <c r="AR42" s="25"/>
      <c r="AT42" s="24"/>
      <c r="AX42" s="23"/>
      <c r="AY42" s="23"/>
      <c r="AZ42" s="23"/>
      <c r="BA42" s="23"/>
      <c r="BB42" s="23"/>
      <c r="BC42" s="23"/>
      <c r="BD42" s="23"/>
      <c r="BE42" s="23"/>
      <c r="BF42" s="23"/>
      <c r="BG42" s="23"/>
    </row>
    <row r="43" spans="1:59" ht="23.25">
      <c r="L43" s="441" t="s">
        <v>203</v>
      </c>
      <c r="M43" s="470">
        <f>$AX$6</f>
        <v>0</v>
      </c>
      <c r="N43" s="430">
        <f>$AX9</f>
        <v>0</v>
      </c>
      <c r="O43" s="430">
        <f>$AX7</f>
        <v>0</v>
      </c>
      <c r="P43" s="430">
        <f>$AX8</f>
        <v>0</v>
      </c>
      <c r="Q43" s="430">
        <f>AX15+AX16+AX17+AX18+AX19+AX21+AX22+AX23</f>
        <v>0</v>
      </c>
      <c r="R43" s="430">
        <f>$AX20</f>
        <v>0</v>
      </c>
      <c r="S43" s="446">
        <f t="shared" si="22"/>
        <v>0</v>
      </c>
      <c r="T43" s="686"/>
      <c r="U43" s="26"/>
      <c r="V43" s="441" t="s">
        <v>203</v>
      </c>
      <c r="W43" s="440">
        <f>AZ$6</f>
        <v>0</v>
      </c>
      <c r="X43" s="430">
        <f>$AZ9</f>
        <v>0</v>
      </c>
      <c r="Y43" s="430">
        <f>$AZ7</f>
        <v>0</v>
      </c>
      <c r="Z43" s="430">
        <f>$AZ8</f>
        <v>0</v>
      </c>
      <c r="AA43" s="430">
        <f>AZ$15+AZ$16+AZ$17+AZ$18+AZ$19+AZ$21+AZ$22+AZ$23</f>
        <v>0</v>
      </c>
      <c r="AB43" s="719">
        <f>$AZ20</f>
        <v>0</v>
      </c>
      <c r="AC43" s="723">
        <f t="shared" si="23"/>
        <v>0</v>
      </c>
      <c r="AD43" s="587">
        <f>BA6+BA7+BA8+BA9+BA15+BA16+BA17+BA18+BA19+BA20+BA21+BA22+BA23</f>
        <v>0</v>
      </c>
      <c r="AE43" s="579">
        <f t="shared" si="24"/>
        <v>0</v>
      </c>
      <c r="AH43" s="24"/>
      <c r="AJ43" s="25"/>
      <c r="AL43" s="24"/>
      <c r="AN43" s="25"/>
      <c r="AP43" s="24"/>
      <c r="AR43" s="25"/>
      <c r="AT43" s="24"/>
      <c r="AV43" s="25"/>
      <c r="AX43" s="23"/>
      <c r="AY43" s="23"/>
      <c r="AZ43" s="23"/>
      <c r="BA43" s="23"/>
      <c r="BB43" s="23"/>
      <c r="BC43" s="23"/>
      <c r="BD43" s="23"/>
      <c r="BE43" s="23"/>
      <c r="BF43" s="23"/>
      <c r="BG43" s="23"/>
    </row>
    <row r="44" spans="1:59" ht="24" thickBot="1">
      <c r="L44" s="442" t="s">
        <v>191</v>
      </c>
      <c r="M44" s="443">
        <f t="shared" ref="M44" si="25">SUM(M34:M43)</f>
        <v>0</v>
      </c>
      <c r="N44" s="444">
        <f>SUM(N34:N43)</f>
        <v>0</v>
      </c>
      <c r="O44" s="443">
        <f t="shared" ref="O44" si="26">SUM(O34:O43)</f>
        <v>0</v>
      </c>
      <c r="P44" s="444">
        <f>SUM(P34:P43)</f>
        <v>0</v>
      </c>
      <c r="Q44" s="444">
        <f>SUM(Q34:Q43)</f>
        <v>0</v>
      </c>
      <c r="R44" s="445">
        <f>SUM(R34:R43)</f>
        <v>0</v>
      </c>
      <c r="S44" s="451">
        <f>SUM(S34:S43)</f>
        <v>0</v>
      </c>
      <c r="T44" s="687"/>
      <c r="U44" s="26"/>
      <c r="V44" s="442" t="s">
        <v>191</v>
      </c>
      <c r="W44" s="443">
        <f t="shared" ref="W44:Y44" si="27">SUM(W34:W43)</f>
        <v>0</v>
      </c>
      <c r="X44" s="444">
        <f>SUM(X34:X43)</f>
        <v>0</v>
      </c>
      <c r="Y44" s="443">
        <f t="shared" si="27"/>
        <v>0</v>
      </c>
      <c r="Z44" s="444">
        <f>SUM(Z34:Z43)</f>
        <v>0</v>
      </c>
      <c r="AA44" s="444">
        <f>SUM(AA34:AA43)</f>
        <v>0</v>
      </c>
      <c r="AB44" s="720">
        <f>SUM(AB34:AB43)</f>
        <v>0</v>
      </c>
      <c r="AC44" s="724">
        <f>SUM(AC34:AC43)</f>
        <v>0</v>
      </c>
      <c r="AD44" s="725">
        <f>SUM(AD34:AD43)</f>
        <v>0</v>
      </c>
      <c r="AE44" s="579">
        <f t="shared" si="24"/>
        <v>0</v>
      </c>
      <c r="AH44" s="24"/>
      <c r="AJ44" s="25"/>
      <c r="AL44" s="24"/>
      <c r="AN44" s="25"/>
      <c r="AP44" s="24"/>
      <c r="AR44" s="25"/>
      <c r="AT44" s="24"/>
      <c r="AV44" s="25"/>
      <c r="AX44" s="23"/>
      <c r="AY44" s="23"/>
      <c r="AZ44" s="23"/>
      <c r="BA44" s="23"/>
      <c r="BB44" s="23"/>
      <c r="BC44" s="23"/>
      <c r="BD44" s="23"/>
      <c r="BE44" s="23"/>
      <c r="BF44" s="23"/>
      <c r="BG44" s="23"/>
    </row>
    <row r="45" spans="1:59" ht="15" customHeight="1" thickBot="1">
      <c r="L45" s="26"/>
      <c r="M45" s="26"/>
      <c r="N45" s="24"/>
      <c r="P45" s="26"/>
      <c r="Q45" s="26"/>
      <c r="R45" s="24"/>
      <c r="T45" s="26"/>
      <c r="U45" s="26"/>
      <c r="V45" s="24"/>
      <c r="Z45" s="24"/>
      <c r="AD45" s="24"/>
      <c r="AE45" s="26"/>
      <c r="AF45" s="466"/>
      <c r="AG45" s="466"/>
      <c r="AH45" s="466"/>
      <c r="AI45" s="467"/>
      <c r="AL45" s="24"/>
      <c r="AM45" s="25"/>
      <c r="AP45" s="24"/>
      <c r="AQ45" s="25"/>
      <c r="AT45" s="24"/>
      <c r="AU45" s="25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</row>
    <row r="46" spans="1:59" ht="27" thickBot="1">
      <c r="L46" s="1929" t="str">
        <f>L32</f>
        <v>Mode wise Collection Plan-23-12-2021</v>
      </c>
      <c r="M46" s="1930"/>
      <c r="N46" s="1930"/>
      <c r="O46" s="1930"/>
      <c r="P46" s="1930"/>
      <c r="Q46" s="1930"/>
      <c r="R46" s="1930"/>
      <c r="S46" s="1930"/>
      <c r="T46" s="1931"/>
      <c r="U46" s="26"/>
      <c r="V46" s="1923" t="s">
        <v>295</v>
      </c>
      <c r="W46" s="1937"/>
      <c r="X46" s="1937"/>
      <c r="Y46" s="1937"/>
      <c r="Z46" s="1937"/>
      <c r="AA46" s="1937"/>
      <c r="AB46" s="1937"/>
      <c r="AC46" s="1937"/>
      <c r="AD46" s="1937"/>
      <c r="AE46" s="1938"/>
      <c r="AF46" s="466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</row>
    <row r="47" spans="1:59" s="28" customFormat="1" ht="31.5">
      <c r="D47" s="29"/>
      <c r="E47" s="29"/>
      <c r="F47" s="29"/>
      <c r="I47" s="29"/>
      <c r="J47" s="1011" t="s">
        <v>270</v>
      </c>
      <c r="K47" s="1011" t="s">
        <v>196</v>
      </c>
      <c r="L47" s="450" t="s">
        <v>0</v>
      </c>
      <c r="M47" s="439" t="s">
        <v>200</v>
      </c>
      <c r="N47" s="454" t="s">
        <v>205</v>
      </c>
      <c r="O47" s="439" t="s">
        <v>31</v>
      </c>
      <c r="P47" s="448" t="s">
        <v>201</v>
      </c>
      <c r="Q47" s="455" t="s">
        <v>206</v>
      </c>
      <c r="R47" s="436" t="s">
        <v>22</v>
      </c>
      <c r="S47" s="438" t="s">
        <v>191</v>
      </c>
      <c r="T47" s="438" t="s">
        <v>244</v>
      </c>
      <c r="U47" s="26"/>
      <c r="V47" s="596" t="s">
        <v>0</v>
      </c>
      <c r="W47" s="436" t="s">
        <v>200</v>
      </c>
      <c r="X47" s="454" t="s">
        <v>205</v>
      </c>
      <c r="Y47" s="436" t="s">
        <v>31</v>
      </c>
      <c r="Z47" s="448" t="s">
        <v>201</v>
      </c>
      <c r="AA47" s="453" t="s">
        <v>206</v>
      </c>
      <c r="AB47" s="453" t="s">
        <v>210</v>
      </c>
      <c r="AC47" s="436" t="s">
        <v>22</v>
      </c>
      <c r="AD47" s="437" t="s">
        <v>191</v>
      </c>
      <c r="AE47" s="438" t="s">
        <v>244</v>
      </c>
      <c r="AF47" s="952" t="s">
        <v>32</v>
      </c>
      <c r="AG47" s="1022" t="s">
        <v>25</v>
      </c>
      <c r="AH47" s="1112" t="s">
        <v>301</v>
      </c>
      <c r="AI47" s="1112" t="s">
        <v>284</v>
      </c>
      <c r="AJ47" s="23"/>
      <c r="AK47" s="23"/>
      <c r="AL47" s="23"/>
      <c r="AM47" s="23"/>
      <c r="AN47" s="23"/>
      <c r="AO47" s="23"/>
      <c r="AP47" s="23"/>
      <c r="AQ47" s="23"/>
      <c r="AR47" s="23"/>
    </row>
    <row r="48" spans="1:59" ht="23.25">
      <c r="J48" s="441">
        <f>26+21.83+25.95</f>
        <v>73.78</v>
      </c>
      <c r="K48" s="441"/>
      <c r="L48" s="441" t="s">
        <v>189</v>
      </c>
      <c r="M48" s="470">
        <v>33</v>
      </c>
      <c r="N48" s="430">
        <v>0</v>
      </c>
      <c r="O48" s="430">
        <v>0</v>
      </c>
      <c r="P48" s="430">
        <v>27</v>
      </c>
      <c r="Q48" s="430">
        <v>0</v>
      </c>
      <c r="R48" s="430">
        <v>0</v>
      </c>
      <c r="S48" s="446">
        <f t="shared" ref="S48:S57" si="28">SUM(M48:R48)</f>
        <v>60</v>
      </c>
      <c r="T48" s="446">
        <v>20</v>
      </c>
      <c r="U48" s="26"/>
      <c r="V48" s="586" t="s">
        <v>189</v>
      </c>
      <c r="W48" s="430">
        <v>13.170000000000002</v>
      </c>
      <c r="X48" s="430">
        <v>5.12</v>
      </c>
      <c r="Y48" s="430">
        <v>0</v>
      </c>
      <c r="Z48" s="430">
        <v>0</v>
      </c>
      <c r="AA48" s="430">
        <v>0</v>
      </c>
      <c r="AB48" s="655"/>
      <c r="AC48" s="430"/>
      <c r="AD48" s="568">
        <f t="shared" ref="AD48:AD57" si="29">SUM(W48:AC48)</f>
        <v>18.290000000000003</v>
      </c>
      <c r="AE48" s="587">
        <f>L27+L29+L30+L28</f>
        <v>0</v>
      </c>
      <c r="AF48" s="953">
        <v>21.88</v>
      </c>
      <c r="AG48" s="1017"/>
      <c r="AH48" s="1017"/>
      <c r="AI48" s="1017"/>
      <c r="AJ48" s="28"/>
      <c r="AK48" s="28"/>
      <c r="AL48" s="28"/>
      <c r="AM48" s="28"/>
      <c r="AN48" s="28"/>
      <c r="AO48" s="28"/>
      <c r="AP48" s="28"/>
      <c r="AQ48" s="28"/>
      <c r="AR48" s="28"/>
      <c r="AT48" s="24"/>
      <c r="AU48" s="25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</row>
    <row r="49" spans="10:59" ht="23.25">
      <c r="J49" s="441"/>
      <c r="K49" s="441"/>
      <c r="L49" s="441" t="s">
        <v>183</v>
      </c>
      <c r="M49" s="470">
        <v>6</v>
      </c>
      <c r="N49" s="430">
        <v>0</v>
      </c>
      <c r="O49" s="430">
        <v>0</v>
      </c>
      <c r="P49" s="430">
        <v>0</v>
      </c>
      <c r="Q49" s="430">
        <v>15</v>
      </c>
      <c r="R49" s="430">
        <v>0</v>
      </c>
      <c r="S49" s="446">
        <f t="shared" si="28"/>
        <v>21</v>
      </c>
      <c r="T49" s="446">
        <v>16</v>
      </c>
      <c r="U49" s="466"/>
      <c r="V49" s="586" t="s">
        <v>183</v>
      </c>
      <c r="W49" s="430">
        <v>1.5</v>
      </c>
      <c r="X49" s="430">
        <v>0</v>
      </c>
      <c r="Y49" s="430">
        <v>0</v>
      </c>
      <c r="Z49" s="430">
        <v>0</v>
      </c>
      <c r="AA49" s="430">
        <v>0</v>
      </c>
      <c r="AB49" s="655"/>
      <c r="AC49" s="430"/>
      <c r="AD49" s="568">
        <f t="shared" si="29"/>
        <v>1.5</v>
      </c>
      <c r="AE49" s="587">
        <f>P27+P29+P30</f>
        <v>0</v>
      </c>
      <c r="AF49" s="953"/>
      <c r="AG49" s="951"/>
      <c r="AH49" s="951">
        <v>2.98</v>
      </c>
      <c r="AI49" s="655"/>
      <c r="AL49" s="24"/>
      <c r="AM49" s="25"/>
      <c r="AP49" s="24"/>
      <c r="AQ49" s="25"/>
      <c r="AT49" s="24"/>
      <c r="AU49" s="25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</row>
    <row r="50" spans="10:59" ht="23.25">
      <c r="J50" s="441"/>
      <c r="K50" s="441"/>
      <c r="L50" s="441" t="s">
        <v>184</v>
      </c>
      <c r="M50" s="470">
        <v>0</v>
      </c>
      <c r="N50" s="430">
        <v>0</v>
      </c>
      <c r="O50" s="430">
        <v>0</v>
      </c>
      <c r="P50" s="430">
        <v>0</v>
      </c>
      <c r="Q50" s="430">
        <v>10</v>
      </c>
      <c r="R50" s="430">
        <v>0</v>
      </c>
      <c r="S50" s="446">
        <f t="shared" si="28"/>
        <v>10</v>
      </c>
      <c r="T50" s="446"/>
      <c r="U50" s="466"/>
      <c r="V50" s="586" t="s">
        <v>184</v>
      </c>
      <c r="W50" s="430">
        <v>46.6</v>
      </c>
      <c r="X50" s="430">
        <v>4</v>
      </c>
      <c r="Y50" s="430">
        <v>0</v>
      </c>
      <c r="Z50" s="430">
        <v>0</v>
      </c>
      <c r="AA50" s="430">
        <v>0</v>
      </c>
      <c r="AB50" s="655"/>
      <c r="AC50" s="430"/>
      <c r="AD50" s="568">
        <f t="shared" si="29"/>
        <v>50.6</v>
      </c>
      <c r="AE50" s="587">
        <f>T27+T29+T30</f>
        <v>0</v>
      </c>
      <c r="AF50" s="953"/>
      <c r="AG50" s="951"/>
      <c r="AH50" s="951"/>
      <c r="AI50" s="655"/>
      <c r="AL50" s="24"/>
      <c r="AM50" s="25"/>
      <c r="AP50" s="24"/>
      <c r="AQ50" s="25"/>
      <c r="AT50" s="24"/>
      <c r="AU50" s="25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</row>
    <row r="51" spans="10:59" ht="23.25">
      <c r="J51" s="441"/>
      <c r="K51" s="441">
        <f>15+8</f>
        <v>23</v>
      </c>
      <c r="L51" s="441" t="s">
        <v>192</v>
      </c>
      <c r="M51" s="470">
        <v>20</v>
      </c>
      <c r="N51" s="430">
        <v>0</v>
      </c>
      <c r="O51" s="430">
        <v>0</v>
      </c>
      <c r="P51" s="430">
        <v>0</v>
      </c>
      <c r="Q51" s="430">
        <v>0</v>
      </c>
      <c r="R51" s="430">
        <v>0</v>
      </c>
      <c r="S51" s="446">
        <f t="shared" si="28"/>
        <v>20</v>
      </c>
      <c r="T51" s="446">
        <v>22</v>
      </c>
      <c r="U51" s="466"/>
      <c r="V51" s="586" t="s">
        <v>192</v>
      </c>
      <c r="W51" s="430">
        <v>12.5</v>
      </c>
      <c r="X51" s="430">
        <v>4.3</v>
      </c>
      <c r="Y51" s="430">
        <v>0</v>
      </c>
      <c r="Z51" s="430">
        <v>0</v>
      </c>
      <c r="AA51" s="430">
        <v>8.1999999999999993</v>
      </c>
      <c r="AB51" s="655"/>
      <c r="AC51" s="430"/>
      <c r="AD51" s="568">
        <f t="shared" si="29"/>
        <v>25</v>
      </c>
      <c r="AE51" s="587">
        <f>X27+X29+X30</f>
        <v>0</v>
      </c>
      <c r="AF51" s="953"/>
      <c r="AG51" s="951"/>
      <c r="AH51" s="951">
        <v>15</v>
      </c>
      <c r="AI51" s="655"/>
      <c r="AL51" s="24"/>
      <c r="AM51" s="25"/>
      <c r="AP51" s="24"/>
      <c r="AQ51" s="25"/>
      <c r="AT51" s="24"/>
      <c r="AU51" s="25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</row>
    <row r="52" spans="10:59" ht="23.25">
      <c r="J52" s="441"/>
      <c r="K52" s="441"/>
      <c r="L52" s="441" t="s">
        <v>171</v>
      </c>
      <c r="M52" s="470">
        <v>0</v>
      </c>
      <c r="N52" s="430">
        <v>5</v>
      </c>
      <c r="O52" s="430">
        <v>0</v>
      </c>
      <c r="P52" s="430">
        <v>0</v>
      </c>
      <c r="Q52" s="430">
        <v>0</v>
      </c>
      <c r="R52" s="430">
        <v>0</v>
      </c>
      <c r="S52" s="446">
        <f t="shared" si="28"/>
        <v>5</v>
      </c>
      <c r="T52" s="446"/>
      <c r="U52" s="466"/>
      <c r="V52" s="586" t="s">
        <v>171</v>
      </c>
      <c r="W52" s="430">
        <v>0</v>
      </c>
      <c r="X52" s="430">
        <v>0</v>
      </c>
      <c r="Y52" s="430">
        <v>0</v>
      </c>
      <c r="Z52" s="430">
        <v>0</v>
      </c>
      <c r="AA52" s="430">
        <v>0</v>
      </c>
      <c r="AB52" s="655"/>
      <c r="AC52" s="430"/>
      <c r="AD52" s="568">
        <f t="shared" si="29"/>
        <v>0</v>
      </c>
      <c r="AE52" s="587">
        <f>AB27+AB29+AB30</f>
        <v>0</v>
      </c>
      <c r="AF52" s="953"/>
      <c r="AG52" s="951"/>
      <c r="AH52" s="951"/>
      <c r="AI52" s="655"/>
      <c r="AL52" s="24"/>
      <c r="AM52" s="25"/>
      <c r="AP52" s="24"/>
      <c r="AQ52" s="25"/>
      <c r="AT52" s="24"/>
      <c r="AU52" s="25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</row>
    <row r="53" spans="10:59" ht="23.25">
      <c r="J53" s="441"/>
      <c r="K53" s="441"/>
      <c r="L53" s="441" t="s">
        <v>190</v>
      </c>
      <c r="M53" s="492">
        <v>10</v>
      </c>
      <c r="N53" s="471">
        <v>0</v>
      </c>
      <c r="O53" s="471">
        <v>0</v>
      </c>
      <c r="P53" s="471">
        <v>10</v>
      </c>
      <c r="Q53" s="430">
        <v>0</v>
      </c>
      <c r="R53" s="471">
        <v>0</v>
      </c>
      <c r="S53" s="446">
        <f t="shared" si="28"/>
        <v>20</v>
      </c>
      <c r="T53" s="446">
        <v>10</v>
      </c>
      <c r="U53" s="466"/>
      <c r="V53" s="586" t="s">
        <v>190</v>
      </c>
      <c r="W53" s="430">
        <v>62.66</v>
      </c>
      <c r="X53" s="430">
        <v>0</v>
      </c>
      <c r="Y53" s="430">
        <v>0</v>
      </c>
      <c r="Z53" s="430">
        <v>0</v>
      </c>
      <c r="AA53" s="430">
        <v>0</v>
      </c>
      <c r="AB53" s="655"/>
      <c r="AC53" s="430"/>
      <c r="AD53" s="568">
        <f t="shared" si="29"/>
        <v>62.66</v>
      </c>
      <c r="AE53" s="587">
        <f>AF27+AF29+AF30</f>
        <v>0</v>
      </c>
      <c r="AF53" s="954"/>
      <c r="AG53" s="951"/>
      <c r="AH53" s="951"/>
      <c r="AI53" s="655"/>
      <c r="AL53" s="24"/>
      <c r="AM53" s="25"/>
      <c r="AP53" s="24"/>
      <c r="AQ53" s="25"/>
      <c r="AT53" s="24"/>
      <c r="AU53" s="25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</row>
    <row r="54" spans="10:59" ht="23.25">
      <c r="J54" s="441">
        <f>20.81+9.5+17.41</f>
        <v>47.72</v>
      </c>
      <c r="K54" s="441">
        <f>19+9</f>
        <v>28</v>
      </c>
      <c r="L54" s="441" t="s">
        <v>185</v>
      </c>
      <c r="M54" s="470">
        <v>0</v>
      </c>
      <c r="N54" s="430">
        <v>0</v>
      </c>
      <c r="O54" s="430">
        <v>0</v>
      </c>
      <c r="P54" s="430">
        <v>0</v>
      </c>
      <c r="Q54" s="430">
        <v>18</v>
      </c>
      <c r="R54" s="430">
        <v>7</v>
      </c>
      <c r="S54" s="446">
        <f t="shared" si="28"/>
        <v>25</v>
      </c>
      <c r="T54" s="446"/>
      <c r="U54" s="466"/>
      <c r="V54" s="586" t="s">
        <v>185</v>
      </c>
      <c r="W54" s="430">
        <v>64.08</v>
      </c>
      <c r="X54" s="430">
        <v>1.5</v>
      </c>
      <c r="Y54" s="430">
        <v>0</v>
      </c>
      <c r="Z54" s="430">
        <v>0</v>
      </c>
      <c r="AA54" s="430">
        <v>0</v>
      </c>
      <c r="AB54" s="655"/>
      <c r="AC54" s="430"/>
      <c r="AD54" s="568">
        <f t="shared" si="29"/>
        <v>65.58</v>
      </c>
      <c r="AE54" s="587">
        <f>AN27+AN29+AN30</f>
        <v>0</v>
      </c>
      <c r="AF54" s="954">
        <v>67.849999999999994</v>
      </c>
      <c r="AG54" s="951"/>
      <c r="AH54" s="951"/>
      <c r="AI54" s="655">
        <v>29.63</v>
      </c>
      <c r="AJ54" s="24">
        <v>38.22</v>
      </c>
      <c r="AL54" s="24"/>
      <c r="AM54" s="25"/>
      <c r="AP54" s="24"/>
      <c r="AQ54" s="25"/>
      <c r="AT54" s="24"/>
      <c r="AU54" s="25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</row>
    <row r="55" spans="10:59" ht="23.25">
      <c r="J55" s="441"/>
      <c r="K55" s="441"/>
      <c r="L55" s="441" t="s">
        <v>202</v>
      </c>
      <c r="M55" s="470">
        <v>0</v>
      </c>
      <c r="N55" s="430">
        <v>0</v>
      </c>
      <c r="O55" s="430">
        <v>0</v>
      </c>
      <c r="P55" s="430">
        <v>0</v>
      </c>
      <c r="Q55" s="430">
        <v>0</v>
      </c>
      <c r="R55" s="430">
        <v>23.4</v>
      </c>
      <c r="S55" s="446">
        <f t="shared" si="28"/>
        <v>23.4</v>
      </c>
      <c r="T55" s="446"/>
      <c r="U55" s="466"/>
      <c r="V55" s="586" t="s">
        <v>202</v>
      </c>
      <c r="W55" s="430">
        <v>10.199999999999999</v>
      </c>
      <c r="X55" s="430">
        <v>0.85</v>
      </c>
      <c r="Y55" s="430">
        <v>0</v>
      </c>
      <c r="Z55" s="430">
        <v>5</v>
      </c>
      <c r="AA55" s="430">
        <v>0</v>
      </c>
      <c r="AB55" s="655"/>
      <c r="AC55" s="430"/>
      <c r="AD55" s="568">
        <f t="shared" si="29"/>
        <v>16.049999999999997</v>
      </c>
      <c r="AE55" s="587">
        <f>AR27+AR29+AR30</f>
        <v>0</v>
      </c>
      <c r="AF55" s="952"/>
      <c r="AG55" s="951"/>
      <c r="AH55" s="951"/>
      <c r="AI55" s="655"/>
      <c r="AL55" s="24"/>
      <c r="AM55" s="25"/>
      <c r="AP55" s="24"/>
      <c r="AQ55" s="25"/>
      <c r="AT55" s="24"/>
      <c r="AU55" s="25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</row>
    <row r="56" spans="10:59" ht="23.25">
      <c r="J56" s="441"/>
      <c r="K56" s="441">
        <f>12+8</f>
        <v>20</v>
      </c>
      <c r="L56" s="441" t="s">
        <v>186</v>
      </c>
      <c r="M56" s="470">
        <v>5</v>
      </c>
      <c r="N56" s="430">
        <v>0</v>
      </c>
      <c r="O56" s="430">
        <v>0</v>
      </c>
      <c r="P56" s="430">
        <v>0</v>
      </c>
      <c r="Q56" s="430">
        <v>0</v>
      </c>
      <c r="R56" s="430">
        <v>12</v>
      </c>
      <c r="S56" s="446">
        <f t="shared" si="28"/>
        <v>17</v>
      </c>
      <c r="T56" s="446">
        <v>26</v>
      </c>
      <c r="U56" s="466"/>
      <c r="V56" s="586" t="s">
        <v>186</v>
      </c>
      <c r="W56" s="430">
        <v>34.51</v>
      </c>
      <c r="X56" s="430">
        <v>1</v>
      </c>
      <c r="Y56" s="430">
        <v>0</v>
      </c>
      <c r="Z56" s="430">
        <v>0</v>
      </c>
      <c r="AA56" s="430">
        <v>0</v>
      </c>
      <c r="AB56" s="655"/>
      <c r="AC56" s="430"/>
      <c r="AD56" s="568">
        <f t="shared" si="29"/>
        <v>35.51</v>
      </c>
      <c r="AE56" s="587">
        <f>AV27+AV29+AV30</f>
        <v>0</v>
      </c>
      <c r="AF56" s="952">
        <v>7.85</v>
      </c>
      <c r="AG56" s="951"/>
      <c r="AH56" s="951"/>
      <c r="AI56" s="655">
        <v>7.85</v>
      </c>
      <c r="AL56" s="24"/>
      <c r="AM56" s="25"/>
      <c r="AP56" s="24"/>
      <c r="AQ56" s="25"/>
      <c r="AT56" s="24"/>
      <c r="AU56" s="25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</row>
    <row r="57" spans="10:59" ht="23.25">
      <c r="J57" s="441"/>
      <c r="K57" s="441"/>
      <c r="L57" s="441" t="s">
        <v>203</v>
      </c>
      <c r="M57" s="470">
        <v>0</v>
      </c>
      <c r="N57" s="430">
        <v>0</v>
      </c>
      <c r="O57" s="430">
        <v>0</v>
      </c>
      <c r="P57" s="430">
        <v>0</v>
      </c>
      <c r="Q57" s="430">
        <v>0</v>
      </c>
      <c r="R57" s="430">
        <v>7</v>
      </c>
      <c r="S57" s="446">
        <f t="shared" si="28"/>
        <v>7</v>
      </c>
      <c r="T57" s="446"/>
      <c r="U57" s="466"/>
      <c r="V57" s="586" t="s">
        <v>203</v>
      </c>
      <c r="W57" s="430">
        <v>20.48</v>
      </c>
      <c r="X57" s="430">
        <v>0.67999999999999994</v>
      </c>
      <c r="Y57" s="430">
        <v>0</v>
      </c>
      <c r="Z57" s="430">
        <v>9.5</v>
      </c>
      <c r="AA57" s="430">
        <v>0</v>
      </c>
      <c r="AB57" s="655"/>
      <c r="AC57" s="430"/>
      <c r="AD57" s="568">
        <f t="shared" si="29"/>
        <v>30.66</v>
      </c>
      <c r="AE57" s="587">
        <f>AZ27+AZ29+AZ30</f>
        <v>0</v>
      </c>
      <c r="AF57" s="952"/>
      <c r="AG57" s="951"/>
      <c r="AH57" s="951"/>
      <c r="AI57" s="655"/>
      <c r="AL57" s="24"/>
      <c r="AM57" s="25"/>
      <c r="AP57" s="24"/>
      <c r="AQ57" s="25"/>
      <c r="AT57" s="24"/>
      <c r="AU57" s="25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</row>
    <row r="58" spans="10:59" ht="24" thickBot="1">
      <c r="J58" s="442">
        <f t="shared" ref="J58:K58" si="30">SUM(J48:J57)</f>
        <v>121.5</v>
      </c>
      <c r="K58" s="442">
        <f t="shared" si="30"/>
        <v>71</v>
      </c>
      <c r="L58" s="442" t="s">
        <v>191</v>
      </c>
      <c r="M58" s="443">
        <f t="shared" ref="M58" si="31">SUM(M48:M57)</f>
        <v>74</v>
      </c>
      <c r="N58" s="444">
        <f>SUM(N48:N57)</f>
        <v>5</v>
      </c>
      <c r="O58" s="443">
        <f t="shared" ref="O58" si="32">SUM(O48:O57)</f>
        <v>0</v>
      </c>
      <c r="P58" s="444">
        <f>SUM(P48:P57)</f>
        <v>37</v>
      </c>
      <c r="Q58" s="444">
        <f>SUM(Q48:Q57)</f>
        <v>43</v>
      </c>
      <c r="R58" s="445">
        <f>SUM(R48:R57)</f>
        <v>49.4</v>
      </c>
      <c r="S58" s="451">
        <f>SUM(S48:S57)</f>
        <v>208.4</v>
      </c>
      <c r="T58" s="451">
        <f>SUM(T48:T57)</f>
        <v>94</v>
      </c>
      <c r="U58" s="466"/>
      <c r="V58" s="588" t="s">
        <v>191</v>
      </c>
      <c r="W58" s="589">
        <f t="shared" ref="W58" si="33">SUM(W48:W57)</f>
        <v>265.7</v>
      </c>
      <c r="X58" s="444">
        <f>SUM(X48:X57)</f>
        <v>17.450000000000003</v>
      </c>
      <c r="Y58" s="444">
        <f t="shared" ref="Y58" si="34">SUM(Y48:Y57)</f>
        <v>0</v>
      </c>
      <c r="Z58" s="444">
        <f>SUM(Z48:Z57)</f>
        <v>14.5</v>
      </c>
      <c r="AA58" s="444">
        <f>SUM(AA48:AA57)</f>
        <v>8.1999999999999993</v>
      </c>
      <c r="AB58" s="444">
        <f>SUM(AB48:AB57)</f>
        <v>0</v>
      </c>
      <c r="AC58" s="444">
        <f t="shared" ref="AC58" si="35">SUM(AC48:AC57)</f>
        <v>0</v>
      </c>
      <c r="AD58" s="630">
        <f>SUM(AD48:AD57)</f>
        <v>305.85000000000002</v>
      </c>
      <c r="AE58" s="631">
        <f>SUM(AE48:AE57)</f>
        <v>0</v>
      </c>
      <c r="AF58" s="1016">
        <f t="shared" ref="AF58:AI58" si="36">SUM(AF48:AF57)</f>
        <v>97.579999999999984</v>
      </c>
      <c r="AG58" s="1015">
        <f t="shared" si="36"/>
        <v>0</v>
      </c>
      <c r="AH58" s="1015">
        <f t="shared" si="36"/>
        <v>17.98</v>
      </c>
      <c r="AI58" s="1015">
        <f t="shared" si="36"/>
        <v>37.479999999999997</v>
      </c>
      <c r="AL58" s="24"/>
      <c r="AM58" s="25"/>
      <c r="AP58" s="24"/>
      <c r="AQ58" s="25"/>
      <c r="AT58" s="24"/>
      <c r="AU58" s="25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</row>
    <row r="59" spans="10:59" ht="24" customHeight="1" thickBot="1">
      <c r="N59" s="24"/>
      <c r="O59" s="1924" t="s">
        <v>254</v>
      </c>
      <c r="P59" s="1925"/>
      <c r="Q59" s="1925"/>
      <c r="R59" s="1926"/>
      <c r="S59" s="1927">
        <f>S58+T58</f>
        <v>302.39999999999998</v>
      </c>
      <c r="T59" s="1928"/>
      <c r="U59" s="466"/>
      <c r="V59" s="1932" t="s">
        <v>221</v>
      </c>
      <c r="W59" s="1932"/>
      <c r="X59" s="1932"/>
      <c r="Y59" s="1932"/>
      <c r="Z59" s="1932"/>
      <c r="AA59" s="1932"/>
      <c r="AB59" s="1932"/>
      <c r="AC59" s="1932"/>
      <c r="AD59" s="1933">
        <f>AD58+AE58</f>
        <v>305.85000000000002</v>
      </c>
      <c r="AE59" s="1934"/>
      <c r="AF59" s="466"/>
      <c r="AH59" s="24"/>
      <c r="AI59" s="25"/>
      <c r="AL59" s="24"/>
      <c r="AM59" s="25"/>
      <c r="AP59" s="24"/>
      <c r="AQ59" s="25"/>
      <c r="AT59" s="24"/>
      <c r="AU59" s="25"/>
      <c r="AX59" s="24"/>
      <c r="AY59" s="24"/>
      <c r="AZ59" s="25"/>
      <c r="BA59" s="24"/>
      <c r="BB59" s="24"/>
      <c r="BC59" s="23"/>
      <c r="BD59" s="23"/>
      <c r="BE59" s="23"/>
      <c r="BF59" s="23"/>
      <c r="BG59" s="23"/>
    </row>
    <row r="60" spans="10:59" ht="27" thickBot="1">
      <c r="J60" s="24"/>
      <c r="M60" s="1030"/>
      <c r="N60" s="1030"/>
      <c r="R60" s="24"/>
      <c r="T60" s="26"/>
      <c r="U60" s="26"/>
      <c r="V60" s="966"/>
      <c r="W60" s="966"/>
      <c r="X60" s="966"/>
      <c r="Y60" s="1922" t="s">
        <v>235</v>
      </c>
      <c r="Z60" s="1922"/>
      <c r="AA60" s="1922"/>
      <c r="AB60" s="1922"/>
      <c r="AC60" s="1922"/>
      <c r="AD60" s="1920">
        <f>BH6+BI6+BD20+BE20+AO16+BI17</f>
        <v>0</v>
      </c>
      <c r="AE60" s="1921"/>
      <c r="AF60" s="466"/>
      <c r="AH60" s="24"/>
      <c r="AI60" s="25"/>
      <c r="AL60" s="24"/>
      <c r="AP60" s="25"/>
      <c r="AT60" s="25"/>
      <c r="AX60" s="25"/>
      <c r="AY60" s="24"/>
      <c r="AZ60" s="24"/>
      <c r="BA60" s="24"/>
      <c r="BB60" s="25"/>
      <c r="BE60" s="23"/>
      <c r="BF60" s="23"/>
      <c r="BG60" s="23"/>
    </row>
    <row r="61" spans="10:59" ht="27" customHeight="1" thickBot="1">
      <c r="J61" s="24"/>
      <c r="L61" s="1923" t="s">
        <v>344</v>
      </c>
      <c r="M61" s="1937"/>
      <c r="N61" s="1937"/>
      <c r="O61" s="1937"/>
      <c r="P61" s="1937"/>
      <c r="Q61" s="1937"/>
      <c r="R61" s="1937"/>
      <c r="S61" s="1937"/>
      <c r="T61" s="1937"/>
      <c r="U61" s="1938"/>
      <c r="V61" s="1279"/>
      <c r="W61" s="1279"/>
      <c r="X61" s="1279"/>
      <c r="Y61" s="1279"/>
      <c r="Z61" s="1279"/>
      <c r="AA61" s="466"/>
      <c r="AB61" s="466"/>
      <c r="AC61" s="465"/>
      <c r="AD61" s="466">
        <v>160</v>
      </c>
      <c r="AF61" s="466"/>
      <c r="AH61" s="24"/>
      <c r="AI61" s="25"/>
      <c r="AL61" s="24"/>
      <c r="AM61" s="26"/>
      <c r="AN61" s="26"/>
      <c r="AP61" s="24"/>
      <c r="AQ61" s="26"/>
      <c r="AR61" s="26"/>
      <c r="AT61" s="24"/>
      <c r="AU61" s="26"/>
      <c r="AV61" s="26"/>
      <c r="AX61" s="24"/>
      <c r="AY61" s="26"/>
      <c r="AZ61" s="26"/>
      <c r="BA61" s="24"/>
      <c r="BB61" s="24"/>
      <c r="BC61" s="25"/>
      <c r="BD61" s="25"/>
      <c r="BF61" s="23"/>
      <c r="BG61" s="23"/>
    </row>
    <row r="62" spans="10:59" ht="30" customHeight="1">
      <c r="J62" s="24"/>
      <c r="L62" s="596" t="s">
        <v>0</v>
      </c>
      <c r="M62" s="436" t="s">
        <v>200</v>
      </c>
      <c r="N62" s="454" t="s">
        <v>205</v>
      </c>
      <c r="O62" s="436" t="s">
        <v>31</v>
      </c>
      <c r="P62" s="448" t="s">
        <v>201</v>
      </c>
      <c r="Q62" s="453" t="s">
        <v>206</v>
      </c>
      <c r="R62" s="453" t="s">
        <v>210</v>
      </c>
      <c r="S62" s="436" t="s">
        <v>22</v>
      </c>
      <c r="T62" s="437" t="s">
        <v>191</v>
      </c>
      <c r="U62" s="438" t="s">
        <v>244</v>
      </c>
      <c r="V62" s="1279"/>
      <c r="W62" s="1279"/>
      <c r="X62" s="1279"/>
      <c r="Y62" s="1279"/>
      <c r="Z62" s="1279"/>
      <c r="AA62" s="466"/>
      <c r="AB62" s="466"/>
      <c r="AC62" s="465"/>
      <c r="AD62" s="466">
        <v>100</v>
      </c>
      <c r="AG62" s="26"/>
      <c r="AH62" s="24"/>
      <c r="AK62" s="49"/>
      <c r="AL62" s="24"/>
      <c r="AM62" s="26"/>
      <c r="AN62" s="26"/>
      <c r="AP62" s="24"/>
      <c r="AQ62" s="26"/>
      <c r="AR62" s="26"/>
      <c r="AT62" s="24"/>
      <c r="AU62" s="26"/>
      <c r="AV62" s="26"/>
      <c r="AX62" s="24"/>
      <c r="AY62" s="26"/>
      <c r="AZ62" s="26"/>
      <c r="BA62" s="24"/>
      <c r="BB62" s="24"/>
      <c r="BC62" s="25"/>
      <c r="BD62" s="25"/>
      <c r="BF62" s="23"/>
      <c r="BG62" s="23"/>
    </row>
    <row r="63" spans="10:59" ht="26.25" customHeight="1">
      <c r="J63" s="24"/>
      <c r="L63" s="586" t="s">
        <v>189</v>
      </c>
      <c r="M63" s="430">
        <v>15</v>
      </c>
      <c r="N63" s="430">
        <v>0</v>
      </c>
      <c r="O63" s="430">
        <v>0</v>
      </c>
      <c r="P63" s="430">
        <v>0</v>
      </c>
      <c r="Q63" s="430">
        <v>0</v>
      </c>
      <c r="R63" s="655">
        <v>0</v>
      </c>
      <c r="S63" s="430"/>
      <c r="T63" s="568">
        <f t="shared" ref="T63:T72" si="37">SUM(M63:S63)</f>
        <v>15</v>
      </c>
      <c r="U63" s="587">
        <v>20</v>
      </c>
      <c r="V63" s="1279"/>
      <c r="W63" s="1279"/>
      <c r="X63" s="1279"/>
      <c r="Y63" s="1279"/>
      <c r="Z63" s="1279"/>
      <c r="AA63" s="466"/>
      <c r="AB63" s="466"/>
      <c r="AC63" s="465"/>
      <c r="AD63" s="466"/>
      <c r="AF63" s="24" t="s">
        <v>1</v>
      </c>
      <c r="AG63" s="26">
        <v>200</v>
      </c>
      <c r="AH63" s="24"/>
      <c r="AK63" s="49"/>
      <c r="AL63" s="24"/>
      <c r="AO63" s="26"/>
      <c r="AP63" s="24"/>
      <c r="AQ63" s="26"/>
      <c r="AR63" s="26"/>
      <c r="AT63" s="24"/>
      <c r="AU63" s="26"/>
      <c r="AV63" s="26"/>
      <c r="AX63" s="24"/>
      <c r="AY63" s="26"/>
      <c r="AZ63" s="26"/>
      <c r="BA63" s="24"/>
      <c r="BB63" s="24"/>
      <c r="BE63" s="25"/>
      <c r="BF63" s="24"/>
      <c r="BG63" s="23"/>
    </row>
    <row r="64" spans="10:59" ht="26.25" customHeight="1">
      <c r="J64" s="24"/>
      <c r="L64" s="586" t="s">
        <v>183</v>
      </c>
      <c r="M64" s="430">
        <v>0</v>
      </c>
      <c r="N64" s="430">
        <v>0</v>
      </c>
      <c r="O64" s="430">
        <v>0</v>
      </c>
      <c r="P64" s="430">
        <v>0</v>
      </c>
      <c r="Q64" s="430">
        <v>0</v>
      </c>
      <c r="R64" s="655">
        <v>0</v>
      </c>
      <c r="S64" s="430"/>
      <c r="T64" s="568">
        <f t="shared" si="37"/>
        <v>0</v>
      </c>
      <c r="U64" s="587">
        <v>0</v>
      </c>
      <c r="V64" s="1279"/>
      <c r="W64" s="1279"/>
      <c r="X64" s="1279"/>
      <c r="Y64" s="1279"/>
      <c r="Z64" s="1279"/>
      <c r="AA64" s="466"/>
      <c r="AB64" s="466"/>
      <c r="AC64" s="465"/>
      <c r="AD64" s="466"/>
      <c r="AF64" s="24" t="s">
        <v>22</v>
      </c>
      <c r="AG64" s="26">
        <v>90</v>
      </c>
      <c r="AH64" s="24"/>
      <c r="AK64" s="49"/>
      <c r="AL64" s="24"/>
      <c r="AO64" s="26"/>
      <c r="AP64" s="24"/>
      <c r="AQ64" s="26"/>
      <c r="AR64" s="26"/>
      <c r="AT64" s="24"/>
      <c r="AU64" s="26"/>
      <c r="AV64" s="26"/>
      <c r="AX64" s="24"/>
      <c r="AY64" s="26"/>
      <c r="AZ64" s="26"/>
      <c r="BA64" s="24"/>
      <c r="BB64" s="24"/>
      <c r="BE64" s="25"/>
      <c r="BF64" s="24"/>
      <c r="BG64" s="23"/>
    </row>
    <row r="65" spans="10:59" ht="26.25" customHeight="1">
      <c r="J65" s="24"/>
      <c r="L65" s="586" t="s">
        <v>184</v>
      </c>
      <c r="M65" s="430">
        <v>0</v>
      </c>
      <c r="N65" s="430">
        <v>0</v>
      </c>
      <c r="O65" s="430">
        <v>0</v>
      </c>
      <c r="P65" s="430">
        <v>0</v>
      </c>
      <c r="Q65" s="430">
        <v>0</v>
      </c>
      <c r="R65" s="655">
        <v>0</v>
      </c>
      <c r="S65" s="430"/>
      <c r="T65" s="568">
        <f t="shared" si="37"/>
        <v>0</v>
      </c>
      <c r="U65" s="587">
        <v>0</v>
      </c>
      <c r="V65" s="1279"/>
      <c r="W65" s="1279"/>
      <c r="X65" s="1279"/>
      <c r="Y65" s="1279"/>
      <c r="Z65" s="1279"/>
      <c r="AA65" s="466"/>
      <c r="AB65" s="466"/>
      <c r="AC65" s="465"/>
      <c r="AD65" s="466"/>
      <c r="AF65" s="24" t="s">
        <v>247</v>
      </c>
      <c r="AG65" s="26"/>
      <c r="AH65" s="24"/>
      <c r="AK65" s="49"/>
      <c r="AL65" s="24"/>
      <c r="AO65" s="26"/>
      <c r="AP65" s="24"/>
      <c r="AQ65" s="26"/>
      <c r="AR65" s="26"/>
      <c r="AT65" s="24"/>
      <c r="AU65" s="26"/>
      <c r="AV65" s="26"/>
      <c r="AX65" s="24"/>
      <c r="AY65" s="26"/>
      <c r="AZ65" s="26"/>
      <c r="BA65" s="24"/>
      <c r="BB65" s="24"/>
      <c r="BE65" s="25"/>
      <c r="BF65" s="24"/>
      <c r="BG65" s="23"/>
    </row>
    <row r="66" spans="10:59" ht="29.25" customHeight="1">
      <c r="J66" s="24"/>
      <c r="L66" s="586" t="s">
        <v>192</v>
      </c>
      <c r="M66" s="430">
        <v>0</v>
      </c>
      <c r="N66" s="430">
        <v>0</v>
      </c>
      <c r="O66" s="430">
        <v>0</v>
      </c>
      <c r="P66" s="430">
        <v>0</v>
      </c>
      <c r="Q66" s="430">
        <v>0</v>
      </c>
      <c r="R66" s="655">
        <v>0</v>
      </c>
      <c r="S66" s="430"/>
      <c r="T66" s="568">
        <f t="shared" si="37"/>
        <v>0</v>
      </c>
      <c r="U66" s="587">
        <v>0</v>
      </c>
      <c r="V66" s="1279"/>
      <c r="W66" s="1279"/>
      <c r="X66" s="1279"/>
      <c r="Y66" s="1279"/>
      <c r="Z66" s="1279"/>
      <c r="AA66" s="466"/>
      <c r="AB66" s="465"/>
      <c r="AC66" s="466"/>
      <c r="AD66" s="24"/>
      <c r="AF66" s="26"/>
      <c r="AH66" s="24"/>
      <c r="AJ66" s="49"/>
      <c r="AL66" s="24"/>
      <c r="AN66" s="26"/>
      <c r="AQ66" s="26"/>
      <c r="AU66" s="26"/>
      <c r="AY66" s="26"/>
      <c r="AZ66" s="24"/>
      <c r="BA66" s="24"/>
      <c r="BB66" s="24"/>
      <c r="BD66" s="25"/>
      <c r="BF66" s="23"/>
      <c r="BG66" s="23"/>
    </row>
    <row r="67" spans="10:59" ht="26.25" customHeight="1">
      <c r="J67" s="24"/>
      <c r="L67" s="586" t="s">
        <v>171</v>
      </c>
      <c r="M67" s="430">
        <v>0</v>
      </c>
      <c r="N67" s="430">
        <v>0</v>
      </c>
      <c r="O67" s="430">
        <v>0</v>
      </c>
      <c r="P67" s="430">
        <v>0</v>
      </c>
      <c r="Q67" s="430"/>
      <c r="R67" s="655">
        <v>0</v>
      </c>
      <c r="S67" s="430"/>
      <c r="T67" s="568">
        <f t="shared" si="37"/>
        <v>0</v>
      </c>
      <c r="U67" s="587">
        <v>0</v>
      </c>
      <c r="V67" s="1279"/>
      <c r="W67" s="1279"/>
      <c r="X67" s="1279"/>
      <c r="Y67" s="1279"/>
      <c r="Z67" s="1279"/>
      <c r="AA67" s="466"/>
      <c r="AB67" s="465"/>
      <c r="AC67" s="466"/>
      <c r="AD67" s="24"/>
      <c r="AF67" s="26"/>
      <c r="AH67" s="24"/>
      <c r="AJ67" s="49"/>
      <c r="AL67" s="24"/>
      <c r="AN67" s="26"/>
      <c r="AQ67" s="26"/>
      <c r="AU67" s="26"/>
      <c r="AY67" s="26"/>
      <c r="AZ67" s="24"/>
      <c r="BA67" s="24"/>
      <c r="BB67" s="24"/>
      <c r="BD67" s="25"/>
      <c r="BF67" s="23"/>
      <c r="BG67" s="23"/>
    </row>
    <row r="68" spans="10:59" ht="26.25" customHeight="1">
      <c r="L68" s="586" t="s">
        <v>190</v>
      </c>
      <c r="M68" s="430">
        <v>11</v>
      </c>
      <c r="N68" s="430">
        <v>0</v>
      </c>
      <c r="O68" s="430">
        <v>0</v>
      </c>
      <c r="P68" s="430">
        <v>0</v>
      </c>
      <c r="Q68" s="430">
        <v>0</v>
      </c>
      <c r="R68" s="655">
        <v>0</v>
      </c>
      <c r="S68" s="430"/>
      <c r="T68" s="568">
        <f t="shared" si="37"/>
        <v>11</v>
      </c>
      <c r="U68" s="587">
        <v>10</v>
      </c>
      <c r="V68" s="1279"/>
      <c r="W68" s="1279"/>
      <c r="X68" s="1279"/>
      <c r="Y68" s="1279"/>
      <c r="Z68" s="1279"/>
      <c r="AA68" s="466"/>
      <c r="AB68" s="465"/>
      <c r="AC68" s="466"/>
      <c r="AD68" s="24"/>
      <c r="AF68" s="26"/>
      <c r="AH68" s="24"/>
      <c r="AJ68" s="49"/>
      <c r="AL68" s="24"/>
      <c r="AN68" s="26"/>
      <c r="AQ68" s="26"/>
      <c r="AU68" s="26"/>
      <c r="AY68" s="26"/>
      <c r="AZ68" s="24"/>
      <c r="BA68" s="24"/>
      <c r="BB68" s="24"/>
      <c r="BD68" s="25"/>
      <c r="BF68" s="23"/>
      <c r="BG68" s="23"/>
    </row>
    <row r="69" spans="10:59" ht="26.25" customHeight="1">
      <c r="L69" s="586" t="s">
        <v>185</v>
      </c>
      <c r="M69" s="430">
        <v>5.5</v>
      </c>
      <c r="N69" s="430">
        <v>0</v>
      </c>
      <c r="O69" s="430">
        <v>0</v>
      </c>
      <c r="P69" s="430">
        <v>3.5</v>
      </c>
      <c r="Q69" s="430">
        <v>0</v>
      </c>
      <c r="R69" s="655">
        <v>0</v>
      </c>
      <c r="S69" s="430"/>
      <c r="T69" s="568">
        <f t="shared" si="37"/>
        <v>9</v>
      </c>
      <c r="U69" s="587">
        <v>8.6999999999999993</v>
      </c>
      <c r="V69" s="1279"/>
      <c r="W69" s="1279"/>
      <c r="X69" s="1279"/>
      <c r="Y69" s="1279"/>
      <c r="Z69" s="1279"/>
      <c r="AA69" s="466"/>
      <c r="AB69" s="465"/>
      <c r="AC69" s="466"/>
      <c r="AD69" s="24"/>
      <c r="AF69" s="26"/>
      <c r="AH69" s="24"/>
      <c r="AJ69" s="49"/>
      <c r="AL69" s="26"/>
      <c r="AM69" s="26"/>
      <c r="AO69" s="26"/>
      <c r="AP69" s="24"/>
      <c r="AS69" s="26"/>
      <c r="AT69" s="24"/>
      <c r="AW69" s="26"/>
      <c r="AX69" s="24"/>
      <c r="AY69" s="24"/>
      <c r="AZ69" s="24"/>
      <c r="BA69" s="24"/>
      <c r="BB69" s="25"/>
      <c r="BC69" s="25"/>
      <c r="BE69" s="23"/>
      <c r="BF69" s="23"/>
      <c r="BG69" s="23"/>
    </row>
    <row r="70" spans="10:59" ht="26.25" customHeight="1">
      <c r="L70" s="586" t="s">
        <v>202</v>
      </c>
      <c r="M70" s="430">
        <v>2</v>
      </c>
      <c r="N70" s="430">
        <v>0</v>
      </c>
      <c r="O70" s="430">
        <v>0</v>
      </c>
      <c r="P70" s="430">
        <v>0</v>
      </c>
      <c r="Q70" s="430">
        <v>0</v>
      </c>
      <c r="R70" s="655">
        <v>0</v>
      </c>
      <c r="S70" s="430"/>
      <c r="T70" s="568">
        <f t="shared" si="37"/>
        <v>2</v>
      </c>
      <c r="U70" s="587">
        <v>0</v>
      </c>
      <c r="V70" s="1279"/>
      <c r="W70" s="1279"/>
      <c r="X70" s="1279"/>
      <c r="Y70" s="1279"/>
      <c r="Z70" s="1279"/>
      <c r="AA70" s="466"/>
      <c r="AB70" s="465"/>
      <c r="AC70" s="466"/>
      <c r="AD70" s="24"/>
      <c r="AF70" s="26"/>
      <c r="AH70" s="24"/>
      <c r="AJ70" s="49"/>
      <c r="AL70" s="26"/>
      <c r="AM70" s="26"/>
      <c r="AO70" s="26"/>
      <c r="AP70" s="24"/>
      <c r="AS70" s="26"/>
      <c r="AT70" s="24"/>
      <c r="AW70" s="26"/>
      <c r="AX70" s="24"/>
      <c r="AY70" s="24"/>
      <c r="AZ70" s="24"/>
      <c r="BA70" s="24"/>
      <c r="BB70" s="25"/>
      <c r="BC70" s="25"/>
      <c r="BE70" s="23"/>
      <c r="BF70" s="23"/>
      <c r="BG70" s="23"/>
    </row>
    <row r="71" spans="10:59" ht="26.25" customHeight="1">
      <c r="L71" s="586" t="s">
        <v>186</v>
      </c>
      <c r="M71" s="430">
        <v>1</v>
      </c>
      <c r="N71" s="430">
        <v>1.5</v>
      </c>
      <c r="O71" s="430">
        <v>0</v>
      </c>
      <c r="P71" s="430">
        <v>0</v>
      </c>
      <c r="Q71" s="430">
        <v>0</v>
      </c>
      <c r="R71" s="655">
        <v>0</v>
      </c>
      <c r="S71" s="430"/>
      <c r="T71" s="568">
        <f t="shared" si="37"/>
        <v>2.5</v>
      </c>
      <c r="U71" s="587">
        <v>26</v>
      </c>
      <c r="V71" s="1279"/>
      <c r="W71" s="1279"/>
      <c r="X71" s="1279"/>
      <c r="Y71" s="1279"/>
      <c r="Z71" s="1279"/>
      <c r="AA71" s="466"/>
      <c r="AB71" s="465"/>
      <c r="AC71" s="466">
        <v>118</v>
      </c>
      <c r="AD71" s="24"/>
      <c r="AF71" s="26"/>
      <c r="AH71" s="24"/>
      <c r="AJ71" s="49"/>
      <c r="AL71" s="26"/>
      <c r="AM71" s="26"/>
      <c r="AO71" s="26"/>
      <c r="AP71" s="24"/>
      <c r="AS71" s="26"/>
      <c r="AT71" s="24"/>
      <c r="AW71" s="26"/>
      <c r="AX71" s="24"/>
      <c r="AY71" s="24"/>
      <c r="AZ71" s="24"/>
      <c r="BA71" s="24"/>
      <c r="BB71" s="25"/>
      <c r="BC71" s="25"/>
      <c r="BE71" s="23"/>
      <c r="BF71" s="23"/>
      <c r="BG71" s="23"/>
    </row>
    <row r="72" spans="10:59" ht="26.25" customHeight="1">
      <c r="L72" s="586" t="s">
        <v>203</v>
      </c>
      <c r="M72" s="430">
        <v>0</v>
      </c>
      <c r="N72" s="430">
        <v>0</v>
      </c>
      <c r="O72" s="430">
        <v>0</v>
      </c>
      <c r="P72" s="430">
        <v>0</v>
      </c>
      <c r="Q72" s="430">
        <v>0</v>
      </c>
      <c r="R72" s="655">
        <v>0</v>
      </c>
      <c r="S72" s="430"/>
      <c r="T72" s="568">
        <f t="shared" si="37"/>
        <v>0</v>
      </c>
      <c r="U72" s="587">
        <v>0</v>
      </c>
      <c r="V72" s="1279"/>
      <c r="W72" s="1279"/>
      <c r="X72" s="1279"/>
      <c r="Y72" s="1279"/>
      <c r="Z72" s="1279"/>
      <c r="AA72" s="466"/>
      <c r="AB72" s="465"/>
      <c r="AC72" s="466">
        <v>18</v>
      </c>
      <c r="AD72" s="24"/>
      <c r="AF72" s="26"/>
      <c r="AH72" s="24"/>
      <c r="AJ72" s="49"/>
      <c r="AL72" s="26"/>
      <c r="AM72" s="26"/>
      <c r="AO72" s="26"/>
      <c r="AP72" s="24"/>
      <c r="AS72" s="26"/>
      <c r="AT72" s="24"/>
      <c r="AW72" s="26"/>
      <c r="AX72" s="24"/>
      <c r="AY72" s="24"/>
      <c r="AZ72" s="24"/>
      <c r="BA72" s="24"/>
      <c r="BB72" s="25"/>
      <c r="BC72" s="25"/>
      <c r="BE72" s="23"/>
      <c r="BF72" s="23"/>
      <c r="BG72" s="23"/>
    </row>
    <row r="73" spans="10:59" ht="27" customHeight="1" thickBot="1">
      <c r="L73" s="588" t="s">
        <v>191</v>
      </c>
      <c r="M73" s="589">
        <f t="shared" ref="M73" si="38">SUM(M63:M72)</f>
        <v>34.5</v>
      </c>
      <c r="N73" s="444">
        <f>SUM(N63:N72)</f>
        <v>1.5</v>
      </c>
      <c r="O73" s="444">
        <f t="shared" ref="O73" si="39">SUM(O63:O72)</f>
        <v>0</v>
      </c>
      <c r="P73" s="444">
        <f>SUM(P63:P72)</f>
        <v>3.5</v>
      </c>
      <c r="Q73" s="444">
        <f>SUM(Q63:Q72)</f>
        <v>0</v>
      </c>
      <c r="R73" s="444">
        <f>SUM(R63:R72)</f>
        <v>0</v>
      </c>
      <c r="S73" s="444">
        <f t="shared" ref="S73" si="40">SUM(S63:S72)</f>
        <v>0</v>
      </c>
      <c r="T73" s="630">
        <f>SUM(T63:T72)</f>
        <v>39.5</v>
      </c>
      <c r="U73" s="631">
        <f>SUM(U63:U72)</f>
        <v>64.7</v>
      </c>
      <c r="V73" s="1279"/>
      <c r="W73" s="1279"/>
      <c r="X73" s="1279"/>
      <c r="Y73" s="1279"/>
      <c r="Z73" s="1279"/>
      <c r="AA73" s="466"/>
      <c r="AB73" s="465"/>
      <c r="AC73" s="466">
        <v>4</v>
      </c>
      <c r="AD73" s="24"/>
      <c r="AF73" s="26"/>
      <c r="AH73" s="24"/>
      <c r="AJ73" s="49"/>
      <c r="AL73" s="26"/>
      <c r="AM73" s="26"/>
      <c r="AQ73" s="26"/>
      <c r="AU73" s="26"/>
      <c r="AV73" s="50"/>
      <c r="AW73" s="50"/>
      <c r="AY73" s="26"/>
      <c r="AZ73" s="24"/>
      <c r="BA73" s="24"/>
      <c r="BB73" s="25"/>
      <c r="BC73" s="25"/>
      <c r="BE73" s="23"/>
      <c r="BF73" s="23"/>
      <c r="BG73" s="23"/>
    </row>
    <row r="74" spans="10:59" ht="26.25" customHeight="1" thickBot="1">
      <c r="L74" s="1932" t="s">
        <v>221</v>
      </c>
      <c r="M74" s="1932"/>
      <c r="N74" s="1932"/>
      <c r="O74" s="1932"/>
      <c r="P74" s="1932"/>
      <c r="Q74" s="1932"/>
      <c r="R74" s="1932"/>
      <c r="S74" s="1932"/>
      <c r="T74" s="1933">
        <f>T73+U73</f>
        <v>104.2</v>
      </c>
      <c r="U74" s="1934"/>
      <c r="V74" s="1279"/>
      <c r="W74" s="1279"/>
      <c r="X74" s="1279"/>
      <c r="Y74" s="1279"/>
      <c r="Z74" s="1279"/>
      <c r="AA74" s="466"/>
      <c r="AB74" s="466"/>
      <c r="AC74" s="465"/>
      <c r="AD74" s="466"/>
      <c r="AG74" s="26"/>
      <c r="AH74" s="24"/>
      <c r="AK74" s="49"/>
      <c r="AL74" s="24"/>
      <c r="AM74" s="26"/>
      <c r="AN74" s="26"/>
      <c r="AP74" s="24"/>
      <c r="AQ74" s="26"/>
      <c r="AR74" s="26"/>
      <c r="AT74" s="24"/>
      <c r="AU74" s="26"/>
      <c r="AV74" s="26"/>
      <c r="AW74" s="50"/>
      <c r="AX74" s="50"/>
      <c r="AY74" s="26"/>
      <c r="AZ74" s="26"/>
      <c r="BA74" s="24"/>
      <c r="BB74" s="24"/>
      <c r="BC74" s="25"/>
      <c r="BD74" s="25"/>
      <c r="BF74" s="23"/>
      <c r="BG74" s="23"/>
    </row>
    <row r="75" spans="10:59" ht="26.25" customHeight="1">
      <c r="L75" s="966"/>
      <c r="M75" s="966"/>
      <c r="N75" s="966"/>
      <c r="O75" s="1922" t="s">
        <v>235</v>
      </c>
      <c r="P75" s="1922"/>
      <c r="Q75" s="1922"/>
      <c r="R75" s="1922"/>
      <c r="S75" s="1922"/>
      <c r="T75" s="1939">
        <v>91</v>
      </c>
      <c r="U75" s="1939"/>
      <c r="V75" s="1279"/>
      <c r="W75" s="1279"/>
      <c r="X75" s="1279"/>
      <c r="Y75" s="1279"/>
      <c r="Z75" s="1279"/>
      <c r="AA75" s="466"/>
      <c r="AB75" s="466"/>
      <c r="AC75" s="466"/>
      <c r="AD75" s="465"/>
      <c r="AE75" s="466"/>
      <c r="AN75" s="26"/>
      <c r="AO75" s="26"/>
      <c r="AP75" s="24"/>
      <c r="AR75" s="26"/>
      <c r="AS75" s="26"/>
      <c r="AT75" s="24"/>
      <c r="AV75" s="26"/>
      <c r="AW75" s="26"/>
      <c r="AX75" s="50"/>
      <c r="AZ75" s="26"/>
      <c r="BA75" s="26"/>
      <c r="BB75" s="24"/>
      <c r="BD75" s="25"/>
      <c r="BE75" s="25"/>
      <c r="BF75" s="24"/>
      <c r="BG75" s="23"/>
    </row>
    <row r="76" spans="10:59" ht="26.25" customHeight="1">
      <c r="L76" s="26"/>
      <c r="M76" s="1279"/>
      <c r="N76" s="1279"/>
      <c r="O76" s="1279"/>
      <c r="P76" s="1279"/>
      <c r="Q76" s="1279"/>
      <c r="R76" s="1279"/>
      <c r="S76" s="1279"/>
      <c r="T76" s="1279"/>
      <c r="U76" s="1279"/>
      <c r="V76" s="1279"/>
      <c r="W76" s="1279"/>
      <c r="X76" s="1279"/>
      <c r="Y76" s="1279"/>
      <c r="Z76" s="1279"/>
      <c r="AA76" s="466"/>
      <c r="AB76" s="466"/>
      <c r="AC76" s="466"/>
      <c r="AD76" s="465"/>
      <c r="AE76" s="466"/>
      <c r="AN76" s="26"/>
      <c r="AO76" s="26"/>
      <c r="AP76" s="24"/>
      <c r="AR76" s="26"/>
      <c r="AS76" s="26"/>
      <c r="AT76" s="24"/>
      <c r="AV76" s="26"/>
      <c r="AW76" s="26"/>
      <c r="AX76" s="50"/>
      <c r="AZ76" s="26"/>
      <c r="BA76" s="26"/>
      <c r="BB76" s="24"/>
      <c r="BD76" s="25"/>
      <c r="BE76" s="25"/>
      <c r="BF76" s="24"/>
      <c r="BG76" s="23"/>
    </row>
    <row r="77" spans="10:59" ht="26.25">
      <c r="L77" s="26"/>
      <c r="M77" s="26"/>
      <c r="N77" s="24"/>
      <c r="P77" s="26"/>
      <c r="Q77" s="26"/>
      <c r="R77" s="24"/>
      <c r="T77" s="1107"/>
      <c r="U77" s="1107"/>
      <c r="V77" s="1106"/>
      <c r="W77" s="466"/>
      <c r="X77" s="466"/>
      <c r="Y77" s="466"/>
      <c r="Z77" s="465"/>
      <c r="AA77" s="466"/>
      <c r="AB77" s="466"/>
      <c r="AC77" s="466"/>
      <c r="AD77" s="465"/>
      <c r="AE77" s="466"/>
      <c r="AN77" s="26"/>
      <c r="AO77" s="26"/>
      <c r="AP77" s="24"/>
      <c r="AR77" s="26"/>
      <c r="AS77" s="26"/>
      <c r="AT77" s="24"/>
      <c r="AV77" s="26"/>
      <c r="AW77" s="26"/>
      <c r="AX77" s="50"/>
      <c r="AZ77" s="26"/>
      <c r="BA77" s="26"/>
      <c r="BB77" s="24"/>
      <c r="BD77" s="25"/>
      <c r="BE77" s="25"/>
      <c r="BF77" s="24"/>
      <c r="BG77" s="23"/>
    </row>
    <row r="78" spans="10:59" ht="26.25">
      <c r="L78" s="26"/>
      <c r="M78" s="26"/>
      <c r="N78" s="24"/>
      <c r="P78" s="26"/>
      <c r="Q78" s="26"/>
      <c r="R78" s="24"/>
      <c r="T78" s="1107"/>
      <c r="U78" s="1107"/>
      <c r="V78" s="1106"/>
      <c r="X78" s="26"/>
      <c r="Y78" s="26"/>
      <c r="Z78" s="24"/>
      <c r="AB78" s="26"/>
      <c r="AC78" s="26"/>
      <c r="AD78" s="24"/>
      <c r="AF78" s="26"/>
      <c r="AG78" s="26"/>
      <c r="AH78" s="24"/>
      <c r="AJ78" s="49"/>
      <c r="AK78" s="49"/>
      <c r="AL78" s="24"/>
      <c r="AN78" s="26"/>
      <c r="AO78" s="26"/>
      <c r="AP78" s="24"/>
      <c r="AR78" s="26"/>
      <c r="AS78" s="26"/>
      <c r="AT78" s="24"/>
      <c r="AV78" s="26"/>
      <c r="AW78" s="26"/>
      <c r="AX78" s="50"/>
      <c r="AZ78" s="26"/>
      <c r="BA78" s="26"/>
      <c r="BB78" s="24"/>
      <c r="BD78" s="25"/>
      <c r="BE78" s="25"/>
      <c r="BF78" s="24"/>
      <c r="BG78" s="23"/>
    </row>
    <row r="79" spans="10:59" ht="26.25">
      <c r="L79" s="26"/>
      <c r="M79" s="26"/>
      <c r="N79" s="24"/>
      <c r="P79" s="26"/>
      <c r="Q79" s="26"/>
      <c r="R79" s="24"/>
      <c r="T79" s="1107"/>
      <c r="U79" s="1107"/>
      <c r="V79" s="1106"/>
      <c r="X79" s="26"/>
      <c r="Y79" s="26"/>
      <c r="Z79" s="24"/>
      <c r="AB79" s="26"/>
      <c r="AC79" s="26"/>
      <c r="AD79" s="24"/>
      <c r="AF79" s="26"/>
      <c r="AG79" s="26"/>
      <c r="AH79" s="24"/>
      <c r="AJ79" s="49"/>
      <c r="AK79" s="49"/>
      <c r="AL79" s="24"/>
      <c r="AN79" s="26"/>
      <c r="AO79" s="26"/>
      <c r="AP79" s="24"/>
      <c r="AR79" s="26"/>
      <c r="AS79" s="26"/>
      <c r="AT79" s="24"/>
      <c r="AV79" s="26"/>
      <c r="AW79" s="26"/>
      <c r="AX79" s="50"/>
      <c r="AZ79" s="26"/>
      <c r="BA79" s="26"/>
      <c r="BB79" s="24"/>
      <c r="BD79" s="25"/>
      <c r="BE79" s="25"/>
      <c r="BF79" s="24"/>
      <c r="BG79" s="23"/>
    </row>
    <row r="80" spans="10:59" ht="26.25">
      <c r="T80" s="1106"/>
      <c r="U80" s="1106"/>
      <c r="V80" s="1107"/>
    </row>
    <row r="81" spans="20:22" ht="26.25">
      <c r="T81" s="1106"/>
      <c r="U81" s="1106"/>
      <c r="V81" s="1107"/>
    </row>
    <row r="82" spans="20:22" ht="26.25">
      <c r="T82" s="1106"/>
      <c r="U82" s="1106"/>
      <c r="V82" s="1107"/>
    </row>
    <row r="83" spans="20:22" ht="26.25">
      <c r="T83" s="1106"/>
      <c r="U83" s="1106"/>
      <c r="V83" s="1107"/>
    </row>
    <row r="84" spans="20:22" ht="26.25">
      <c r="T84" s="1106"/>
      <c r="U84" s="1106"/>
      <c r="V84" s="1107"/>
    </row>
    <row r="85" spans="20:22" ht="26.25">
      <c r="T85" s="1106"/>
      <c r="U85" s="1106"/>
      <c r="V85" s="1107"/>
    </row>
  </sheetData>
  <mergeCells count="62">
    <mergeCell ref="AD60:AE60"/>
    <mergeCell ref="L46:T46"/>
    <mergeCell ref="V46:AE46"/>
    <mergeCell ref="V59:AC59"/>
    <mergeCell ref="AD59:AE59"/>
    <mergeCell ref="Y60:AC60"/>
    <mergeCell ref="O59:R59"/>
    <mergeCell ref="S59:T59"/>
    <mergeCell ref="L61:U61"/>
    <mergeCell ref="L74:S74"/>
    <mergeCell ref="T74:U74"/>
    <mergeCell ref="O75:S75"/>
    <mergeCell ref="T75:U75"/>
    <mergeCell ref="C15:C24"/>
    <mergeCell ref="H15:H23"/>
    <mergeCell ref="H24:I24"/>
    <mergeCell ref="H26:I26"/>
    <mergeCell ref="V32:AD32"/>
    <mergeCell ref="H10:I10"/>
    <mergeCell ref="H12:BI12"/>
    <mergeCell ref="V13:Y13"/>
    <mergeCell ref="Z13:AC13"/>
    <mergeCell ref="AD13:AG13"/>
    <mergeCell ref="BB13:BE13"/>
    <mergeCell ref="BF13:BI13"/>
    <mergeCell ref="D13:F13"/>
    <mergeCell ref="H13:I14"/>
    <mergeCell ref="C14:D14"/>
    <mergeCell ref="J13:M13"/>
    <mergeCell ref="N13:Q13"/>
    <mergeCell ref="C2:F2"/>
    <mergeCell ref="H2:K2"/>
    <mergeCell ref="N2:AZ2"/>
    <mergeCell ref="C6:C9"/>
    <mergeCell ref="H6:H9"/>
    <mergeCell ref="D4:F4"/>
    <mergeCell ref="H4:I5"/>
    <mergeCell ref="C5:D5"/>
    <mergeCell ref="BB2:BI2"/>
    <mergeCell ref="H3:BI3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C27:BC29"/>
    <mergeCell ref="BH27:BI27"/>
    <mergeCell ref="L32:S32"/>
    <mergeCell ref="AH13:AK13"/>
    <mergeCell ref="AL13:AO13"/>
    <mergeCell ref="AP13:AS13"/>
    <mergeCell ref="AT13:AW13"/>
    <mergeCell ref="AX13:BA13"/>
    <mergeCell ref="R13:U13"/>
  </mergeCells>
  <conditionalFormatting sqref="M48:R57">
    <cfRule type="cellIs" dxfId="25" priority="2" operator="equal">
      <formula>0</formula>
    </cfRule>
  </conditionalFormatting>
  <conditionalFormatting sqref="M63:S72">
    <cfRule type="cellIs" dxfId="24" priority="1" operator="equal">
      <formula>0</formula>
    </cfRule>
  </conditionalFormatting>
  <pageMargins left="0.7" right="0.7" top="0.75" bottom="0.75" header="0.3" footer="0.3"/>
  <pageSetup paperSize="9" scale="14"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BI79"/>
  <sheetViews>
    <sheetView topLeftCell="H1" zoomScale="55" zoomScaleNormal="55" workbookViewId="0">
      <pane xSplit="2" topLeftCell="AG1" activePane="topRight" state="frozen"/>
      <selection activeCell="H1" sqref="H1"/>
      <selection pane="topRight" activeCell="BH26" sqref="BH26"/>
    </sheetView>
  </sheetViews>
  <sheetFormatPr defaultColWidth="9.140625" defaultRowHeight="15"/>
  <cols>
    <col min="1" max="2" width="9.140625" style="23" hidden="1" customWidth="1"/>
    <col min="3" max="3" width="14.5703125" style="23" hidden="1" customWidth="1"/>
    <col min="4" max="4" width="11.42578125" style="27" hidden="1" customWidth="1"/>
    <col min="5" max="5" width="6.85546875" style="27" hidden="1" customWidth="1"/>
    <col min="6" max="6" width="9.140625" style="27" hidden="1" customWidth="1"/>
    <col min="7" max="7" width="3.42578125" style="23" hidden="1" customWidth="1"/>
    <col min="8" max="8" width="6.140625" style="23" customWidth="1"/>
    <col min="9" max="9" width="20.140625" style="27" bestFit="1" customWidth="1"/>
    <col min="10" max="10" width="11.5703125" style="26" customWidth="1"/>
    <col min="11" max="11" width="11" style="24" bestFit="1" customWidth="1"/>
    <col min="12" max="12" width="15" style="24" bestFit="1" customWidth="1"/>
    <col min="13" max="13" width="12.85546875" style="24" customWidth="1"/>
    <col min="14" max="14" width="10.5703125" style="26" customWidth="1"/>
    <col min="15" max="15" width="10.28515625" style="24" customWidth="1"/>
    <col min="16" max="17" width="10.5703125" style="24" customWidth="1"/>
    <col min="18" max="18" width="8.5703125" style="26" customWidth="1"/>
    <col min="19" max="19" width="11.5703125" style="24" customWidth="1"/>
    <col min="20" max="20" width="14" style="24" bestFit="1" customWidth="1"/>
    <col min="21" max="21" width="15.5703125" style="24" bestFit="1" customWidth="1"/>
    <col min="22" max="22" width="13.7109375" style="26" customWidth="1"/>
    <col min="23" max="23" width="12.5703125" style="24" bestFit="1" customWidth="1"/>
    <col min="24" max="24" width="12.5703125" style="24" customWidth="1"/>
    <col min="25" max="25" width="9.7109375" style="24" customWidth="1"/>
    <col min="26" max="26" width="12.28515625" style="26" customWidth="1"/>
    <col min="27" max="27" width="11.5703125" style="24" bestFit="1" customWidth="1"/>
    <col min="28" max="28" width="10" style="24" customWidth="1"/>
    <col min="29" max="29" width="8.7109375" style="24" customWidth="1"/>
    <col min="30" max="30" width="11.5703125" style="26" bestFit="1" customWidth="1"/>
    <col min="31" max="31" width="11.7109375" style="24" bestFit="1" customWidth="1"/>
    <col min="32" max="32" width="10.5703125" style="24" bestFit="1" customWidth="1"/>
    <col min="33" max="33" width="10.5703125" style="24" customWidth="1"/>
    <col min="34" max="34" width="11.5703125" style="26" bestFit="1" customWidth="1"/>
    <col min="35" max="35" width="13.5703125" style="24" customWidth="1"/>
    <col min="36" max="37" width="11.5703125" style="24" customWidth="1"/>
    <col min="38" max="38" width="10.5703125" style="49" customWidth="1"/>
    <col min="39" max="39" width="11" style="24" bestFit="1" customWidth="1"/>
    <col min="40" max="40" width="12" style="24" bestFit="1" customWidth="1"/>
    <col min="41" max="41" width="12" style="24" customWidth="1"/>
    <col min="42" max="42" width="8.42578125" style="26" customWidth="1"/>
    <col min="43" max="43" width="10" style="24" bestFit="1" customWidth="1"/>
    <col min="44" max="44" width="13.85546875" style="24" bestFit="1" customWidth="1"/>
    <col min="45" max="45" width="13.85546875" style="24" customWidth="1"/>
    <col min="46" max="46" width="11.7109375" style="26" customWidth="1"/>
    <col min="47" max="47" width="11.7109375" style="24" customWidth="1"/>
    <col min="48" max="48" width="10.5703125" style="24" bestFit="1" customWidth="1"/>
    <col min="49" max="49" width="10.5703125" style="24" customWidth="1"/>
    <col min="50" max="50" width="9.140625" style="26" bestFit="1" customWidth="1"/>
    <col min="51" max="51" width="9.140625" style="50" bestFit="1" customWidth="1"/>
    <col min="52" max="52" width="10.5703125" style="50" bestFit="1" customWidth="1"/>
    <col min="53" max="53" width="10.5703125" style="50" customWidth="1"/>
    <col min="54" max="54" width="10.7109375" style="26" bestFit="1" customWidth="1"/>
    <col min="55" max="55" width="12.85546875" style="24" bestFit="1" customWidth="1"/>
    <col min="56" max="56" width="10.5703125" style="24" bestFit="1" customWidth="1"/>
    <col min="57" max="57" width="10.5703125" style="24" customWidth="1"/>
    <col min="58" max="58" width="16" style="25" bestFit="1" customWidth="1"/>
    <col min="59" max="59" width="10.7109375" style="24" bestFit="1" customWidth="1"/>
    <col min="60" max="60" width="13" style="23" bestFit="1" customWidth="1"/>
    <col min="61" max="61" width="10.28515625" style="23" bestFit="1" customWidth="1"/>
    <col min="62" max="16384" width="9.140625" style="23"/>
  </cols>
  <sheetData>
    <row r="1" spans="3:61" ht="15" customHeight="1" thickBot="1"/>
    <row r="2" spans="3:61" ht="21.75" thickBot="1">
      <c r="C2" s="1899" t="s">
        <v>45</v>
      </c>
      <c r="D2" s="1900"/>
      <c r="E2" s="1900"/>
      <c r="F2" s="1901"/>
      <c r="H2" s="1915"/>
      <c r="I2" s="1567"/>
      <c r="J2" s="1567"/>
      <c r="K2" s="1567"/>
      <c r="L2" s="1020"/>
      <c r="M2" s="1020"/>
      <c r="N2" s="1916" t="s">
        <v>249</v>
      </c>
      <c r="O2" s="1916"/>
      <c r="P2" s="1916"/>
      <c r="Q2" s="1916"/>
      <c r="R2" s="1916"/>
      <c r="S2" s="1916"/>
      <c r="T2" s="1916"/>
      <c r="U2" s="1916"/>
      <c r="V2" s="1916"/>
      <c r="W2" s="1916"/>
      <c r="X2" s="1916"/>
      <c r="Y2" s="1916"/>
      <c r="Z2" s="1916"/>
      <c r="AA2" s="1916"/>
      <c r="AB2" s="1916"/>
      <c r="AC2" s="1916"/>
      <c r="AD2" s="1916"/>
      <c r="AE2" s="1916"/>
      <c r="AF2" s="1916"/>
      <c r="AG2" s="1916"/>
      <c r="AH2" s="1916"/>
      <c r="AI2" s="1916"/>
      <c r="AJ2" s="1916"/>
      <c r="AK2" s="1916"/>
      <c r="AL2" s="1916"/>
      <c r="AM2" s="1916"/>
      <c r="AN2" s="1916"/>
      <c r="AO2" s="1916"/>
      <c r="AP2" s="1916"/>
      <c r="AQ2" s="1916"/>
      <c r="AR2" s="1916"/>
      <c r="AS2" s="1916"/>
      <c r="AT2" s="1916"/>
      <c r="AU2" s="1916"/>
      <c r="AV2" s="1916"/>
      <c r="AW2" s="1916"/>
      <c r="AX2" s="1916"/>
      <c r="AY2" s="1916"/>
      <c r="AZ2" s="1916"/>
      <c r="BA2" s="1020"/>
      <c r="BB2" s="1902" t="s">
        <v>118</v>
      </c>
      <c r="BC2" s="1903"/>
      <c r="BD2" s="1903"/>
      <c r="BE2" s="1903"/>
      <c r="BF2" s="1903"/>
      <c r="BG2" s="1903"/>
      <c r="BH2" s="1903"/>
      <c r="BI2" s="1904"/>
    </row>
    <row r="3" spans="3:61" ht="19.5" thickBot="1">
      <c r="C3" s="1019"/>
      <c r="D3" s="1017"/>
      <c r="E3" s="1017"/>
      <c r="F3" s="1023"/>
      <c r="H3" s="1905" t="s">
        <v>115</v>
      </c>
      <c r="I3" s="1906"/>
      <c r="J3" s="1906"/>
      <c r="K3" s="1906"/>
      <c r="L3" s="1906"/>
      <c r="M3" s="1906"/>
      <c r="N3" s="1906"/>
      <c r="O3" s="1906"/>
      <c r="P3" s="1906"/>
      <c r="Q3" s="1906"/>
      <c r="R3" s="1906"/>
      <c r="S3" s="1906"/>
      <c r="T3" s="1906"/>
      <c r="U3" s="1906"/>
      <c r="V3" s="1906"/>
      <c r="W3" s="1906"/>
      <c r="X3" s="1906"/>
      <c r="Y3" s="1906"/>
      <c r="Z3" s="1906"/>
      <c r="AA3" s="1906"/>
      <c r="AB3" s="1906"/>
      <c r="AC3" s="1906"/>
      <c r="AD3" s="1906"/>
      <c r="AE3" s="1906"/>
      <c r="AF3" s="1906"/>
      <c r="AG3" s="1906"/>
      <c r="AH3" s="1906"/>
      <c r="AI3" s="1906"/>
      <c r="AJ3" s="1906"/>
      <c r="AK3" s="1906"/>
      <c r="AL3" s="1906"/>
      <c r="AM3" s="1906"/>
      <c r="AN3" s="1906"/>
      <c r="AO3" s="1906"/>
      <c r="AP3" s="1906"/>
      <c r="AQ3" s="1906"/>
      <c r="AR3" s="1906"/>
      <c r="AS3" s="1906"/>
      <c r="AT3" s="1906"/>
      <c r="AU3" s="1906"/>
      <c r="AV3" s="1906"/>
      <c r="AW3" s="1906"/>
      <c r="AX3" s="1906"/>
      <c r="AY3" s="1906"/>
      <c r="AZ3" s="1906"/>
      <c r="BA3" s="1906"/>
      <c r="BB3" s="1906"/>
      <c r="BC3" s="1906"/>
      <c r="BD3" s="1906"/>
      <c r="BE3" s="1906"/>
      <c r="BF3" s="1906"/>
      <c r="BG3" s="1906"/>
      <c r="BH3" s="1906"/>
      <c r="BI3" s="1907"/>
    </row>
    <row r="4" spans="3:61" ht="18.75">
      <c r="C4" s="37" t="s">
        <v>44</v>
      </c>
      <c r="D4" s="1869"/>
      <c r="E4" s="1869"/>
      <c r="F4" s="1870"/>
      <c r="H4" s="1908" t="s">
        <v>33</v>
      </c>
      <c r="I4" s="1909"/>
      <c r="J4" s="1871" t="s">
        <v>43</v>
      </c>
      <c r="K4" s="1872"/>
      <c r="L4" s="1872"/>
      <c r="M4" s="1873"/>
      <c r="N4" s="1871" t="s">
        <v>42</v>
      </c>
      <c r="O4" s="1872"/>
      <c r="P4" s="1872"/>
      <c r="Q4" s="1873"/>
      <c r="R4" s="1871" t="s">
        <v>41</v>
      </c>
      <c r="S4" s="1872"/>
      <c r="T4" s="1872"/>
      <c r="U4" s="1873"/>
      <c r="V4" s="1871" t="s">
        <v>40</v>
      </c>
      <c r="W4" s="1872"/>
      <c r="X4" s="1872"/>
      <c r="Y4" s="1873"/>
      <c r="Z4" s="1871" t="s">
        <v>39</v>
      </c>
      <c r="AA4" s="1872"/>
      <c r="AB4" s="1872"/>
      <c r="AC4" s="1873"/>
      <c r="AD4" s="1871" t="s">
        <v>38</v>
      </c>
      <c r="AE4" s="1872"/>
      <c r="AF4" s="1872"/>
      <c r="AG4" s="1873"/>
      <c r="AH4" s="1874" t="s">
        <v>122</v>
      </c>
      <c r="AI4" s="1875"/>
      <c r="AJ4" s="1875"/>
      <c r="AK4" s="1876"/>
      <c r="AL4" s="1871" t="s">
        <v>37</v>
      </c>
      <c r="AM4" s="1872"/>
      <c r="AN4" s="1872"/>
      <c r="AO4" s="1873"/>
      <c r="AP4" s="1871" t="s">
        <v>36</v>
      </c>
      <c r="AQ4" s="1872"/>
      <c r="AR4" s="1872"/>
      <c r="AS4" s="1873"/>
      <c r="AT4" s="1871" t="s">
        <v>35</v>
      </c>
      <c r="AU4" s="1872"/>
      <c r="AV4" s="1872"/>
      <c r="AW4" s="1873"/>
      <c r="AX4" s="1871" t="s">
        <v>34</v>
      </c>
      <c r="AY4" s="1872"/>
      <c r="AZ4" s="1872"/>
      <c r="BA4" s="1873"/>
      <c r="BB4" s="1874" t="s">
        <v>123</v>
      </c>
      <c r="BC4" s="1875"/>
      <c r="BD4" s="1875"/>
      <c r="BE4" s="1876"/>
      <c r="BF4" s="1877" t="s">
        <v>17</v>
      </c>
      <c r="BG4" s="1878"/>
      <c r="BH4" s="1878"/>
      <c r="BI4" s="1878"/>
    </row>
    <row r="5" spans="3:61" ht="15.75" customHeight="1">
      <c r="C5" s="1879" t="s">
        <v>33</v>
      </c>
      <c r="D5" s="1869"/>
      <c r="E5" s="1017" t="s">
        <v>1</v>
      </c>
      <c r="F5" s="1023" t="s">
        <v>2</v>
      </c>
      <c r="H5" s="1910"/>
      <c r="I5" s="1911"/>
      <c r="J5" s="36" t="s">
        <v>1</v>
      </c>
      <c r="K5" s="271" t="s">
        <v>2</v>
      </c>
      <c r="L5" s="693" t="s">
        <v>182</v>
      </c>
      <c r="M5" s="35" t="s">
        <v>247</v>
      </c>
      <c r="N5" s="36" t="s">
        <v>1</v>
      </c>
      <c r="O5" s="271" t="s">
        <v>2</v>
      </c>
      <c r="P5" s="693" t="s">
        <v>182</v>
      </c>
      <c r="Q5" s="35" t="s">
        <v>247</v>
      </c>
      <c r="R5" s="36" t="s">
        <v>1</v>
      </c>
      <c r="S5" s="271" t="s">
        <v>2</v>
      </c>
      <c r="T5" s="693" t="s">
        <v>182</v>
      </c>
      <c r="U5" s="35" t="s">
        <v>247</v>
      </c>
      <c r="V5" s="36" t="s">
        <v>1</v>
      </c>
      <c r="W5" s="271" t="s">
        <v>2</v>
      </c>
      <c r="X5" s="693" t="s">
        <v>182</v>
      </c>
      <c r="Y5" s="35" t="s">
        <v>247</v>
      </c>
      <c r="Z5" s="36" t="s">
        <v>1</v>
      </c>
      <c r="AA5" s="271" t="s">
        <v>2</v>
      </c>
      <c r="AB5" s="693" t="s">
        <v>182</v>
      </c>
      <c r="AC5" s="35" t="s">
        <v>247</v>
      </c>
      <c r="AD5" s="36" t="s">
        <v>1</v>
      </c>
      <c r="AE5" s="271" t="s">
        <v>2</v>
      </c>
      <c r="AF5" s="693" t="s">
        <v>182</v>
      </c>
      <c r="AG5" s="35" t="s">
        <v>247</v>
      </c>
      <c r="AH5" s="36" t="s">
        <v>1</v>
      </c>
      <c r="AI5" s="271" t="s">
        <v>2</v>
      </c>
      <c r="AJ5" s="271" t="s">
        <v>182</v>
      </c>
      <c r="AK5" s="690" t="s">
        <v>196</v>
      </c>
      <c r="AL5" s="36" t="s">
        <v>1</v>
      </c>
      <c r="AM5" s="271" t="s">
        <v>2</v>
      </c>
      <c r="AN5" s="693" t="s">
        <v>182</v>
      </c>
      <c r="AO5" s="35" t="s">
        <v>247</v>
      </c>
      <c r="AP5" s="36" t="s">
        <v>1</v>
      </c>
      <c r="AQ5" s="271" t="s">
        <v>2</v>
      </c>
      <c r="AR5" s="693" t="s">
        <v>182</v>
      </c>
      <c r="AS5" s="35" t="s">
        <v>247</v>
      </c>
      <c r="AT5" s="36" t="s">
        <v>1</v>
      </c>
      <c r="AU5" s="271" t="s">
        <v>2</v>
      </c>
      <c r="AV5" s="693" t="s">
        <v>182</v>
      </c>
      <c r="AW5" s="35" t="s">
        <v>247</v>
      </c>
      <c r="AX5" s="36" t="s">
        <v>1</v>
      </c>
      <c r="AY5" s="271" t="s">
        <v>2</v>
      </c>
      <c r="AZ5" s="693" t="s">
        <v>182</v>
      </c>
      <c r="BA5" s="35" t="s">
        <v>247</v>
      </c>
      <c r="BB5" s="36" t="s">
        <v>1</v>
      </c>
      <c r="BC5" s="271" t="s">
        <v>2</v>
      </c>
      <c r="BD5" s="271" t="s">
        <v>182</v>
      </c>
      <c r="BE5" s="690" t="s">
        <v>196</v>
      </c>
      <c r="BF5" s="274" t="s">
        <v>1</v>
      </c>
      <c r="BG5" s="275" t="s">
        <v>2</v>
      </c>
      <c r="BH5" s="275" t="s">
        <v>182</v>
      </c>
      <c r="BI5" s="698" t="s">
        <v>196</v>
      </c>
    </row>
    <row r="6" spans="3:61" s="28" customFormat="1" ht="20.100000000000001" customHeight="1">
      <c r="C6" s="1879" t="s">
        <v>19</v>
      </c>
      <c r="D6" s="1017" t="s">
        <v>32</v>
      </c>
      <c r="E6" s="1017"/>
      <c r="F6" s="1018"/>
      <c r="H6" s="1886" t="s">
        <v>32</v>
      </c>
      <c r="I6" s="33" t="s">
        <v>32</v>
      </c>
      <c r="J6" s="462">
        <v>51</v>
      </c>
      <c r="K6" s="463">
        <f>21+4+0.85</f>
        <v>25.85</v>
      </c>
      <c r="L6" s="463">
        <v>4.8499999999999996</v>
      </c>
      <c r="M6" s="691"/>
      <c r="N6" s="462">
        <v>9</v>
      </c>
      <c r="O6" s="463">
        <v>10.5</v>
      </c>
      <c r="P6" s="463">
        <v>10.5</v>
      </c>
      <c r="Q6" s="691"/>
      <c r="R6" s="462"/>
      <c r="S6" s="463"/>
      <c r="T6" s="463"/>
      <c r="U6" s="691"/>
      <c r="V6" s="462">
        <v>2</v>
      </c>
      <c r="W6" s="463">
        <v>1</v>
      </c>
      <c r="X6" s="463">
        <v>1</v>
      </c>
      <c r="Y6" s="691"/>
      <c r="Z6" s="462"/>
      <c r="AA6" s="463"/>
      <c r="AB6" s="463"/>
      <c r="AC6" s="691"/>
      <c r="AD6" s="462">
        <v>10</v>
      </c>
      <c r="AE6" s="463"/>
      <c r="AF6" s="463"/>
      <c r="AG6" s="691"/>
      <c r="AH6" s="128">
        <f>J6+N6+R6+V6+Z6+AD6</f>
        <v>72</v>
      </c>
      <c r="AI6" s="273">
        <f>K6+O6+S6+W6+AA6+AE6</f>
        <v>37.35</v>
      </c>
      <c r="AJ6" s="273">
        <f>L6+P6+T6+X6+AB6+AF6</f>
        <v>16.350000000000001</v>
      </c>
      <c r="AK6" s="694">
        <f>M6+Q6+U6+Y6+AC6+AG6</f>
        <v>0</v>
      </c>
      <c r="AL6" s="462"/>
      <c r="AM6" s="463"/>
      <c r="AN6" s="463"/>
      <c r="AO6" s="691"/>
      <c r="AP6" s="462"/>
      <c r="AQ6" s="463"/>
      <c r="AR6" s="463"/>
      <c r="AS6" s="691"/>
      <c r="AT6" s="462">
        <v>8</v>
      </c>
      <c r="AU6" s="463"/>
      <c r="AV6" s="463"/>
      <c r="AW6" s="691">
        <v>13</v>
      </c>
      <c r="AX6" s="462"/>
      <c r="AY6" s="463"/>
      <c r="AZ6" s="463"/>
      <c r="BA6" s="691">
        <v>20</v>
      </c>
      <c r="BB6" s="128">
        <f>AL6+AP6+AT6+AX6</f>
        <v>8</v>
      </c>
      <c r="BC6" s="273">
        <f>AM6+AQ6+AU6+AY6</f>
        <v>0</v>
      </c>
      <c r="BD6" s="273">
        <f>AN6+AR6+AV6+AZ6</f>
        <v>0</v>
      </c>
      <c r="BE6" s="273">
        <f>AO6+AS6+AW6+BA6</f>
        <v>33</v>
      </c>
      <c r="BF6" s="276">
        <f>AH6+BB6</f>
        <v>80</v>
      </c>
      <c r="BG6" s="277">
        <f>AI6+BC6</f>
        <v>37.35</v>
      </c>
      <c r="BH6" s="701">
        <f>AJ6+BD6</f>
        <v>16.350000000000001</v>
      </c>
      <c r="BI6" s="699">
        <f>AK6+BE6</f>
        <v>33</v>
      </c>
    </row>
    <row r="7" spans="3:61" s="28" customFormat="1" ht="20.100000000000001" customHeight="1">
      <c r="C7" s="1879"/>
      <c r="D7" s="1017" t="s">
        <v>31</v>
      </c>
      <c r="E7" s="1017"/>
      <c r="F7" s="1018"/>
      <c r="H7" s="1887"/>
      <c r="I7" s="33" t="s">
        <v>31</v>
      </c>
      <c r="J7" s="462"/>
      <c r="K7" s="463"/>
      <c r="L7" s="463"/>
      <c r="M7" s="691"/>
      <c r="N7" s="462"/>
      <c r="O7" s="463"/>
      <c r="P7" s="463"/>
      <c r="Q7" s="691"/>
      <c r="R7" s="462"/>
      <c r="S7" s="463"/>
      <c r="T7" s="463"/>
      <c r="U7" s="691"/>
      <c r="V7" s="462"/>
      <c r="W7" s="463"/>
      <c r="X7" s="463"/>
      <c r="Y7" s="691"/>
      <c r="Z7" s="462"/>
      <c r="AA7" s="463"/>
      <c r="AB7" s="463"/>
      <c r="AC7" s="691"/>
      <c r="AD7" s="462"/>
      <c r="AE7" s="463"/>
      <c r="AF7" s="463"/>
      <c r="AG7" s="691"/>
      <c r="AH7" s="128">
        <f t="shared" ref="AH7:AK9" si="0">J7+N7+R7+V7+Z7+AD7</f>
        <v>0</v>
      </c>
      <c r="AI7" s="273">
        <f t="shared" si="0"/>
        <v>0</v>
      </c>
      <c r="AJ7" s="273">
        <f t="shared" si="0"/>
        <v>0</v>
      </c>
      <c r="AK7" s="694">
        <f t="shared" si="0"/>
        <v>0</v>
      </c>
      <c r="AL7" s="462"/>
      <c r="AM7" s="463"/>
      <c r="AN7" s="463"/>
      <c r="AO7" s="691"/>
      <c r="AP7" s="462"/>
      <c r="AQ7" s="463"/>
      <c r="AR7" s="463"/>
      <c r="AS7" s="691"/>
      <c r="AT7" s="462"/>
      <c r="AU7" s="463"/>
      <c r="AV7" s="463"/>
      <c r="AW7" s="691"/>
      <c r="AX7" s="462"/>
      <c r="AY7" s="463"/>
      <c r="AZ7" s="463"/>
      <c r="BA7" s="691"/>
      <c r="BB7" s="128">
        <f t="shared" ref="BB7:BE9" si="1">AL7+AP7+AT7+AX7</f>
        <v>0</v>
      </c>
      <c r="BC7" s="273">
        <f t="shared" si="1"/>
        <v>0</v>
      </c>
      <c r="BD7" s="273">
        <f t="shared" si="1"/>
        <v>0</v>
      </c>
      <c r="BE7" s="273">
        <f t="shared" si="1"/>
        <v>0</v>
      </c>
      <c r="BF7" s="276">
        <f t="shared" ref="BF7:BI9" si="2">AH7+BB7</f>
        <v>0</v>
      </c>
      <c r="BG7" s="277">
        <f t="shared" si="2"/>
        <v>0</v>
      </c>
      <c r="BH7" s="277">
        <f t="shared" si="2"/>
        <v>0</v>
      </c>
      <c r="BI7" s="699">
        <f t="shared" si="2"/>
        <v>0</v>
      </c>
    </row>
    <row r="8" spans="3:61" s="28" customFormat="1" ht="20.100000000000001" customHeight="1">
      <c r="C8" s="1879"/>
      <c r="D8" s="1017" t="s">
        <v>30</v>
      </c>
      <c r="E8" s="1017"/>
      <c r="F8" s="1018"/>
      <c r="H8" s="1887"/>
      <c r="I8" s="33" t="s">
        <v>30</v>
      </c>
      <c r="J8" s="462"/>
      <c r="K8" s="463">
        <v>1</v>
      </c>
      <c r="L8" s="463"/>
      <c r="M8" s="691"/>
      <c r="N8" s="462"/>
      <c r="O8" s="463"/>
      <c r="P8" s="463"/>
      <c r="Q8" s="691"/>
      <c r="R8" s="462">
        <v>3.5</v>
      </c>
      <c r="S8" s="463"/>
      <c r="T8" s="463"/>
      <c r="U8" s="691"/>
      <c r="V8" s="462"/>
      <c r="W8" s="463"/>
      <c r="X8" s="463"/>
      <c r="Y8" s="691"/>
      <c r="Z8" s="462"/>
      <c r="AA8" s="463"/>
      <c r="AB8" s="463"/>
      <c r="AC8" s="691"/>
      <c r="AD8" s="462"/>
      <c r="AE8" s="463"/>
      <c r="AF8" s="463"/>
      <c r="AG8" s="691"/>
      <c r="AH8" s="128">
        <f t="shared" si="0"/>
        <v>3.5</v>
      </c>
      <c r="AI8" s="273">
        <f t="shared" si="0"/>
        <v>1</v>
      </c>
      <c r="AJ8" s="273">
        <f t="shared" si="0"/>
        <v>0</v>
      </c>
      <c r="AK8" s="694">
        <f t="shared" si="0"/>
        <v>0</v>
      </c>
      <c r="AL8" s="462">
        <v>22</v>
      </c>
      <c r="AM8" s="463">
        <f>23.33+5+1.5</f>
        <v>29.83</v>
      </c>
      <c r="AN8" s="463">
        <v>29.8</v>
      </c>
      <c r="AO8" s="691"/>
      <c r="AP8" s="462"/>
      <c r="AQ8" s="463"/>
      <c r="AR8" s="463"/>
      <c r="AS8" s="691"/>
      <c r="AT8" s="462"/>
      <c r="AU8" s="463"/>
      <c r="AV8" s="463"/>
      <c r="AW8" s="691"/>
      <c r="AX8" s="462"/>
      <c r="AY8" s="463"/>
      <c r="AZ8" s="463"/>
      <c r="BA8" s="691"/>
      <c r="BB8" s="128">
        <f t="shared" si="1"/>
        <v>22</v>
      </c>
      <c r="BC8" s="273">
        <f t="shared" si="1"/>
        <v>29.83</v>
      </c>
      <c r="BD8" s="273">
        <f t="shared" si="1"/>
        <v>29.8</v>
      </c>
      <c r="BE8" s="273">
        <f t="shared" si="1"/>
        <v>0</v>
      </c>
      <c r="BF8" s="276">
        <f t="shared" si="2"/>
        <v>25.5</v>
      </c>
      <c r="BG8" s="277">
        <f t="shared" si="2"/>
        <v>30.83</v>
      </c>
      <c r="BH8" s="277">
        <f t="shared" si="2"/>
        <v>29.8</v>
      </c>
      <c r="BI8" s="699">
        <f t="shared" si="2"/>
        <v>0</v>
      </c>
    </row>
    <row r="9" spans="3:61" s="28" customFormat="1" ht="20.100000000000001" customHeight="1">
      <c r="C9" s="1885"/>
      <c r="D9" s="1017" t="s">
        <v>29</v>
      </c>
      <c r="E9" s="1017"/>
      <c r="F9" s="1018"/>
      <c r="H9" s="1887"/>
      <c r="I9" s="33" t="s">
        <v>109</v>
      </c>
      <c r="J9" s="462"/>
      <c r="K9" s="463"/>
      <c r="L9" s="463"/>
      <c r="M9" s="691"/>
      <c r="N9" s="462"/>
      <c r="O9" s="463"/>
      <c r="P9" s="463"/>
      <c r="Q9" s="691"/>
      <c r="R9" s="462"/>
      <c r="S9" s="463"/>
      <c r="T9" s="463"/>
      <c r="U9" s="691"/>
      <c r="V9" s="462"/>
      <c r="W9" s="463">
        <v>1</v>
      </c>
      <c r="X9" s="463"/>
      <c r="Y9" s="691"/>
      <c r="Z9" s="462"/>
      <c r="AA9" s="463"/>
      <c r="AB9" s="463"/>
      <c r="AC9" s="691"/>
      <c r="AD9" s="462"/>
      <c r="AE9" s="463"/>
      <c r="AF9" s="463"/>
      <c r="AG9" s="691"/>
      <c r="AH9" s="128">
        <f t="shared" si="0"/>
        <v>0</v>
      </c>
      <c r="AI9" s="273">
        <f t="shared" si="0"/>
        <v>1</v>
      </c>
      <c r="AJ9" s="273">
        <f t="shared" si="0"/>
        <v>0</v>
      </c>
      <c r="AK9" s="694">
        <f t="shared" si="0"/>
        <v>0</v>
      </c>
      <c r="AL9" s="462"/>
      <c r="AM9" s="463"/>
      <c r="AN9" s="463"/>
      <c r="AO9" s="691"/>
      <c r="AP9" s="462"/>
      <c r="AQ9" s="463"/>
      <c r="AR9" s="463"/>
      <c r="AS9" s="691"/>
      <c r="AT9" s="462"/>
      <c r="AU9" s="463">
        <v>3</v>
      </c>
      <c r="AV9" s="463">
        <v>3</v>
      </c>
      <c r="AW9" s="691"/>
      <c r="AX9" s="462"/>
      <c r="AY9" s="463"/>
      <c r="AZ9" s="463"/>
      <c r="BA9" s="691"/>
      <c r="BB9" s="128">
        <f t="shared" si="1"/>
        <v>0</v>
      </c>
      <c r="BC9" s="273">
        <f t="shared" si="1"/>
        <v>3</v>
      </c>
      <c r="BD9" s="273">
        <f t="shared" si="1"/>
        <v>3</v>
      </c>
      <c r="BE9" s="273">
        <f t="shared" si="1"/>
        <v>0</v>
      </c>
      <c r="BF9" s="276">
        <f t="shared" si="2"/>
        <v>0</v>
      </c>
      <c r="BG9" s="277">
        <f t="shared" si="2"/>
        <v>4</v>
      </c>
      <c r="BH9" s="277">
        <f t="shared" si="2"/>
        <v>3</v>
      </c>
      <c r="BI9" s="699">
        <f t="shared" si="2"/>
        <v>0</v>
      </c>
    </row>
    <row r="10" spans="3:61" s="28" customFormat="1" ht="19.5" customHeight="1" thickBot="1">
      <c r="C10" s="32"/>
      <c r="D10" s="31" t="s">
        <v>18</v>
      </c>
      <c r="E10" s="31"/>
      <c r="F10" s="30"/>
      <c r="H10" s="1865" t="s">
        <v>47</v>
      </c>
      <c r="I10" s="1866"/>
      <c r="J10" s="118">
        <f t="shared" ref="J10:BG10" si="3">SUM(J6:J9)</f>
        <v>51</v>
      </c>
      <c r="K10" s="272">
        <f t="shared" si="3"/>
        <v>26.85</v>
      </c>
      <c r="L10" s="272">
        <f t="shared" si="3"/>
        <v>4.8499999999999996</v>
      </c>
      <c r="M10" s="272">
        <f t="shared" si="3"/>
        <v>0</v>
      </c>
      <c r="N10" s="118">
        <f t="shared" si="3"/>
        <v>9</v>
      </c>
      <c r="O10" s="272">
        <f t="shared" si="3"/>
        <v>10.5</v>
      </c>
      <c r="P10" s="272">
        <f t="shared" si="3"/>
        <v>10.5</v>
      </c>
      <c r="Q10" s="272">
        <f t="shared" si="3"/>
        <v>0</v>
      </c>
      <c r="R10" s="118">
        <f t="shared" si="3"/>
        <v>3.5</v>
      </c>
      <c r="S10" s="272">
        <f t="shared" si="3"/>
        <v>0</v>
      </c>
      <c r="T10" s="272">
        <f t="shared" si="3"/>
        <v>0</v>
      </c>
      <c r="U10" s="272">
        <f t="shared" si="3"/>
        <v>0</v>
      </c>
      <c r="V10" s="118">
        <f t="shared" si="3"/>
        <v>2</v>
      </c>
      <c r="W10" s="272">
        <f t="shared" si="3"/>
        <v>2</v>
      </c>
      <c r="X10" s="272">
        <f t="shared" si="3"/>
        <v>1</v>
      </c>
      <c r="Y10" s="272">
        <f t="shared" si="3"/>
        <v>0</v>
      </c>
      <c r="Z10" s="118">
        <f t="shared" si="3"/>
        <v>0</v>
      </c>
      <c r="AA10" s="272">
        <f t="shared" si="3"/>
        <v>0</v>
      </c>
      <c r="AB10" s="272">
        <f t="shared" si="3"/>
        <v>0</v>
      </c>
      <c r="AC10" s="272">
        <f t="shared" si="3"/>
        <v>0</v>
      </c>
      <c r="AD10" s="118">
        <f t="shared" si="3"/>
        <v>10</v>
      </c>
      <c r="AE10" s="272">
        <f t="shared" si="3"/>
        <v>0</v>
      </c>
      <c r="AF10" s="272">
        <f t="shared" si="3"/>
        <v>0</v>
      </c>
      <c r="AG10" s="272">
        <f t="shared" si="3"/>
        <v>0</v>
      </c>
      <c r="AH10" s="118">
        <f t="shared" si="3"/>
        <v>75.5</v>
      </c>
      <c r="AI10" s="272">
        <f t="shared" si="3"/>
        <v>39.35</v>
      </c>
      <c r="AJ10" s="272">
        <f>SUM(AJ6:AJ9)</f>
        <v>16.350000000000001</v>
      </c>
      <c r="AK10" s="695">
        <f>SUM(AK6:AK9)</f>
        <v>0</v>
      </c>
      <c r="AL10" s="118">
        <f t="shared" si="3"/>
        <v>22</v>
      </c>
      <c r="AM10" s="272">
        <f t="shared" si="3"/>
        <v>29.83</v>
      </c>
      <c r="AN10" s="272">
        <f t="shared" si="3"/>
        <v>29.8</v>
      </c>
      <c r="AO10" s="272">
        <f t="shared" si="3"/>
        <v>0</v>
      </c>
      <c r="AP10" s="118">
        <f t="shared" si="3"/>
        <v>0</v>
      </c>
      <c r="AQ10" s="272">
        <f t="shared" si="3"/>
        <v>0</v>
      </c>
      <c r="AR10" s="272">
        <f t="shared" si="3"/>
        <v>0</v>
      </c>
      <c r="AS10" s="272">
        <f t="shared" si="3"/>
        <v>0</v>
      </c>
      <c r="AT10" s="118">
        <f t="shared" si="3"/>
        <v>8</v>
      </c>
      <c r="AU10" s="272">
        <f t="shared" si="3"/>
        <v>3</v>
      </c>
      <c r="AV10" s="272">
        <f t="shared" si="3"/>
        <v>3</v>
      </c>
      <c r="AW10" s="272">
        <f t="shared" si="3"/>
        <v>13</v>
      </c>
      <c r="AX10" s="118">
        <f t="shared" si="3"/>
        <v>0</v>
      </c>
      <c r="AY10" s="272">
        <f t="shared" si="3"/>
        <v>0</v>
      </c>
      <c r="AZ10" s="272">
        <f t="shared" si="3"/>
        <v>0</v>
      </c>
      <c r="BA10" s="272">
        <f t="shared" si="3"/>
        <v>20</v>
      </c>
      <c r="BB10" s="118">
        <f t="shared" si="3"/>
        <v>30</v>
      </c>
      <c r="BC10" s="272">
        <f t="shared" si="3"/>
        <v>32.83</v>
      </c>
      <c r="BD10" s="272">
        <f t="shared" si="3"/>
        <v>32.799999999999997</v>
      </c>
      <c r="BE10" s="272">
        <f t="shared" si="3"/>
        <v>33</v>
      </c>
      <c r="BF10" s="278">
        <f t="shared" si="3"/>
        <v>105.5</v>
      </c>
      <c r="BG10" s="279">
        <f t="shared" si="3"/>
        <v>72.180000000000007</v>
      </c>
      <c r="BH10" s="702">
        <f>AJ10+BD10</f>
        <v>49.15</v>
      </c>
      <c r="BI10" s="700">
        <f>AK10+BE10</f>
        <v>33</v>
      </c>
    </row>
    <row r="11" spans="3:61" s="119" customFormat="1" ht="5.25" customHeight="1">
      <c r="D11" s="120"/>
      <c r="E11" s="120"/>
      <c r="F11" s="120"/>
      <c r="H11" s="122"/>
      <c r="I11" s="122"/>
      <c r="J11" s="125"/>
      <c r="K11" s="126"/>
      <c r="L11" s="126"/>
      <c r="M11" s="126"/>
      <c r="N11" s="125"/>
      <c r="O11" s="126"/>
      <c r="P11" s="126"/>
      <c r="Q11" s="126"/>
      <c r="R11" s="125"/>
      <c r="S11" s="126"/>
      <c r="T11" s="126"/>
      <c r="U11" s="126"/>
      <c r="V11" s="125"/>
      <c r="W11" s="126"/>
      <c r="X11" s="126"/>
      <c r="Y11" s="126"/>
      <c r="Z11" s="125"/>
      <c r="AA11" s="126"/>
      <c r="AB11" s="126"/>
      <c r="AC11" s="126"/>
      <c r="AD11" s="125"/>
      <c r="AE11" s="126"/>
      <c r="AF11" s="126"/>
      <c r="AG11" s="126"/>
      <c r="AH11" s="125"/>
      <c r="AI11" s="126"/>
      <c r="AJ11" s="126"/>
      <c r="AK11" s="126"/>
      <c r="AL11" s="125"/>
      <c r="AM11" s="126"/>
      <c r="AN11" s="126"/>
      <c r="AO11" s="126"/>
      <c r="AP11" s="125"/>
      <c r="AQ11" s="126"/>
      <c r="AR11" s="126"/>
      <c r="AS11" s="126"/>
      <c r="AT11" s="125"/>
      <c r="AU11" s="126"/>
      <c r="AV11" s="126"/>
      <c r="AW11" s="126"/>
      <c r="AX11" s="125"/>
      <c r="AY11" s="126"/>
      <c r="AZ11" s="126"/>
      <c r="BA11" s="126"/>
      <c r="BB11" s="125"/>
      <c r="BC11" s="126"/>
      <c r="BD11" s="126"/>
      <c r="BE11" s="126"/>
      <c r="BF11" s="125"/>
      <c r="BG11" s="126"/>
    </row>
    <row r="12" spans="3:61" ht="19.5" thickBot="1">
      <c r="C12" s="1019"/>
      <c r="D12" s="1017"/>
      <c r="E12" s="1017"/>
      <c r="F12" s="1023"/>
      <c r="H12" s="1867" t="s">
        <v>114</v>
      </c>
      <c r="I12" s="1868"/>
      <c r="J12" s="1868"/>
      <c r="K12" s="1868"/>
      <c r="L12" s="1868"/>
      <c r="M12" s="1868"/>
      <c r="N12" s="1868"/>
      <c r="O12" s="1868"/>
      <c r="P12" s="1868"/>
      <c r="Q12" s="1868"/>
      <c r="R12" s="1868"/>
      <c r="S12" s="1868"/>
      <c r="T12" s="1868"/>
      <c r="U12" s="1868"/>
      <c r="V12" s="1868"/>
      <c r="W12" s="1868"/>
      <c r="X12" s="1868"/>
      <c r="Y12" s="1868"/>
      <c r="Z12" s="1868"/>
      <c r="AA12" s="1868"/>
      <c r="AB12" s="1868"/>
      <c r="AC12" s="1868"/>
      <c r="AD12" s="1868"/>
      <c r="AE12" s="1868"/>
      <c r="AF12" s="1868"/>
      <c r="AG12" s="1868"/>
      <c r="AH12" s="1868"/>
      <c r="AI12" s="1868"/>
      <c r="AJ12" s="1868"/>
      <c r="AK12" s="1868"/>
      <c r="AL12" s="1868"/>
      <c r="AM12" s="1868"/>
      <c r="AN12" s="1868"/>
      <c r="AO12" s="1868"/>
      <c r="AP12" s="1868"/>
      <c r="AQ12" s="1868"/>
      <c r="AR12" s="1868"/>
      <c r="AS12" s="1868"/>
      <c r="AT12" s="1868"/>
      <c r="AU12" s="1868"/>
      <c r="AV12" s="1868"/>
      <c r="AW12" s="1868"/>
      <c r="AX12" s="1868"/>
      <c r="AY12" s="1868"/>
      <c r="AZ12" s="1868"/>
      <c r="BA12" s="1868"/>
      <c r="BB12" s="1868"/>
      <c r="BC12" s="1868"/>
      <c r="BD12" s="1868"/>
      <c r="BE12" s="1868"/>
      <c r="BF12" s="1868"/>
      <c r="BG12" s="1868"/>
      <c r="BH12" s="1868"/>
      <c r="BI12" s="1868"/>
    </row>
    <row r="13" spans="3:61" ht="18.75" customHeight="1">
      <c r="C13" s="37" t="s">
        <v>44</v>
      </c>
      <c r="D13" s="1869"/>
      <c r="E13" s="1869"/>
      <c r="F13" s="1870"/>
      <c r="H13" s="1895" t="s">
        <v>117</v>
      </c>
      <c r="I13" s="1896"/>
      <c r="J13" s="1890" t="s">
        <v>43</v>
      </c>
      <c r="K13" s="1891"/>
      <c r="L13" s="1891"/>
      <c r="M13" s="1892"/>
      <c r="N13" s="1890" t="s">
        <v>42</v>
      </c>
      <c r="O13" s="1891"/>
      <c r="P13" s="1891"/>
      <c r="Q13" s="1892"/>
      <c r="R13" s="1890" t="s">
        <v>41</v>
      </c>
      <c r="S13" s="1891"/>
      <c r="T13" s="1891"/>
      <c r="U13" s="1892"/>
      <c r="V13" s="1890" t="s">
        <v>40</v>
      </c>
      <c r="W13" s="1891"/>
      <c r="X13" s="1891"/>
      <c r="Y13" s="1892"/>
      <c r="Z13" s="1890" t="s">
        <v>39</v>
      </c>
      <c r="AA13" s="1891"/>
      <c r="AB13" s="1891"/>
      <c r="AC13" s="1892"/>
      <c r="AD13" s="1890" t="s">
        <v>38</v>
      </c>
      <c r="AE13" s="1891"/>
      <c r="AF13" s="1891"/>
      <c r="AG13" s="1892"/>
      <c r="AH13" s="1882" t="s">
        <v>122</v>
      </c>
      <c r="AI13" s="1883"/>
      <c r="AJ13" s="1883"/>
      <c r="AK13" s="1884"/>
      <c r="AL13" s="1890" t="s">
        <v>37</v>
      </c>
      <c r="AM13" s="1891"/>
      <c r="AN13" s="1891"/>
      <c r="AO13" s="1892"/>
      <c r="AP13" s="1890" t="s">
        <v>36</v>
      </c>
      <c r="AQ13" s="1891"/>
      <c r="AR13" s="1891"/>
      <c r="AS13" s="1892"/>
      <c r="AT13" s="1890" t="s">
        <v>35</v>
      </c>
      <c r="AU13" s="1891"/>
      <c r="AV13" s="1891"/>
      <c r="AW13" s="1892"/>
      <c r="AX13" s="1890" t="s">
        <v>34</v>
      </c>
      <c r="AY13" s="1891"/>
      <c r="AZ13" s="1891"/>
      <c r="BA13" s="1892"/>
      <c r="BB13" s="1882" t="s">
        <v>123</v>
      </c>
      <c r="BC13" s="1883"/>
      <c r="BD13" s="1883"/>
      <c r="BE13" s="1884"/>
      <c r="BF13" s="1880" t="s">
        <v>17</v>
      </c>
      <c r="BG13" s="1881"/>
      <c r="BH13" s="1881"/>
      <c r="BI13" s="1881"/>
    </row>
    <row r="14" spans="3:61" ht="27" customHeight="1">
      <c r="C14" s="1879" t="s">
        <v>33</v>
      </c>
      <c r="D14" s="1869"/>
      <c r="E14" s="1017" t="s">
        <v>1</v>
      </c>
      <c r="F14" s="1023" t="s">
        <v>2</v>
      </c>
      <c r="H14" s="1897"/>
      <c r="I14" s="1898"/>
      <c r="J14" s="36" t="s">
        <v>1</v>
      </c>
      <c r="K14" s="271" t="s">
        <v>2</v>
      </c>
      <c r="L14" s="271" t="s">
        <v>182</v>
      </c>
      <c r="M14" s="35" t="s">
        <v>247</v>
      </c>
      <c r="N14" s="36" t="s">
        <v>1</v>
      </c>
      <c r="O14" s="271" t="s">
        <v>2</v>
      </c>
      <c r="P14" s="271" t="s">
        <v>182</v>
      </c>
      <c r="Q14" s="35" t="s">
        <v>247</v>
      </c>
      <c r="R14" s="36" t="s">
        <v>1</v>
      </c>
      <c r="S14" s="271" t="s">
        <v>2</v>
      </c>
      <c r="T14" s="271" t="s">
        <v>182</v>
      </c>
      <c r="U14" s="35" t="s">
        <v>247</v>
      </c>
      <c r="V14" s="36" t="s">
        <v>1</v>
      </c>
      <c r="W14" s="271" t="s">
        <v>2</v>
      </c>
      <c r="X14" s="271" t="s">
        <v>182</v>
      </c>
      <c r="Y14" s="35" t="s">
        <v>247</v>
      </c>
      <c r="Z14" s="36" t="s">
        <v>1</v>
      </c>
      <c r="AA14" s="271" t="s">
        <v>2</v>
      </c>
      <c r="AB14" s="271" t="s">
        <v>182</v>
      </c>
      <c r="AC14" s="35" t="s">
        <v>247</v>
      </c>
      <c r="AD14" s="36" t="s">
        <v>1</v>
      </c>
      <c r="AE14" s="271" t="s">
        <v>2</v>
      </c>
      <c r="AF14" s="271" t="s">
        <v>182</v>
      </c>
      <c r="AG14" s="35" t="s">
        <v>247</v>
      </c>
      <c r="AH14" s="36" t="s">
        <v>1</v>
      </c>
      <c r="AI14" s="271" t="s">
        <v>2</v>
      </c>
      <c r="AJ14" s="271" t="s">
        <v>182</v>
      </c>
      <c r="AK14" s="690" t="s">
        <v>196</v>
      </c>
      <c r="AL14" s="36" t="s">
        <v>1</v>
      </c>
      <c r="AM14" s="271" t="s">
        <v>2</v>
      </c>
      <c r="AN14" s="271" t="s">
        <v>182</v>
      </c>
      <c r="AO14" s="35" t="s">
        <v>247</v>
      </c>
      <c r="AP14" s="36" t="s">
        <v>1</v>
      </c>
      <c r="AQ14" s="271" t="s">
        <v>2</v>
      </c>
      <c r="AR14" s="271" t="s">
        <v>182</v>
      </c>
      <c r="AS14" s="35" t="s">
        <v>247</v>
      </c>
      <c r="AT14" s="36" t="s">
        <v>1</v>
      </c>
      <c r="AU14" s="271" t="s">
        <v>2</v>
      </c>
      <c r="AV14" s="271" t="s">
        <v>182</v>
      </c>
      <c r="AW14" s="35" t="s">
        <v>247</v>
      </c>
      <c r="AX14" s="36" t="s">
        <v>1</v>
      </c>
      <c r="AY14" s="271" t="s">
        <v>2</v>
      </c>
      <c r="AZ14" s="271" t="s">
        <v>182</v>
      </c>
      <c r="BA14" s="35" t="s">
        <v>247</v>
      </c>
      <c r="BB14" s="36" t="s">
        <v>1</v>
      </c>
      <c r="BC14" s="271" t="s">
        <v>2</v>
      </c>
      <c r="BD14" s="271" t="s">
        <v>182</v>
      </c>
      <c r="BE14" s="690" t="s">
        <v>196</v>
      </c>
      <c r="BF14" s="274" t="s">
        <v>1</v>
      </c>
      <c r="BG14" s="275" t="s">
        <v>2</v>
      </c>
      <c r="BH14" s="275" t="s">
        <v>182</v>
      </c>
      <c r="BI14" s="703" t="s">
        <v>196</v>
      </c>
    </row>
    <row r="15" spans="3:61" s="28" customFormat="1" ht="20.100000000000001" customHeight="1">
      <c r="C15" s="1879" t="s">
        <v>28</v>
      </c>
      <c r="D15" s="1017" t="s">
        <v>27</v>
      </c>
      <c r="E15" s="1021"/>
      <c r="F15" s="34"/>
      <c r="H15" s="1888" t="s">
        <v>112</v>
      </c>
      <c r="I15" s="33" t="s">
        <v>27</v>
      </c>
      <c r="J15" s="462"/>
      <c r="K15" s="463"/>
      <c r="L15" s="463"/>
      <c r="M15" s="692"/>
      <c r="N15" s="462"/>
      <c r="O15" s="463"/>
      <c r="P15" s="463"/>
      <c r="Q15" s="692"/>
      <c r="R15" s="462"/>
      <c r="S15" s="463"/>
      <c r="T15" s="463"/>
      <c r="U15" s="692"/>
      <c r="V15" s="462"/>
      <c r="W15" s="463"/>
      <c r="X15" s="463"/>
      <c r="Y15" s="692"/>
      <c r="Z15" s="462"/>
      <c r="AA15" s="463"/>
      <c r="AB15" s="463"/>
      <c r="AC15" s="692"/>
      <c r="AD15" s="462"/>
      <c r="AE15" s="463"/>
      <c r="AF15" s="463"/>
      <c r="AG15" s="692"/>
      <c r="AH15" s="128">
        <f>J15+N15+R15+V15+Z15+AD15</f>
        <v>0</v>
      </c>
      <c r="AI15" s="273">
        <f>K15+O15+S15+W15+AA15+AE15</f>
        <v>0</v>
      </c>
      <c r="AJ15" s="273">
        <f>L15+P15+T15+X15+AB15+AF15</f>
        <v>0</v>
      </c>
      <c r="AK15" s="694">
        <f>M15+Q15+U15+Y15+AC15+AG15</f>
        <v>0</v>
      </c>
      <c r="AL15" s="462"/>
      <c r="AM15" s="463"/>
      <c r="AN15" s="463"/>
      <c r="AO15" s="692"/>
      <c r="AP15" s="462"/>
      <c r="AQ15" s="463"/>
      <c r="AR15" s="463"/>
      <c r="AS15" s="692"/>
      <c r="AT15" s="462"/>
      <c r="AU15" s="463"/>
      <c r="AV15" s="463"/>
      <c r="AW15" s="692"/>
      <c r="AX15" s="462"/>
      <c r="AY15" s="463"/>
      <c r="AZ15" s="463"/>
      <c r="BA15" s="692"/>
      <c r="BB15" s="128">
        <f>AL15+AP15+AT15+AX15</f>
        <v>0</v>
      </c>
      <c r="BC15" s="273">
        <f>AM15+AQ15+AU15+AY15</f>
        <v>0</v>
      </c>
      <c r="BD15" s="273">
        <f>AN15+AR15+AV15+AZ15</f>
        <v>0</v>
      </c>
      <c r="BE15" s="273">
        <f>AO15+AS15+AW15+BA15</f>
        <v>0</v>
      </c>
      <c r="BF15" s="276">
        <f t="shared" ref="BF15:BI23" si="4">AH15+BB15</f>
        <v>0</v>
      </c>
      <c r="BG15" s="277">
        <f t="shared" si="4"/>
        <v>0</v>
      </c>
      <c r="BH15" s="277">
        <f t="shared" si="4"/>
        <v>0</v>
      </c>
      <c r="BI15" s="704">
        <f t="shared" si="4"/>
        <v>0</v>
      </c>
    </row>
    <row r="16" spans="3:61" s="28" customFormat="1" ht="20.100000000000001" customHeight="1">
      <c r="C16" s="1879"/>
      <c r="D16" s="1017" t="s">
        <v>26</v>
      </c>
      <c r="E16" s="1017"/>
      <c r="F16" s="1018"/>
      <c r="H16" s="1889"/>
      <c r="I16" s="33" t="s">
        <v>26</v>
      </c>
      <c r="J16" s="462"/>
      <c r="K16" s="463"/>
      <c r="L16" s="463"/>
      <c r="M16" s="692"/>
      <c r="N16" s="462"/>
      <c r="O16" s="463"/>
      <c r="P16" s="463"/>
      <c r="Q16" s="692"/>
      <c r="R16" s="462"/>
      <c r="S16" s="463"/>
      <c r="T16" s="463"/>
      <c r="U16" s="692"/>
      <c r="V16" s="462"/>
      <c r="W16" s="463"/>
      <c r="X16" s="463"/>
      <c r="Y16" s="692"/>
      <c r="Z16" s="462"/>
      <c r="AA16" s="463"/>
      <c r="AB16" s="463"/>
      <c r="AC16" s="692"/>
      <c r="AD16" s="462"/>
      <c r="AE16" s="463"/>
      <c r="AF16" s="463"/>
      <c r="AG16" s="692"/>
      <c r="AH16" s="128">
        <f t="shared" ref="AH16:AK23" si="5">J16+N16+R16+V16+Z16+AD16</f>
        <v>0</v>
      </c>
      <c r="AI16" s="273">
        <f t="shared" si="5"/>
        <v>0</v>
      </c>
      <c r="AJ16" s="273">
        <f t="shared" si="5"/>
        <v>0</v>
      </c>
      <c r="AK16" s="694">
        <f t="shared" si="5"/>
        <v>0</v>
      </c>
      <c r="AL16" s="462"/>
      <c r="AM16" s="463"/>
      <c r="AN16" s="463"/>
      <c r="AO16" s="692"/>
      <c r="AP16" s="462"/>
      <c r="AQ16" s="463"/>
      <c r="AR16" s="463"/>
      <c r="AS16" s="692"/>
      <c r="AT16" s="462"/>
      <c r="AU16" s="463"/>
      <c r="AV16" s="463"/>
      <c r="AW16" s="692"/>
      <c r="AX16" s="462"/>
      <c r="AY16" s="463"/>
      <c r="AZ16" s="463"/>
      <c r="BA16" s="692"/>
      <c r="BB16" s="128">
        <f t="shared" ref="BB16:BE23" si="6">AL16+AP16+AT16+AX16</f>
        <v>0</v>
      </c>
      <c r="BC16" s="273">
        <f t="shared" si="6"/>
        <v>0</v>
      </c>
      <c r="BD16" s="273">
        <f t="shared" si="6"/>
        <v>0</v>
      </c>
      <c r="BE16" s="273">
        <f t="shared" si="6"/>
        <v>0</v>
      </c>
      <c r="BF16" s="276">
        <f t="shared" si="4"/>
        <v>0</v>
      </c>
      <c r="BG16" s="277">
        <f t="shared" si="4"/>
        <v>0</v>
      </c>
      <c r="BH16" s="277">
        <f t="shared" si="4"/>
        <v>0</v>
      </c>
      <c r="BI16" s="704">
        <f t="shared" si="4"/>
        <v>0</v>
      </c>
    </row>
    <row r="17" spans="3:61" s="28" customFormat="1" ht="23.25" customHeight="1">
      <c r="C17" s="1879"/>
      <c r="D17" s="1017" t="s">
        <v>25</v>
      </c>
      <c r="E17" s="1017"/>
      <c r="F17" s="1018"/>
      <c r="H17" s="1889"/>
      <c r="I17" s="33" t="s">
        <v>25</v>
      </c>
      <c r="J17" s="462"/>
      <c r="K17" s="463"/>
      <c r="L17" s="463"/>
      <c r="M17" s="692"/>
      <c r="N17" s="462"/>
      <c r="O17" s="463"/>
      <c r="P17" s="463"/>
      <c r="Q17" s="692"/>
      <c r="R17" s="462"/>
      <c r="S17" s="463"/>
      <c r="T17" s="463"/>
      <c r="U17" s="692"/>
      <c r="V17" s="462">
        <v>6</v>
      </c>
      <c r="W17" s="463"/>
      <c r="X17" s="463"/>
      <c r="Y17" s="692"/>
      <c r="Z17" s="462"/>
      <c r="AA17" s="463"/>
      <c r="AB17" s="463"/>
      <c r="AC17" s="692"/>
      <c r="AD17" s="462"/>
      <c r="AE17" s="463"/>
      <c r="AF17" s="463"/>
      <c r="AG17" s="692"/>
      <c r="AH17" s="128">
        <f t="shared" si="5"/>
        <v>6</v>
      </c>
      <c r="AI17" s="273">
        <f t="shared" si="5"/>
        <v>0</v>
      </c>
      <c r="AJ17" s="273">
        <f t="shared" si="5"/>
        <v>0</v>
      </c>
      <c r="AK17" s="694">
        <f t="shared" si="5"/>
        <v>0</v>
      </c>
      <c r="AL17" s="462"/>
      <c r="AM17" s="463"/>
      <c r="AN17" s="463"/>
      <c r="AO17" s="692"/>
      <c r="AP17" s="462"/>
      <c r="AQ17" s="463"/>
      <c r="AR17" s="463"/>
      <c r="AS17" s="692"/>
      <c r="AT17" s="462"/>
      <c r="AU17" s="463"/>
      <c r="AV17" s="463"/>
      <c r="AW17" s="692"/>
      <c r="AX17" s="462"/>
      <c r="AY17" s="463"/>
      <c r="AZ17" s="463"/>
      <c r="BA17" s="692"/>
      <c r="BB17" s="128">
        <f t="shared" si="6"/>
        <v>0</v>
      </c>
      <c r="BC17" s="273">
        <f t="shared" si="6"/>
        <v>0</v>
      </c>
      <c r="BD17" s="273">
        <f t="shared" si="6"/>
        <v>0</v>
      </c>
      <c r="BE17" s="273">
        <f t="shared" si="6"/>
        <v>0</v>
      </c>
      <c r="BF17" s="276">
        <f t="shared" si="4"/>
        <v>6</v>
      </c>
      <c r="BG17" s="277">
        <f t="shared" si="4"/>
        <v>0</v>
      </c>
      <c r="BH17" s="277">
        <f t="shared" si="4"/>
        <v>0</v>
      </c>
      <c r="BI17" s="704">
        <f t="shared" si="4"/>
        <v>0</v>
      </c>
    </row>
    <row r="18" spans="3:61" s="28" customFormat="1" ht="21">
      <c r="C18" s="1879"/>
      <c r="D18" s="1017" t="s">
        <v>24</v>
      </c>
      <c r="E18" s="1017"/>
      <c r="F18" s="1018"/>
      <c r="H18" s="1889"/>
      <c r="I18" s="33" t="s">
        <v>24</v>
      </c>
      <c r="J18" s="462"/>
      <c r="K18" s="463"/>
      <c r="L18" s="463"/>
      <c r="M18" s="692"/>
      <c r="N18" s="462"/>
      <c r="O18" s="463"/>
      <c r="P18" s="463"/>
      <c r="Q18" s="692"/>
      <c r="R18" s="462"/>
      <c r="S18" s="463"/>
      <c r="T18" s="463"/>
      <c r="U18" s="692"/>
      <c r="V18" s="462"/>
      <c r="W18" s="463"/>
      <c r="X18" s="463"/>
      <c r="Y18" s="692"/>
      <c r="Z18" s="462"/>
      <c r="AA18" s="463"/>
      <c r="AB18" s="463"/>
      <c r="AC18" s="692"/>
      <c r="AD18" s="462"/>
      <c r="AE18" s="463"/>
      <c r="AF18" s="463"/>
      <c r="AG18" s="692"/>
      <c r="AH18" s="128">
        <f t="shared" si="5"/>
        <v>0</v>
      </c>
      <c r="AI18" s="273">
        <f t="shared" si="5"/>
        <v>0</v>
      </c>
      <c r="AJ18" s="273">
        <f t="shared" si="5"/>
        <v>0</v>
      </c>
      <c r="AK18" s="694">
        <f t="shared" si="5"/>
        <v>0</v>
      </c>
      <c r="AL18" s="462"/>
      <c r="AM18" s="463"/>
      <c r="AN18" s="463"/>
      <c r="AO18" s="692"/>
      <c r="AP18" s="462"/>
      <c r="AQ18" s="463"/>
      <c r="AR18" s="463"/>
      <c r="AS18" s="692"/>
      <c r="AT18" s="462"/>
      <c r="AU18" s="463"/>
      <c r="AV18" s="463"/>
      <c r="AW18" s="692"/>
      <c r="AX18" s="462"/>
      <c r="AY18" s="463"/>
      <c r="AZ18" s="463"/>
      <c r="BA18" s="692"/>
      <c r="BB18" s="128">
        <f t="shared" si="6"/>
        <v>0</v>
      </c>
      <c r="BC18" s="273">
        <f t="shared" si="6"/>
        <v>0</v>
      </c>
      <c r="BD18" s="273">
        <f t="shared" si="6"/>
        <v>0</v>
      </c>
      <c r="BE18" s="273">
        <f t="shared" si="6"/>
        <v>0</v>
      </c>
      <c r="BF18" s="276">
        <f t="shared" si="4"/>
        <v>0</v>
      </c>
      <c r="BG18" s="277">
        <f t="shared" si="4"/>
        <v>0</v>
      </c>
      <c r="BH18" s="277">
        <f t="shared" si="4"/>
        <v>0</v>
      </c>
      <c r="BI18" s="704">
        <f t="shared" si="4"/>
        <v>0</v>
      </c>
    </row>
    <row r="19" spans="3:61" s="28" customFormat="1" ht="20.100000000000001" customHeight="1">
      <c r="C19" s="1879"/>
      <c r="D19" s="1017" t="s">
        <v>23</v>
      </c>
      <c r="E19" s="1017"/>
      <c r="F19" s="1018"/>
      <c r="H19" s="1889"/>
      <c r="I19" s="33" t="s">
        <v>23</v>
      </c>
      <c r="J19" s="462"/>
      <c r="K19" s="463"/>
      <c r="L19" s="463"/>
      <c r="M19" s="692"/>
      <c r="N19" s="462"/>
      <c r="O19" s="463"/>
      <c r="P19" s="463"/>
      <c r="Q19" s="692"/>
      <c r="R19" s="462"/>
      <c r="S19" s="463"/>
      <c r="T19" s="463"/>
      <c r="U19" s="692"/>
      <c r="V19" s="462"/>
      <c r="W19" s="463"/>
      <c r="X19" s="463"/>
      <c r="Y19" s="692"/>
      <c r="Z19" s="462"/>
      <c r="AA19" s="463"/>
      <c r="AB19" s="463"/>
      <c r="AC19" s="692"/>
      <c r="AD19" s="462"/>
      <c r="AE19" s="463"/>
      <c r="AF19" s="463"/>
      <c r="AG19" s="692"/>
      <c r="AH19" s="128">
        <f t="shared" si="5"/>
        <v>0</v>
      </c>
      <c r="AI19" s="273">
        <f t="shared" si="5"/>
        <v>0</v>
      </c>
      <c r="AJ19" s="273">
        <f t="shared" si="5"/>
        <v>0</v>
      </c>
      <c r="AK19" s="694">
        <f t="shared" si="5"/>
        <v>0</v>
      </c>
      <c r="AL19" s="1012"/>
      <c r="AM19" s="463"/>
      <c r="AN19" s="463"/>
      <c r="AO19" s="692"/>
      <c r="AP19" s="462"/>
      <c r="AQ19" s="463"/>
      <c r="AR19" s="463"/>
      <c r="AS19" s="692"/>
      <c r="AT19" s="462"/>
      <c r="AU19" s="463"/>
      <c r="AV19" s="463"/>
      <c r="AW19" s="692"/>
      <c r="AX19" s="462"/>
      <c r="AY19" s="463"/>
      <c r="AZ19" s="463"/>
      <c r="BA19" s="692"/>
      <c r="BB19" s="128">
        <f t="shared" si="6"/>
        <v>0</v>
      </c>
      <c r="BC19" s="273">
        <f t="shared" si="6"/>
        <v>0</v>
      </c>
      <c r="BD19" s="273">
        <f t="shared" si="6"/>
        <v>0</v>
      </c>
      <c r="BE19" s="273">
        <f t="shared" si="6"/>
        <v>0</v>
      </c>
      <c r="BF19" s="276">
        <f t="shared" si="4"/>
        <v>0</v>
      </c>
      <c r="BG19" s="277">
        <f t="shared" si="4"/>
        <v>0</v>
      </c>
      <c r="BH19" s="277">
        <f t="shared" si="4"/>
        <v>0</v>
      </c>
      <c r="BI19" s="704">
        <f t="shared" si="4"/>
        <v>0</v>
      </c>
    </row>
    <row r="20" spans="3:61" s="28" customFormat="1" ht="20.100000000000001" customHeight="1">
      <c r="C20" s="1879"/>
      <c r="D20" s="1017" t="s">
        <v>22</v>
      </c>
      <c r="E20" s="1017"/>
      <c r="F20" s="1018"/>
      <c r="H20" s="1889"/>
      <c r="I20" s="33" t="s">
        <v>22</v>
      </c>
      <c r="J20" s="462"/>
      <c r="K20" s="463"/>
      <c r="L20" s="463"/>
      <c r="M20" s="692"/>
      <c r="N20" s="462"/>
      <c r="O20" s="463"/>
      <c r="P20" s="463"/>
      <c r="Q20" s="692"/>
      <c r="R20" s="462"/>
      <c r="S20" s="463"/>
      <c r="T20" s="463"/>
      <c r="U20" s="692"/>
      <c r="V20" s="462"/>
      <c r="W20" s="463"/>
      <c r="X20" s="463"/>
      <c r="Y20" s="692"/>
      <c r="Z20" s="462"/>
      <c r="AA20" s="463"/>
      <c r="AB20" s="463"/>
      <c r="AC20" s="692"/>
      <c r="AD20" s="462"/>
      <c r="AE20" s="463"/>
      <c r="AF20" s="463"/>
      <c r="AG20" s="692"/>
      <c r="AH20" s="128">
        <f t="shared" si="5"/>
        <v>0</v>
      </c>
      <c r="AI20" s="273">
        <f t="shared" si="5"/>
        <v>0</v>
      </c>
      <c r="AJ20" s="273">
        <f t="shared" si="5"/>
        <v>0</v>
      </c>
      <c r="AK20" s="694">
        <f t="shared" si="5"/>
        <v>0</v>
      </c>
      <c r="AL20" s="462"/>
      <c r="AM20" s="463"/>
      <c r="AN20" s="463"/>
      <c r="AO20" s="692">
        <v>17.7</v>
      </c>
      <c r="AP20" s="462">
        <v>15</v>
      </c>
      <c r="AQ20" s="463"/>
      <c r="AR20" s="463"/>
      <c r="AS20" s="692"/>
      <c r="AT20" s="462"/>
      <c r="AU20" s="463"/>
      <c r="AV20" s="463"/>
      <c r="AW20" s="692"/>
      <c r="AX20" s="462"/>
      <c r="AY20" s="463"/>
      <c r="AZ20" s="463"/>
      <c r="BA20" s="692"/>
      <c r="BB20" s="128">
        <f t="shared" si="6"/>
        <v>15</v>
      </c>
      <c r="BC20" s="273">
        <f t="shared" si="6"/>
        <v>0</v>
      </c>
      <c r="BD20" s="273">
        <f t="shared" si="6"/>
        <v>0</v>
      </c>
      <c r="BE20" s="273">
        <f t="shared" si="6"/>
        <v>17.7</v>
      </c>
      <c r="BF20" s="276">
        <f t="shared" si="4"/>
        <v>15</v>
      </c>
      <c r="BG20" s="277">
        <f t="shared" si="4"/>
        <v>0</v>
      </c>
      <c r="BH20" s="277">
        <f t="shared" si="4"/>
        <v>0</v>
      </c>
      <c r="BI20" s="704">
        <f t="shared" si="4"/>
        <v>17.7</v>
      </c>
    </row>
    <row r="21" spans="3:61" s="28" customFormat="1" ht="20.100000000000001" customHeight="1">
      <c r="C21" s="1885"/>
      <c r="D21" s="1017"/>
      <c r="E21" s="1017"/>
      <c r="F21" s="1018"/>
      <c r="H21" s="1889"/>
      <c r="I21" s="33" t="s">
        <v>21</v>
      </c>
      <c r="J21" s="462"/>
      <c r="K21" s="463"/>
      <c r="L21" s="463"/>
      <c r="M21" s="692"/>
      <c r="N21" s="462"/>
      <c r="O21" s="463"/>
      <c r="P21" s="463"/>
      <c r="Q21" s="692"/>
      <c r="R21" s="462"/>
      <c r="S21" s="463"/>
      <c r="T21" s="463"/>
      <c r="U21" s="692"/>
      <c r="V21" s="462"/>
      <c r="W21" s="463"/>
      <c r="X21" s="463"/>
      <c r="Y21" s="692"/>
      <c r="Z21" s="462"/>
      <c r="AA21" s="463"/>
      <c r="AB21" s="463"/>
      <c r="AC21" s="692"/>
      <c r="AD21" s="462"/>
      <c r="AE21" s="463"/>
      <c r="AF21" s="463"/>
      <c r="AG21" s="692"/>
      <c r="AH21" s="128">
        <f t="shared" si="5"/>
        <v>0</v>
      </c>
      <c r="AI21" s="273">
        <f t="shared" si="5"/>
        <v>0</v>
      </c>
      <c r="AJ21" s="273">
        <f t="shared" si="5"/>
        <v>0</v>
      </c>
      <c r="AK21" s="694">
        <f t="shared" si="5"/>
        <v>0</v>
      </c>
      <c r="AL21" s="462"/>
      <c r="AM21" s="463"/>
      <c r="AN21" s="463"/>
      <c r="AO21" s="692"/>
      <c r="AP21" s="462"/>
      <c r="AQ21" s="463"/>
      <c r="AR21" s="463"/>
      <c r="AS21" s="692"/>
      <c r="AT21" s="462"/>
      <c r="AU21" s="463"/>
      <c r="AV21" s="463"/>
      <c r="AW21" s="692"/>
      <c r="AX21" s="462"/>
      <c r="AY21" s="463"/>
      <c r="AZ21" s="463"/>
      <c r="BA21" s="692"/>
      <c r="BB21" s="128">
        <f t="shared" si="6"/>
        <v>0</v>
      </c>
      <c r="BC21" s="273">
        <f t="shared" si="6"/>
        <v>0</v>
      </c>
      <c r="BD21" s="273">
        <f t="shared" si="6"/>
        <v>0</v>
      </c>
      <c r="BE21" s="273">
        <f t="shared" si="6"/>
        <v>0</v>
      </c>
      <c r="BF21" s="276">
        <f t="shared" si="4"/>
        <v>0</v>
      </c>
      <c r="BG21" s="277">
        <f t="shared" si="4"/>
        <v>0</v>
      </c>
      <c r="BH21" s="277">
        <f t="shared" si="4"/>
        <v>0</v>
      </c>
      <c r="BI21" s="704">
        <f t="shared" si="4"/>
        <v>0</v>
      </c>
    </row>
    <row r="22" spans="3:61" s="28" customFormat="1" ht="20.100000000000001" customHeight="1">
      <c r="C22" s="1885"/>
      <c r="D22" s="1017"/>
      <c r="E22" s="1017"/>
      <c r="F22" s="1018"/>
      <c r="H22" s="1889"/>
      <c r="I22" s="33" t="s">
        <v>20</v>
      </c>
      <c r="J22" s="462"/>
      <c r="K22" s="463"/>
      <c r="L22" s="463"/>
      <c r="M22" s="692"/>
      <c r="N22" s="462"/>
      <c r="O22" s="463"/>
      <c r="P22" s="463"/>
      <c r="Q22" s="692"/>
      <c r="R22" s="462"/>
      <c r="S22" s="463"/>
      <c r="T22" s="463"/>
      <c r="U22" s="692"/>
      <c r="V22" s="462"/>
      <c r="W22" s="463"/>
      <c r="X22" s="463"/>
      <c r="Y22" s="692"/>
      <c r="Z22" s="462"/>
      <c r="AA22" s="463"/>
      <c r="AB22" s="463"/>
      <c r="AC22" s="692"/>
      <c r="AD22" s="462"/>
      <c r="AE22" s="463"/>
      <c r="AF22" s="463"/>
      <c r="AG22" s="692"/>
      <c r="AH22" s="128">
        <f t="shared" si="5"/>
        <v>0</v>
      </c>
      <c r="AI22" s="273">
        <f t="shared" si="5"/>
        <v>0</v>
      </c>
      <c r="AJ22" s="273">
        <f t="shared" si="5"/>
        <v>0</v>
      </c>
      <c r="AK22" s="694">
        <f t="shared" si="5"/>
        <v>0</v>
      </c>
      <c r="AL22" s="462"/>
      <c r="AM22" s="463"/>
      <c r="AN22" s="463"/>
      <c r="AO22" s="692"/>
      <c r="AP22" s="462"/>
      <c r="AQ22" s="463"/>
      <c r="AR22" s="463"/>
      <c r="AS22" s="692"/>
      <c r="AT22" s="462"/>
      <c r="AU22" s="463"/>
      <c r="AV22" s="463"/>
      <c r="AW22" s="692"/>
      <c r="AX22" s="462"/>
      <c r="AY22" s="463"/>
      <c r="AZ22" s="463"/>
      <c r="BA22" s="692"/>
      <c r="BB22" s="128">
        <f t="shared" si="6"/>
        <v>0</v>
      </c>
      <c r="BC22" s="273">
        <f t="shared" si="6"/>
        <v>0</v>
      </c>
      <c r="BD22" s="273">
        <f t="shared" si="6"/>
        <v>0</v>
      </c>
      <c r="BE22" s="273">
        <f t="shared" si="6"/>
        <v>0</v>
      </c>
      <c r="BF22" s="276">
        <f t="shared" si="4"/>
        <v>0</v>
      </c>
      <c r="BG22" s="277">
        <f t="shared" si="4"/>
        <v>0</v>
      </c>
      <c r="BH22" s="277">
        <f t="shared" si="4"/>
        <v>0</v>
      </c>
      <c r="BI22" s="704">
        <f t="shared" si="4"/>
        <v>0</v>
      </c>
    </row>
    <row r="23" spans="3:61" s="28" customFormat="1" ht="20.100000000000001" customHeight="1">
      <c r="C23" s="1885"/>
      <c r="D23" s="1017"/>
      <c r="E23" s="1017"/>
      <c r="F23" s="1018"/>
      <c r="H23" s="1889"/>
      <c r="I23" s="33" t="s">
        <v>19</v>
      </c>
      <c r="J23" s="462"/>
      <c r="K23" s="463"/>
      <c r="L23" s="463"/>
      <c r="M23" s="692"/>
      <c r="N23" s="462"/>
      <c r="O23" s="463"/>
      <c r="P23" s="463"/>
      <c r="Q23" s="692"/>
      <c r="R23" s="462"/>
      <c r="S23" s="463"/>
      <c r="T23" s="463"/>
      <c r="U23" s="692"/>
      <c r="V23" s="462"/>
      <c r="W23" s="463"/>
      <c r="X23" s="463"/>
      <c r="Y23" s="692"/>
      <c r="Z23" s="462"/>
      <c r="AA23" s="463"/>
      <c r="AB23" s="463"/>
      <c r="AC23" s="692"/>
      <c r="AD23" s="462"/>
      <c r="AE23" s="463"/>
      <c r="AF23" s="463"/>
      <c r="AG23" s="692"/>
      <c r="AH23" s="128">
        <f t="shared" si="5"/>
        <v>0</v>
      </c>
      <c r="AI23" s="273">
        <f t="shared" si="5"/>
        <v>0</v>
      </c>
      <c r="AJ23" s="273">
        <f t="shared" si="5"/>
        <v>0</v>
      </c>
      <c r="AK23" s="694">
        <f t="shared" si="5"/>
        <v>0</v>
      </c>
      <c r="AL23" s="462"/>
      <c r="AM23" s="463"/>
      <c r="AN23" s="463"/>
      <c r="AO23" s="692"/>
      <c r="AP23" s="462"/>
      <c r="AQ23" s="463"/>
      <c r="AR23" s="463"/>
      <c r="AS23" s="692"/>
      <c r="AT23" s="462"/>
      <c r="AU23" s="463"/>
      <c r="AV23" s="463"/>
      <c r="AW23" s="692"/>
      <c r="AX23" s="462"/>
      <c r="AY23" s="463"/>
      <c r="AZ23" s="463"/>
      <c r="BA23" s="692"/>
      <c r="BB23" s="128">
        <f t="shared" si="6"/>
        <v>0</v>
      </c>
      <c r="BC23" s="273">
        <f t="shared" si="6"/>
        <v>0</v>
      </c>
      <c r="BD23" s="273">
        <f t="shared" si="6"/>
        <v>0</v>
      </c>
      <c r="BE23" s="273">
        <f t="shared" si="6"/>
        <v>0</v>
      </c>
      <c r="BF23" s="276">
        <f t="shared" si="4"/>
        <v>0</v>
      </c>
      <c r="BG23" s="277">
        <f t="shared" si="4"/>
        <v>0</v>
      </c>
      <c r="BH23" s="277">
        <f t="shared" si="4"/>
        <v>0</v>
      </c>
      <c r="BI23" s="704">
        <f t="shared" si="4"/>
        <v>0</v>
      </c>
    </row>
    <row r="24" spans="3:61" s="28" customFormat="1" ht="20.100000000000001" customHeight="1" thickBot="1">
      <c r="C24" s="1885"/>
      <c r="D24" s="1017"/>
      <c r="E24" s="1017"/>
      <c r="F24" s="1018"/>
      <c r="H24" s="1865" t="s">
        <v>116</v>
      </c>
      <c r="I24" s="1866"/>
      <c r="J24" s="118">
        <f t="shared" ref="J24:BI24" si="7">SUM(J15:J23)</f>
        <v>0</v>
      </c>
      <c r="K24" s="272">
        <f t="shared" si="7"/>
        <v>0</v>
      </c>
      <c r="L24" s="272">
        <f>SUM(L15:L23)</f>
        <v>0</v>
      </c>
      <c r="M24" s="272">
        <f>SUM(M15:M23)</f>
        <v>0</v>
      </c>
      <c r="N24" s="118">
        <f t="shared" ref="N24:AI24" si="8">SUM(N15:N23)</f>
        <v>0</v>
      </c>
      <c r="O24" s="272">
        <f t="shared" si="8"/>
        <v>0</v>
      </c>
      <c r="P24" s="272">
        <f t="shared" si="8"/>
        <v>0</v>
      </c>
      <c r="Q24" s="272">
        <f t="shared" si="8"/>
        <v>0</v>
      </c>
      <c r="R24" s="118">
        <f t="shared" si="8"/>
        <v>0</v>
      </c>
      <c r="S24" s="272">
        <f t="shared" si="8"/>
        <v>0</v>
      </c>
      <c r="T24" s="272">
        <f t="shared" si="8"/>
        <v>0</v>
      </c>
      <c r="U24" s="272">
        <f t="shared" si="8"/>
        <v>0</v>
      </c>
      <c r="V24" s="118">
        <f t="shared" si="8"/>
        <v>6</v>
      </c>
      <c r="W24" s="272">
        <f t="shared" si="8"/>
        <v>0</v>
      </c>
      <c r="X24" s="272">
        <f t="shared" si="8"/>
        <v>0</v>
      </c>
      <c r="Y24" s="272">
        <f t="shared" si="8"/>
        <v>0</v>
      </c>
      <c r="Z24" s="118">
        <f t="shared" si="8"/>
        <v>0</v>
      </c>
      <c r="AA24" s="272">
        <f t="shared" si="8"/>
        <v>0</v>
      </c>
      <c r="AB24" s="272">
        <f t="shared" si="8"/>
        <v>0</v>
      </c>
      <c r="AC24" s="272">
        <f t="shared" si="8"/>
        <v>0</v>
      </c>
      <c r="AD24" s="118">
        <f t="shared" si="8"/>
        <v>0</v>
      </c>
      <c r="AE24" s="272">
        <f t="shared" si="8"/>
        <v>0</v>
      </c>
      <c r="AF24" s="272">
        <f t="shared" si="8"/>
        <v>0</v>
      </c>
      <c r="AG24" s="272">
        <f t="shared" si="8"/>
        <v>0</v>
      </c>
      <c r="AH24" s="118">
        <f t="shared" si="8"/>
        <v>6</v>
      </c>
      <c r="AI24" s="272">
        <f t="shared" si="8"/>
        <v>0</v>
      </c>
      <c r="AJ24" s="272">
        <f>SUM(AJ15:AJ23)</f>
        <v>0</v>
      </c>
      <c r="AK24" s="695">
        <f>SUM(AK15:AK23)</f>
        <v>0</v>
      </c>
      <c r="AL24" s="118">
        <f t="shared" ref="AL24:BC24" si="9">SUM(AL15:AL23)</f>
        <v>0</v>
      </c>
      <c r="AM24" s="272">
        <f t="shared" si="9"/>
        <v>0</v>
      </c>
      <c r="AN24" s="272">
        <f t="shared" si="9"/>
        <v>0</v>
      </c>
      <c r="AO24" s="272">
        <f t="shared" si="9"/>
        <v>17.7</v>
      </c>
      <c r="AP24" s="118">
        <f t="shared" si="9"/>
        <v>15</v>
      </c>
      <c r="AQ24" s="272">
        <f t="shared" si="9"/>
        <v>0</v>
      </c>
      <c r="AR24" s="272">
        <f t="shared" si="9"/>
        <v>0</v>
      </c>
      <c r="AS24" s="272">
        <f t="shared" si="9"/>
        <v>0</v>
      </c>
      <c r="AT24" s="118">
        <f t="shared" si="9"/>
        <v>0</v>
      </c>
      <c r="AU24" s="272">
        <f t="shared" si="9"/>
        <v>0</v>
      </c>
      <c r="AV24" s="272">
        <f t="shared" si="9"/>
        <v>0</v>
      </c>
      <c r="AW24" s="272">
        <f t="shared" si="9"/>
        <v>0</v>
      </c>
      <c r="AX24" s="118">
        <f t="shared" si="9"/>
        <v>0</v>
      </c>
      <c r="AY24" s="272">
        <f t="shared" si="9"/>
        <v>0</v>
      </c>
      <c r="AZ24" s="272">
        <f t="shared" si="9"/>
        <v>0</v>
      </c>
      <c r="BA24" s="272">
        <f t="shared" si="9"/>
        <v>0</v>
      </c>
      <c r="BB24" s="118">
        <f t="shared" si="9"/>
        <v>15</v>
      </c>
      <c r="BC24" s="272">
        <f t="shared" si="9"/>
        <v>0</v>
      </c>
      <c r="BD24" s="272">
        <f>SUM(BD15:BD23)</f>
        <v>0</v>
      </c>
      <c r="BE24" s="272">
        <f>SUM(BE15:BE23)</f>
        <v>17.7</v>
      </c>
      <c r="BF24" s="278">
        <f t="shared" si="7"/>
        <v>21</v>
      </c>
      <c r="BG24" s="279">
        <f t="shared" si="7"/>
        <v>0</v>
      </c>
      <c r="BH24" s="279">
        <f t="shared" si="7"/>
        <v>0</v>
      </c>
      <c r="BI24" s="705">
        <f t="shared" si="7"/>
        <v>17.7</v>
      </c>
    </row>
    <row r="25" spans="3:61" s="119" customFormat="1" ht="9" customHeight="1" thickBot="1">
      <c r="C25" s="121"/>
      <c r="D25" s="121"/>
      <c r="E25" s="121"/>
      <c r="F25" s="121"/>
      <c r="H25" s="122"/>
      <c r="I25" s="122"/>
      <c r="J25" s="125"/>
      <c r="K25" s="126"/>
      <c r="L25" s="126"/>
      <c r="M25" s="126"/>
      <c r="N25" s="125"/>
      <c r="O25" s="126"/>
      <c r="P25" s="126"/>
      <c r="Q25" s="126"/>
      <c r="R25" s="125"/>
      <c r="S25" s="126"/>
      <c r="T25" s="126"/>
      <c r="U25" s="126"/>
      <c r="V25" s="125"/>
      <c r="W25" s="126"/>
      <c r="X25" s="126"/>
      <c r="Y25" s="126"/>
      <c r="Z25" s="125"/>
      <c r="AA25" s="126"/>
      <c r="AB25" s="126"/>
      <c r="AC25" s="126"/>
      <c r="AD25" s="125"/>
      <c r="AE25" s="126"/>
      <c r="AF25" s="126"/>
      <c r="AG25" s="126"/>
      <c r="AH25" s="125"/>
      <c r="AI25" s="126"/>
      <c r="AJ25" s="126"/>
      <c r="AK25" s="126"/>
      <c r="AL25" s="125"/>
      <c r="AM25" s="126"/>
      <c r="AN25" s="126"/>
      <c r="AO25" s="126"/>
      <c r="AP25" s="125"/>
      <c r="AQ25" s="126"/>
      <c r="AR25" s="126"/>
      <c r="AS25" s="126"/>
      <c r="AT25" s="125"/>
      <c r="AU25" s="126"/>
      <c r="AV25" s="126"/>
      <c r="AW25" s="126"/>
      <c r="AX25" s="125"/>
      <c r="AY25" s="126"/>
      <c r="AZ25" s="126"/>
      <c r="BA25" s="126"/>
      <c r="BB25" s="125"/>
      <c r="BC25" s="126"/>
      <c r="BD25" s="126"/>
      <c r="BE25" s="126"/>
      <c r="BF25" s="125"/>
      <c r="BG25" s="126"/>
    </row>
    <row r="26" spans="3:61" s="28" customFormat="1" ht="26.25" customHeight="1" thickBot="1">
      <c r="D26" s="29"/>
      <c r="E26" s="29"/>
      <c r="F26" s="29"/>
      <c r="H26" s="1893" t="s">
        <v>49</v>
      </c>
      <c r="I26" s="1894"/>
      <c r="J26" s="123">
        <f t="shared" ref="J26:BI26" si="10">J10+J24</f>
        <v>51</v>
      </c>
      <c r="K26" s="280">
        <f t="shared" si="10"/>
        <v>26.85</v>
      </c>
      <c r="L26" s="280">
        <f>L10+L24</f>
        <v>4.8499999999999996</v>
      </c>
      <c r="M26" s="280">
        <f>M10+M24</f>
        <v>0</v>
      </c>
      <c r="N26" s="123">
        <f t="shared" ref="N26:O26" si="11">N10+N24</f>
        <v>9</v>
      </c>
      <c r="O26" s="280">
        <f t="shared" si="11"/>
        <v>10.5</v>
      </c>
      <c r="P26" s="280">
        <f>P10+P24</f>
        <v>10.5</v>
      </c>
      <c r="Q26" s="280">
        <f>Q10+Q24</f>
        <v>0</v>
      </c>
      <c r="R26" s="123">
        <f t="shared" ref="R26:S26" si="12">R10+R24</f>
        <v>3.5</v>
      </c>
      <c r="S26" s="280">
        <f t="shared" si="12"/>
        <v>0</v>
      </c>
      <c r="T26" s="280">
        <f>T10+T24</f>
        <v>0</v>
      </c>
      <c r="U26" s="280">
        <f>U10+U24</f>
        <v>0</v>
      </c>
      <c r="V26" s="123">
        <f t="shared" ref="V26:W26" si="13">V10+V24</f>
        <v>8</v>
      </c>
      <c r="W26" s="280">
        <f t="shared" si="13"/>
        <v>2</v>
      </c>
      <c r="X26" s="280">
        <f>X10+X24</f>
        <v>1</v>
      </c>
      <c r="Y26" s="280">
        <f>Y10+Y24</f>
        <v>0</v>
      </c>
      <c r="Z26" s="123">
        <f t="shared" ref="Z26:AA26" si="14">Z10+Z24</f>
        <v>0</v>
      </c>
      <c r="AA26" s="280">
        <f t="shared" si="14"/>
        <v>0</v>
      </c>
      <c r="AB26" s="280">
        <f>AB10+AB24</f>
        <v>0</v>
      </c>
      <c r="AC26" s="280">
        <f>AC10+AC24</f>
        <v>0</v>
      </c>
      <c r="AD26" s="123">
        <f t="shared" ref="AD26:AE26" si="15">AD10+AD24</f>
        <v>10</v>
      </c>
      <c r="AE26" s="280">
        <f t="shared" si="15"/>
        <v>0</v>
      </c>
      <c r="AF26" s="280">
        <f>AF10+AF24</f>
        <v>0</v>
      </c>
      <c r="AG26" s="280">
        <f>AG10+AG24</f>
        <v>0</v>
      </c>
      <c r="AH26" s="127">
        <f t="shared" ref="AH26:AI26" si="16">AH10+AH24</f>
        <v>81.5</v>
      </c>
      <c r="AI26" s="280">
        <f t="shared" si="16"/>
        <v>39.35</v>
      </c>
      <c r="AJ26" s="697">
        <f>AJ10+AJ24</f>
        <v>16.350000000000001</v>
      </c>
      <c r="AK26" s="696">
        <f>AK10+AK24</f>
        <v>0</v>
      </c>
      <c r="AL26" s="123">
        <f t="shared" ref="AL26:AM26" si="17">AL10+AL24</f>
        <v>22</v>
      </c>
      <c r="AM26" s="280">
        <f t="shared" si="17"/>
        <v>29.83</v>
      </c>
      <c r="AN26" s="280">
        <f>AN10+AN24</f>
        <v>29.8</v>
      </c>
      <c r="AO26" s="280">
        <f>AO10+AO24</f>
        <v>17.7</v>
      </c>
      <c r="AP26" s="123">
        <f t="shared" ref="AP26:AQ26" si="18">AP10+AP24</f>
        <v>15</v>
      </c>
      <c r="AQ26" s="280">
        <f t="shared" si="18"/>
        <v>0</v>
      </c>
      <c r="AR26" s="280">
        <f>AR10+AR24</f>
        <v>0</v>
      </c>
      <c r="AS26" s="280">
        <f>AS10+AS24</f>
        <v>0</v>
      </c>
      <c r="AT26" s="123">
        <f t="shared" ref="AT26:AU26" si="19">AT10+AT24</f>
        <v>8</v>
      </c>
      <c r="AU26" s="280">
        <f t="shared" si="19"/>
        <v>3</v>
      </c>
      <c r="AV26" s="280">
        <f>AV10+AV24</f>
        <v>3</v>
      </c>
      <c r="AW26" s="280">
        <f>AW10+AW24</f>
        <v>13</v>
      </c>
      <c r="AX26" s="123">
        <f t="shared" ref="AX26:AY26" si="20">AX10+AX24</f>
        <v>0</v>
      </c>
      <c r="AY26" s="280">
        <f t="shared" si="20"/>
        <v>0</v>
      </c>
      <c r="AZ26" s="280">
        <f>AZ10+AZ24</f>
        <v>0</v>
      </c>
      <c r="BA26" s="280">
        <f>BA10+BA24</f>
        <v>20</v>
      </c>
      <c r="BB26" s="127">
        <f t="shared" ref="BB26:BC26" si="21">BB10+BB24</f>
        <v>45</v>
      </c>
      <c r="BC26" s="280">
        <f t="shared" si="21"/>
        <v>32.83</v>
      </c>
      <c r="BD26" s="697">
        <f>BD10+BD24</f>
        <v>32.799999999999997</v>
      </c>
      <c r="BE26" s="697">
        <f>BE10+BE24</f>
        <v>50.7</v>
      </c>
      <c r="BF26" s="124">
        <f>BF10+BF24</f>
        <v>126.5</v>
      </c>
      <c r="BG26" s="707">
        <f t="shared" si="10"/>
        <v>72.180000000000007</v>
      </c>
      <c r="BH26" s="706">
        <f t="shared" si="10"/>
        <v>49.15</v>
      </c>
      <c r="BI26" s="284">
        <f t="shared" si="10"/>
        <v>50.7</v>
      </c>
    </row>
    <row r="27" spans="3:61" ht="21" customHeight="1">
      <c r="H27" s="320"/>
      <c r="I27" s="320"/>
      <c r="J27" s="321"/>
      <c r="K27" s="321"/>
      <c r="L27" s="321"/>
      <c r="M27" s="321"/>
      <c r="N27" s="321"/>
      <c r="O27" s="321"/>
      <c r="P27" s="321"/>
      <c r="Q27" s="321"/>
      <c r="R27" s="321"/>
      <c r="S27" s="321"/>
      <c r="T27" s="321"/>
      <c r="U27" s="321"/>
      <c r="V27" s="321"/>
      <c r="W27" s="321"/>
      <c r="X27" s="323"/>
      <c r="Y27" s="323"/>
      <c r="Z27" s="321"/>
      <c r="AA27" s="321"/>
      <c r="AB27" s="323"/>
      <c r="AC27" s="323"/>
      <c r="AD27" s="321"/>
      <c r="AE27" s="321"/>
      <c r="AF27" s="321"/>
      <c r="AG27" s="321"/>
      <c r="AH27" s="321"/>
      <c r="AI27" s="321"/>
      <c r="AJ27" s="321"/>
      <c r="AK27" s="321"/>
      <c r="AL27" s="321"/>
      <c r="AM27" s="321"/>
      <c r="AN27" s="321">
        <v>10.89</v>
      </c>
      <c r="AO27" s="321" t="s">
        <v>22</v>
      </c>
      <c r="AP27" s="321"/>
      <c r="AQ27" s="321"/>
      <c r="AR27" s="321"/>
      <c r="AS27" s="321"/>
      <c r="AT27" s="321"/>
      <c r="AU27" s="321"/>
      <c r="AV27" s="321">
        <v>13</v>
      </c>
      <c r="AW27" s="321" t="s">
        <v>32</v>
      </c>
      <c r="AX27" s="321"/>
      <c r="AY27" s="321"/>
      <c r="AZ27" s="321">
        <v>20</v>
      </c>
      <c r="BA27" s="321" t="s">
        <v>32</v>
      </c>
      <c r="BB27" s="335"/>
      <c r="BC27" s="1918">
        <f>SUM(I27:AZ29)</f>
        <v>50.71</v>
      </c>
      <c r="BD27" s="335"/>
      <c r="BE27" s="335"/>
      <c r="BF27" s="335"/>
      <c r="BG27" s="335"/>
      <c r="BH27" s="1917">
        <f>BH26+BI26</f>
        <v>99.85</v>
      </c>
      <c r="BI27" s="1917"/>
    </row>
    <row r="28" spans="3:61" ht="21" customHeight="1">
      <c r="H28" s="320"/>
      <c r="I28" s="320"/>
      <c r="J28" s="322"/>
      <c r="K28" s="323"/>
      <c r="L28" s="323"/>
      <c r="M28" s="323"/>
      <c r="N28" s="322"/>
      <c r="O28" s="323"/>
      <c r="P28" s="323"/>
      <c r="Q28" s="323"/>
      <c r="R28" s="322"/>
      <c r="S28" s="323"/>
      <c r="T28" s="323"/>
      <c r="U28" s="323"/>
      <c r="V28" s="321"/>
      <c r="W28" s="323"/>
      <c r="X28" s="323"/>
      <c r="Y28" s="323"/>
      <c r="Z28" s="322"/>
      <c r="AA28" s="323"/>
      <c r="AB28" s="323"/>
      <c r="AC28" s="323"/>
      <c r="AD28" s="322"/>
      <c r="AE28" s="323"/>
      <c r="AF28" s="323"/>
      <c r="AG28" s="322"/>
      <c r="AH28" s="322"/>
      <c r="AI28" s="323"/>
      <c r="AJ28" s="323"/>
      <c r="AK28" s="323"/>
      <c r="AL28" s="321"/>
      <c r="AM28" s="323"/>
      <c r="AN28" s="622">
        <v>6.82</v>
      </c>
      <c r="AO28" s="622" t="s">
        <v>22</v>
      </c>
      <c r="AP28" s="321"/>
      <c r="AQ28" s="323"/>
      <c r="AR28" s="323"/>
      <c r="AS28" s="323"/>
      <c r="AT28" s="322"/>
      <c r="AU28" s="323"/>
      <c r="AV28" s="323"/>
      <c r="AW28" s="323"/>
      <c r="AX28" s="322"/>
      <c r="AY28" s="468"/>
      <c r="AZ28" s="468"/>
      <c r="BA28" s="468"/>
      <c r="BB28" s="392"/>
      <c r="BC28" s="1919"/>
      <c r="BD28" s="434"/>
      <c r="BE28" s="434"/>
      <c r="BF28" s="435"/>
      <c r="BG28" s="434"/>
      <c r="BH28" s="726"/>
      <c r="BI28" s="434"/>
    </row>
    <row r="29" spans="3:61" ht="23.25">
      <c r="H29" s="320"/>
      <c r="I29" s="320"/>
      <c r="J29" s="322"/>
      <c r="K29" s="323"/>
      <c r="L29" s="323"/>
      <c r="M29" s="323"/>
      <c r="N29" s="322"/>
      <c r="O29" s="323"/>
      <c r="P29" s="323"/>
      <c r="Q29" s="323"/>
      <c r="R29" s="322"/>
      <c r="S29" s="323"/>
      <c r="T29" s="323"/>
      <c r="U29" s="323"/>
      <c r="V29" s="322"/>
      <c r="W29" s="323"/>
      <c r="X29" s="323"/>
      <c r="Y29" s="323"/>
      <c r="Z29" s="322"/>
      <c r="AA29" s="323"/>
      <c r="AB29" s="323"/>
      <c r="AC29" s="323"/>
      <c r="AD29" s="322"/>
      <c r="AE29" s="323"/>
      <c r="AF29" s="688"/>
      <c r="AG29" s="688"/>
      <c r="AH29" s="322"/>
      <c r="AI29" s="322"/>
      <c r="AJ29" s="323"/>
      <c r="AK29" s="323"/>
      <c r="AL29" s="321"/>
      <c r="AM29" s="323"/>
      <c r="AN29" s="321"/>
      <c r="AO29" s="321"/>
      <c r="AP29" s="322"/>
      <c r="AQ29" s="323"/>
      <c r="AR29" s="323"/>
      <c r="AS29" s="323"/>
      <c r="AT29" s="322"/>
      <c r="AU29" s="323"/>
      <c r="AV29" s="323"/>
      <c r="AW29" s="323"/>
      <c r="AX29" s="322"/>
      <c r="AY29" s="468"/>
      <c r="AZ29" s="468"/>
      <c r="BA29" s="468"/>
      <c r="BB29" s="392"/>
      <c r="BC29" s="434"/>
      <c r="BD29" s="434"/>
      <c r="BE29" s="434"/>
      <c r="BF29" s="435"/>
      <c r="BG29" s="434"/>
      <c r="BH29" s="682"/>
      <c r="BI29" s="434"/>
    </row>
    <row r="30" spans="3:61" s="464" customFormat="1" ht="21.75" thickBot="1">
      <c r="D30" s="576"/>
      <c r="E30" s="576"/>
      <c r="F30" s="576"/>
      <c r="I30" s="577"/>
      <c r="J30" s="578"/>
      <c r="K30" s="579"/>
      <c r="L30" s="579"/>
      <c r="M30" s="579"/>
      <c r="N30" s="578"/>
      <c r="O30" s="579"/>
      <c r="P30" s="579"/>
      <c r="Q30" s="579"/>
      <c r="R30" s="578"/>
      <c r="S30" s="579"/>
      <c r="T30" s="579"/>
      <c r="U30" s="579"/>
      <c r="V30" s="578"/>
      <c r="W30" s="578"/>
      <c r="X30" s="579"/>
      <c r="Y30" s="579"/>
      <c r="Z30" s="579"/>
      <c r="AA30" s="578"/>
      <c r="AB30" s="579"/>
      <c r="AC30" s="579"/>
      <c r="AD30" s="579"/>
      <c r="AE30" s="578"/>
      <c r="AF30" s="579"/>
      <c r="AG30" s="579"/>
      <c r="AH30" s="621"/>
      <c r="AI30" s="578"/>
      <c r="AJ30" s="579"/>
      <c r="AK30" s="579"/>
      <c r="AM30" s="580"/>
      <c r="AN30" s="579"/>
      <c r="AO30" s="579"/>
      <c r="AP30" s="579"/>
      <c r="AQ30" s="578"/>
      <c r="AR30" s="579"/>
      <c r="AS30" s="579"/>
      <c r="AT30" s="579"/>
      <c r="AU30" s="578"/>
      <c r="AV30" s="579"/>
      <c r="AW30" s="579"/>
      <c r="AZ30" s="581"/>
      <c r="BA30" s="581"/>
      <c r="BB30" s="581"/>
      <c r="BC30" s="582"/>
      <c r="BD30" s="583"/>
      <c r="BE30" s="583"/>
      <c r="BF30" s="583"/>
      <c r="BG30" s="584"/>
      <c r="BH30" s="583"/>
      <c r="BI30" s="585"/>
    </row>
    <row r="31" spans="3:61" ht="35.25" customHeight="1" thickBot="1">
      <c r="L31" s="1951" t="s">
        <v>401</v>
      </c>
      <c r="M31" s="1952"/>
      <c r="N31" s="1952"/>
      <c r="O31" s="1952"/>
      <c r="P31" s="1952"/>
      <c r="Q31" s="1952"/>
      <c r="R31" s="1952"/>
      <c r="S31" s="1953"/>
      <c r="T31" s="579"/>
      <c r="U31" s="579"/>
      <c r="V31" s="1929" t="s">
        <v>204</v>
      </c>
      <c r="W31" s="1930"/>
      <c r="X31" s="1930"/>
      <c r="Y31" s="1930"/>
      <c r="Z31" s="1930"/>
      <c r="AA31" s="1930"/>
      <c r="AB31" s="1930"/>
      <c r="AC31" s="1935"/>
      <c r="AD31" s="1936"/>
      <c r="AE31" s="579"/>
      <c r="AF31" s="579"/>
      <c r="AG31" s="26"/>
      <c r="AH31" s="24"/>
      <c r="AJ31" s="685"/>
      <c r="AL31" s="24"/>
      <c r="AM31" s="599"/>
      <c r="AN31" s="1014"/>
      <c r="AP31" s="24"/>
      <c r="AS31" s="26"/>
      <c r="AT31" s="24"/>
      <c r="AX31" s="24"/>
      <c r="AY31" s="25"/>
      <c r="AZ31" s="25"/>
      <c r="BA31" s="24"/>
      <c r="BB31" s="24"/>
      <c r="BE31" s="23"/>
      <c r="BF31" s="23"/>
      <c r="BG31" s="23"/>
    </row>
    <row r="32" spans="3:61" s="24" customFormat="1" ht="28.5" customHeight="1" thickBot="1">
      <c r="C32" s="23"/>
      <c r="D32" s="27"/>
      <c r="E32" s="27"/>
      <c r="F32" s="27"/>
      <c r="G32" s="23"/>
      <c r="H32" s="23"/>
      <c r="I32" s="27"/>
      <c r="L32" s="450" t="s">
        <v>0</v>
      </c>
      <c r="M32" s="439" t="s">
        <v>200</v>
      </c>
      <c r="N32" s="454" t="s">
        <v>205</v>
      </c>
      <c r="O32" s="439" t="s">
        <v>31</v>
      </c>
      <c r="P32" s="448" t="s">
        <v>201</v>
      </c>
      <c r="Q32" s="455" t="s">
        <v>206</v>
      </c>
      <c r="R32" s="436" t="s">
        <v>22</v>
      </c>
      <c r="S32" s="438" t="s">
        <v>191</v>
      </c>
      <c r="T32" s="579"/>
      <c r="U32" s="579"/>
      <c r="V32" s="571" t="s">
        <v>0</v>
      </c>
      <c r="W32" s="572" t="s">
        <v>200</v>
      </c>
      <c r="X32" s="623" t="s">
        <v>205</v>
      </c>
      <c r="Y32" s="572" t="s">
        <v>31</v>
      </c>
      <c r="Z32" s="573" t="s">
        <v>201</v>
      </c>
      <c r="AA32" s="574" t="s">
        <v>206</v>
      </c>
      <c r="AB32" s="717" t="s">
        <v>22</v>
      </c>
      <c r="AC32" s="721" t="s">
        <v>191</v>
      </c>
      <c r="AD32" s="722" t="s">
        <v>226</v>
      </c>
      <c r="AE32" s="579"/>
      <c r="AF32" s="579"/>
      <c r="AG32" s="599"/>
      <c r="AH32" s="599"/>
      <c r="AI32" s="599"/>
      <c r="AN32" s="26"/>
      <c r="AT32" s="25"/>
      <c r="AU32" s="25"/>
      <c r="AW32" s="23"/>
      <c r="AX32" s="23"/>
      <c r="BG32" s="1054"/>
    </row>
    <row r="33" spans="1:59" ht="23.25">
      <c r="L33" s="441" t="s">
        <v>189</v>
      </c>
      <c r="M33" s="470">
        <f>$J$6</f>
        <v>51</v>
      </c>
      <c r="N33" s="430">
        <f>$J9</f>
        <v>0</v>
      </c>
      <c r="O33" s="430">
        <f>$J7</f>
        <v>0</v>
      </c>
      <c r="P33" s="430">
        <f>$J8</f>
        <v>0</v>
      </c>
      <c r="Q33" s="430">
        <f>J15+J16+J17+J18+J19+J21+J22+J23</f>
        <v>0</v>
      </c>
      <c r="R33" s="430">
        <f>$J20</f>
        <v>0</v>
      </c>
      <c r="S33" s="446">
        <f t="shared" ref="S33:S42" si="22">SUM(M33:R33)</f>
        <v>51</v>
      </c>
      <c r="T33" s="579"/>
      <c r="U33" s="579"/>
      <c r="V33" s="447" t="s">
        <v>189</v>
      </c>
      <c r="W33" s="569">
        <f>L$6</f>
        <v>4.8499999999999996</v>
      </c>
      <c r="X33" s="570">
        <f>$L9</f>
        <v>0</v>
      </c>
      <c r="Y33" s="570">
        <f>$L7</f>
        <v>0</v>
      </c>
      <c r="Z33" s="570">
        <f>$L8</f>
        <v>0</v>
      </c>
      <c r="AA33" s="570">
        <f>L$15+L$16+L$17+L$18+L$19+L$21+L$22+L$23</f>
        <v>0</v>
      </c>
      <c r="AB33" s="718">
        <f>$L20</f>
        <v>0</v>
      </c>
      <c r="AC33" s="723">
        <f t="shared" ref="AC33:AC42" si="23">SUM(W33:AB33)</f>
        <v>4.8499999999999996</v>
      </c>
      <c r="AD33" s="587">
        <f>M6+M7+M8++M9+M15+M16+M17+M18+M19+M21+M20+M22+M23</f>
        <v>0</v>
      </c>
      <c r="AE33" s="579">
        <f>AC33+AD33</f>
        <v>4.8499999999999996</v>
      </c>
      <c r="AF33" s="579"/>
      <c r="AG33" s="599"/>
      <c r="AH33" s="599"/>
      <c r="AI33" s="599"/>
      <c r="AL33" s="24"/>
      <c r="AN33" s="26"/>
      <c r="AP33" s="24"/>
      <c r="AT33" s="25"/>
      <c r="AU33" s="25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</row>
    <row r="34" spans="1:59" s="24" customFormat="1" ht="23.25">
      <c r="A34" s="23"/>
      <c r="B34" s="23"/>
      <c r="C34" s="23"/>
      <c r="D34" s="27"/>
      <c r="E34" s="27"/>
      <c r="F34" s="27"/>
      <c r="G34" s="23"/>
      <c r="H34" s="23"/>
      <c r="I34" s="27"/>
      <c r="L34" s="441" t="s">
        <v>183</v>
      </c>
      <c r="M34" s="470">
        <f>$N$6</f>
        <v>9</v>
      </c>
      <c r="N34" s="430">
        <f>$N9</f>
        <v>0</v>
      </c>
      <c r="O34" s="430">
        <f>$N7</f>
        <v>0</v>
      </c>
      <c r="P34" s="430">
        <f>$N8</f>
        <v>0</v>
      </c>
      <c r="Q34" s="430">
        <f>N15+N16+N17+N18+N19+N21+N22+N23</f>
        <v>0</v>
      </c>
      <c r="R34" s="430">
        <f>$N20</f>
        <v>0</v>
      </c>
      <c r="S34" s="446">
        <f t="shared" si="22"/>
        <v>9</v>
      </c>
      <c r="T34" s="686"/>
      <c r="U34" s="26"/>
      <c r="V34" s="441" t="s">
        <v>183</v>
      </c>
      <c r="W34" s="440">
        <f>P$6</f>
        <v>10.5</v>
      </c>
      <c r="X34" s="430">
        <f>$P9</f>
        <v>0</v>
      </c>
      <c r="Y34" s="430">
        <f>$P7</f>
        <v>0</v>
      </c>
      <c r="Z34" s="430">
        <f>$P8</f>
        <v>0</v>
      </c>
      <c r="AA34" s="430">
        <f>P$15+P$16+P$17+P$18+P$19+P$21+P$22+P$23</f>
        <v>0</v>
      </c>
      <c r="AB34" s="719">
        <f>$P20</f>
        <v>0</v>
      </c>
      <c r="AC34" s="723">
        <f t="shared" si="23"/>
        <v>10.5</v>
      </c>
      <c r="AD34" s="587">
        <f>Q6+Q7+Q8+Q9+Q15+Q16+Q17+Q18+Q19+Q20+Q21+Q22+Q23</f>
        <v>0</v>
      </c>
      <c r="AE34" s="579">
        <f t="shared" ref="AE34:AE43" si="24">AC34+AD34</f>
        <v>10.5</v>
      </c>
      <c r="AG34" s="599"/>
      <c r="AH34" s="599"/>
      <c r="AI34" s="599"/>
      <c r="AN34" s="26"/>
      <c r="AT34" s="25"/>
      <c r="AU34" s="25"/>
      <c r="BG34" s="1054"/>
    </row>
    <row r="35" spans="1:59" ht="23.25">
      <c r="L35" s="441" t="s">
        <v>184</v>
      </c>
      <c r="M35" s="470">
        <f>$R$6</f>
        <v>0</v>
      </c>
      <c r="N35" s="430">
        <f>$R9</f>
        <v>0</v>
      </c>
      <c r="O35" s="430">
        <f>$R7</f>
        <v>0</v>
      </c>
      <c r="P35" s="430">
        <f>$R8</f>
        <v>3.5</v>
      </c>
      <c r="Q35" s="430">
        <f>R15+R16+R17+R18+R19+R21+R22+R23</f>
        <v>0</v>
      </c>
      <c r="R35" s="430">
        <f>$R20</f>
        <v>0</v>
      </c>
      <c r="S35" s="446">
        <f t="shared" si="22"/>
        <v>3.5</v>
      </c>
      <c r="T35" s="686"/>
      <c r="U35" s="26"/>
      <c r="V35" s="441" t="s">
        <v>184</v>
      </c>
      <c r="W35" s="440">
        <f>T$6</f>
        <v>0</v>
      </c>
      <c r="X35" s="430">
        <f>$T9</f>
        <v>0</v>
      </c>
      <c r="Y35" s="430">
        <f>$T7</f>
        <v>0</v>
      </c>
      <c r="Z35" s="430">
        <f>$T8</f>
        <v>0</v>
      </c>
      <c r="AA35" s="430">
        <f>T$15+T$16+T$17+T$18+T$19+T$21+T$22+T$23</f>
        <v>0</v>
      </c>
      <c r="AB35" s="719">
        <f>$T20</f>
        <v>0</v>
      </c>
      <c r="AC35" s="723">
        <f t="shared" si="23"/>
        <v>0</v>
      </c>
      <c r="AD35" s="587">
        <f>U6+U7+U8+U9+U15+U16+U17+U18+U19+U20+U21+U22+U23</f>
        <v>0</v>
      </c>
      <c r="AE35" s="579">
        <f t="shared" si="24"/>
        <v>0</v>
      </c>
      <c r="AF35" s="26"/>
      <c r="AG35" s="599"/>
      <c r="AH35" s="599"/>
      <c r="AI35" s="599"/>
      <c r="AL35" s="24"/>
      <c r="AN35" s="26"/>
      <c r="AP35" s="24"/>
      <c r="AT35" s="25"/>
      <c r="AU35" s="25"/>
      <c r="AX35" s="23"/>
      <c r="AY35" s="23"/>
      <c r="AZ35" s="23"/>
      <c r="BA35" s="23"/>
      <c r="BB35" s="23"/>
      <c r="BC35" s="23"/>
      <c r="BD35" s="23"/>
      <c r="BE35" s="23"/>
      <c r="BF35" s="23"/>
      <c r="BG35" s="23"/>
    </row>
    <row r="36" spans="1:59" ht="23.25">
      <c r="L36" s="441" t="s">
        <v>170</v>
      </c>
      <c r="M36" s="470">
        <f>$V$6</f>
        <v>2</v>
      </c>
      <c r="N36" s="430">
        <f>$V9</f>
        <v>0</v>
      </c>
      <c r="O36" s="430">
        <f>$V7</f>
        <v>0</v>
      </c>
      <c r="P36" s="430">
        <f>$V8</f>
        <v>0</v>
      </c>
      <c r="Q36" s="430">
        <f>V15+V16+V17+V18+V19+V21++V22+V23</f>
        <v>6</v>
      </c>
      <c r="R36" s="430">
        <f>$V20</f>
        <v>0</v>
      </c>
      <c r="S36" s="446">
        <f t="shared" si="22"/>
        <v>8</v>
      </c>
      <c r="T36" s="686"/>
      <c r="U36" s="26"/>
      <c r="V36" s="441" t="s">
        <v>170</v>
      </c>
      <c r="W36" s="440">
        <f>X$6</f>
        <v>1</v>
      </c>
      <c r="X36" s="430">
        <f>$X9</f>
        <v>0</v>
      </c>
      <c r="Y36" s="430">
        <f>$X7</f>
        <v>0</v>
      </c>
      <c r="Z36" s="430">
        <f>$X8</f>
        <v>0</v>
      </c>
      <c r="AA36" s="430">
        <f>X$15+X$16+X$17+X$18+X$19+X$21+X$22+X$23</f>
        <v>0</v>
      </c>
      <c r="AB36" s="719">
        <f>$X20</f>
        <v>0</v>
      </c>
      <c r="AC36" s="723">
        <f t="shared" si="23"/>
        <v>1</v>
      </c>
      <c r="AD36" s="587">
        <f>Y6+Y7+Y8+Y9+Y15+Y16+Y17+Y18+Y19+Y20+Y21+Y22+Y23</f>
        <v>0</v>
      </c>
      <c r="AE36" s="579">
        <f t="shared" si="24"/>
        <v>1</v>
      </c>
      <c r="AF36" s="26"/>
      <c r="AG36" s="599"/>
      <c r="AH36" s="599"/>
      <c r="AI36" s="599"/>
      <c r="AL36" s="24"/>
      <c r="AN36" s="26"/>
      <c r="AP36" s="24"/>
      <c r="AT36" s="25"/>
      <c r="AU36" s="25"/>
      <c r="AX36" s="23"/>
      <c r="AY36" s="23"/>
      <c r="AZ36" s="23"/>
      <c r="BA36" s="23"/>
      <c r="BB36" s="23"/>
      <c r="BC36" s="23"/>
      <c r="BD36" s="23"/>
      <c r="BE36" s="23"/>
      <c r="BF36" s="23"/>
      <c r="BG36" s="23"/>
    </row>
    <row r="37" spans="1:59" ht="23.25">
      <c r="L37" s="441" t="s">
        <v>171</v>
      </c>
      <c r="M37" s="470">
        <f>$Z$6</f>
        <v>0</v>
      </c>
      <c r="N37" s="430">
        <f>$Z9</f>
        <v>0</v>
      </c>
      <c r="O37" s="430">
        <f>$Z7</f>
        <v>0</v>
      </c>
      <c r="P37" s="430">
        <f>$Z8</f>
        <v>0</v>
      </c>
      <c r="Q37" s="430">
        <f>Z15+Z16+Z17+Z18+Z19+Z21+Z22+Z23</f>
        <v>0</v>
      </c>
      <c r="R37" s="430">
        <f>$Z20</f>
        <v>0</v>
      </c>
      <c r="S37" s="446">
        <f t="shared" si="22"/>
        <v>0</v>
      </c>
      <c r="T37" s="686"/>
      <c r="U37" s="26"/>
      <c r="V37" s="441" t="s">
        <v>171</v>
      </c>
      <c r="W37" s="440">
        <f>AB$6</f>
        <v>0</v>
      </c>
      <c r="X37" s="430">
        <f>$AB9</f>
        <v>0</v>
      </c>
      <c r="Y37" s="430">
        <f>$AB7</f>
        <v>0</v>
      </c>
      <c r="Z37" s="430">
        <f>$AB8</f>
        <v>0</v>
      </c>
      <c r="AA37" s="430">
        <f>AB$15+AB$16+AB$17+AB$18+AB$19+AB$21+AB$22+AB$23</f>
        <v>0</v>
      </c>
      <c r="AB37" s="719">
        <f>$AB20</f>
        <v>0</v>
      </c>
      <c r="AC37" s="723">
        <f t="shared" si="23"/>
        <v>0</v>
      </c>
      <c r="AD37" s="587">
        <f>AC6+AC7+AC8+AC9+AC15+AC17+AC16+AC18+AC19+AC20+AC21+AC22+AC23</f>
        <v>0</v>
      </c>
      <c r="AE37" s="579">
        <f t="shared" si="24"/>
        <v>0</v>
      </c>
      <c r="AF37" s="26"/>
      <c r="AG37" s="26"/>
      <c r="AI37" s="26"/>
      <c r="AJ37" s="26"/>
      <c r="AK37" s="26"/>
      <c r="AL37" s="24"/>
      <c r="AN37" s="26"/>
      <c r="AP37" s="24"/>
      <c r="AT37" s="24"/>
      <c r="AX37" s="23"/>
      <c r="AY37" s="23"/>
      <c r="AZ37" s="23"/>
      <c r="BA37" s="23"/>
      <c r="BB37" s="23"/>
      <c r="BC37" s="23"/>
      <c r="BD37" s="23"/>
      <c r="BE37" s="23"/>
      <c r="BF37" s="23"/>
      <c r="BG37" s="23"/>
    </row>
    <row r="38" spans="1:59" ht="23.25">
      <c r="L38" s="441" t="s">
        <v>190</v>
      </c>
      <c r="M38" s="492">
        <f>$AD$6</f>
        <v>10</v>
      </c>
      <c r="N38" s="471">
        <f>$AD9</f>
        <v>0</v>
      </c>
      <c r="O38" s="471">
        <f>$AD7</f>
        <v>0</v>
      </c>
      <c r="P38" s="471">
        <f>$AD8</f>
        <v>0</v>
      </c>
      <c r="Q38" s="430">
        <f>AD15+AD16+AD17+AD18+AD19+AD21+AD22+AD23</f>
        <v>0</v>
      </c>
      <c r="R38" s="471">
        <f>$AD20</f>
        <v>0</v>
      </c>
      <c r="S38" s="446">
        <f t="shared" si="22"/>
        <v>10</v>
      </c>
      <c r="T38" s="686"/>
      <c r="U38" s="26"/>
      <c r="V38" s="441" t="s">
        <v>190</v>
      </c>
      <c r="W38" s="440">
        <f>AF$6</f>
        <v>0</v>
      </c>
      <c r="X38" s="430">
        <f>$AF9</f>
        <v>0</v>
      </c>
      <c r="Y38" s="430">
        <f>$AF7</f>
        <v>0</v>
      </c>
      <c r="Z38" s="430">
        <f>$AF8</f>
        <v>0</v>
      </c>
      <c r="AA38" s="430">
        <f>AF$15+AF$16+AF$17+AF$18+AF$19+AF$21+AF$22+AF$23</f>
        <v>0</v>
      </c>
      <c r="AB38" s="719">
        <f>$AF20</f>
        <v>0</v>
      </c>
      <c r="AC38" s="723">
        <f t="shared" si="23"/>
        <v>0</v>
      </c>
      <c r="AD38" s="587">
        <f>AG6+AG7+AG8+AG9+AG15+AG16+AG17+AG18+AG19+AG20+AG21+AG22+AG23</f>
        <v>0</v>
      </c>
      <c r="AE38" s="579">
        <f t="shared" si="24"/>
        <v>0</v>
      </c>
      <c r="AF38" s="26"/>
      <c r="AG38" s="26"/>
      <c r="AI38" s="26"/>
      <c r="AJ38" s="26"/>
      <c r="AK38" s="26"/>
      <c r="AL38" s="24"/>
      <c r="AN38" s="26"/>
      <c r="AP38" s="24"/>
      <c r="AT38" s="24"/>
      <c r="AX38" s="23"/>
      <c r="AY38" s="23"/>
      <c r="AZ38" s="23"/>
      <c r="BA38" s="23"/>
      <c r="BB38" s="23"/>
      <c r="BC38" s="23"/>
      <c r="BD38" s="23"/>
      <c r="BE38" s="23"/>
      <c r="BF38" s="23"/>
      <c r="BG38" s="23"/>
    </row>
    <row r="39" spans="1:59" ht="23.25">
      <c r="L39" s="441" t="s">
        <v>185</v>
      </c>
      <c r="M39" s="470">
        <f>$AL$6</f>
        <v>0</v>
      </c>
      <c r="N39" s="430">
        <f>$AL9</f>
        <v>0</v>
      </c>
      <c r="O39" s="430">
        <f>$AL7</f>
        <v>0</v>
      </c>
      <c r="P39" s="430">
        <f>$AL8</f>
        <v>22</v>
      </c>
      <c r="Q39" s="430">
        <f>AL15+AL16+AL17+AL18+AL19+AL21+AL22+AL23</f>
        <v>0</v>
      </c>
      <c r="R39" s="430">
        <f>$AL20</f>
        <v>0</v>
      </c>
      <c r="S39" s="446">
        <f t="shared" si="22"/>
        <v>22</v>
      </c>
      <c r="T39" s="686"/>
      <c r="U39" s="26"/>
      <c r="V39" s="441" t="s">
        <v>185</v>
      </c>
      <c r="W39" s="469">
        <f>AN$6</f>
        <v>0</v>
      </c>
      <c r="X39" s="430">
        <f>$AN9</f>
        <v>0</v>
      </c>
      <c r="Y39" s="430">
        <f>$AN7</f>
        <v>0</v>
      </c>
      <c r="Z39" s="430">
        <f>$AN8</f>
        <v>29.8</v>
      </c>
      <c r="AA39" s="430">
        <f>AN$15+AN$16+AN$17+AN$18+AN$19+AN$21+AN$22+AN$23</f>
        <v>0</v>
      </c>
      <c r="AB39" s="719">
        <f>$AN20</f>
        <v>0</v>
      </c>
      <c r="AC39" s="723">
        <f t="shared" si="23"/>
        <v>29.8</v>
      </c>
      <c r="AD39" s="587">
        <f>AO6+AO7+AO8+AO9+AO15+AO16+AO17+AO18+AO19+AO20+AO21+AO22+AO23</f>
        <v>17.7</v>
      </c>
      <c r="AE39" s="579">
        <f t="shared" si="24"/>
        <v>47.5</v>
      </c>
      <c r="AF39" s="23"/>
      <c r="AG39" s="26"/>
      <c r="AI39" s="26"/>
      <c r="AJ39" s="26"/>
      <c r="AK39" s="26"/>
      <c r="AL39" s="24"/>
      <c r="AN39" s="26"/>
      <c r="AP39" s="24"/>
      <c r="AT39" s="24"/>
      <c r="AX39" s="23"/>
      <c r="AY39" s="23"/>
      <c r="AZ39" s="23"/>
      <c r="BA39" s="23"/>
      <c r="BB39" s="23"/>
      <c r="BC39" s="23"/>
      <c r="BD39" s="23"/>
      <c r="BE39" s="23"/>
      <c r="BF39" s="23"/>
      <c r="BG39" s="23"/>
    </row>
    <row r="40" spans="1:59" ht="23.25">
      <c r="L40" s="441" t="s">
        <v>202</v>
      </c>
      <c r="M40" s="470">
        <f>$AP$6</f>
        <v>0</v>
      </c>
      <c r="N40" s="430">
        <f>$AP9</f>
        <v>0</v>
      </c>
      <c r="O40" s="430">
        <f>$AP7</f>
        <v>0</v>
      </c>
      <c r="P40" s="430">
        <f>$AP8</f>
        <v>0</v>
      </c>
      <c r="Q40" s="430">
        <f>AP15+AP16+AP17+AP18+AP19+AP21+AP22+AP23</f>
        <v>0</v>
      </c>
      <c r="R40" s="430">
        <f>$AP20</f>
        <v>15</v>
      </c>
      <c r="S40" s="446">
        <f t="shared" si="22"/>
        <v>15</v>
      </c>
      <c r="T40" s="686"/>
      <c r="U40" s="26"/>
      <c r="V40" s="441" t="s">
        <v>202</v>
      </c>
      <c r="W40" s="440">
        <f>AR$6</f>
        <v>0</v>
      </c>
      <c r="X40" s="430">
        <f>$AR9</f>
        <v>0</v>
      </c>
      <c r="Y40" s="430">
        <f>$AR7</f>
        <v>0</v>
      </c>
      <c r="Z40" s="430">
        <f>$AR8</f>
        <v>0</v>
      </c>
      <c r="AA40" s="430">
        <f>AR$15+AR$16+AR$17+AR$18+AR$19+AR$21+AR$22+AR$23</f>
        <v>0</v>
      </c>
      <c r="AB40" s="719">
        <f>$AR20</f>
        <v>0</v>
      </c>
      <c r="AC40" s="723">
        <f t="shared" si="23"/>
        <v>0</v>
      </c>
      <c r="AD40" s="587">
        <f>AS6+AS7+AS8+AS9+AS15+AS16+AS17+AS18+AS19+AS20+AS21+AS22+AS23</f>
        <v>0</v>
      </c>
      <c r="AE40" s="579">
        <f t="shared" si="24"/>
        <v>0</v>
      </c>
      <c r="AF40" s="28"/>
      <c r="AG40" s="26"/>
      <c r="AI40" s="26"/>
      <c r="AJ40" s="26"/>
      <c r="AK40" s="26"/>
      <c r="AL40" s="24"/>
      <c r="AN40" s="26"/>
      <c r="AP40" s="24"/>
      <c r="AS40" s="23"/>
      <c r="AT40" s="24"/>
      <c r="AX40" s="23"/>
      <c r="AY40" s="23"/>
      <c r="AZ40" s="23"/>
      <c r="BA40" s="23"/>
      <c r="BB40" s="23"/>
      <c r="BC40" s="23"/>
      <c r="BD40" s="23"/>
      <c r="BE40" s="23"/>
      <c r="BF40" s="23"/>
      <c r="BG40" s="23"/>
    </row>
    <row r="41" spans="1:59" ht="23.25">
      <c r="L41" s="441" t="s">
        <v>186</v>
      </c>
      <c r="M41" s="470">
        <f>$AT$6</f>
        <v>8</v>
      </c>
      <c r="N41" s="430">
        <f>$AT9</f>
        <v>0</v>
      </c>
      <c r="O41" s="430">
        <f>$AT7</f>
        <v>0</v>
      </c>
      <c r="P41" s="430">
        <f>$AT8</f>
        <v>0</v>
      </c>
      <c r="Q41" s="430">
        <f>AT15+AT16+AT17+AT18+AT19+AT21+AT22+AT23</f>
        <v>0</v>
      </c>
      <c r="R41" s="430">
        <f>$AT20</f>
        <v>0</v>
      </c>
      <c r="S41" s="446">
        <f t="shared" si="22"/>
        <v>8</v>
      </c>
      <c r="T41" s="686"/>
      <c r="U41" s="26"/>
      <c r="V41" s="441" t="s">
        <v>186</v>
      </c>
      <c r="W41" s="440">
        <f>AV$6</f>
        <v>0</v>
      </c>
      <c r="X41" s="430">
        <f>$AV9</f>
        <v>3</v>
      </c>
      <c r="Y41" s="430">
        <f>$AV7</f>
        <v>0</v>
      </c>
      <c r="Z41" s="430">
        <f>$AV8</f>
        <v>0</v>
      </c>
      <c r="AA41" s="430">
        <f>AV$15+AV$16+AV$17+AV$18+AV$19+AV$21+AV$22+AV$23</f>
        <v>0</v>
      </c>
      <c r="AB41" s="719">
        <f>$AV20</f>
        <v>0</v>
      </c>
      <c r="AC41" s="723">
        <f t="shared" si="23"/>
        <v>3</v>
      </c>
      <c r="AD41" s="587">
        <f>AW6+AW7+AW8+AW9+AW15+AW16+AW17+AW18+AW20+AW19+AW21+AW22+AW23</f>
        <v>13</v>
      </c>
      <c r="AE41" s="579">
        <f t="shared" si="24"/>
        <v>16</v>
      </c>
      <c r="AH41" s="24"/>
      <c r="AJ41" s="25"/>
      <c r="AL41" s="24"/>
      <c r="AN41" s="25"/>
      <c r="AP41" s="24"/>
      <c r="AR41" s="25"/>
      <c r="AT41" s="24"/>
      <c r="AX41" s="23"/>
      <c r="AY41" s="23"/>
      <c r="AZ41" s="23"/>
      <c r="BA41" s="23"/>
      <c r="BB41" s="23"/>
      <c r="BC41" s="23"/>
      <c r="BD41" s="23"/>
      <c r="BE41" s="23"/>
      <c r="BF41" s="23"/>
      <c r="BG41" s="23"/>
    </row>
    <row r="42" spans="1:59" ht="23.25">
      <c r="L42" s="441" t="s">
        <v>203</v>
      </c>
      <c r="M42" s="470">
        <f>$AX$6</f>
        <v>0</v>
      </c>
      <c r="N42" s="430">
        <f>$AX9</f>
        <v>0</v>
      </c>
      <c r="O42" s="430">
        <f>$AX7</f>
        <v>0</v>
      </c>
      <c r="P42" s="430">
        <f>$AX8</f>
        <v>0</v>
      </c>
      <c r="Q42" s="430">
        <f>AX15+AX16+AX17+AX18+AX19+AX21+AX22+AX23</f>
        <v>0</v>
      </c>
      <c r="R42" s="430">
        <f>$AX20</f>
        <v>0</v>
      </c>
      <c r="S42" s="446">
        <f t="shared" si="22"/>
        <v>0</v>
      </c>
      <c r="T42" s="686"/>
      <c r="U42" s="26"/>
      <c r="V42" s="441" t="s">
        <v>203</v>
      </c>
      <c r="W42" s="440">
        <f>AZ$6</f>
        <v>0</v>
      </c>
      <c r="X42" s="430">
        <f>$AZ9</f>
        <v>0</v>
      </c>
      <c r="Y42" s="430">
        <f>$AZ7</f>
        <v>0</v>
      </c>
      <c r="Z42" s="430">
        <f>$AZ8</f>
        <v>0</v>
      </c>
      <c r="AA42" s="430">
        <f>AZ$15+AZ$16+AZ$17+AZ$18+AZ$19+AZ$21+AZ$22+AZ$23</f>
        <v>0</v>
      </c>
      <c r="AB42" s="719">
        <f>$AZ20</f>
        <v>0</v>
      </c>
      <c r="AC42" s="723">
        <f t="shared" si="23"/>
        <v>0</v>
      </c>
      <c r="AD42" s="587">
        <f>BA6+BA7+BA8+BA9+BA15+BA16+BA17+BA18+BA19+BA20+BA21+BA22+BA23</f>
        <v>20</v>
      </c>
      <c r="AE42" s="579">
        <f t="shared" si="24"/>
        <v>20</v>
      </c>
      <c r="AH42" s="24"/>
      <c r="AJ42" s="25"/>
      <c r="AL42" s="24"/>
      <c r="AN42" s="25"/>
      <c r="AP42" s="24"/>
      <c r="AR42" s="25"/>
      <c r="AT42" s="24"/>
      <c r="AV42" s="25"/>
      <c r="AX42" s="23"/>
      <c r="AY42" s="23"/>
      <c r="AZ42" s="23"/>
      <c r="BA42" s="23"/>
      <c r="BB42" s="23"/>
      <c r="BC42" s="23"/>
      <c r="BD42" s="23"/>
      <c r="BE42" s="23"/>
      <c r="BF42" s="23"/>
      <c r="BG42" s="23"/>
    </row>
    <row r="43" spans="1:59" ht="24" thickBot="1">
      <c r="L43" s="442" t="s">
        <v>191</v>
      </c>
      <c r="M43" s="443">
        <f t="shared" ref="M43" si="25">SUM(M33:M42)</f>
        <v>80</v>
      </c>
      <c r="N43" s="444">
        <f>SUM(N33:N42)</f>
        <v>0</v>
      </c>
      <c r="O43" s="443">
        <f t="shared" ref="O43" si="26">SUM(O33:O42)</f>
        <v>0</v>
      </c>
      <c r="P43" s="444">
        <f>SUM(P33:P42)</f>
        <v>25.5</v>
      </c>
      <c r="Q43" s="444">
        <f>SUM(Q33:Q42)</f>
        <v>6</v>
      </c>
      <c r="R43" s="445">
        <f>SUM(R33:R42)</f>
        <v>15</v>
      </c>
      <c r="S43" s="451">
        <f>SUM(S33:S42)</f>
        <v>126.5</v>
      </c>
      <c r="T43" s="687"/>
      <c r="U43" s="26"/>
      <c r="V43" s="442" t="s">
        <v>191</v>
      </c>
      <c r="W43" s="443">
        <f t="shared" ref="W43:Y43" si="27">SUM(W33:W42)</f>
        <v>16.350000000000001</v>
      </c>
      <c r="X43" s="444">
        <f>SUM(X33:X42)</f>
        <v>3</v>
      </c>
      <c r="Y43" s="443">
        <f t="shared" si="27"/>
        <v>0</v>
      </c>
      <c r="Z43" s="444">
        <f>SUM(Z33:Z42)</f>
        <v>29.8</v>
      </c>
      <c r="AA43" s="444">
        <f>SUM(AA33:AA42)</f>
        <v>0</v>
      </c>
      <c r="AB43" s="720">
        <f>SUM(AB33:AB42)</f>
        <v>0</v>
      </c>
      <c r="AC43" s="724">
        <f>SUM(AC33:AC42)</f>
        <v>49.150000000000006</v>
      </c>
      <c r="AD43" s="725">
        <f>SUM(AD33:AD42)</f>
        <v>50.7</v>
      </c>
      <c r="AE43" s="579">
        <f t="shared" si="24"/>
        <v>99.850000000000009</v>
      </c>
      <c r="AH43" s="24"/>
      <c r="AJ43" s="25"/>
      <c r="AL43" s="24"/>
      <c r="AN43" s="25"/>
      <c r="AP43" s="24"/>
      <c r="AR43" s="25"/>
      <c r="AT43" s="24"/>
      <c r="AV43" s="25"/>
      <c r="AX43" s="23"/>
      <c r="AY43" s="23"/>
      <c r="AZ43" s="23"/>
      <c r="BA43" s="23"/>
      <c r="BB43" s="23"/>
      <c r="BC43" s="23"/>
      <c r="BD43" s="23"/>
      <c r="BE43" s="23"/>
      <c r="BF43" s="23"/>
      <c r="BG43" s="23"/>
    </row>
    <row r="44" spans="1:59" ht="24" customHeight="1" thickBot="1">
      <c r="L44" s="26"/>
      <c r="M44" s="26"/>
      <c r="N44" s="24"/>
      <c r="P44" s="26"/>
      <c r="Q44" s="26"/>
      <c r="R44" s="24"/>
      <c r="T44" s="26"/>
      <c r="U44" s="26"/>
      <c r="V44" s="24"/>
      <c r="Z44" s="24"/>
      <c r="AD44" s="24"/>
      <c r="AE44" s="26"/>
      <c r="AF44" s="466"/>
      <c r="AG44" s="466"/>
      <c r="AH44" s="466"/>
      <c r="AI44" s="467"/>
      <c r="AL44" s="24"/>
      <c r="AM44" s="25"/>
      <c r="AP44" s="24"/>
      <c r="AQ44" s="25"/>
      <c r="AT44" s="24"/>
      <c r="AU44" s="25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</row>
    <row r="45" spans="1:59" ht="33" customHeight="1" thickBot="1">
      <c r="L45" s="1929" t="str">
        <f>L31</f>
        <v>Mode wise Collection Plan-24-01-2022</v>
      </c>
      <c r="M45" s="1930"/>
      <c r="N45" s="1930"/>
      <c r="O45" s="1930"/>
      <c r="P45" s="1930"/>
      <c r="Q45" s="1930"/>
      <c r="R45" s="1930"/>
      <c r="S45" s="1930"/>
      <c r="T45" s="1931"/>
      <c r="U45" s="26"/>
      <c r="V45" s="1923" t="s">
        <v>295</v>
      </c>
      <c r="W45" s="1937"/>
      <c r="X45" s="1937"/>
      <c r="Y45" s="1937"/>
      <c r="Z45" s="1937"/>
      <c r="AA45" s="1937"/>
      <c r="AB45" s="1937"/>
      <c r="AC45" s="1937"/>
      <c r="AD45" s="1937"/>
      <c r="AE45" s="1938"/>
      <c r="AF45" s="1984" t="s">
        <v>302</v>
      </c>
      <c r="AG45" s="1985"/>
      <c r="AH45" s="1985"/>
      <c r="AI45" s="1985"/>
      <c r="AJ45" s="1986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</row>
    <row r="46" spans="1:59" s="28" customFormat="1" ht="40.5" customHeight="1">
      <c r="D46" s="29"/>
      <c r="E46" s="29"/>
      <c r="F46" s="29"/>
      <c r="I46" s="29"/>
      <c r="J46" s="1011" t="s">
        <v>196</v>
      </c>
      <c r="K46" s="1011" t="s">
        <v>270</v>
      </c>
      <c r="L46" s="450" t="s">
        <v>0</v>
      </c>
      <c r="M46" s="439" t="s">
        <v>200</v>
      </c>
      <c r="N46" s="454" t="s">
        <v>205</v>
      </c>
      <c r="O46" s="439" t="s">
        <v>31</v>
      </c>
      <c r="P46" s="448" t="s">
        <v>201</v>
      </c>
      <c r="Q46" s="455" t="s">
        <v>206</v>
      </c>
      <c r="R46" s="436" t="s">
        <v>22</v>
      </c>
      <c r="S46" s="438" t="s">
        <v>191</v>
      </c>
      <c r="T46" s="438" t="s">
        <v>244</v>
      </c>
      <c r="U46" s="26"/>
      <c r="V46" s="596" t="s">
        <v>0</v>
      </c>
      <c r="W46" s="436" t="s">
        <v>200</v>
      </c>
      <c r="X46" s="454" t="s">
        <v>205</v>
      </c>
      <c r="Y46" s="436" t="s">
        <v>31</v>
      </c>
      <c r="Z46" s="448" t="s">
        <v>201</v>
      </c>
      <c r="AA46" s="453" t="s">
        <v>206</v>
      </c>
      <c r="AB46" s="453" t="s">
        <v>210</v>
      </c>
      <c r="AC46" s="436" t="s">
        <v>22</v>
      </c>
      <c r="AD46" s="437" t="s">
        <v>191</v>
      </c>
      <c r="AE46" s="438" t="s">
        <v>244</v>
      </c>
      <c r="AF46" s="1117" t="s">
        <v>32</v>
      </c>
      <c r="AG46" s="1116" t="s">
        <v>25</v>
      </c>
      <c r="AH46" s="1116" t="s">
        <v>23</v>
      </c>
      <c r="AI46" s="1116" t="s">
        <v>285</v>
      </c>
      <c r="AJ46" s="1116" t="s">
        <v>303</v>
      </c>
      <c r="AK46" s="23"/>
      <c r="AL46" s="23"/>
      <c r="AM46" s="23"/>
      <c r="AN46" s="23"/>
      <c r="AO46" s="23"/>
      <c r="AP46" s="23"/>
      <c r="AQ46" s="23"/>
      <c r="AR46" s="23"/>
    </row>
    <row r="47" spans="1:59" ht="26.25" customHeight="1">
      <c r="J47" s="441">
        <v>26</v>
      </c>
      <c r="K47" s="441"/>
      <c r="L47" s="441" t="s">
        <v>189</v>
      </c>
      <c r="M47" s="1284">
        <v>51</v>
      </c>
      <c r="N47" s="430">
        <v>0</v>
      </c>
      <c r="O47" s="430">
        <v>0</v>
      </c>
      <c r="P47" s="430">
        <v>0</v>
      </c>
      <c r="Q47" s="430">
        <v>0</v>
      </c>
      <c r="R47" s="430">
        <v>0</v>
      </c>
      <c r="S47" s="446">
        <f t="shared" ref="S47:S56" si="28">SUM(M47:R47)</f>
        <v>51</v>
      </c>
      <c r="T47" s="446"/>
      <c r="U47" s="26"/>
      <c r="V47" s="586" t="s">
        <v>189</v>
      </c>
      <c r="W47" s="430">
        <v>13</v>
      </c>
      <c r="X47" s="430"/>
      <c r="Y47" s="430"/>
      <c r="Z47" s="430"/>
      <c r="AA47" s="430"/>
      <c r="AB47" s="655"/>
      <c r="AC47" s="430"/>
      <c r="AD47" s="568">
        <f t="shared" ref="AD47:AD56" si="29">SUM(W47:AC47)</f>
        <v>13</v>
      </c>
      <c r="AE47" s="1025">
        <f>L27+L28+L29</f>
        <v>0</v>
      </c>
      <c r="AF47" s="1119"/>
      <c r="AG47" s="1074"/>
      <c r="AH47" s="1074"/>
      <c r="AI47" s="1074">
        <v>26</v>
      </c>
      <c r="AJ47" s="1074"/>
      <c r="AK47" s="28"/>
      <c r="AL47" s="28"/>
      <c r="AM47" s="28"/>
      <c r="AN47" s="28"/>
      <c r="AO47" s="28"/>
      <c r="AP47" s="28"/>
      <c r="AQ47" s="28"/>
      <c r="AR47" s="28"/>
      <c r="AT47" s="24"/>
      <c r="AU47" s="25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</row>
    <row r="48" spans="1:59" ht="26.25" customHeight="1">
      <c r="J48" s="441">
        <v>24</v>
      </c>
      <c r="K48" s="441"/>
      <c r="L48" s="441" t="s">
        <v>183</v>
      </c>
      <c r="M48" s="1284">
        <v>9</v>
      </c>
      <c r="N48" s="430">
        <v>0</v>
      </c>
      <c r="O48" s="430">
        <v>0</v>
      </c>
      <c r="P48" s="430">
        <v>0</v>
      </c>
      <c r="Q48" s="430">
        <v>0</v>
      </c>
      <c r="R48" s="430">
        <v>0</v>
      </c>
      <c r="S48" s="446">
        <f t="shared" si="28"/>
        <v>9</v>
      </c>
      <c r="T48" s="446">
        <v>17</v>
      </c>
      <c r="U48" s="466"/>
      <c r="V48" s="586" t="s">
        <v>183</v>
      </c>
      <c r="W48" s="430"/>
      <c r="X48" s="430"/>
      <c r="Y48" s="430"/>
      <c r="Z48" s="430"/>
      <c r="AA48" s="430"/>
      <c r="AB48" s="655"/>
      <c r="AC48" s="430"/>
      <c r="AD48" s="568">
        <f t="shared" si="29"/>
        <v>0</v>
      </c>
      <c r="AE48" s="1025">
        <f>P27+P28+P29</f>
        <v>0</v>
      </c>
      <c r="AF48" s="1119"/>
      <c r="AG48" s="1113"/>
      <c r="AH48" s="1113"/>
      <c r="AI48" s="1113"/>
      <c r="AJ48" s="1113"/>
      <c r="AL48" s="24"/>
      <c r="AM48" s="25"/>
      <c r="AP48" s="24"/>
      <c r="AQ48" s="25"/>
      <c r="AT48" s="24"/>
      <c r="AU48" s="25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</row>
    <row r="49" spans="4:59" ht="26.25" customHeight="1">
      <c r="J49" s="441"/>
      <c r="K49" s="441"/>
      <c r="L49" s="441" t="s">
        <v>184</v>
      </c>
      <c r="M49" s="1284">
        <v>0</v>
      </c>
      <c r="N49" s="430">
        <v>0</v>
      </c>
      <c r="O49" s="430">
        <v>0</v>
      </c>
      <c r="P49" s="430">
        <v>3.5</v>
      </c>
      <c r="Q49" s="430">
        <v>0</v>
      </c>
      <c r="R49" s="430">
        <v>0</v>
      </c>
      <c r="S49" s="446">
        <f t="shared" si="28"/>
        <v>3.5</v>
      </c>
      <c r="T49" s="446">
        <v>5</v>
      </c>
      <c r="U49" s="466"/>
      <c r="V49" s="586" t="s">
        <v>184</v>
      </c>
      <c r="W49" s="430"/>
      <c r="X49" s="430">
        <v>2</v>
      </c>
      <c r="Y49" s="430"/>
      <c r="Z49" s="430"/>
      <c r="AA49" s="430"/>
      <c r="AB49" s="655"/>
      <c r="AC49" s="430"/>
      <c r="AD49" s="568">
        <f t="shared" si="29"/>
        <v>2</v>
      </c>
      <c r="AE49" s="1025">
        <f>T27+T28+T29</f>
        <v>0</v>
      </c>
      <c r="AF49" s="1119">
        <v>19</v>
      </c>
      <c r="AG49" s="1113"/>
      <c r="AH49" s="1113"/>
      <c r="AI49" s="1113"/>
      <c r="AJ49" s="1113"/>
      <c r="AL49" s="24"/>
      <c r="AM49" s="25"/>
      <c r="AP49" s="24"/>
      <c r="AQ49" s="25"/>
      <c r="AT49" s="24"/>
      <c r="AU49" s="25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</row>
    <row r="50" spans="4:59" ht="26.25" customHeight="1">
      <c r="J50" s="441">
        <v>8</v>
      </c>
      <c r="K50" s="441"/>
      <c r="L50" s="441" t="s">
        <v>170</v>
      </c>
      <c r="M50" s="1284">
        <v>2</v>
      </c>
      <c r="N50" s="430">
        <v>0</v>
      </c>
      <c r="O50" s="430">
        <v>0</v>
      </c>
      <c r="P50" s="430">
        <v>0</v>
      </c>
      <c r="Q50" s="430">
        <v>6</v>
      </c>
      <c r="R50" s="430">
        <v>0</v>
      </c>
      <c r="S50" s="446">
        <f t="shared" si="28"/>
        <v>8</v>
      </c>
      <c r="T50" s="446"/>
      <c r="U50" s="466"/>
      <c r="V50" s="586" t="s">
        <v>170</v>
      </c>
      <c r="W50" s="430">
        <v>4.9000000000000004</v>
      </c>
      <c r="X50" s="430"/>
      <c r="Y50" s="430"/>
      <c r="Z50" s="430"/>
      <c r="AA50" s="430"/>
      <c r="AB50" s="655"/>
      <c r="AC50" s="430"/>
      <c r="AD50" s="568">
        <f t="shared" si="29"/>
        <v>4.9000000000000004</v>
      </c>
      <c r="AE50" s="1025">
        <f>X27+X28+X29</f>
        <v>0</v>
      </c>
      <c r="AF50" s="1119"/>
      <c r="AG50" s="1113"/>
      <c r="AH50" s="1113"/>
      <c r="AI50" s="1113">
        <v>8</v>
      </c>
      <c r="AJ50" s="1113"/>
      <c r="AL50" s="24"/>
      <c r="AM50" s="25"/>
      <c r="AP50" s="24"/>
      <c r="AQ50" s="25"/>
      <c r="AT50" s="24"/>
      <c r="AU50" s="25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</row>
    <row r="51" spans="4:59" ht="26.25" customHeight="1">
      <c r="J51" s="441"/>
      <c r="K51" s="441"/>
      <c r="L51" s="441" t="s">
        <v>171</v>
      </c>
      <c r="M51" s="1284">
        <v>0</v>
      </c>
      <c r="N51" s="430">
        <v>0</v>
      </c>
      <c r="O51" s="430">
        <v>0</v>
      </c>
      <c r="P51" s="430">
        <v>0</v>
      </c>
      <c r="Q51" s="430">
        <v>0</v>
      </c>
      <c r="R51" s="430">
        <v>0</v>
      </c>
      <c r="S51" s="446">
        <f t="shared" si="28"/>
        <v>0</v>
      </c>
      <c r="T51" s="446"/>
      <c r="U51" s="466"/>
      <c r="V51" s="586" t="s">
        <v>171</v>
      </c>
      <c r="W51" s="430"/>
      <c r="X51" s="430"/>
      <c r="Y51" s="430"/>
      <c r="Z51" s="430"/>
      <c r="AA51" s="430"/>
      <c r="AB51" s="655"/>
      <c r="AC51" s="430"/>
      <c r="AD51" s="568">
        <f t="shared" si="29"/>
        <v>0</v>
      </c>
      <c r="AE51" s="1025">
        <f>AB27+AB28+AB29</f>
        <v>0</v>
      </c>
      <c r="AF51" s="1119"/>
      <c r="AG51" s="1113"/>
      <c r="AH51" s="1113"/>
      <c r="AI51" s="1113"/>
      <c r="AJ51" s="1113"/>
      <c r="AL51" s="24"/>
      <c r="AM51" s="25"/>
      <c r="AP51" s="24"/>
      <c r="AQ51" s="25"/>
      <c r="AT51" s="24"/>
      <c r="AU51" s="25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</row>
    <row r="52" spans="4:59" ht="26.25" customHeight="1">
      <c r="J52" s="441"/>
      <c r="K52" s="441">
        <v>12.5</v>
      </c>
      <c r="L52" s="441" t="s">
        <v>190</v>
      </c>
      <c r="M52" s="1285">
        <v>10</v>
      </c>
      <c r="N52" s="471">
        <v>0</v>
      </c>
      <c r="O52" s="471">
        <v>0</v>
      </c>
      <c r="P52" s="471">
        <v>0</v>
      </c>
      <c r="Q52" s="430">
        <v>0</v>
      </c>
      <c r="R52" s="471">
        <v>0</v>
      </c>
      <c r="S52" s="446">
        <f t="shared" si="28"/>
        <v>10</v>
      </c>
      <c r="T52" s="446"/>
      <c r="U52" s="466"/>
      <c r="V52" s="586" t="s">
        <v>190</v>
      </c>
      <c r="W52" s="430"/>
      <c r="X52" s="430"/>
      <c r="Y52" s="430"/>
      <c r="Z52" s="430"/>
      <c r="AA52" s="430"/>
      <c r="AB52" s="655"/>
      <c r="AC52" s="430"/>
      <c r="AD52" s="568">
        <f t="shared" si="29"/>
        <v>0</v>
      </c>
      <c r="AE52" s="1025">
        <f>AF27+AF28+AF29</f>
        <v>0</v>
      </c>
      <c r="AF52" s="1120">
        <v>12.4</v>
      </c>
      <c r="AG52" s="1113"/>
      <c r="AH52" s="1113"/>
      <c r="AI52" s="1113"/>
      <c r="AJ52" s="1113"/>
      <c r="AL52" s="24"/>
      <c r="AM52" s="25"/>
      <c r="AP52" s="24"/>
      <c r="AQ52" s="25"/>
      <c r="AT52" s="24"/>
      <c r="AU52" s="25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</row>
    <row r="53" spans="4:59" ht="26.25" customHeight="1">
      <c r="J53" s="441"/>
      <c r="K53" s="441">
        <f>6.29+17+7.7</f>
        <v>30.99</v>
      </c>
      <c r="L53" s="441" t="s">
        <v>185</v>
      </c>
      <c r="M53" s="1284">
        <v>0</v>
      </c>
      <c r="N53" s="430">
        <v>0</v>
      </c>
      <c r="O53" s="430">
        <v>0</v>
      </c>
      <c r="P53" s="430">
        <v>22</v>
      </c>
      <c r="Q53" s="430">
        <v>0</v>
      </c>
      <c r="R53" s="430">
        <v>0</v>
      </c>
      <c r="S53" s="446">
        <f t="shared" si="28"/>
        <v>22</v>
      </c>
      <c r="T53" s="446"/>
      <c r="U53" s="466"/>
      <c r="V53" s="586" t="s">
        <v>185</v>
      </c>
      <c r="W53" s="430">
        <v>2.5</v>
      </c>
      <c r="X53" s="430"/>
      <c r="Y53" s="430"/>
      <c r="Z53" s="430"/>
      <c r="AA53" s="430"/>
      <c r="AB53" s="655"/>
      <c r="AC53" s="430"/>
      <c r="AD53" s="568">
        <f t="shared" si="29"/>
        <v>2.5</v>
      </c>
      <c r="AE53" s="1025">
        <f>AN27+AN28+AN29</f>
        <v>17.71</v>
      </c>
      <c r="AF53" s="1120">
        <v>9.92</v>
      </c>
      <c r="AG53" s="1113"/>
      <c r="AH53" s="1113">
        <f>16.8+77.92</f>
        <v>94.72</v>
      </c>
      <c r="AI53" s="1113"/>
      <c r="AJ53" s="1113"/>
      <c r="AL53" s="24"/>
      <c r="AM53" s="25"/>
      <c r="AP53" s="24"/>
      <c r="AQ53" s="25"/>
      <c r="AT53" s="24"/>
      <c r="AU53" s="25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</row>
    <row r="54" spans="4:59" ht="26.25" customHeight="1">
      <c r="J54" s="441"/>
      <c r="K54" s="441"/>
      <c r="L54" s="441" t="s">
        <v>202</v>
      </c>
      <c r="M54" s="1284">
        <v>0</v>
      </c>
      <c r="N54" s="430">
        <v>0</v>
      </c>
      <c r="O54" s="430">
        <v>0</v>
      </c>
      <c r="P54" s="430">
        <v>0</v>
      </c>
      <c r="Q54" s="430">
        <v>0</v>
      </c>
      <c r="R54" s="430">
        <v>15</v>
      </c>
      <c r="S54" s="446">
        <f t="shared" si="28"/>
        <v>15</v>
      </c>
      <c r="T54" s="446"/>
      <c r="U54" s="466"/>
      <c r="V54" s="586" t="s">
        <v>202</v>
      </c>
      <c r="W54" s="430">
        <v>0.5</v>
      </c>
      <c r="X54" s="430"/>
      <c r="Y54" s="430"/>
      <c r="Z54" s="430"/>
      <c r="AA54" s="430"/>
      <c r="AB54" s="655"/>
      <c r="AC54" s="430"/>
      <c r="AD54" s="568">
        <f t="shared" si="29"/>
        <v>0.5</v>
      </c>
      <c r="AE54" s="1025">
        <f>AR27+AR28+AR29</f>
        <v>0</v>
      </c>
      <c r="AF54" s="1121"/>
      <c r="AG54" s="1113"/>
      <c r="AH54" s="1113"/>
      <c r="AI54" s="1113"/>
      <c r="AJ54" s="1113"/>
      <c r="AL54" s="24"/>
      <c r="AM54" s="25"/>
      <c r="AP54" s="24"/>
      <c r="AQ54" s="25"/>
      <c r="AT54" s="24"/>
      <c r="AU54" s="25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</row>
    <row r="55" spans="4:59" ht="26.25" customHeight="1">
      <c r="J55" s="441"/>
      <c r="K55" s="441">
        <v>27</v>
      </c>
      <c r="L55" s="441" t="s">
        <v>186</v>
      </c>
      <c r="M55" s="1284">
        <v>8</v>
      </c>
      <c r="N55" s="430">
        <v>0</v>
      </c>
      <c r="O55" s="430">
        <v>0</v>
      </c>
      <c r="P55" s="430">
        <v>0</v>
      </c>
      <c r="Q55" s="430">
        <v>0</v>
      </c>
      <c r="R55" s="430">
        <v>0</v>
      </c>
      <c r="S55" s="446">
        <f t="shared" si="28"/>
        <v>8</v>
      </c>
      <c r="T55" s="446">
        <v>13</v>
      </c>
      <c r="U55" s="466"/>
      <c r="V55" s="586" t="s">
        <v>186</v>
      </c>
      <c r="W55" s="430"/>
      <c r="X55" s="430"/>
      <c r="Y55" s="430"/>
      <c r="Z55" s="430"/>
      <c r="AA55" s="430"/>
      <c r="AB55" s="655"/>
      <c r="AC55" s="430"/>
      <c r="AD55" s="568">
        <f t="shared" si="29"/>
        <v>0</v>
      </c>
      <c r="AE55" s="1025">
        <f>AV27+AV28+AV29</f>
        <v>13</v>
      </c>
      <c r="AF55" s="1121">
        <v>27.78</v>
      </c>
      <c r="AG55" s="1113"/>
      <c r="AH55" s="1113"/>
      <c r="AI55" s="1113"/>
      <c r="AJ55" s="1113"/>
      <c r="AL55" s="24"/>
      <c r="AM55" s="25"/>
      <c r="AP55" s="24"/>
      <c r="AQ55" s="25"/>
      <c r="AT55" s="24"/>
      <c r="AU55" s="25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</row>
    <row r="56" spans="4:59" ht="26.25" customHeight="1">
      <c r="J56" s="441"/>
      <c r="K56" s="441"/>
      <c r="L56" s="441" t="s">
        <v>203</v>
      </c>
      <c r="M56" s="1284">
        <v>0</v>
      </c>
      <c r="N56" s="430">
        <v>0</v>
      </c>
      <c r="O56" s="430">
        <v>0</v>
      </c>
      <c r="P56" s="430">
        <v>0</v>
      </c>
      <c r="Q56" s="430">
        <v>0</v>
      </c>
      <c r="R56" s="430">
        <v>0</v>
      </c>
      <c r="S56" s="446">
        <f t="shared" si="28"/>
        <v>0</v>
      </c>
      <c r="T56" s="446">
        <v>20</v>
      </c>
      <c r="U56" s="466"/>
      <c r="V56" s="586" t="s">
        <v>203</v>
      </c>
      <c r="W56" s="430"/>
      <c r="X56" s="430"/>
      <c r="Y56" s="430"/>
      <c r="Z56" s="430"/>
      <c r="AA56" s="430"/>
      <c r="AB56" s="655"/>
      <c r="AC56" s="430"/>
      <c r="AD56" s="568">
        <f t="shared" si="29"/>
        <v>0</v>
      </c>
      <c r="AE56" s="1025">
        <f>AZ27+AZ28+AZ29</f>
        <v>20</v>
      </c>
      <c r="AF56" s="1121"/>
      <c r="AG56" s="1113"/>
      <c r="AH56" s="1113"/>
      <c r="AI56" s="1113"/>
      <c r="AJ56" s="1113"/>
      <c r="AL56" s="24"/>
      <c r="AM56" s="25"/>
      <c r="AP56" s="24"/>
      <c r="AQ56" s="25"/>
      <c r="AT56" s="24"/>
      <c r="AU56" s="25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</row>
    <row r="57" spans="4:59" ht="33" customHeight="1" thickBot="1">
      <c r="J57" s="442">
        <f t="shared" ref="J57:K57" si="30">SUM(J47:J56)</f>
        <v>58</v>
      </c>
      <c r="K57" s="442">
        <f t="shared" si="30"/>
        <v>70.489999999999995</v>
      </c>
      <c r="L57" s="442" t="s">
        <v>191</v>
      </c>
      <c r="M57" s="1115">
        <f t="shared" ref="M57" si="31">SUM(M47:M56)</f>
        <v>80</v>
      </c>
      <c r="N57" s="444">
        <f>SUM(N47:N56)</f>
        <v>0</v>
      </c>
      <c r="O57" s="443">
        <f t="shared" ref="O57" si="32">SUM(O47:O56)</f>
        <v>0</v>
      </c>
      <c r="P57" s="444">
        <f>SUM(P47:P56)</f>
        <v>25.5</v>
      </c>
      <c r="Q57" s="444">
        <f>SUM(Q47:Q56)</f>
        <v>6</v>
      </c>
      <c r="R57" s="445">
        <f>SUM(R47:R56)</f>
        <v>15</v>
      </c>
      <c r="S57" s="451">
        <f>SUM(S47:S56)</f>
        <v>126.5</v>
      </c>
      <c r="T57" s="451">
        <f>SUM(T47:T56)</f>
        <v>55</v>
      </c>
      <c r="U57" s="466"/>
      <c r="V57" s="588" t="s">
        <v>191</v>
      </c>
      <c r="W57" s="1115">
        <f t="shared" ref="W57" si="33">SUM(W47:W56)</f>
        <v>20.9</v>
      </c>
      <c r="X57" s="444">
        <f>SUM(X47:X56)</f>
        <v>2</v>
      </c>
      <c r="Y57" s="444">
        <f t="shared" ref="Y57" si="34">SUM(Y47:Y56)</f>
        <v>0</v>
      </c>
      <c r="Z57" s="444">
        <f>SUM(Z47:Z56)</f>
        <v>0</v>
      </c>
      <c r="AA57" s="444">
        <f>SUM(AA47:AA56)</f>
        <v>0</v>
      </c>
      <c r="AB57" s="444"/>
      <c r="AC57" s="444">
        <f t="shared" ref="AC57" si="35">SUM(AC47:AC56)</f>
        <v>0</v>
      </c>
      <c r="AD57" s="630">
        <f>SUM(AD47:AD56)</f>
        <v>22.9</v>
      </c>
      <c r="AE57" s="631">
        <f>SUM(AE47:AE56)</f>
        <v>50.71</v>
      </c>
      <c r="AF57" s="1118">
        <f t="shared" ref="AF57:AI57" si="36">SUM(AF47:AF56)</f>
        <v>69.099999999999994</v>
      </c>
      <c r="AG57" s="589">
        <f t="shared" si="36"/>
        <v>0</v>
      </c>
      <c r="AH57" s="589">
        <f t="shared" si="36"/>
        <v>94.72</v>
      </c>
      <c r="AI57" s="589">
        <f t="shared" si="36"/>
        <v>34</v>
      </c>
      <c r="AJ57" s="589"/>
      <c r="AL57" s="24"/>
      <c r="AM57" s="25"/>
      <c r="AP57" s="24"/>
      <c r="AQ57" s="25"/>
      <c r="AT57" s="24"/>
      <c r="AU57" s="25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</row>
    <row r="58" spans="4:59" ht="33.75" customHeight="1" thickBot="1">
      <c r="N58" s="24"/>
      <c r="O58" s="1924" t="s">
        <v>254</v>
      </c>
      <c r="P58" s="1925"/>
      <c r="Q58" s="1925"/>
      <c r="R58" s="1926"/>
      <c r="S58" s="1989">
        <f>S57+T57</f>
        <v>181.5</v>
      </c>
      <c r="T58" s="1990"/>
      <c r="U58" s="466"/>
      <c r="V58" s="1932" t="s">
        <v>221</v>
      </c>
      <c r="W58" s="1932"/>
      <c r="X58" s="1932"/>
      <c r="Y58" s="1932"/>
      <c r="Z58" s="1932"/>
      <c r="AA58" s="1932"/>
      <c r="AB58" s="1932"/>
      <c r="AC58" s="1932"/>
      <c r="AD58" s="1987">
        <f>AD57+AE57</f>
        <v>73.61</v>
      </c>
      <c r="AE58" s="1988"/>
      <c r="AF58" s="466"/>
      <c r="AH58" s="24"/>
      <c r="AI58" s="25"/>
      <c r="AL58" s="24"/>
      <c r="AM58" s="25"/>
      <c r="AP58" s="24"/>
      <c r="AQ58" s="25"/>
      <c r="AT58" s="24"/>
      <c r="AU58" s="25"/>
      <c r="AX58" s="24"/>
      <c r="AY58" s="24"/>
      <c r="AZ58" s="25"/>
      <c r="BA58" s="24"/>
      <c r="BB58" s="24"/>
      <c r="BC58" s="23"/>
      <c r="BD58" s="23"/>
      <c r="BE58" s="23"/>
      <c r="BF58" s="23"/>
      <c r="BG58" s="23"/>
    </row>
    <row r="59" spans="4:59" ht="29.25" thickBot="1">
      <c r="J59" s="24"/>
      <c r="N59" s="24"/>
      <c r="R59" s="24"/>
      <c r="T59" s="26"/>
      <c r="U59" s="26"/>
      <c r="W59" s="26"/>
      <c r="X59" s="26"/>
      <c r="Y59" s="1922" t="s">
        <v>235</v>
      </c>
      <c r="Z59" s="1922"/>
      <c r="AA59" s="1922"/>
      <c r="AB59" s="1922"/>
      <c r="AC59" s="1922"/>
      <c r="AD59" s="1982">
        <f>BH6+BI6+BD20+BE20</f>
        <v>67.05</v>
      </c>
      <c r="AE59" s="1983"/>
      <c r="AF59" s="466"/>
      <c r="AH59" s="24"/>
      <c r="AI59" s="25"/>
      <c r="AL59" s="24"/>
      <c r="AP59" s="25"/>
      <c r="AT59" s="25"/>
      <c r="AX59" s="25"/>
      <c r="AY59" s="24"/>
      <c r="AZ59" s="24"/>
      <c r="BA59" s="24"/>
      <c r="BB59" s="25"/>
      <c r="BE59" s="23"/>
      <c r="BF59" s="23"/>
      <c r="BG59" s="23"/>
    </row>
    <row r="60" spans="4:59" s="28" customFormat="1" ht="45" customHeight="1" thickBot="1">
      <c r="D60" s="29"/>
      <c r="E60" s="29"/>
      <c r="F60" s="29"/>
      <c r="I60" s="29"/>
      <c r="J60" s="24"/>
      <c r="K60" s="24"/>
      <c r="L60" s="1923" t="s">
        <v>319</v>
      </c>
      <c r="M60" s="1937"/>
      <c r="N60" s="1937"/>
      <c r="O60" s="1937"/>
      <c r="P60" s="1937"/>
      <c r="Q60" s="1937"/>
      <c r="R60" s="1937"/>
      <c r="S60" s="1937"/>
      <c r="T60" s="1937"/>
      <c r="U60" s="1938"/>
      <c r="V60" s="965"/>
      <c r="W60" s="965"/>
      <c r="X60" s="965"/>
      <c r="Y60" s="1013"/>
      <c r="Z60" s="966"/>
      <c r="AA60" s="966"/>
      <c r="AB60" s="966"/>
      <c r="AC60" s="1013"/>
      <c r="AD60" s="966"/>
      <c r="AE60" s="964"/>
      <c r="AF60" s="966"/>
      <c r="AG60" s="964"/>
      <c r="AH60" s="964"/>
      <c r="AI60" s="967"/>
      <c r="AJ60" s="964"/>
      <c r="AK60" s="964"/>
      <c r="AL60" s="964"/>
      <c r="AM60" s="964"/>
      <c r="AN60" s="964"/>
      <c r="AO60" s="964"/>
      <c r="AP60" s="967"/>
      <c r="AQ60" s="964"/>
      <c r="AR60" s="964"/>
      <c r="AS60" s="964"/>
      <c r="AT60" s="967"/>
      <c r="AU60" s="964"/>
      <c r="AV60" s="964"/>
      <c r="AW60" s="964"/>
      <c r="AX60" s="967"/>
      <c r="AY60" s="965"/>
      <c r="AZ60" s="965"/>
      <c r="BA60" s="964"/>
      <c r="BB60" s="964"/>
      <c r="BC60" s="967"/>
      <c r="BD60" s="967"/>
      <c r="BE60" s="964"/>
    </row>
    <row r="61" spans="4:59" ht="39.75" customHeight="1">
      <c r="J61" s="24"/>
      <c r="L61" s="596" t="s">
        <v>0</v>
      </c>
      <c r="M61" s="436" t="s">
        <v>200</v>
      </c>
      <c r="N61" s="454" t="s">
        <v>205</v>
      </c>
      <c r="O61" s="436" t="s">
        <v>31</v>
      </c>
      <c r="P61" s="448" t="s">
        <v>201</v>
      </c>
      <c r="Q61" s="453" t="s">
        <v>206</v>
      </c>
      <c r="R61" s="453" t="s">
        <v>210</v>
      </c>
      <c r="S61" s="436" t="s">
        <v>22</v>
      </c>
      <c r="T61" s="437" t="s">
        <v>191</v>
      </c>
      <c r="U61" s="438" t="s">
        <v>244</v>
      </c>
      <c r="V61" s="1283"/>
      <c r="W61" s="1283"/>
      <c r="X61" s="1283"/>
      <c r="Y61" s="1283"/>
      <c r="Z61" s="1283"/>
      <c r="AA61" s="466"/>
      <c r="AB61" s="466"/>
      <c r="AC61" s="465"/>
      <c r="AD61" s="466"/>
      <c r="AF61" s="466"/>
      <c r="AH61" s="24"/>
      <c r="AI61" s="25"/>
      <c r="AL61" s="24"/>
      <c r="AM61" s="26"/>
      <c r="AN61" s="26"/>
      <c r="AP61" s="24"/>
      <c r="AQ61" s="26"/>
      <c r="AR61" s="26"/>
      <c r="AT61" s="24"/>
      <c r="AU61" s="26"/>
      <c r="AV61" s="26"/>
      <c r="AX61" s="24"/>
      <c r="AY61" s="26"/>
      <c r="AZ61" s="26"/>
      <c r="BA61" s="24"/>
      <c r="BB61" s="24"/>
      <c r="BC61" s="25"/>
      <c r="BD61" s="25"/>
      <c r="BF61" s="23"/>
      <c r="BG61" s="23"/>
    </row>
    <row r="62" spans="4:59" ht="26.25" customHeight="1">
      <c r="J62" s="24"/>
      <c r="L62" s="586" t="s">
        <v>189</v>
      </c>
      <c r="M62" s="430">
        <v>4.8499999999999996</v>
      </c>
      <c r="N62" s="430">
        <v>0</v>
      </c>
      <c r="O62" s="430">
        <v>0</v>
      </c>
      <c r="P62" s="430">
        <v>0</v>
      </c>
      <c r="Q62" s="430"/>
      <c r="R62" s="655"/>
      <c r="S62" s="430"/>
      <c r="T62" s="568">
        <f t="shared" ref="T62:T71" si="37">SUM(M62:S62)</f>
        <v>4.8499999999999996</v>
      </c>
      <c r="U62" s="1025">
        <v>0</v>
      </c>
      <c r="V62" s="1283"/>
      <c r="W62" s="1283"/>
      <c r="X62" s="1283"/>
      <c r="Y62" s="1283"/>
      <c r="Z62" s="1283"/>
      <c r="AA62" s="466"/>
      <c r="AB62" s="466"/>
      <c r="AC62" s="465"/>
      <c r="AD62" s="466"/>
      <c r="AF62" s="466"/>
      <c r="AH62" s="24"/>
      <c r="AI62" s="25"/>
      <c r="AL62" s="24"/>
      <c r="AM62" s="26"/>
      <c r="AN62" s="26"/>
      <c r="AP62" s="24"/>
      <c r="AQ62" s="26"/>
      <c r="AR62" s="26"/>
      <c r="AT62" s="24"/>
      <c r="AU62" s="26"/>
      <c r="AV62" s="26"/>
      <c r="AX62" s="24"/>
      <c r="AY62" s="26"/>
      <c r="AZ62" s="26"/>
      <c r="BA62" s="24"/>
      <c r="BB62" s="24"/>
      <c r="BC62" s="25"/>
      <c r="BD62" s="25"/>
      <c r="BF62" s="23"/>
      <c r="BG62" s="23"/>
    </row>
    <row r="63" spans="4:59" ht="26.25" customHeight="1">
      <c r="J63" s="24"/>
      <c r="L63" s="586" t="s">
        <v>183</v>
      </c>
      <c r="M63" s="430">
        <v>10.5</v>
      </c>
      <c r="N63" s="430">
        <v>0</v>
      </c>
      <c r="O63" s="430">
        <v>0</v>
      </c>
      <c r="P63" s="430">
        <v>0</v>
      </c>
      <c r="Q63" s="430"/>
      <c r="R63" s="655"/>
      <c r="S63" s="430"/>
      <c r="T63" s="568">
        <f t="shared" si="37"/>
        <v>10.5</v>
      </c>
      <c r="U63" s="1025">
        <v>0</v>
      </c>
      <c r="V63" s="1283"/>
      <c r="W63" s="1283"/>
      <c r="X63" s="1283"/>
      <c r="Y63" s="1283"/>
      <c r="Z63" s="1283"/>
      <c r="AA63" s="466"/>
      <c r="AB63" s="466"/>
      <c r="AC63" s="465"/>
      <c r="AD63" s="466"/>
      <c r="AG63" s="26"/>
      <c r="AH63" s="24"/>
      <c r="AK63" s="49"/>
      <c r="AL63" s="24"/>
      <c r="AM63" s="26"/>
      <c r="AN63" s="26"/>
      <c r="AP63" s="24"/>
      <c r="AQ63" s="26"/>
      <c r="AR63" s="26"/>
      <c r="AT63" s="24"/>
      <c r="AU63" s="26"/>
      <c r="AV63" s="26"/>
      <c r="AX63" s="24"/>
      <c r="AY63" s="26"/>
      <c r="AZ63" s="26"/>
      <c r="BA63" s="24"/>
      <c r="BB63" s="24"/>
      <c r="BC63" s="25"/>
      <c r="BD63" s="25"/>
      <c r="BF63" s="23"/>
      <c r="BG63" s="23"/>
    </row>
    <row r="64" spans="4:59" ht="26.25" customHeight="1">
      <c r="J64" s="24"/>
      <c r="L64" s="586" t="s">
        <v>184</v>
      </c>
      <c r="M64" s="430">
        <v>0</v>
      </c>
      <c r="N64" s="430">
        <v>0</v>
      </c>
      <c r="O64" s="430">
        <v>0</v>
      </c>
      <c r="P64" s="430">
        <v>0</v>
      </c>
      <c r="Q64" s="430"/>
      <c r="R64" s="655"/>
      <c r="S64" s="430"/>
      <c r="T64" s="568">
        <f t="shared" si="37"/>
        <v>0</v>
      </c>
      <c r="U64" s="1025">
        <v>0</v>
      </c>
      <c r="V64" s="1283"/>
      <c r="W64" s="1283"/>
      <c r="X64" s="1283"/>
      <c r="Y64" s="1283"/>
      <c r="Z64" s="1283"/>
      <c r="AA64" s="466"/>
      <c r="AB64" s="466"/>
      <c r="AC64" s="465"/>
      <c r="AD64" s="466"/>
      <c r="AG64" s="26"/>
      <c r="AH64" s="24"/>
      <c r="AK64" s="49"/>
      <c r="AL64" s="24"/>
      <c r="AO64" s="26"/>
      <c r="AP64" s="24"/>
      <c r="AQ64" s="26"/>
      <c r="AR64" s="26"/>
      <c r="AT64" s="24"/>
      <c r="AU64" s="26"/>
      <c r="AV64" s="26"/>
      <c r="AX64" s="24"/>
      <c r="AY64" s="26"/>
      <c r="AZ64" s="26"/>
      <c r="BA64" s="24"/>
      <c r="BB64" s="24"/>
      <c r="BE64" s="25"/>
      <c r="BF64" s="24"/>
      <c r="BG64" s="23"/>
    </row>
    <row r="65" spans="10:59" ht="26.25" customHeight="1">
      <c r="J65" s="24"/>
      <c r="L65" s="586" t="s">
        <v>170</v>
      </c>
      <c r="M65" s="430">
        <v>1</v>
      </c>
      <c r="N65" s="430">
        <v>0</v>
      </c>
      <c r="O65" s="430">
        <v>0</v>
      </c>
      <c r="P65" s="430">
        <v>0</v>
      </c>
      <c r="Q65" s="430"/>
      <c r="R65" s="655"/>
      <c r="S65" s="430"/>
      <c r="T65" s="568">
        <f t="shared" si="37"/>
        <v>1</v>
      </c>
      <c r="U65" s="1025">
        <v>0</v>
      </c>
      <c r="V65" s="1283"/>
      <c r="W65" s="1283"/>
      <c r="X65" s="1283"/>
      <c r="Y65" s="1283"/>
      <c r="Z65" s="1283"/>
      <c r="AA65" s="466"/>
      <c r="AB65" s="466"/>
      <c r="AC65" s="465"/>
      <c r="AD65" s="466"/>
      <c r="AG65" s="26"/>
      <c r="AH65" s="24"/>
      <c r="AK65" s="49"/>
      <c r="AL65" s="24"/>
      <c r="AO65" s="26"/>
      <c r="AP65" s="24"/>
      <c r="AQ65" s="26"/>
      <c r="AR65" s="26"/>
      <c r="AT65" s="24"/>
      <c r="AU65" s="26"/>
      <c r="AV65" s="26"/>
      <c r="AX65" s="24"/>
      <c r="AY65" s="26"/>
      <c r="AZ65" s="26"/>
      <c r="BA65" s="24"/>
      <c r="BB65" s="24"/>
      <c r="BE65" s="25"/>
      <c r="BF65" s="24"/>
      <c r="BG65" s="23"/>
    </row>
    <row r="66" spans="10:59" ht="27.75" customHeight="1">
      <c r="J66" s="24"/>
      <c r="L66" s="586" t="s">
        <v>171</v>
      </c>
      <c r="M66" s="430">
        <v>0</v>
      </c>
      <c r="N66" s="430">
        <v>0</v>
      </c>
      <c r="O66" s="430">
        <v>0</v>
      </c>
      <c r="P66" s="430">
        <v>0</v>
      </c>
      <c r="Q66" s="430"/>
      <c r="R66" s="655"/>
      <c r="S66" s="430"/>
      <c r="T66" s="568">
        <f t="shared" si="37"/>
        <v>0</v>
      </c>
      <c r="U66" s="1025">
        <v>0</v>
      </c>
      <c r="V66" s="1283"/>
      <c r="W66" s="1283"/>
      <c r="X66" s="1283"/>
      <c r="Y66" s="1283"/>
      <c r="Z66" s="1283"/>
      <c r="AA66" s="466"/>
      <c r="AB66" s="466"/>
      <c r="AC66" s="465"/>
      <c r="AD66" s="466"/>
      <c r="AG66" s="26"/>
      <c r="AH66" s="24"/>
      <c r="AK66" s="49"/>
      <c r="AL66" s="24"/>
      <c r="AO66" s="26"/>
      <c r="AP66" s="24"/>
      <c r="AQ66" s="26"/>
      <c r="AR66" s="26"/>
      <c r="AT66" s="24"/>
      <c r="AU66" s="26"/>
      <c r="AV66" s="26"/>
      <c r="AX66" s="24"/>
      <c r="AY66" s="26"/>
      <c r="AZ66" s="26"/>
      <c r="BA66" s="24"/>
      <c r="BB66" s="24"/>
      <c r="BE66" s="25"/>
      <c r="BF66" s="24"/>
      <c r="BG66" s="23"/>
    </row>
    <row r="67" spans="10:59" ht="30" customHeight="1">
      <c r="J67" s="24"/>
      <c r="L67" s="586" t="s">
        <v>190</v>
      </c>
      <c r="M67" s="430">
        <v>0</v>
      </c>
      <c r="N67" s="430">
        <v>0</v>
      </c>
      <c r="O67" s="430">
        <v>0</v>
      </c>
      <c r="P67" s="430">
        <v>0</v>
      </c>
      <c r="Q67" s="430"/>
      <c r="R67" s="655"/>
      <c r="S67" s="430"/>
      <c r="T67" s="568">
        <f t="shared" si="37"/>
        <v>0</v>
      </c>
      <c r="U67" s="1025">
        <v>0</v>
      </c>
      <c r="V67" s="1283"/>
      <c r="W67" s="1283"/>
      <c r="X67" s="1283"/>
      <c r="Y67" s="1283"/>
      <c r="Z67" s="1283"/>
      <c r="AA67" s="466"/>
      <c r="AB67" s="466"/>
      <c r="AC67" s="465"/>
      <c r="AD67" s="466"/>
      <c r="AG67" s="26"/>
      <c r="AH67" s="24"/>
      <c r="AK67" s="49"/>
      <c r="AL67" s="24"/>
      <c r="AO67" s="26"/>
      <c r="AP67" s="24"/>
      <c r="AQ67" s="26"/>
      <c r="AR67" s="26"/>
      <c r="AT67" s="24"/>
      <c r="AU67" s="26"/>
      <c r="AV67" s="26"/>
      <c r="AX67" s="24"/>
      <c r="AY67" s="26"/>
      <c r="AZ67" s="26"/>
      <c r="BA67" s="24"/>
      <c r="BB67" s="24"/>
      <c r="BE67" s="25"/>
      <c r="BF67" s="24"/>
      <c r="BG67" s="23"/>
    </row>
    <row r="68" spans="10:59" ht="30" customHeight="1">
      <c r="J68" s="24"/>
      <c r="L68" s="586" t="s">
        <v>185</v>
      </c>
      <c r="M68" s="430">
        <v>0</v>
      </c>
      <c r="N68" s="430">
        <v>0</v>
      </c>
      <c r="O68" s="430">
        <v>0</v>
      </c>
      <c r="P68" s="430">
        <v>29.8</v>
      </c>
      <c r="Q68" s="430"/>
      <c r="R68" s="655"/>
      <c r="S68" s="430"/>
      <c r="T68" s="568">
        <f t="shared" si="37"/>
        <v>29.8</v>
      </c>
      <c r="U68" s="1025">
        <v>17.7</v>
      </c>
      <c r="V68" s="1283"/>
      <c r="W68" s="1283"/>
      <c r="X68" s="1283"/>
      <c r="Y68" s="1283"/>
      <c r="Z68" s="1283"/>
      <c r="AA68" s="466"/>
      <c r="AB68" s="466"/>
      <c r="AC68" s="465"/>
      <c r="AD68" s="466"/>
      <c r="AG68" s="26"/>
      <c r="AH68" s="24"/>
      <c r="AK68" s="49"/>
      <c r="AL68" s="24"/>
      <c r="AO68" s="26"/>
      <c r="AP68" s="24"/>
      <c r="AQ68" s="26"/>
      <c r="AR68" s="26"/>
      <c r="AT68" s="24"/>
      <c r="AU68" s="26"/>
      <c r="AV68" s="26"/>
      <c r="AX68" s="24"/>
      <c r="AY68" s="26"/>
      <c r="AZ68" s="26"/>
      <c r="BA68" s="24"/>
      <c r="BB68" s="24"/>
      <c r="BE68" s="25"/>
      <c r="BF68" s="24"/>
      <c r="BG68" s="23"/>
    </row>
    <row r="69" spans="10:59" ht="30" customHeight="1">
      <c r="L69" s="586" t="s">
        <v>202</v>
      </c>
      <c r="M69" s="430">
        <v>0</v>
      </c>
      <c r="N69" s="430">
        <v>0</v>
      </c>
      <c r="O69" s="430">
        <v>0</v>
      </c>
      <c r="P69" s="430">
        <v>0</v>
      </c>
      <c r="Q69" s="430"/>
      <c r="R69" s="655"/>
      <c r="S69" s="430"/>
      <c r="T69" s="568">
        <f t="shared" si="37"/>
        <v>0</v>
      </c>
      <c r="U69" s="1025">
        <v>0</v>
      </c>
      <c r="V69" s="1283"/>
      <c r="W69" s="1283"/>
      <c r="X69" s="1283"/>
      <c r="Y69" s="1283"/>
      <c r="Z69" s="1283"/>
      <c r="AA69" s="466"/>
      <c r="AB69" s="466"/>
      <c r="AC69" s="465"/>
      <c r="AD69" s="466"/>
      <c r="AG69" s="26"/>
      <c r="AH69" s="24"/>
      <c r="AK69" s="49"/>
      <c r="AL69" s="24"/>
      <c r="AO69" s="26"/>
      <c r="AP69" s="24"/>
      <c r="AQ69" s="26"/>
      <c r="AR69" s="26"/>
      <c r="AT69" s="24"/>
      <c r="AU69" s="26"/>
      <c r="AV69" s="26"/>
      <c r="AX69" s="24"/>
      <c r="AY69" s="26"/>
      <c r="AZ69" s="26"/>
      <c r="BA69" s="24"/>
      <c r="BB69" s="24"/>
      <c r="BE69" s="25"/>
      <c r="BF69" s="24"/>
      <c r="BG69" s="23"/>
    </row>
    <row r="70" spans="10:59" ht="30" customHeight="1">
      <c r="L70" s="586" t="s">
        <v>186</v>
      </c>
      <c r="M70" s="430">
        <v>0</v>
      </c>
      <c r="N70" s="430">
        <v>3</v>
      </c>
      <c r="O70" s="430">
        <v>0</v>
      </c>
      <c r="P70" s="430">
        <v>0</v>
      </c>
      <c r="Q70" s="430"/>
      <c r="R70" s="655"/>
      <c r="S70" s="430"/>
      <c r="T70" s="568">
        <f t="shared" si="37"/>
        <v>3</v>
      </c>
      <c r="U70" s="1025">
        <v>13</v>
      </c>
      <c r="V70" s="1283"/>
      <c r="W70" s="1283"/>
      <c r="X70" s="1283"/>
      <c r="Y70" s="1283"/>
      <c r="Z70" s="1283"/>
      <c r="AA70" s="466"/>
      <c r="AB70" s="466"/>
      <c r="AC70" s="465"/>
      <c r="AD70" s="466"/>
      <c r="AG70" s="26"/>
      <c r="AH70" s="24"/>
      <c r="AK70" s="49"/>
      <c r="AL70" s="24"/>
      <c r="AM70" s="26"/>
      <c r="AN70" s="26"/>
      <c r="AY70" s="24"/>
      <c r="AZ70" s="24"/>
      <c r="BA70" s="24"/>
      <c r="BB70" s="24"/>
      <c r="BC70" s="25"/>
      <c r="BD70" s="25"/>
      <c r="BF70" s="23"/>
      <c r="BG70" s="23"/>
    </row>
    <row r="71" spans="10:59" ht="30" customHeight="1">
      <c r="L71" s="586" t="s">
        <v>203</v>
      </c>
      <c r="M71" s="430">
        <v>0</v>
      </c>
      <c r="N71" s="430">
        <v>0</v>
      </c>
      <c r="O71" s="430">
        <v>0</v>
      </c>
      <c r="P71" s="430">
        <v>0</v>
      </c>
      <c r="Q71" s="430">
        <v>0</v>
      </c>
      <c r="R71" s="655">
        <v>0</v>
      </c>
      <c r="S71" s="430"/>
      <c r="T71" s="568">
        <f t="shared" si="37"/>
        <v>0</v>
      </c>
      <c r="U71" s="1025">
        <v>20</v>
      </c>
      <c r="V71" s="1283"/>
      <c r="W71" s="1283"/>
      <c r="X71" s="1283"/>
      <c r="Y71" s="1283"/>
      <c r="Z71" s="1283"/>
      <c r="AA71" s="466"/>
      <c r="AB71" s="466"/>
      <c r="AC71" s="465"/>
      <c r="AD71" s="466"/>
      <c r="AG71" s="26"/>
      <c r="AH71" s="24"/>
      <c r="AK71" s="49"/>
      <c r="AL71" s="24"/>
      <c r="AM71" s="26"/>
      <c r="AN71" s="26"/>
      <c r="AY71" s="24"/>
      <c r="AZ71" s="24"/>
      <c r="BA71" s="24"/>
      <c r="BB71" s="24"/>
      <c r="BC71" s="25"/>
      <c r="BD71" s="25"/>
      <c r="BF71" s="23"/>
      <c r="BG71" s="23"/>
    </row>
    <row r="72" spans="10:59" ht="30" customHeight="1" thickBot="1">
      <c r="L72" s="588" t="s">
        <v>191</v>
      </c>
      <c r="M72" s="1115">
        <f>SUM(M62:M71)</f>
        <v>16.350000000000001</v>
      </c>
      <c r="N72" s="1115">
        <f t="shared" ref="N72:S72" si="38">SUM(N62:N71)</f>
        <v>3</v>
      </c>
      <c r="O72" s="1115">
        <f t="shared" si="38"/>
        <v>0</v>
      </c>
      <c r="P72" s="1115">
        <f t="shared" si="38"/>
        <v>29.8</v>
      </c>
      <c r="Q72" s="1115">
        <f t="shared" si="38"/>
        <v>0</v>
      </c>
      <c r="R72" s="1115">
        <f t="shared" si="38"/>
        <v>0</v>
      </c>
      <c r="S72" s="1115">
        <f t="shared" si="38"/>
        <v>0</v>
      </c>
      <c r="T72" s="630">
        <f>SUM(T62:T71)</f>
        <v>49.150000000000006</v>
      </c>
      <c r="U72" s="631">
        <f>SUM(U62:U71)</f>
        <v>50.7</v>
      </c>
      <c r="V72" s="1283"/>
      <c r="W72" s="1283"/>
      <c r="X72" s="1283"/>
      <c r="Y72" s="1283"/>
      <c r="Z72" s="1283"/>
      <c r="AA72" s="466"/>
      <c r="AB72" s="466"/>
      <c r="AC72" s="465"/>
      <c r="AD72" s="466"/>
      <c r="AG72" s="26"/>
      <c r="AH72" s="24"/>
      <c r="AK72" s="49"/>
      <c r="AL72" s="24"/>
      <c r="AM72" s="26"/>
      <c r="AN72" s="26"/>
      <c r="AY72" s="24"/>
      <c r="AZ72" s="24"/>
      <c r="BA72" s="24"/>
      <c r="BB72" s="24"/>
      <c r="BC72" s="25"/>
      <c r="BD72" s="25"/>
      <c r="BF72" s="23"/>
      <c r="BG72" s="23"/>
    </row>
    <row r="73" spans="10:59" ht="30" customHeight="1" thickBot="1">
      <c r="L73" s="1932" t="s">
        <v>221</v>
      </c>
      <c r="M73" s="1932"/>
      <c r="N73" s="1932"/>
      <c r="O73" s="1932"/>
      <c r="P73" s="1932"/>
      <c r="Q73" s="1932"/>
      <c r="R73" s="1932"/>
      <c r="S73" s="1932"/>
      <c r="T73" s="1969">
        <f>T72+U72</f>
        <v>99.850000000000009</v>
      </c>
      <c r="U73" s="1970"/>
      <c r="V73" s="1283"/>
      <c r="W73" s="1283"/>
      <c r="X73" s="1283"/>
      <c r="Y73" s="1283"/>
      <c r="Z73" s="1283"/>
      <c r="AA73" s="466"/>
      <c r="AB73" s="466"/>
      <c r="AC73" s="465"/>
      <c r="AD73" s="466"/>
      <c r="AG73" s="26"/>
      <c r="AH73" s="24"/>
      <c r="AK73" s="49"/>
      <c r="AL73" s="24"/>
      <c r="AM73" s="26"/>
      <c r="AN73" s="26"/>
      <c r="AP73" s="24"/>
      <c r="AQ73" s="26"/>
      <c r="AR73" s="26"/>
      <c r="AT73" s="24"/>
      <c r="AU73" s="26"/>
      <c r="AV73" s="26"/>
      <c r="AW73" s="50"/>
      <c r="AX73" s="50"/>
      <c r="AY73" s="26"/>
      <c r="AZ73" s="26"/>
      <c r="BA73" s="24"/>
      <c r="BB73" s="24"/>
      <c r="BC73" s="25"/>
      <c r="BD73" s="25"/>
      <c r="BF73" s="23"/>
      <c r="BG73" s="23"/>
    </row>
    <row r="74" spans="10:59" ht="30" customHeight="1">
      <c r="L74" s="26"/>
      <c r="M74" s="26"/>
      <c r="O74" s="1922" t="s">
        <v>235</v>
      </c>
      <c r="P74" s="1922"/>
      <c r="Q74" s="1922"/>
      <c r="R74" s="1922"/>
      <c r="S74" s="1922"/>
      <c r="T74" s="1982">
        <f>20+13+M72</f>
        <v>49.35</v>
      </c>
      <c r="U74" s="1983"/>
      <c r="V74" s="1283"/>
      <c r="W74" s="1283"/>
      <c r="X74" s="1283"/>
      <c r="Y74" s="1283"/>
      <c r="Z74" s="1283"/>
      <c r="AA74" s="466"/>
      <c r="AB74" s="466"/>
      <c r="AC74" s="466"/>
      <c r="AD74" s="465"/>
      <c r="AE74" s="466"/>
      <c r="AN74" s="26"/>
      <c r="AO74" s="26"/>
      <c r="AP74" s="24"/>
      <c r="AR74" s="26"/>
      <c r="AS74" s="26"/>
      <c r="AT74" s="24"/>
      <c r="AV74" s="26"/>
      <c r="AW74" s="26"/>
      <c r="AX74" s="50"/>
      <c r="AZ74" s="26"/>
      <c r="BA74" s="26"/>
      <c r="BB74" s="24"/>
      <c r="BD74" s="25"/>
      <c r="BE74" s="25"/>
      <c r="BF74" s="24"/>
      <c r="BG74" s="23"/>
    </row>
    <row r="75" spans="10:59" ht="30" customHeight="1">
      <c r="L75" s="26"/>
      <c r="M75" s="1283"/>
      <c r="N75" s="1283"/>
      <c r="O75" s="1283"/>
      <c r="P75" s="1283"/>
      <c r="Q75" s="1283"/>
      <c r="R75" s="1283"/>
      <c r="S75" s="1283"/>
      <c r="T75" s="1283"/>
      <c r="U75" s="1283"/>
      <c r="V75" s="1283"/>
      <c r="W75" s="1283"/>
      <c r="X75" s="1283"/>
      <c r="Y75" s="1283"/>
      <c r="Z75" s="1283"/>
      <c r="AA75" s="466"/>
      <c r="AB75" s="466"/>
      <c r="AC75" s="466"/>
      <c r="AD75" s="465"/>
      <c r="AE75" s="466"/>
      <c r="AN75" s="26"/>
      <c r="AO75" s="26"/>
      <c r="AP75" s="24"/>
      <c r="AR75" s="26"/>
      <c r="AS75" s="26"/>
      <c r="AT75" s="24"/>
      <c r="AV75" s="26"/>
      <c r="AW75" s="26"/>
      <c r="AX75" s="50"/>
      <c r="AZ75" s="26"/>
      <c r="BA75" s="26"/>
      <c r="BB75" s="24"/>
      <c r="BD75" s="25"/>
      <c r="BE75" s="25"/>
      <c r="BF75" s="24"/>
      <c r="BG75" s="23"/>
    </row>
    <row r="76" spans="10:59" ht="30" customHeight="1">
      <c r="L76" s="26"/>
      <c r="M76" s="1283"/>
      <c r="N76" s="1283"/>
      <c r="O76" s="1283"/>
      <c r="P76" s="1283"/>
      <c r="Q76" s="1283"/>
      <c r="R76" s="1283"/>
      <c r="S76" s="1283"/>
      <c r="T76" s="1283"/>
      <c r="U76" s="1283"/>
      <c r="V76" s="1283"/>
      <c r="W76" s="1283"/>
      <c r="X76" s="1283"/>
      <c r="Y76" s="1283"/>
      <c r="Z76" s="1283"/>
      <c r="AA76" s="466"/>
      <c r="AB76" s="466"/>
      <c r="AC76" s="466"/>
      <c r="AD76" s="465"/>
      <c r="AE76" s="466"/>
      <c r="AN76" s="26"/>
      <c r="AO76" s="26"/>
      <c r="AP76" s="24"/>
      <c r="AR76" s="26"/>
      <c r="AS76" s="26"/>
      <c r="AT76" s="24"/>
      <c r="AV76" s="26"/>
      <c r="AW76" s="26"/>
      <c r="AX76" s="50"/>
      <c r="AZ76" s="26"/>
      <c r="BA76" s="26"/>
      <c r="BB76" s="24"/>
      <c r="BD76" s="25"/>
      <c r="BE76" s="25"/>
      <c r="BF76" s="24"/>
      <c r="BG76" s="23"/>
    </row>
    <row r="77" spans="10:59" ht="30" customHeight="1">
      <c r="L77" s="26"/>
      <c r="M77" s="1283"/>
      <c r="N77" s="1283"/>
      <c r="O77" s="1283"/>
      <c r="P77" s="1283"/>
      <c r="Q77" s="1283"/>
      <c r="R77" s="1283"/>
      <c r="S77" s="1283"/>
      <c r="T77" s="1283"/>
      <c r="U77" s="1283"/>
      <c r="V77" s="1283"/>
      <c r="W77" s="1283"/>
      <c r="X77" s="1283"/>
      <c r="Y77" s="1283"/>
      <c r="Z77" s="1283"/>
      <c r="AA77" s="466"/>
      <c r="AB77" s="466"/>
      <c r="AC77" s="466"/>
      <c r="AD77" s="465"/>
      <c r="AE77" s="466"/>
      <c r="AN77" s="26"/>
      <c r="AO77" s="26"/>
      <c r="AP77" s="24"/>
      <c r="AR77" s="26"/>
      <c r="AS77" s="26"/>
      <c r="AT77" s="24"/>
      <c r="AV77" s="26"/>
      <c r="AW77" s="26"/>
      <c r="AX77" s="50"/>
      <c r="AZ77" s="26"/>
      <c r="BA77" s="26"/>
      <c r="BB77" s="24"/>
      <c r="BD77" s="25"/>
      <c r="BE77" s="25"/>
      <c r="BF77" s="24"/>
      <c r="BG77" s="23"/>
    </row>
    <row r="78" spans="10:59" ht="15" customHeight="1">
      <c r="L78" s="26"/>
      <c r="M78" s="1283"/>
      <c r="N78" s="1283"/>
      <c r="O78" s="1283"/>
      <c r="P78" s="1283"/>
      <c r="Q78" s="1283"/>
      <c r="R78" s="1283"/>
      <c r="S78" s="1283"/>
      <c r="T78" s="1283"/>
      <c r="U78" s="1283"/>
      <c r="V78" s="1283"/>
      <c r="W78" s="1283"/>
      <c r="X78" s="1283"/>
      <c r="Y78" s="1283"/>
      <c r="Z78" s="1283"/>
      <c r="AB78" s="26"/>
      <c r="AC78" s="26"/>
      <c r="AD78" s="24"/>
      <c r="AF78" s="26"/>
      <c r="AG78" s="26"/>
      <c r="AH78" s="24"/>
      <c r="AJ78" s="49"/>
      <c r="AK78" s="49"/>
      <c r="AL78" s="24"/>
      <c r="AN78" s="26"/>
      <c r="AO78" s="26"/>
      <c r="AP78" s="24"/>
      <c r="AR78" s="26"/>
      <c r="AS78" s="26"/>
      <c r="AT78" s="24"/>
      <c r="AV78" s="26"/>
      <c r="AW78" s="26"/>
      <c r="AX78" s="50"/>
      <c r="AZ78" s="26"/>
      <c r="BA78" s="26"/>
      <c r="BB78" s="24"/>
      <c r="BD78" s="25"/>
      <c r="BE78" s="25"/>
      <c r="BF78" s="24"/>
      <c r="BG78" s="23"/>
    </row>
    <row r="79" spans="10:59">
      <c r="L79" s="26"/>
      <c r="M79" s="26"/>
      <c r="N79" s="24"/>
      <c r="P79" s="26"/>
      <c r="Q79" s="26"/>
      <c r="R79" s="24"/>
      <c r="T79" s="26"/>
      <c r="U79" s="26"/>
      <c r="V79" s="24"/>
      <c r="X79" s="26"/>
      <c r="Y79" s="26"/>
      <c r="Z79" s="24"/>
      <c r="AB79" s="26"/>
      <c r="AC79" s="26"/>
      <c r="AD79" s="24"/>
      <c r="AF79" s="26"/>
      <c r="AG79" s="26"/>
      <c r="AH79" s="24"/>
      <c r="AJ79" s="49"/>
      <c r="AK79" s="49"/>
      <c r="AL79" s="24"/>
      <c r="AN79" s="26"/>
      <c r="AO79" s="26"/>
      <c r="AP79" s="24"/>
      <c r="AR79" s="26"/>
      <c r="AS79" s="26"/>
      <c r="AT79" s="24"/>
      <c r="AV79" s="26"/>
      <c r="AW79" s="26"/>
      <c r="AX79" s="50"/>
      <c r="AZ79" s="26"/>
      <c r="BA79" s="26"/>
      <c r="BB79" s="24"/>
      <c r="BD79" s="25"/>
      <c r="BE79" s="25"/>
      <c r="BF79" s="24"/>
      <c r="BG79" s="23"/>
    </row>
  </sheetData>
  <mergeCells count="63">
    <mergeCell ref="L45:T45"/>
    <mergeCell ref="V45:AE45"/>
    <mergeCell ref="V58:AC58"/>
    <mergeCell ref="L31:S31"/>
    <mergeCell ref="C15:C24"/>
    <mergeCell ref="H15:H23"/>
    <mergeCell ref="H24:I24"/>
    <mergeCell ref="H26:I26"/>
    <mergeCell ref="AD58:AE58"/>
    <mergeCell ref="O58:R58"/>
    <mergeCell ref="S58:T58"/>
    <mergeCell ref="C5:D5"/>
    <mergeCell ref="N2:AZ2"/>
    <mergeCell ref="D13:F13"/>
    <mergeCell ref="H13:I14"/>
    <mergeCell ref="C14:D14"/>
    <mergeCell ref="J13:M13"/>
    <mergeCell ref="N13:Q13"/>
    <mergeCell ref="R13:U13"/>
    <mergeCell ref="C6:C9"/>
    <mergeCell ref="H6:H9"/>
    <mergeCell ref="D4:F4"/>
    <mergeCell ref="H4:I5"/>
    <mergeCell ref="C2:F2"/>
    <mergeCell ref="H2:K2"/>
    <mergeCell ref="H10:I10"/>
    <mergeCell ref="H12:BI12"/>
    <mergeCell ref="BB2:BI2"/>
    <mergeCell ref="H3:BI3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B13:BE13"/>
    <mergeCell ref="BF13:BI13"/>
    <mergeCell ref="BC27:BC28"/>
    <mergeCell ref="BH27:BI27"/>
    <mergeCell ref="V13:Y13"/>
    <mergeCell ref="Z13:AC13"/>
    <mergeCell ref="AD13:AG13"/>
    <mergeCell ref="AH13:AK13"/>
    <mergeCell ref="AL13:AO13"/>
    <mergeCell ref="AP13:AS13"/>
    <mergeCell ref="AT13:AW13"/>
    <mergeCell ref="AF45:AJ45"/>
    <mergeCell ref="Y59:AC59"/>
    <mergeCell ref="AX13:BA13"/>
    <mergeCell ref="V31:AD31"/>
    <mergeCell ref="AD59:AE59"/>
    <mergeCell ref="L60:U60"/>
    <mergeCell ref="L73:S73"/>
    <mergeCell ref="T73:U73"/>
    <mergeCell ref="O74:S74"/>
    <mergeCell ref="T74:U74"/>
  </mergeCells>
  <conditionalFormatting sqref="M47:R56">
    <cfRule type="cellIs" dxfId="23" priority="2" operator="equal">
      <formula>0</formula>
    </cfRule>
  </conditionalFormatting>
  <conditionalFormatting sqref="M62:R71">
    <cfRule type="cellIs" dxfId="22" priority="1" operator="equal">
      <formula>0</formula>
    </cfRule>
  </conditionalFormatting>
  <printOptions horizontalCentered="1" verticalCentered="1"/>
  <pageMargins left="0.95" right="0.7" top="0.63" bottom="0.52" header="0.3" footer="0.3"/>
  <pageSetup paperSize="9" scale="26" orientation="landscape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I79"/>
  <sheetViews>
    <sheetView topLeftCell="G2" zoomScale="55" zoomScaleNormal="55" workbookViewId="0">
      <pane xSplit="3" topLeftCell="AG1" activePane="topRight" state="frozen"/>
      <selection activeCell="G1" sqref="G1"/>
      <selection pane="topRight" activeCell="AT22" sqref="AT22"/>
    </sheetView>
  </sheetViews>
  <sheetFormatPr defaultColWidth="9.140625" defaultRowHeight="15"/>
  <cols>
    <col min="1" max="2" width="9.140625" style="23" hidden="1" customWidth="1"/>
    <col min="3" max="3" width="14.5703125" style="23" hidden="1" customWidth="1"/>
    <col min="4" max="4" width="11.42578125" style="27" hidden="1" customWidth="1"/>
    <col min="5" max="5" width="6.85546875" style="27" hidden="1" customWidth="1"/>
    <col min="6" max="6" width="9.140625" style="27" hidden="1" customWidth="1"/>
    <col min="7" max="7" width="3.42578125" style="23" hidden="1" customWidth="1"/>
    <col min="8" max="8" width="6.140625" style="23" customWidth="1"/>
    <col min="9" max="9" width="20.140625" style="27" bestFit="1" customWidth="1"/>
    <col min="10" max="10" width="11.5703125" style="26" customWidth="1"/>
    <col min="11" max="11" width="9.140625" style="24" customWidth="1"/>
    <col min="12" max="13" width="12.85546875" style="24" customWidth="1"/>
    <col min="14" max="14" width="10.5703125" style="26" customWidth="1"/>
    <col min="15" max="15" width="10.28515625" style="24" customWidth="1"/>
    <col min="16" max="17" width="10.5703125" style="24" customWidth="1"/>
    <col min="18" max="18" width="8.5703125" style="26" customWidth="1"/>
    <col min="19" max="19" width="11.5703125" style="24" customWidth="1"/>
    <col min="20" max="20" width="14" style="24" bestFit="1" customWidth="1"/>
    <col min="21" max="21" width="12.28515625" style="24" bestFit="1" customWidth="1"/>
    <col min="22" max="22" width="14" style="26" bestFit="1" customWidth="1"/>
    <col min="23" max="23" width="10.7109375" style="24" customWidth="1"/>
    <col min="24" max="24" width="12" style="24" customWidth="1"/>
    <col min="25" max="25" width="9.7109375" style="24" customWidth="1"/>
    <col min="26" max="26" width="11" style="26" customWidth="1"/>
    <col min="27" max="27" width="12.42578125" style="24" customWidth="1"/>
    <col min="28" max="29" width="11.85546875" style="24" customWidth="1"/>
    <col min="30" max="30" width="11" style="26" bestFit="1" customWidth="1"/>
    <col min="31" max="31" width="11.7109375" style="24" bestFit="1" customWidth="1"/>
    <col min="32" max="32" width="10.5703125" style="24" bestFit="1" customWidth="1"/>
    <col min="33" max="33" width="10.5703125" style="24" customWidth="1"/>
    <col min="34" max="34" width="11.5703125" style="26" bestFit="1" customWidth="1"/>
    <col min="35" max="35" width="13.5703125" style="24" customWidth="1"/>
    <col min="36" max="37" width="11.5703125" style="24" customWidth="1"/>
    <col min="38" max="38" width="10.5703125" style="49" customWidth="1"/>
    <col min="39" max="39" width="11.7109375" style="24" bestFit="1" customWidth="1"/>
    <col min="40" max="40" width="12" style="24" bestFit="1" customWidth="1"/>
    <col min="41" max="41" width="12" style="24" customWidth="1"/>
    <col min="42" max="42" width="8.42578125" style="26" customWidth="1"/>
    <col min="43" max="43" width="10" style="24" bestFit="1" customWidth="1"/>
    <col min="44" max="44" width="13.85546875" style="24" bestFit="1" customWidth="1"/>
    <col min="45" max="45" width="13.85546875" style="24" customWidth="1"/>
    <col min="46" max="46" width="11.7109375" style="26" customWidth="1"/>
    <col min="47" max="47" width="11.7109375" style="24" customWidth="1"/>
    <col min="48" max="48" width="10.5703125" style="24" bestFit="1" customWidth="1"/>
    <col min="49" max="49" width="10.5703125" style="24" customWidth="1"/>
    <col min="50" max="50" width="9.140625" style="26" bestFit="1" customWidth="1"/>
    <col min="51" max="51" width="9.140625" style="50" bestFit="1" customWidth="1"/>
    <col min="52" max="52" width="10.5703125" style="50" bestFit="1" customWidth="1"/>
    <col min="53" max="53" width="10.5703125" style="50" customWidth="1"/>
    <col min="54" max="54" width="10.7109375" style="26" bestFit="1" customWidth="1"/>
    <col min="55" max="55" width="12.85546875" style="24" bestFit="1" customWidth="1"/>
    <col min="56" max="56" width="10.5703125" style="24" bestFit="1" customWidth="1"/>
    <col min="57" max="57" width="10.5703125" style="24" customWidth="1"/>
    <col min="58" max="58" width="16" style="25" bestFit="1" customWidth="1"/>
    <col min="59" max="59" width="10.7109375" style="24" bestFit="1" customWidth="1"/>
    <col min="60" max="60" width="13" style="23" bestFit="1" customWidth="1"/>
    <col min="61" max="16384" width="9.140625" style="23"/>
  </cols>
  <sheetData>
    <row r="1" spans="3:61" ht="15" customHeight="1" thickBot="1"/>
    <row r="2" spans="3:61" ht="21.75" thickBot="1">
      <c r="C2" s="1899" t="s">
        <v>45</v>
      </c>
      <c r="D2" s="1900"/>
      <c r="E2" s="1900"/>
      <c r="F2" s="1901"/>
      <c r="H2" s="1915"/>
      <c r="I2" s="1567"/>
      <c r="J2" s="1567"/>
      <c r="K2" s="1567"/>
      <c r="L2" s="1020"/>
      <c r="M2" s="1020"/>
      <c r="N2" s="1916" t="s">
        <v>249</v>
      </c>
      <c r="O2" s="1916"/>
      <c r="P2" s="1916"/>
      <c r="Q2" s="1916"/>
      <c r="R2" s="1916"/>
      <c r="S2" s="1916"/>
      <c r="T2" s="1916"/>
      <c r="U2" s="1916"/>
      <c r="V2" s="1916"/>
      <c r="W2" s="1916"/>
      <c r="X2" s="1916"/>
      <c r="Y2" s="1916"/>
      <c r="Z2" s="1916"/>
      <c r="AA2" s="1916"/>
      <c r="AB2" s="1916"/>
      <c r="AC2" s="1916"/>
      <c r="AD2" s="1916"/>
      <c r="AE2" s="1916"/>
      <c r="AF2" s="1916"/>
      <c r="AG2" s="1916"/>
      <c r="AH2" s="1916"/>
      <c r="AI2" s="1916"/>
      <c r="AJ2" s="1916"/>
      <c r="AK2" s="1916"/>
      <c r="AL2" s="1916"/>
      <c r="AM2" s="1916"/>
      <c r="AN2" s="1916"/>
      <c r="AO2" s="1916"/>
      <c r="AP2" s="1916"/>
      <c r="AQ2" s="1916"/>
      <c r="AR2" s="1916"/>
      <c r="AS2" s="1916"/>
      <c r="AT2" s="1916"/>
      <c r="AU2" s="1916"/>
      <c r="AV2" s="1916"/>
      <c r="AW2" s="1916"/>
      <c r="AX2" s="1916"/>
      <c r="AY2" s="1916"/>
      <c r="AZ2" s="1916"/>
      <c r="BA2" s="1020"/>
      <c r="BB2" s="1902" t="s">
        <v>118</v>
      </c>
      <c r="BC2" s="1903"/>
      <c r="BD2" s="1903"/>
      <c r="BE2" s="1903"/>
      <c r="BF2" s="1903"/>
      <c r="BG2" s="1903"/>
      <c r="BH2" s="1903"/>
      <c r="BI2" s="1904"/>
    </row>
    <row r="3" spans="3:61" ht="19.5" thickBot="1">
      <c r="C3" s="1019"/>
      <c r="D3" s="1017"/>
      <c r="E3" s="1017"/>
      <c r="F3" s="1023"/>
      <c r="H3" s="1905" t="s">
        <v>115</v>
      </c>
      <c r="I3" s="1906"/>
      <c r="J3" s="1906"/>
      <c r="K3" s="1906"/>
      <c r="L3" s="1906"/>
      <c r="M3" s="1906"/>
      <c r="N3" s="1906"/>
      <c r="O3" s="1906"/>
      <c r="P3" s="1906"/>
      <c r="Q3" s="1906"/>
      <c r="R3" s="1906"/>
      <c r="S3" s="1906"/>
      <c r="T3" s="1906"/>
      <c r="U3" s="1906"/>
      <c r="V3" s="1906"/>
      <c r="W3" s="1906"/>
      <c r="X3" s="1906"/>
      <c r="Y3" s="1906"/>
      <c r="Z3" s="1906"/>
      <c r="AA3" s="1906"/>
      <c r="AB3" s="1906"/>
      <c r="AC3" s="1906"/>
      <c r="AD3" s="1906"/>
      <c r="AE3" s="1906"/>
      <c r="AF3" s="1906"/>
      <c r="AG3" s="1906"/>
      <c r="AH3" s="1906"/>
      <c r="AI3" s="1906"/>
      <c r="AJ3" s="1906"/>
      <c r="AK3" s="1906"/>
      <c r="AL3" s="1906"/>
      <c r="AM3" s="1906"/>
      <c r="AN3" s="1906"/>
      <c r="AO3" s="1906"/>
      <c r="AP3" s="1906"/>
      <c r="AQ3" s="1906"/>
      <c r="AR3" s="1906"/>
      <c r="AS3" s="1906"/>
      <c r="AT3" s="1906"/>
      <c r="AU3" s="1906"/>
      <c r="AV3" s="1906"/>
      <c r="AW3" s="1906"/>
      <c r="AX3" s="1906"/>
      <c r="AY3" s="1906"/>
      <c r="AZ3" s="1906"/>
      <c r="BA3" s="1906"/>
      <c r="BB3" s="1906"/>
      <c r="BC3" s="1906"/>
      <c r="BD3" s="1906"/>
      <c r="BE3" s="1906"/>
      <c r="BF3" s="1906"/>
      <c r="BG3" s="1906"/>
      <c r="BH3" s="1906"/>
      <c r="BI3" s="1907"/>
    </row>
    <row r="4" spans="3:61" ht="18.75">
      <c r="C4" s="37" t="s">
        <v>44</v>
      </c>
      <c r="D4" s="1869"/>
      <c r="E4" s="1869"/>
      <c r="F4" s="1870"/>
      <c r="H4" s="1908" t="s">
        <v>33</v>
      </c>
      <c r="I4" s="1909"/>
      <c r="J4" s="1871" t="s">
        <v>43</v>
      </c>
      <c r="K4" s="1872"/>
      <c r="L4" s="1872"/>
      <c r="M4" s="1873"/>
      <c r="N4" s="1871" t="s">
        <v>42</v>
      </c>
      <c r="O4" s="1872"/>
      <c r="P4" s="1872"/>
      <c r="Q4" s="1873"/>
      <c r="R4" s="1871" t="s">
        <v>41</v>
      </c>
      <c r="S4" s="1872"/>
      <c r="T4" s="1872"/>
      <c r="U4" s="1873"/>
      <c r="V4" s="1871" t="s">
        <v>40</v>
      </c>
      <c r="W4" s="1872"/>
      <c r="X4" s="1872"/>
      <c r="Y4" s="1873"/>
      <c r="Z4" s="1871" t="s">
        <v>39</v>
      </c>
      <c r="AA4" s="1872"/>
      <c r="AB4" s="1872"/>
      <c r="AC4" s="1873"/>
      <c r="AD4" s="1871" t="s">
        <v>38</v>
      </c>
      <c r="AE4" s="1872"/>
      <c r="AF4" s="1872"/>
      <c r="AG4" s="1873"/>
      <c r="AH4" s="1874" t="s">
        <v>122</v>
      </c>
      <c r="AI4" s="1875"/>
      <c r="AJ4" s="1875"/>
      <c r="AK4" s="1876"/>
      <c r="AL4" s="1871" t="s">
        <v>37</v>
      </c>
      <c r="AM4" s="1872"/>
      <c r="AN4" s="1872"/>
      <c r="AO4" s="1873"/>
      <c r="AP4" s="1871" t="s">
        <v>36</v>
      </c>
      <c r="AQ4" s="1872"/>
      <c r="AR4" s="1872"/>
      <c r="AS4" s="1873"/>
      <c r="AT4" s="1871" t="s">
        <v>35</v>
      </c>
      <c r="AU4" s="1872"/>
      <c r="AV4" s="1872"/>
      <c r="AW4" s="1873"/>
      <c r="AX4" s="1871" t="s">
        <v>34</v>
      </c>
      <c r="AY4" s="1872"/>
      <c r="AZ4" s="1872"/>
      <c r="BA4" s="1873"/>
      <c r="BB4" s="1874" t="s">
        <v>123</v>
      </c>
      <c r="BC4" s="1875"/>
      <c r="BD4" s="1875"/>
      <c r="BE4" s="1876"/>
      <c r="BF4" s="1877" t="s">
        <v>17</v>
      </c>
      <c r="BG4" s="1878"/>
      <c r="BH4" s="1878"/>
      <c r="BI4" s="1878"/>
    </row>
    <row r="5" spans="3:61" ht="15.75" customHeight="1">
      <c r="C5" s="1879" t="s">
        <v>33</v>
      </c>
      <c r="D5" s="1869"/>
      <c r="E5" s="1017" t="s">
        <v>1</v>
      </c>
      <c r="F5" s="1023" t="s">
        <v>2</v>
      </c>
      <c r="H5" s="1910"/>
      <c r="I5" s="1911"/>
      <c r="J5" s="36" t="s">
        <v>1</v>
      </c>
      <c r="K5" s="271" t="s">
        <v>2</v>
      </c>
      <c r="L5" s="693" t="s">
        <v>182</v>
      </c>
      <c r="M5" s="35" t="s">
        <v>247</v>
      </c>
      <c r="N5" s="36" t="s">
        <v>1</v>
      </c>
      <c r="O5" s="271" t="s">
        <v>2</v>
      </c>
      <c r="P5" s="693" t="s">
        <v>182</v>
      </c>
      <c r="Q5" s="35" t="s">
        <v>247</v>
      </c>
      <c r="R5" s="36" t="s">
        <v>1</v>
      </c>
      <c r="S5" s="271" t="s">
        <v>2</v>
      </c>
      <c r="T5" s="693" t="s">
        <v>182</v>
      </c>
      <c r="U5" s="35" t="s">
        <v>247</v>
      </c>
      <c r="V5" s="36" t="s">
        <v>1</v>
      </c>
      <c r="W5" s="271" t="s">
        <v>2</v>
      </c>
      <c r="X5" s="693" t="s">
        <v>182</v>
      </c>
      <c r="Y5" s="35" t="s">
        <v>247</v>
      </c>
      <c r="Z5" s="36" t="s">
        <v>1</v>
      </c>
      <c r="AA5" s="271" t="s">
        <v>2</v>
      </c>
      <c r="AB5" s="693" t="s">
        <v>182</v>
      </c>
      <c r="AC5" s="35" t="s">
        <v>247</v>
      </c>
      <c r="AD5" s="36" t="s">
        <v>1</v>
      </c>
      <c r="AE5" s="271" t="s">
        <v>2</v>
      </c>
      <c r="AF5" s="693" t="s">
        <v>182</v>
      </c>
      <c r="AG5" s="35" t="s">
        <v>247</v>
      </c>
      <c r="AH5" s="36" t="s">
        <v>1</v>
      </c>
      <c r="AI5" s="271" t="s">
        <v>2</v>
      </c>
      <c r="AJ5" s="271" t="s">
        <v>182</v>
      </c>
      <c r="AK5" s="690" t="s">
        <v>196</v>
      </c>
      <c r="AL5" s="36" t="s">
        <v>1</v>
      </c>
      <c r="AM5" s="271" t="s">
        <v>2</v>
      </c>
      <c r="AN5" s="693" t="s">
        <v>182</v>
      </c>
      <c r="AO5" s="35" t="s">
        <v>247</v>
      </c>
      <c r="AP5" s="36" t="s">
        <v>1</v>
      </c>
      <c r="AQ5" s="271" t="s">
        <v>2</v>
      </c>
      <c r="AR5" s="693" t="s">
        <v>182</v>
      </c>
      <c r="AS5" s="35" t="s">
        <v>247</v>
      </c>
      <c r="AT5" s="36" t="s">
        <v>1</v>
      </c>
      <c r="AU5" s="271" t="s">
        <v>2</v>
      </c>
      <c r="AV5" s="693" t="s">
        <v>182</v>
      </c>
      <c r="AW5" s="35" t="s">
        <v>247</v>
      </c>
      <c r="AX5" s="36" t="s">
        <v>1</v>
      </c>
      <c r="AY5" s="271" t="s">
        <v>2</v>
      </c>
      <c r="AZ5" s="693" t="s">
        <v>182</v>
      </c>
      <c r="BA5" s="35" t="s">
        <v>247</v>
      </c>
      <c r="BB5" s="36" t="s">
        <v>1</v>
      </c>
      <c r="BC5" s="271" t="s">
        <v>2</v>
      </c>
      <c r="BD5" s="271" t="s">
        <v>182</v>
      </c>
      <c r="BE5" s="690" t="s">
        <v>196</v>
      </c>
      <c r="BF5" s="274" t="s">
        <v>1</v>
      </c>
      <c r="BG5" s="275" t="s">
        <v>2</v>
      </c>
      <c r="BH5" s="275" t="s">
        <v>182</v>
      </c>
      <c r="BI5" s="698" t="s">
        <v>196</v>
      </c>
    </row>
    <row r="6" spans="3:61" s="28" customFormat="1" ht="20.100000000000001" customHeight="1">
      <c r="C6" s="1879" t="s">
        <v>19</v>
      </c>
      <c r="D6" s="1017" t="s">
        <v>32</v>
      </c>
      <c r="E6" s="1017"/>
      <c r="F6" s="1018"/>
      <c r="H6" s="1886" t="s">
        <v>32</v>
      </c>
      <c r="I6" s="33" t="s">
        <v>32</v>
      </c>
      <c r="J6" s="462">
        <v>40</v>
      </c>
      <c r="K6" s="463">
        <v>6.05</v>
      </c>
      <c r="L6" s="463">
        <v>6.05</v>
      </c>
      <c r="M6" s="691">
        <v>21.3</v>
      </c>
      <c r="N6" s="462">
        <v>21</v>
      </c>
      <c r="O6" s="463">
        <f>7.95+9.2</f>
        <v>17.149999999999999</v>
      </c>
      <c r="P6" s="463"/>
      <c r="Q6" s="691">
        <v>19.16</v>
      </c>
      <c r="R6" s="462">
        <v>8</v>
      </c>
      <c r="S6" s="463">
        <v>5</v>
      </c>
      <c r="T6" s="463"/>
      <c r="U6" s="691"/>
      <c r="V6" s="462"/>
      <c r="W6" s="463"/>
      <c r="X6" s="463"/>
      <c r="Y6" s="691"/>
      <c r="Z6" s="462"/>
      <c r="AA6" s="463"/>
      <c r="AB6" s="463"/>
      <c r="AC6" s="691"/>
      <c r="AD6" s="462">
        <v>10</v>
      </c>
      <c r="AE6" s="463"/>
      <c r="AF6" s="463"/>
      <c r="AG6" s="691"/>
      <c r="AH6" s="128">
        <f>J6+N6+R6+V6+Z6+AD6</f>
        <v>79</v>
      </c>
      <c r="AI6" s="273">
        <f>K6+O6+S6+W6+AA6+AE6</f>
        <v>28.2</v>
      </c>
      <c r="AJ6" s="273">
        <f>L6+P6+T6+X6+AB6+AF6</f>
        <v>6.05</v>
      </c>
      <c r="AK6" s="694">
        <f>M6+Q6+U6+Y6+AC6+AG6</f>
        <v>40.46</v>
      </c>
      <c r="AL6" s="462">
        <v>3.5</v>
      </c>
      <c r="AM6" s="463">
        <v>3.5</v>
      </c>
      <c r="AN6" s="463"/>
      <c r="AO6" s="691"/>
      <c r="AP6" s="462">
        <v>3</v>
      </c>
      <c r="AQ6" s="463">
        <v>0.4</v>
      </c>
      <c r="AR6" s="463">
        <v>0.4</v>
      </c>
      <c r="AS6" s="691"/>
      <c r="AT6" s="462"/>
      <c r="AU6" s="463">
        <f>4+2.5</f>
        <v>6.5</v>
      </c>
      <c r="AV6" s="463">
        <v>6.5</v>
      </c>
      <c r="AW6" s="691"/>
      <c r="AX6" s="462"/>
      <c r="AY6" s="463"/>
      <c r="AZ6" s="463"/>
      <c r="BA6" s="691"/>
      <c r="BB6" s="128">
        <f>AL6+AP6+AT6+AX6</f>
        <v>6.5</v>
      </c>
      <c r="BC6" s="273">
        <f>AM6+AQ6+AU6+AY6</f>
        <v>10.4</v>
      </c>
      <c r="BD6" s="273">
        <f>AN6+AR6+AV6+AZ6</f>
        <v>6.9</v>
      </c>
      <c r="BE6" s="273">
        <f>AO6+AS6+AW6+BA6</f>
        <v>0</v>
      </c>
      <c r="BF6" s="276">
        <f>AH6+BB6</f>
        <v>85.5</v>
      </c>
      <c r="BG6" s="277">
        <f>AI6+BC6</f>
        <v>38.6</v>
      </c>
      <c r="BH6" s="701">
        <f>AJ6+BD6</f>
        <v>12.95</v>
      </c>
      <c r="BI6" s="699">
        <f>AK6+BE6</f>
        <v>40.46</v>
      </c>
    </row>
    <row r="7" spans="3:61" s="28" customFormat="1" ht="20.100000000000001" customHeight="1">
      <c r="C7" s="1879"/>
      <c r="D7" s="1017" t="s">
        <v>31</v>
      </c>
      <c r="E7" s="1017"/>
      <c r="F7" s="1018"/>
      <c r="H7" s="1887"/>
      <c r="I7" s="33" t="s">
        <v>31</v>
      </c>
      <c r="J7" s="462"/>
      <c r="K7" s="463"/>
      <c r="L7" s="463"/>
      <c r="M7" s="691"/>
      <c r="N7" s="462"/>
      <c r="O7" s="463"/>
      <c r="P7" s="463"/>
      <c r="Q7" s="691"/>
      <c r="R7" s="462"/>
      <c r="S7" s="463"/>
      <c r="T7" s="463"/>
      <c r="U7" s="691"/>
      <c r="V7" s="462"/>
      <c r="W7" s="463"/>
      <c r="X7" s="463"/>
      <c r="Y7" s="691"/>
      <c r="Z7" s="462"/>
      <c r="AA7" s="463"/>
      <c r="AB7" s="463"/>
      <c r="AC7" s="691"/>
      <c r="AD7" s="462"/>
      <c r="AE7" s="463"/>
      <c r="AF7" s="463"/>
      <c r="AG7" s="691"/>
      <c r="AH7" s="128">
        <f t="shared" ref="AH7:AK9" si="0">J7+N7+R7+V7+Z7+AD7</f>
        <v>0</v>
      </c>
      <c r="AI7" s="273">
        <f t="shared" si="0"/>
        <v>0</v>
      </c>
      <c r="AJ7" s="273">
        <f t="shared" si="0"/>
        <v>0</v>
      </c>
      <c r="AK7" s="694">
        <f t="shared" si="0"/>
        <v>0</v>
      </c>
      <c r="AL7" s="462"/>
      <c r="AM7" s="463"/>
      <c r="AN7" s="463"/>
      <c r="AO7" s="691"/>
      <c r="AP7" s="462"/>
      <c r="AQ7" s="463"/>
      <c r="AR7" s="463"/>
      <c r="AS7" s="691"/>
      <c r="AT7" s="462"/>
      <c r="AU7" s="463"/>
      <c r="AV7" s="463"/>
      <c r="AW7" s="691"/>
      <c r="AX7" s="462"/>
      <c r="AY7" s="463"/>
      <c r="AZ7" s="463"/>
      <c r="BA7" s="691"/>
      <c r="BB7" s="128">
        <f t="shared" ref="BB7:BE9" si="1">AL7+AP7+AT7+AX7</f>
        <v>0</v>
      </c>
      <c r="BC7" s="273">
        <f t="shared" si="1"/>
        <v>0</v>
      </c>
      <c r="BD7" s="273">
        <f t="shared" si="1"/>
        <v>0</v>
      </c>
      <c r="BE7" s="273">
        <f t="shared" si="1"/>
        <v>0</v>
      </c>
      <c r="BF7" s="276">
        <f t="shared" ref="BF7:BI9" si="2">AH7+BB7</f>
        <v>0</v>
      </c>
      <c r="BG7" s="277">
        <f t="shared" si="2"/>
        <v>0</v>
      </c>
      <c r="BH7" s="277">
        <f t="shared" si="2"/>
        <v>0</v>
      </c>
      <c r="BI7" s="699">
        <f t="shared" si="2"/>
        <v>0</v>
      </c>
    </row>
    <row r="8" spans="3:61" s="28" customFormat="1" ht="20.100000000000001" customHeight="1">
      <c r="C8" s="1879"/>
      <c r="D8" s="1017" t="s">
        <v>30</v>
      </c>
      <c r="E8" s="1017"/>
      <c r="F8" s="1018"/>
      <c r="H8" s="1887"/>
      <c r="I8" s="33" t="s">
        <v>30</v>
      </c>
      <c r="J8" s="462"/>
      <c r="K8" s="463"/>
      <c r="L8" s="463"/>
      <c r="M8" s="691"/>
      <c r="N8" s="462"/>
      <c r="O8" s="463"/>
      <c r="P8" s="463"/>
      <c r="Q8" s="691"/>
      <c r="R8" s="462"/>
      <c r="S8" s="463">
        <v>3.5</v>
      </c>
      <c r="T8" s="463">
        <v>3.5</v>
      </c>
      <c r="U8" s="691"/>
      <c r="V8" s="462"/>
      <c r="W8" s="463"/>
      <c r="X8" s="463"/>
      <c r="Y8" s="691"/>
      <c r="Z8" s="462"/>
      <c r="AA8" s="463"/>
      <c r="AB8" s="463"/>
      <c r="AC8" s="691"/>
      <c r="AD8" s="462">
        <v>10</v>
      </c>
      <c r="AE8" s="463"/>
      <c r="AF8" s="463"/>
      <c r="AG8" s="691"/>
      <c r="AH8" s="128">
        <f t="shared" si="0"/>
        <v>10</v>
      </c>
      <c r="AI8" s="273">
        <f t="shared" si="0"/>
        <v>3.5</v>
      </c>
      <c r="AJ8" s="273">
        <f t="shared" si="0"/>
        <v>3.5</v>
      </c>
      <c r="AK8" s="694">
        <f t="shared" si="0"/>
        <v>0</v>
      </c>
      <c r="AL8" s="462"/>
      <c r="AM8" s="463">
        <v>0.5</v>
      </c>
      <c r="AN8" s="463"/>
      <c r="AO8" s="691"/>
      <c r="AP8" s="462"/>
      <c r="AQ8" s="463"/>
      <c r="AR8" s="463"/>
      <c r="AS8" s="691"/>
      <c r="AT8" s="462"/>
      <c r="AU8" s="463"/>
      <c r="AV8" s="463"/>
      <c r="AW8" s="691"/>
      <c r="AX8" s="462"/>
      <c r="AY8" s="463"/>
      <c r="AZ8" s="463"/>
      <c r="BA8" s="691"/>
      <c r="BB8" s="128">
        <f t="shared" si="1"/>
        <v>0</v>
      </c>
      <c r="BC8" s="273">
        <f t="shared" si="1"/>
        <v>0.5</v>
      </c>
      <c r="BD8" s="273">
        <f t="shared" si="1"/>
        <v>0</v>
      </c>
      <c r="BE8" s="273">
        <f t="shared" si="1"/>
        <v>0</v>
      </c>
      <c r="BF8" s="276">
        <f t="shared" si="2"/>
        <v>10</v>
      </c>
      <c r="BG8" s="277">
        <f t="shared" si="2"/>
        <v>4</v>
      </c>
      <c r="BH8" s="277">
        <f t="shared" si="2"/>
        <v>3.5</v>
      </c>
      <c r="BI8" s="699">
        <f t="shared" si="2"/>
        <v>0</v>
      </c>
    </row>
    <row r="9" spans="3:61" s="28" customFormat="1" ht="20.100000000000001" customHeight="1">
      <c r="C9" s="1885"/>
      <c r="D9" s="1017" t="s">
        <v>29</v>
      </c>
      <c r="E9" s="1017"/>
      <c r="F9" s="1018"/>
      <c r="H9" s="1887"/>
      <c r="I9" s="33" t="s">
        <v>109</v>
      </c>
      <c r="J9" s="462"/>
      <c r="K9" s="463"/>
      <c r="L9" s="463"/>
      <c r="M9" s="691"/>
      <c r="N9" s="462"/>
      <c r="O9" s="463"/>
      <c r="P9" s="463"/>
      <c r="Q9" s="691"/>
      <c r="R9" s="462">
        <v>1</v>
      </c>
      <c r="S9" s="463">
        <v>1</v>
      </c>
      <c r="T9" s="463">
        <v>1</v>
      </c>
      <c r="U9" s="691"/>
      <c r="V9" s="462">
        <v>4</v>
      </c>
      <c r="W9" s="463">
        <v>1</v>
      </c>
      <c r="X9" s="463"/>
      <c r="Y9" s="691"/>
      <c r="Z9" s="462">
        <v>5</v>
      </c>
      <c r="AA9" s="463"/>
      <c r="AB9" s="463"/>
      <c r="AC9" s="691"/>
      <c r="AD9" s="462"/>
      <c r="AE9" s="463"/>
      <c r="AF9" s="463"/>
      <c r="AG9" s="691"/>
      <c r="AH9" s="128">
        <f t="shared" si="0"/>
        <v>10</v>
      </c>
      <c r="AI9" s="273">
        <f t="shared" si="0"/>
        <v>2</v>
      </c>
      <c r="AJ9" s="273">
        <f t="shared" si="0"/>
        <v>1</v>
      </c>
      <c r="AK9" s="694">
        <f t="shared" si="0"/>
        <v>0</v>
      </c>
      <c r="AL9" s="462"/>
      <c r="AM9" s="463"/>
      <c r="AN9" s="463"/>
      <c r="AO9" s="691"/>
      <c r="AP9" s="462">
        <v>2</v>
      </c>
      <c r="AQ9" s="463"/>
      <c r="AR9" s="463"/>
      <c r="AS9" s="691"/>
      <c r="AT9" s="462">
        <v>2.5</v>
      </c>
      <c r="AU9" s="463">
        <v>1.5</v>
      </c>
      <c r="AV9" s="463">
        <v>1.5</v>
      </c>
      <c r="AW9" s="691"/>
      <c r="AX9" s="462"/>
      <c r="AY9" s="463"/>
      <c r="AZ9" s="463"/>
      <c r="BA9" s="691"/>
      <c r="BB9" s="128">
        <f t="shared" si="1"/>
        <v>4.5</v>
      </c>
      <c r="BC9" s="273">
        <f t="shared" si="1"/>
        <v>1.5</v>
      </c>
      <c r="BD9" s="273">
        <f t="shared" si="1"/>
        <v>1.5</v>
      </c>
      <c r="BE9" s="273">
        <f t="shared" si="1"/>
        <v>0</v>
      </c>
      <c r="BF9" s="276">
        <f t="shared" si="2"/>
        <v>14.5</v>
      </c>
      <c r="BG9" s="277">
        <f t="shared" si="2"/>
        <v>3.5</v>
      </c>
      <c r="BH9" s="277">
        <f t="shared" si="2"/>
        <v>2.5</v>
      </c>
      <c r="BI9" s="699">
        <f t="shared" si="2"/>
        <v>0</v>
      </c>
    </row>
    <row r="10" spans="3:61" s="28" customFormat="1" ht="19.5" customHeight="1" thickBot="1">
      <c r="C10" s="32"/>
      <c r="D10" s="31" t="s">
        <v>18</v>
      </c>
      <c r="E10" s="31"/>
      <c r="F10" s="30"/>
      <c r="H10" s="1865" t="s">
        <v>47</v>
      </c>
      <c r="I10" s="1866"/>
      <c r="J10" s="118">
        <f t="shared" ref="J10:BG10" si="3">SUM(J6:J9)</f>
        <v>40</v>
      </c>
      <c r="K10" s="272">
        <f t="shared" si="3"/>
        <v>6.05</v>
      </c>
      <c r="L10" s="272">
        <f t="shared" si="3"/>
        <v>6.05</v>
      </c>
      <c r="M10" s="272">
        <f t="shared" si="3"/>
        <v>21.3</v>
      </c>
      <c r="N10" s="118">
        <f t="shared" si="3"/>
        <v>21</v>
      </c>
      <c r="O10" s="272">
        <f t="shared" si="3"/>
        <v>17.149999999999999</v>
      </c>
      <c r="P10" s="272">
        <f t="shared" si="3"/>
        <v>0</v>
      </c>
      <c r="Q10" s="272">
        <f t="shared" si="3"/>
        <v>19.16</v>
      </c>
      <c r="R10" s="118">
        <f t="shared" si="3"/>
        <v>9</v>
      </c>
      <c r="S10" s="272">
        <f t="shared" si="3"/>
        <v>9.5</v>
      </c>
      <c r="T10" s="272">
        <f t="shared" si="3"/>
        <v>4.5</v>
      </c>
      <c r="U10" s="272">
        <f t="shared" si="3"/>
        <v>0</v>
      </c>
      <c r="V10" s="118">
        <f t="shared" si="3"/>
        <v>4</v>
      </c>
      <c r="W10" s="272">
        <f t="shared" si="3"/>
        <v>1</v>
      </c>
      <c r="X10" s="272">
        <f t="shared" si="3"/>
        <v>0</v>
      </c>
      <c r="Y10" s="272">
        <f t="shared" si="3"/>
        <v>0</v>
      </c>
      <c r="Z10" s="118">
        <f t="shared" si="3"/>
        <v>5</v>
      </c>
      <c r="AA10" s="272">
        <f t="shared" si="3"/>
        <v>0</v>
      </c>
      <c r="AB10" s="272">
        <f t="shared" si="3"/>
        <v>0</v>
      </c>
      <c r="AC10" s="272">
        <f t="shared" si="3"/>
        <v>0</v>
      </c>
      <c r="AD10" s="118">
        <f t="shared" si="3"/>
        <v>20</v>
      </c>
      <c r="AE10" s="272">
        <f t="shared" si="3"/>
        <v>0</v>
      </c>
      <c r="AF10" s="272">
        <f t="shared" si="3"/>
        <v>0</v>
      </c>
      <c r="AG10" s="272">
        <f t="shared" si="3"/>
        <v>0</v>
      </c>
      <c r="AH10" s="118">
        <f t="shared" si="3"/>
        <v>99</v>
      </c>
      <c r="AI10" s="272">
        <f t="shared" si="3"/>
        <v>33.700000000000003</v>
      </c>
      <c r="AJ10" s="272">
        <f>SUM(AJ6:AJ9)</f>
        <v>10.55</v>
      </c>
      <c r="AK10" s="695">
        <f>SUM(AK6:AK9)</f>
        <v>40.46</v>
      </c>
      <c r="AL10" s="118">
        <f t="shared" si="3"/>
        <v>3.5</v>
      </c>
      <c r="AM10" s="272">
        <f t="shared" si="3"/>
        <v>4</v>
      </c>
      <c r="AN10" s="272">
        <f t="shared" si="3"/>
        <v>0</v>
      </c>
      <c r="AO10" s="272">
        <f t="shared" si="3"/>
        <v>0</v>
      </c>
      <c r="AP10" s="118">
        <f t="shared" si="3"/>
        <v>5</v>
      </c>
      <c r="AQ10" s="272">
        <f t="shared" si="3"/>
        <v>0.4</v>
      </c>
      <c r="AR10" s="272">
        <f t="shared" si="3"/>
        <v>0.4</v>
      </c>
      <c r="AS10" s="272">
        <f t="shared" si="3"/>
        <v>0</v>
      </c>
      <c r="AT10" s="118">
        <f t="shared" si="3"/>
        <v>2.5</v>
      </c>
      <c r="AU10" s="272">
        <f t="shared" si="3"/>
        <v>8</v>
      </c>
      <c r="AV10" s="272">
        <f t="shared" si="3"/>
        <v>8</v>
      </c>
      <c r="AW10" s="272">
        <f t="shared" si="3"/>
        <v>0</v>
      </c>
      <c r="AX10" s="118">
        <f t="shared" si="3"/>
        <v>0</v>
      </c>
      <c r="AY10" s="272">
        <f t="shared" si="3"/>
        <v>0</v>
      </c>
      <c r="AZ10" s="272">
        <f t="shared" si="3"/>
        <v>0</v>
      </c>
      <c r="BA10" s="272">
        <f t="shared" si="3"/>
        <v>0</v>
      </c>
      <c r="BB10" s="118">
        <f t="shared" si="3"/>
        <v>11</v>
      </c>
      <c r="BC10" s="272">
        <f t="shared" si="3"/>
        <v>12.4</v>
      </c>
      <c r="BD10" s="272">
        <f t="shared" si="3"/>
        <v>8.4</v>
      </c>
      <c r="BE10" s="272">
        <f t="shared" si="3"/>
        <v>0</v>
      </c>
      <c r="BF10" s="278">
        <f t="shared" si="3"/>
        <v>110</v>
      </c>
      <c r="BG10" s="279">
        <f t="shared" si="3"/>
        <v>46.1</v>
      </c>
      <c r="BH10" s="702">
        <f>AJ10+BD10</f>
        <v>18.950000000000003</v>
      </c>
      <c r="BI10" s="700">
        <f>AK10+BE10</f>
        <v>40.46</v>
      </c>
    </row>
    <row r="11" spans="3:61" s="119" customFormat="1" ht="5.25" customHeight="1">
      <c r="D11" s="120"/>
      <c r="E11" s="120"/>
      <c r="F11" s="120"/>
      <c r="H11" s="122"/>
      <c r="I11" s="122"/>
      <c r="J11" s="125"/>
      <c r="K11" s="126"/>
      <c r="L11" s="126"/>
      <c r="M11" s="126"/>
      <c r="N11" s="125"/>
      <c r="O11" s="126"/>
      <c r="P11" s="126"/>
      <c r="Q11" s="126"/>
      <c r="R11" s="125"/>
      <c r="S11" s="126"/>
      <c r="T11" s="126"/>
      <c r="U11" s="126"/>
      <c r="V11" s="125"/>
      <c r="W11" s="126"/>
      <c r="X11" s="126"/>
      <c r="Y11" s="126"/>
      <c r="Z11" s="125"/>
      <c r="AA11" s="126"/>
      <c r="AB11" s="126"/>
      <c r="AC11" s="126"/>
      <c r="AD11" s="125"/>
      <c r="AE11" s="126"/>
      <c r="AF11" s="126"/>
      <c r="AG11" s="126"/>
      <c r="AH11" s="125"/>
      <c r="AI11" s="126"/>
      <c r="AJ11" s="126"/>
      <c r="AK11" s="126"/>
      <c r="AL11" s="125"/>
      <c r="AM11" s="126"/>
      <c r="AN11" s="126"/>
      <c r="AO11" s="126"/>
      <c r="AP11" s="125"/>
      <c r="AQ11" s="126"/>
      <c r="AR11" s="126"/>
      <c r="AS11" s="126"/>
      <c r="AT11" s="125"/>
      <c r="AU11" s="126"/>
      <c r="AV11" s="126"/>
      <c r="AW11" s="126"/>
      <c r="AX11" s="125"/>
      <c r="AY11" s="126"/>
      <c r="AZ11" s="126"/>
      <c r="BA11" s="126"/>
      <c r="BB11" s="125"/>
      <c r="BC11" s="126"/>
      <c r="BD11" s="126"/>
      <c r="BE11" s="126"/>
      <c r="BF11" s="125"/>
      <c r="BG11" s="126"/>
    </row>
    <row r="12" spans="3:61" ht="19.5" thickBot="1">
      <c r="C12" s="1019"/>
      <c r="D12" s="1017"/>
      <c r="E12" s="1017"/>
      <c r="F12" s="1023"/>
      <c r="H12" s="1867" t="s">
        <v>114</v>
      </c>
      <c r="I12" s="1868"/>
      <c r="J12" s="1868"/>
      <c r="K12" s="1868"/>
      <c r="L12" s="1868"/>
      <c r="M12" s="1868"/>
      <c r="N12" s="1868"/>
      <c r="O12" s="1868"/>
      <c r="P12" s="1868"/>
      <c r="Q12" s="1868"/>
      <c r="R12" s="1868"/>
      <c r="S12" s="1868"/>
      <c r="T12" s="1868"/>
      <c r="U12" s="1868"/>
      <c r="V12" s="1868"/>
      <c r="W12" s="1868"/>
      <c r="X12" s="1868"/>
      <c r="Y12" s="1868"/>
      <c r="Z12" s="1868"/>
      <c r="AA12" s="1868"/>
      <c r="AB12" s="1868"/>
      <c r="AC12" s="1868"/>
      <c r="AD12" s="1868"/>
      <c r="AE12" s="1868"/>
      <c r="AF12" s="1868"/>
      <c r="AG12" s="1868"/>
      <c r="AH12" s="1868"/>
      <c r="AI12" s="1868"/>
      <c r="AJ12" s="1868"/>
      <c r="AK12" s="1868"/>
      <c r="AL12" s="1868"/>
      <c r="AM12" s="1868"/>
      <c r="AN12" s="1868"/>
      <c r="AO12" s="1868"/>
      <c r="AP12" s="1868"/>
      <c r="AQ12" s="1868"/>
      <c r="AR12" s="1868"/>
      <c r="AS12" s="1868"/>
      <c r="AT12" s="1868"/>
      <c r="AU12" s="1868"/>
      <c r="AV12" s="1868"/>
      <c r="AW12" s="1868"/>
      <c r="AX12" s="1868"/>
      <c r="AY12" s="1868"/>
      <c r="AZ12" s="1868"/>
      <c r="BA12" s="1868"/>
      <c r="BB12" s="1868"/>
      <c r="BC12" s="1868"/>
      <c r="BD12" s="1868"/>
      <c r="BE12" s="1868"/>
      <c r="BF12" s="1868"/>
      <c r="BG12" s="1868"/>
      <c r="BH12" s="1868"/>
      <c r="BI12" s="1868"/>
    </row>
    <row r="13" spans="3:61" ht="18.75" customHeight="1">
      <c r="C13" s="37" t="s">
        <v>44</v>
      </c>
      <c r="D13" s="1869"/>
      <c r="E13" s="1869"/>
      <c r="F13" s="1870"/>
      <c r="H13" s="1895" t="s">
        <v>117</v>
      </c>
      <c r="I13" s="1896"/>
      <c r="J13" s="1890" t="s">
        <v>43</v>
      </c>
      <c r="K13" s="1891"/>
      <c r="L13" s="1891"/>
      <c r="M13" s="1892"/>
      <c r="N13" s="1890" t="s">
        <v>42</v>
      </c>
      <c r="O13" s="1891"/>
      <c r="P13" s="1891"/>
      <c r="Q13" s="1892"/>
      <c r="R13" s="1890" t="s">
        <v>41</v>
      </c>
      <c r="S13" s="1891"/>
      <c r="T13" s="1891"/>
      <c r="U13" s="1892"/>
      <c r="V13" s="1890" t="s">
        <v>40</v>
      </c>
      <c r="W13" s="1891"/>
      <c r="X13" s="1891"/>
      <c r="Y13" s="1892"/>
      <c r="Z13" s="1890" t="s">
        <v>39</v>
      </c>
      <c r="AA13" s="1891"/>
      <c r="AB13" s="1891"/>
      <c r="AC13" s="1892"/>
      <c r="AD13" s="1890" t="s">
        <v>38</v>
      </c>
      <c r="AE13" s="1891"/>
      <c r="AF13" s="1891"/>
      <c r="AG13" s="1892"/>
      <c r="AH13" s="1882" t="s">
        <v>122</v>
      </c>
      <c r="AI13" s="1883"/>
      <c r="AJ13" s="1883"/>
      <c r="AK13" s="1884"/>
      <c r="AL13" s="1890" t="s">
        <v>37</v>
      </c>
      <c r="AM13" s="1891"/>
      <c r="AN13" s="1891"/>
      <c r="AO13" s="1892"/>
      <c r="AP13" s="1890" t="s">
        <v>36</v>
      </c>
      <c r="AQ13" s="1891"/>
      <c r="AR13" s="1891"/>
      <c r="AS13" s="1892"/>
      <c r="AT13" s="1890" t="s">
        <v>35</v>
      </c>
      <c r="AU13" s="1891"/>
      <c r="AV13" s="1891"/>
      <c r="AW13" s="1892"/>
      <c r="AX13" s="1890" t="s">
        <v>34</v>
      </c>
      <c r="AY13" s="1891"/>
      <c r="AZ13" s="1891"/>
      <c r="BA13" s="1892"/>
      <c r="BB13" s="1882" t="s">
        <v>123</v>
      </c>
      <c r="BC13" s="1883"/>
      <c r="BD13" s="1883"/>
      <c r="BE13" s="1884"/>
      <c r="BF13" s="1880" t="s">
        <v>17</v>
      </c>
      <c r="BG13" s="1881"/>
      <c r="BH13" s="1881"/>
      <c r="BI13" s="1881"/>
    </row>
    <row r="14" spans="3:61" ht="27" customHeight="1">
      <c r="C14" s="1879" t="s">
        <v>33</v>
      </c>
      <c r="D14" s="1869"/>
      <c r="E14" s="1017" t="s">
        <v>1</v>
      </c>
      <c r="F14" s="1023" t="s">
        <v>2</v>
      </c>
      <c r="H14" s="1897"/>
      <c r="I14" s="1898"/>
      <c r="J14" s="36" t="s">
        <v>1</v>
      </c>
      <c r="K14" s="271" t="s">
        <v>2</v>
      </c>
      <c r="L14" s="271" t="s">
        <v>182</v>
      </c>
      <c r="M14" s="35" t="s">
        <v>247</v>
      </c>
      <c r="N14" s="36" t="s">
        <v>1</v>
      </c>
      <c r="O14" s="271" t="s">
        <v>2</v>
      </c>
      <c r="P14" s="271" t="s">
        <v>182</v>
      </c>
      <c r="Q14" s="35" t="s">
        <v>247</v>
      </c>
      <c r="R14" s="36" t="s">
        <v>1</v>
      </c>
      <c r="S14" s="271" t="s">
        <v>2</v>
      </c>
      <c r="T14" s="271" t="s">
        <v>182</v>
      </c>
      <c r="U14" s="35" t="s">
        <v>247</v>
      </c>
      <c r="V14" s="36" t="s">
        <v>1</v>
      </c>
      <c r="W14" s="271" t="s">
        <v>2</v>
      </c>
      <c r="X14" s="271" t="s">
        <v>182</v>
      </c>
      <c r="Y14" s="35" t="s">
        <v>247</v>
      </c>
      <c r="Z14" s="36" t="s">
        <v>1</v>
      </c>
      <c r="AA14" s="271" t="s">
        <v>2</v>
      </c>
      <c r="AB14" s="271" t="s">
        <v>182</v>
      </c>
      <c r="AC14" s="35" t="s">
        <v>247</v>
      </c>
      <c r="AD14" s="36" t="s">
        <v>1</v>
      </c>
      <c r="AE14" s="271" t="s">
        <v>2</v>
      </c>
      <c r="AF14" s="271" t="s">
        <v>182</v>
      </c>
      <c r="AG14" s="35" t="s">
        <v>247</v>
      </c>
      <c r="AH14" s="36" t="s">
        <v>1</v>
      </c>
      <c r="AI14" s="271" t="s">
        <v>2</v>
      </c>
      <c r="AJ14" s="271" t="s">
        <v>182</v>
      </c>
      <c r="AK14" s="690" t="s">
        <v>196</v>
      </c>
      <c r="AL14" s="36" t="s">
        <v>1</v>
      </c>
      <c r="AM14" s="271" t="s">
        <v>2</v>
      </c>
      <c r="AN14" s="271" t="s">
        <v>182</v>
      </c>
      <c r="AO14" s="35" t="s">
        <v>247</v>
      </c>
      <c r="AP14" s="36" t="s">
        <v>1</v>
      </c>
      <c r="AQ14" s="271" t="s">
        <v>2</v>
      </c>
      <c r="AR14" s="271" t="s">
        <v>182</v>
      </c>
      <c r="AS14" s="35" t="s">
        <v>247</v>
      </c>
      <c r="AT14" s="36" t="s">
        <v>1</v>
      </c>
      <c r="AU14" s="271" t="s">
        <v>2</v>
      </c>
      <c r="AV14" s="271" t="s">
        <v>182</v>
      </c>
      <c r="AW14" s="35" t="s">
        <v>247</v>
      </c>
      <c r="AX14" s="36" t="s">
        <v>1</v>
      </c>
      <c r="AY14" s="271" t="s">
        <v>2</v>
      </c>
      <c r="AZ14" s="271" t="s">
        <v>182</v>
      </c>
      <c r="BA14" s="35" t="s">
        <v>247</v>
      </c>
      <c r="BB14" s="36" t="s">
        <v>1</v>
      </c>
      <c r="BC14" s="271" t="s">
        <v>2</v>
      </c>
      <c r="BD14" s="271" t="s">
        <v>182</v>
      </c>
      <c r="BE14" s="690" t="s">
        <v>196</v>
      </c>
      <c r="BF14" s="274" t="s">
        <v>1</v>
      </c>
      <c r="BG14" s="275" t="s">
        <v>2</v>
      </c>
      <c r="BH14" s="275" t="s">
        <v>182</v>
      </c>
      <c r="BI14" s="703" t="s">
        <v>196</v>
      </c>
    </row>
    <row r="15" spans="3:61" s="28" customFormat="1" ht="20.100000000000001" customHeight="1">
      <c r="C15" s="1879" t="s">
        <v>28</v>
      </c>
      <c r="D15" s="1017" t="s">
        <v>27</v>
      </c>
      <c r="E15" s="1021"/>
      <c r="F15" s="34"/>
      <c r="H15" s="1888" t="s">
        <v>112</v>
      </c>
      <c r="I15" s="33" t="s">
        <v>27</v>
      </c>
      <c r="J15" s="462"/>
      <c r="K15" s="463"/>
      <c r="L15" s="463"/>
      <c r="M15" s="692"/>
      <c r="N15" s="462"/>
      <c r="O15" s="463"/>
      <c r="P15" s="463"/>
      <c r="Q15" s="692"/>
      <c r="R15" s="462">
        <v>6</v>
      </c>
      <c r="S15" s="463"/>
      <c r="T15" s="463"/>
      <c r="U15" s="692"/>
      <c r="V15" s="462"/>
      <c r="W15" s="463"/>
      <c r="X15" s="463"/>
      <c r="Y15" s="692"/>
      <c r="Z15" s="462"/>
      <c r="AA15" s="463"/>
      <c r="AB15" s="463"/>
      <c r="AC15" s="692"/>
      <c r="AD15" s="462"/>
      <c r="AE15" s="463"/>
      <c r="AF15" s="463"/>
      <c r="AG15" s="692"/>
      <c r="AH15" s="128">
        <f>J15+N15+R15+V15+Z15+AD15</f>
        <v>6</v>
      </c>
      <c r="AI15" s="273">
        <f>K15+O15+S15+W15+AA15+AE15</f>
        <v>0</v>
      </c>
      <c r="AJ15" s="273">
        <f>L15+P15+T15+X15+AB15+AF15</f>
        <v>0</v>
      </c>
      <c r="AK15" s="694">
        <f>M15+Q15+U15+Y15+AC15+AG15</f>
        <v>0</v>
      </c>
      <c r="AL15" s="462"/>
      <c r="AM15" s="463"/>
      <c r="AN15" s="463"/>
      <c r="AO15" s="692"/>
      <c r="AP15" s="462"/>
      <c r="AQ15" s="463"/>
      <c r="AR15" s="463"/>
      <c r="AS15" s="692"/>
      <c r="AT15" s="462"/>
      <c r="AU15" s="463"/>
      <c r="AV15" s="463"/>
      <c r="AW15" s="692"/>
      <c r="AX15" s="462">
        <v>6</v>
      </c>
      <c r="AY15" s="463"/>
      <c r="AZ15" s="463"/>
      <c r="BA15" s="692"/>
      <c r="BB15" s="128">
        <f>AL15+AP15+AT15+AX15</f>
        <v>6</v>
      </c>
      <c r="BC15" s="273">
        <f>AM15+AQ15+AU15+AY15</f>
        <v>0</v>
      </c>
      <c r="BD15" s="273">
        <f>AN15+AR15+AV15+AZ15</f>
        <v>0</v>
      </c>
      <c r="BE15" s="273">
        <f>AO15+AS15+AW15+BA15</f>
        <v>0</v>
      </c>
      <c r="BF15" s="276">
        <f t="shared" ref="BF15:BI23" si="4">AH15+BB15</f>
        <v>12</v>
      </c>
      <c r="BG15" s="277">
        <f t="shared" si="4"/>
        <v>0</v>
      </c>
      <c r="BH15" s="277">
        <f t="shared" si="4"/>
        <v>0</v>
      </c>
      <c r="BI15" s="704">
        <f t="shared" si="4"/>
        <v>0</v>
      </c>
    </row>
    <row r="16" spans="3:61" s="28" customFormat="1" ht="20.100000000000001" customHeight="1">
      <c r="C16" s="1879"/>
      <c r="D16" s="1017" t="s">
        <v>26</v>
      </c>
      <c r="E16" s="1017"/>
      <c r="F16" s="1018"/>
      <c r="H16" s="1889"/>
      <c r="I16" s="33" t="s">
        <v>26</v>
      </c>
      <c r="J16" s="462"/>
      <c r="K16" s="463"/>
      <c r="L16" s="463"/>
      <c r="M16" s="692"/>
      <c r="N16" s="462"/>
      <c r="O16" s="463"/>
      <c r="P16" s="463"/>
      <c r="Q16" s="692"/>
      <c r="R16" s="462"/>
      <c r="S16" s="463"/>
      <c r="T16" s="463"/>
      <c r="U16" s="692"/>
      <c r="V16" s="462"/>
      <c r="W16" s="463"/>
      <c r="X16" s="463"/>
      <c r="Y16" s="692"/>
      <c r="Z16" s="462"/>
      <c r="AA16" s="463"/>
      <c r="AB16" s="463"/>
      <c r="AC16" s="692"/>
      <c r="AD16" s="462"/>
      <c r="AE16" s="463"/>
      <c r="AF16" s="463"/>
      <c r="AG16" s="692"/>
      <c r="AH16" s="128">
        <f t="shared" ref="AH16:AK23" si="5">J16+N16+R16+V16+Z16+AD16</f>
        <v>0</v>
      </c>
      <c r="AI16" s="273">
        <f t="shared" si="5"/>
        <v>0</v>
      </c>
      <c r="AJ16" s="273">
        <f t="shared" si="5"/>
        <v>0</v>
      </c>
      <c r="AK16" s="694">
        <f t="shared" si="5"/>
        <v>0</v>
      </c>
      <c r="AL16" s="462"/>
      <c r="AM16" s="463"/>
      <c r="AN16" s="463"/>
      <c r="AO16" s="692"/>
      <c r="AP16" s="462"/>
      <c r="AQ16" s="463"/>
      <c r="AR16" s="463"/>
      <c r="AS16" s="692"/>
      <c r="AT16" s="462"/>
      <c r="AU16" s="463"/>
      <c r="AV16" s="463"/>
      <c r="AW16" s="692"/>
      <c r="AX16" s="462"/>
      <c r="AY16" s="463"/>
      <c r="AZ16" s="463"/>
      <c r="BA16" s="692"/>
      <c r="BB16" s="128">
        <f t="shared" ref="BB16:BE23" si="6">AL16+AP16+AT16+AX16</f>
        <v>0</v>
      </c>
      <c r="BC16" s="273">
        <f t="shared" si="6"/>
        <v>0</v>
      </c>
      <c r="BD16" s="273">
        <f t="shared" si="6"/>
        <v>0</v>
      </c>
      <c r="BE16" s="273">
        <f t="shared" si="6"/>
        <v>0</v>
      </c>
      <c r="BF16" s="276">
        <f t="shared" si="4"/>
        <v>0</v>
      </c>
      <c r="BG16" s="277">
        <f t="shared" si="4"/>
        <v>0</v>
      </c>
      <c r="BH16" s="277">
        <f t="shared" si="4"/>
        <v>0</v>
      </c>
      <c r="BI16" s="704">
        <f t="shared" si="4"/>
        <v>0</v>
      </c>
    </row>
    <row r="17" spans="3:61" s="28" customFormat="1" ht="23.25" customHeight="1">
      <c r="C17" s="1879"/>
      <c r="D17" s="1017" t="s">
        <v>25</v>
      </c>
      <c r="E17" s="1017"/>
      <c r="F17" s="1018"/>
      <c r="H17" s="1889"/>
      <c r="I17" s="33" t="s">
        <v>25</v>
      </c>
      <c r="J17" s="462"/>
      <c r="K17" s="463"/>
      <c r="L17" s="463"/>
      <c r="M17" s="692"/>
      <c r="N17" s="462"/>
      <c r="O17" s="463"/>
      <c r="P17" s="463"/>
      <c r="Q17" s="692"/>
      <c r="R17" s="462"/>
      <c r="S17" s="463"/>
      <c r="T17" s="463"/>
      <c r="U17" s="692"/>
      <c r="V17" s="462">
        <v>6</v>
      </c>
      <c r="W17" s="463">
        <v>6</v>
      </c>
      <c r="X17" s="463"/>
      <c r="Y17" s="692"/>
      <c r="Z17" s="462"/>
      <c r="AA17" s="463"/>
      <c r="AB17" s="463"/>
      <c r="AC17" s="692"/>
      <c r="AD17" s="462"/>
      <c r="AE17" s="463"/>
      <c r="AF17" s="463"/>
      <c r="AG17" s="692"/>
      <c r="AH17" s="128">
        <f t="shared" si="5"/>
        <v>6</v>
      </c>
      <c r="AI17" s="273">
        <f t="shared" si="5"/>
        <v>6</v>
      </c>
      <c r="AJ17" s="273">
        <f t="shared" si="5"/>
        <v>0</v>
      </c>
      <c r="AK17" s="694">
        <f t="shared" si="5"/>
        <v>0</v>
      </c>
      <c r="AL17" s="462"/>
      <c r="AM17" s="463"/>
      <c r="AN17" s="463"/>
      <c r="AO17" s="692"/>
      <c r="AP17" s="462"/>
      <c r="AQ17" s="463"/>
      <c r="AR17" s="463"/>
      <c r="AS17" s="692"/>
      <c r="AT17" s="462"/>
      <c r="AU17" s="463"/>
      <c r="AV17" s="463"/>
      <c r="AW17" s="692"/>
      <c r="AX17" s="462"/>
      <c r="AY17" s="463"/>
      <c r="AZ17" s="463"/>
      <c r="BA17" s="692"/>
      <c r="BB17" s="128">
        <f t="shared" si="6"/>
        <v>0</v>
      </c>
      <c r="BC17" s="273">
        <f t="shared" si="6"/>
        <v>0</v>
      </c>
      <c r="BD17" s="273">
        <f t="shared" si="6"/>
        <v>0</v>
      </c>
      <c r="BE17" s="273">
        <f t="shared" si="6"/>
        <v>0</v>
      </c>
      <c r="BF17" s="276">
        <f t="shared" si="4"/>
        <v>6</v>
      </c>
      <c r="BG17" s="277">
        <f t="shared" si="4"/>
        <v>6</v>
      </c>
      <c r="BH17" s="277">
        <f t="shared" si="4"/>
        <v>0</v>
      </c>
      <c r="BI17" s="704">
        <f t="shared" si="4"/>
        <v>0</v>
      </c>
    </row>
    <row r="18" spans="3:61" s="28" customFormat="1" ht="21">
      <c r="C18" s="1879"/>
      <c r="D18" s="1017" t="s">
        <v>24</v>
      </c>
      <c r="E18" s="1017"/>
      <c r="F18" s="1018"/>
      <c r="H18" s="1889"/>
      <c r="I18" s="33" t="s">
        <v>24</v>
      </c>
      <c r="J18" s="462"/>
      <c r="K18" s="463"/>
      <c r="L18" s="463"/>
      <c r="M18" s="692"/>
      <c r="N18" s="462"/>
      <c r="O18" s="463"/>
      <c r="P18" s="463"/>
      <c r="Q18" s="692"/>
      <c r="R18" s="462"/>
      <c r="S18" s="463"/>
      <c r="T18" s="463"/>
      <c r="U18" s="692"/>
      <c r="V18" s="462"/>
      <c r="W18" s="463"/>
      <c r="X18" s="463"/>
      <c r="Y18" s="692"/>
      <c r="Z18" s="462"/>
      <c r="AA18" s="463"/>
      <c r="AB18" s="463"/>
      <c r="AC18" s="692"/>
      <c r="AD18" s="462"/>
      <c r="AE18" s="463"/>
      <c r="AF18" s="463"/>
      <c r="AG18" s="692"/>
      <c r="AH18" s="128">
        <f t="shared" si="5"/>
        <v>0</v>
      </c>
      <c r="AI18" s="273">
        <f t="shared" si="5"/>
        <v>0</v>
      </c>
      <c r="AJ18" s="273">
        <f t="shared" si="5"/>
        <v>0</v>
      </c>
      <c r="AK18" s="694">
        <f t="shared" si="5"/>
        <v>0</v>
      </c>
      <c r="AL18" s="462"/>
      <c r="AM18" s="463"/>
      <c r="AN18" s="463"/>
      <c r="AO18" s="692"/>
      <c r="AP18" s="462"/>
      <c r="AQ18" s="463"/>
      <c r="AR18" s="463"/>
      <c r="AS18" s="692"/>
      <c r="AT18" s="462"/>
      <c r="AU18" s="463"/>
      <c r="AV18" s="463"/>
      <c r="AW18" s="692"/>
      <c r="AX18" s="462"/>
      <c r="AY18" s="463"/>
      <c r="AZ18" s="463"/>
      <c r="BA18" s="692"/>
      <c r="BB18" s="128">
        <f t="shared" si="6"/>
        <v>0</v>
      </c>
      <c r="BC18" s="273">
        <f t="shared" si="6"/>
        <v>0</v>
      </c>
      <c r="BD18" s="273">
        <f t="shared" si="6"/>
        <v>0</v>
      </c>
      <c r="BE18" s="273">
        <f t="shared" si="6"/>
        <v>0</v>
      </c>
      <c r="BF18" s="276">
        <f t="shared" si="4"/>
        <v>0</v>
      </c>
      <c r="BG18" s="277">
        <f t="shared" si="4"/>
        <v>0</v>
      </c>
      <c r="BH18" s="277">
        <f t="shared" si="4"/>
        <v>0</v>
      </c>
      <c r="BI18" s="704">
        <f t="shared" si="4"/>
        <v>0</v>
      </c>
    </row>
    <row r="19" spans="3:61" s="28" customFormat="1" ht="19.5" customHeight="1">
      <c r="C19" s="1879"/>
      <c r="D19" s="1017" t="s">
        <v>23</v>
      </c>
      <c r="E19" s="1017"/>
      <c r="F19" s="1018"/>
      <c r="H19" s="1889"/>
      <c r="I19" s="33" t="s">
        <v>23</v>
      </c>
      <c r="J19" s="462"/>
      <c r="K19" s="463">
        <v>40</v>
      </c>
      <c r="L19" s="463"/>
      <c r="M19" s="692"/>
      <c r="N19" s="462"/>
      <c r="O19" s="463"/>
      <c r="P19" s="463"/>
      <c r="Q19" s="692"/>
      <c r="R19" s="462"/>
      <c r="S19" s="463"/>
      <c r="T19" s="463"/>
      <c r="U19" s="692"/>
      <c r="V19" s="462"/>
      <c r="W19" s="463"/>
      <c r="X19" s="463"/>
      <c r="Y19" s="692"/>
      <c r="Z19" s="462"/>
      <c r="AA19" s="463"/>
      <c r="AB19" s="463"/>
      <c r="AC19" s="692"/>
      <c r="AD19" s="462"/>
      <c r="AE19" s="463"/>
      <c r="AF19" s="463"/>
      <c r="AG19" s="692"/>
      <c r="AH19" s="128">
        <f t="shared" si="5"/>
        <v>0</v>
      </c>
      <c r="AI19" s="273">
        <f t="shared" si="5"/>
        <v>40</v>
      </c>
      <c r="AJ19" s="273">
        <f t="shared" si="5"/>
        <v>0</v>
      </c>
      <c r="AK19" s="694">
        <f t="shared" si="5"/>
        <v>0</v>
      </c>
      <c r="AL19" s="1012"/>
      <c r="AM19" s="463"/>
      <c r="AN19" s="463"/>
      <c r="AO19" s="692"/>
      <c r="AP19" s="462"/>
      <c r="AQ19" s="463"/>
      <c r="AR19" s="463"/>
      <c r="AS19" s="692"/>
      <c r="AT19" s="462"/>
      <c r="AU19" s="463"/>
      <c r="AV19" s="463"/>
      <c r="AW19" s="692"/>
      <c r="AX19" s="462"/>
      <c r="AY19" s="463"/>
      <c r="AZ19" s="463"/>
      <c r="BA19" s="692"/>
      <c r="BB19" s="128">
        <f t="shared" si="6"/>
        <v>0</v>
      </c>
      <c r="BC19" s="273">
        <f t="shared" si="6"/>
        <v>0</v>
      </c>
      <c r="BD19" s="273">
        <f t="shared" si="6"/>
        <v>0</v>
      </c>
      <c r="BE19" s="273">
        <f t="shared" si="6"/>
        <v>0</v>
      </c>
      <c r="BF19" s="276">
        <f t="shared" si="4"/>
        <v>0</v>
      </c>
      <c r="BG19" s="277">
        <f t="shared" si="4"/>
        <v>40</v>
      </c>
      <c r="BH19" s="277">
        <f t="shared" si="4"/>
        <v>0</v>
      </c>
      <c r="BI19" s="704">
        <f t="shared" si="4"/>
        <v>0</v>
      </c>
    </row>
    <row r="20" spans="3:61" s="28" customFormat="1" ht="19.5" customHeight="1">
      <c r="C20" s="1879"/>
      <c r="D20" s="1017" t="s">
        <v>22</v>
      </c>
      <c r="E20" s="1017"/>
      <c r="F20" s="1018"/>
      <c r="H20" s="1889"/>
      <c r="I20" s="33" t="s">
        <v>22</v>
      </c>
      <c r="J20" s="462"/>
      <c r="K20" s="463"/>
      <c r="L20" s="463"/>
      <c r="M20" s="692"/>
      <c r="N20" s="462"/>
      <c r="O20" s="463"/>
      <c r="P20" s="463"/>
      <c r="Q20" s="692"/>
      <c r="R20" s="462"/>
      <c r="S20" s="463"/>
      <c r="T20" s="463"/>
      <c r="U20" s="692"/>
      <c r="V20" s="462"/>
      <c r="W20" s="463"/>
      <c r="X20" s="463"/>
      <c r="Y20" s="692"/>
      <c r="Z20" s="462"/>
      <c r="AA20" s="463"/>
      <c r="AB20" s="463"/>
      <c r="AC20" s="692"/>
      <c r="AD20" s="462"/>
      <c r="AE20" s="463"/>
      <c r="AF20" s="463"/>
      <c r="AG20" s="692"/>
      <c r="AH20" s="128">
        <f t="shared" si="5"/>
        <v>0</v>
      </c>
      <c r="AI20" s="273">
        <f t="shared" si="5"/>
        <v>0</v>
      </c>
      <c r="AJ20" s="273">
        <f t="shared" si="5"/>
        <v>0</v>
      </c>
      <c r="AK20" s="694">
        <f t="shared" si="5"/>
        <v>0</v>
      </c>
      <c r="AL20" s="462">
        <v>19</v>
      </c>
      <c r="AM20" s="463">
        <v>19</v>
      </c>
      <c r="AN20" s="463"/>
      <c r="AO20" s="692"/>
      <c r="AP20" s="462"/>
      <c r="AQ20" s="463"/>
      <c r="AR20" s="463"/>
      <c r="AS20" s="692"/>
      <c r="AT20" s="462">
        <v>7.5</v>
      </c>
      <c r="AU20" s="463"/>
      <c r="AV20" s="463"/>
      <c r="AW20" s="692"/>
      <c r="AX20" s="462"/>
      <c r="AY20" s="463"/>
      <c r="AZ20" s="463"/>
      <c r="BA20" s="692"/>
      <c r="BB20" s="128">
        <f t="shared" si="6"/>
        <v>26.5</v>
      </c>
      <c r="BC20" s="273">
        <f t="shared" si="6"/>
        <v>19</v>
      </c>
      <c r="BD20" s="273">
        <f t="shared" si="6"/>
        <v>0</v>
      </c>
      <c r="BE20" s="273">
        <f t="shared" si="6"/>
        <v>0</v>
      </c>
      <c r="BF20" s="276">
        <f t="shared" si="4"/>
        <v>26.5</v>
      </c>
      <c r="BG20" s="277">
        <f t="shared" si="4"/>
        <v>19</v>
      </c>
      <c r="BH20" s="277">
        <f t="shared" si="4"/>
        <v>0</v>
      </c>
      <c r="BI20" s="704">
        <f t="shared" si="4"/>
        <v>0</v>
      </c>
    </row>
    <row r="21" spans="3:61" s="28" customFormat="1" ht="20.100000000000001" customHeight="1">
      <c r="C21" s="1885"/>
      <c r="D21" s="1017"/>
      <c r="E21" s="1017"/>
      <c r="F21" s="1018"/>
      <c r="H21" s="1889"/>
      <c r="I21" s="33" t="s">
        <v>21</v>
      </c>
      <c r="J21" s="462"/>
      <c r="K21" s="463"/>
      <c r="L21" s="463"/>
      <c r="M21" s="692"/>
      <c r="N21" s="462"/>
      <c r="O21" s="463"/>
      <c r="P21" s="463"/>
      <c r="Q21" s="692"/>
      <c r="R21" s="462"/>
      <c r="S21" s="463"/>
      <c r="T21" s="463"/>
      <c r="U21" s="692"/>
      <c r="V21" s="462"/>
      <c r="W21" s="463"/>
      <c r="X21" s="463"/>
      <c r="Y21" s="692"/>
      <c r="Z21" s="462"/>
      <c r="AA21" s="463"/>
      <c r="AB21" s="463"/>
      <c r="AC21" s="692"/>
      <c r="AD21" s="462"/>
      <c r="AE21" s="463"/>
      <c r="AF21" s="463"/>
      <c r="AG21" s="692"/>
      <c r="AH21" s="128">
        <f t="shared" si="5"/>
        <v>0</v>
      </c>
      <c r="AI21" s="273">
        <f t="shared" si="5"/>
        <v>0</v>
      </c>
      <c r="AJ21" s="273">
        <f t="shared" si="5"/>
        <v>0</v>
      </c>
      <c r="AK21" s="694">
        <f t="shared" si="5"/>
        <v>0</v>
      </c>
      <c r="AL21" s="462"/>
      <c r="AM21" s="463"/>
      <c r="AN21" s="463"/>
      <c r="AO21" s="692"/>
      <c r="AP21" s="462"/>
      <c r="AQ21" s="463"/>
      <c r="AR21" s="463"/>
      <c r="AS21" s="692"/>
      <c r="AT21" s="462"/>
      <c r="AU21" s="463"/>
      <c r="AV21" s="463"/>
      <c r="AW21" s="692"/>
      <c r="AX21" s="462"/>
      <c r="AY21" s="463"/>
      <c r="AZ21" s="463"/>
      <c r="BA21" s="692"/>
      <c r="BB21" s="128">
        <f t="shared" si="6"/>
        <v>0</v>
      </c>
      <c r="BC21" s="273">
        <f t="shared" si="6"/>
        <v>0</v>
      </c>
      <c r="BD21" s="273">
        <f t="shared" si="6"/>
        <v>0</v>
      </c>
      <c r="BE21" s="273">
        <f t="shared" si="6"/>
        <v>0</v>
      </c>
      <c r="BF21" s="276">
        <f t="shared" si="4"/>
        <v>0</v>
      </c>
      <c r="BG21" s="277">
        <f t="shared" si="4"/>
        <v>0</v>
      </c>
      <c r="BH21" s="277">
        <f t="shared" si="4"/>
        <v>0</v>
      </c>
      <c r="BI21" s="704">
        <f t="shared" si="4"/>
        <v>0</v>
      </c>
    </row>
    <row r="22" spans="3:61" s="28" customFormat="1" ht="20.100000000000001" customHeight="1">
      <c r="C22" s="1885"/>
      <c r="D22" s="1017"/>
      <c r="E22" s="1017"/>
      <c r="F22" s="1018"/>
      <c r="H22" s="1889"/>
      <c r="I22" s="33" t="s">
        <v>20</v>
      </c>
      <c r="J22" s="462"/>
      <c r="K22" s="463"/>
      <c r="L22" s="463"/>
      <c r="M22" s="692"/>
      <c r="N22" s="462"/>
      <c r="O22" s="463"/>
      <c r="P22" s="463"/>
      <c r="Q22" s="692"/>
      <c r="R22" s="462"/>
      <c r="S22" s="463"/>
      <c r="T22" s="463"/>
      <c r="U22" s="692"/>
      <c r="V22" s="462"/>
      <c r="W22" s="463"/>
      <c r="X22" s="463"/>
      <c r="Y22" s="692"/>
      <c r="Z22" s="462"/>
      <c r="AA22" s="463"/>
      <c r="AB22" s="463"/>
      <c r="AC22" s="692"/>
      <c r="AD22" s="462"/>
      <c r="AE22" s="463"/>
      <c r="AF22" s="463"/>
      <c r="AG22" s="692"/>
      <c r="AH22" s="128">
        <f t="shared" si="5"/>
        <v>0</v>
      </c>
      <c r="AI22" s="273">
        <f t="shared" si="5"/>
        <v>0</v>
      </c>
      <c r="AJ22" s="273">
        <f t="shared" si="5"/>
        <v>0</v>
      </c>
      <c r="AK22" s="694">
        <f t="shared" si="5"/>
        <v>0</v>
      </c>
      <c r="AL22" s="462"/>
      <c r="AM22" s="463"/>
      <c r="AN22" s="463"/>
      <c r="AO22" s="692"/>
      <c r="AP22" s="462"/>
      <c r="AQ22" s="463"/>
      <c r="AR22" s="463"/>
      <c r="AS22" s="692"/>
      <c r="AT22" s="462"/>
      <c r="AU22" s="463"/>
      <c r="AV22" s="463"/>
      <c r="AW22" s="692"/>
      <c r="AX22" s="462"/>
      <c r="AY22" s="463"/>
      <c r="AZ22" s="463"/>
      <c r="BA22" s="692"/>
      <c r="BB22" s="128">
        <f t="shared" si="6"/>
        <v>0</v>
      </c>
      <c r="BC22" s="273">
        <f t="shared" si="6"/>
        <v>0</v>
      </c>
      <c r="BD22" s="273">
        <f t="shared" si="6"/>
        <v>0</v>
      </c>
      <c r="BE22" s="273">
        <f t="shared" si="6"/>
        <v>0</v>
      </c>
      <c r="BF22" s="276">
        <f t="shared" si="4"/>
        <v>0</v>
      </c>
      <c r="BG22" s="277">
        <f t="shared" si="4"/>
        <v>0</v>
      </c>
      <c r="BH22" s="277">
        <f t="shared" si="4"/>
        <v>0</v>
      </c>
      <c r="BI22" s="704">
        <f t="shared" si="4"/>
        <v>0</v>
      </c>
    </row>
    <row r="23" spans="3:61" s="28" customFormat="1" ht="20.100000000000001" customHeight="1">
      <c r="C23" s="1885"/>
      <c r="D23" s="1017"/>
      <c r="E23" s="1017"/>
      <c r="F23" s="1018"/>
      <c r="H23" s="1889"/>
      <c r="I23" s="33" t="s">
        <v>19</v>
      </c>
      <c r="J23" s="462">
        <v>20</v>
      </c>
      <c r="K23" s="463"/>
      <c r="L23" s="463"/>
      <c r="M23" s="692"/>
      <c r="N23" s="462"/>
      <c r="O23" s="463"/>
      <c r="P23" s="463"/>
      <c r="Q23" s="692"/>
      <c r="R23" s="462"/>
      <c r="S23" s="463"/>
      <c r="T23" s="463"/>
      <c r="U23" s="692"/>
      <c r="V23" s="462"/>
      <c r="W23" s="463"/>
      <c r="X23" s="463"/>
      <c r="Y23" s="692"/>
      <c r="Z23" s="462"/>
      <c r="AA23" s="463"/>
      <c r="AB23" s="463"/>
      <c r="AC23" s="692"/>
      <c r="AD23" s="462"/>
      <c r="AE23" s="463"/>
      <c r="AF23" s="463"/>
      <c r="AG23" s="692"/>
      <c r="AH23" s="128">
        <f t="shared" si="5"/>
        <v>20</v>
      </c>
      <c r="AI23" s="273">
        <f t="shared" si="5"/>
        <v>0</v>
      </c>
      <c r="AJ23" s="273">
        <f t="shared" si="5"/>
        <v>0</v>
      </c>
      <c r="AK23" s="694">
        <f t="shared" si="5"/>
        <v>0</v>
      </c>
      <c r="AL23" s="462"/>
      <c r="AM23" s="463"/>
      <c r="AN23" s="463"/>
      <c r="AO23" s="692"/>
      <c r="AP23" s="462"/>
      <c r="AQ23" s="463"/>
      <c r="AR23" s="463"/>
      <c r="AS23" s="692"/>
      <c r="AT23" s="462"/>
      <c r="AU23" s="463"/>
      <c r="AV23" s="463"/>
      <c r="AW23" s="692"/>
      <c r="AX23" s="462"/>
      <c r="AY23" s="463"/>
      <c r="AZ23" s="463"/>
      <c r="BA23" s="692"/>
      <c r="BB23" s="128">
        <f t="shared" si="6"/>
        <v>0</v>
      </c>
      <c r="BC23" s="273">
        <f t="shared" si="6"/>
        <v>0</v>
      </c>
      <c r="BD23" s="273">
        <f t="shared" si="6"/>
        <v>0</v>
      </c>
      <c r="BE23" s="273">
        <f t="shared" si="6"/>
        <v>0</v>
      </c>
      <c r="BF23" s="276">
        <f t="shared" si="4"/>
        <v>20</v>
      </c>
      <c r="BG23" s="277">
        <f t="shared" si="4"/>
        <v>0</v>
      </c>
      <c r="BH23" s="277">
        <f t="shared" si="4"/>
        <v>0</v>
      </c>
      <c r="BI23" s="704">
        <f t="shared" si="4"/>
        <v>0</v>
      </c>
    </row>
    <row r="24" spans="3:61" s="28" customFormat="1" ht="20.100000000000001" customHeight="1" thickBot="1">
      <c r="C24" s="1885"/>
      <c r="D24" s="1017"/>
      <c r="E24" s="1017"/>
      <c r="F24" s="1018"/>
      <c r="H24" s="1865" t="s">
        <v>116</v>
      </c>
      <c r="I24" s="1866"/>
      <c r="J24" s="118">
        <f t="shared" ref="J24:BI24" si="7">SUM(J15:J23)</f>
        <v>20</v>
      </c>
      <c r="K24" s="272">
        <f t="shared" si="7"/>
        <v>40</v>
      </c>
      <c r="L24" s="272">
        <f>SUM(L15:L23)</f>
        <v>0</v>
      </c>
      <c r="M24" s="272">
        <f>SUM(M15:M23)</f>
        <v>0</v>
      </c>
      <c r="N24" s="118">
        <f t="shared" ref="N24:AI24" si="8">SUM(N15:N23)</f>
        <v>0</v>
      </c>
      <c r="O24" s="272">
        <f t="shared" si="8"/>
        <v>0</v>
      </c>
      <c r="P24" s="272">
        <f t="shared" si="8"/>
        <v>0</v>
      </c>
      <c r="Q24" s="272">
        <f t="shared" si="8"/>
        <v>0</v>
      </c>
      <c r="R24" s="118">
        <f t="shared" si="8"/>
        <v>6</v>
      </c>
      <c r="S24" s="272">
        <f t="shared" si="8"/>
        <v>0</v>
      </c>
      <c r="T24" s="272">
        <f t="shared" si="8"/>
        <v>0</v>
      </c>
      <c r="U24" s="272">
        <f t="shared" si="8"/>
        <v>0</v>
      </c>
      <c r="V24" s="118">
        <f t="shared" si="8"/>
        <v>6</v>
      </c>
      <c r="W24" s="272">
        <f t="shared" si="8"/>
        <v>6</v>
      </c>
      <c r="X24" s="272">
        <f t="shared" si="8"/>
        <v>0</v>
      </c>
      <c r="Y24" s="272">
        <f t="shared" si="8"/>
        <v>0</v>
      </c>
      <c r="Z24" s="118">
        <f t="shared" si="8"/>
        <v>0</v>
      </c>
      <c r="AA24" s="272">
        <f t="shared" si="8"/>
        <v>0</v>
      </c>
      <c r="AB24" s="272">
        <f t="shared" si="8"/>
        <v>0</v>
      </c>
      <c r="AC24" s="272">
        <f t="shared" si="8"/>
        <v>0</v>
      </c>
      <c r="AD24" s="118">
        <f t="shared" si="8"/>
        <v>0</v>
      </c>
      <c r="AE24" s="272">
        <f t="shared" si="8"/>
        <v>0</v>
      </c>
      <c r="AF24" s="272">
        <f t="shared" si="8"/>
        <v>0</v>
      </c>
      <c r="AG24" s="272">
        <f t="shared" si="8"/>
        <v>0</v>
      </c>
      <c r="AH24" s="118">
        <f t="shared" si="8"/>
        <v>32</v>
      </c>
      <c r="AI24" s="272">
        <f t="shared" si="8"/>
        <v>46</v>
      </c>
      <c r="AJ24" s="272">
        <f>SUM(AJ15:AJ23)</f>
        <v>0</v>
      </c>
      <c r="AK24" s="695">
        <f>SUM(AK15:AK23)</f>
        <v>0</v>
      </c>
      <c r="AL24" s="118">
        <f t="shared" ref="AL24:BC24" si="9">SUM(AL15:AL23)</f>
        <v>19</v>
      </c>
      <c r="AM24" s="272">
        <f t="shared" si="9"/>
        <v>19</v>
      </c>
      <c r="AN24" s="272">
        <f t="shared" si="9"/>
        <v>0</v>
      </c>
      <c r="AO24" s="272">
        <f t="shared" si="9"/>
        <v>0</v>
      </c>
      <c r="AP24" s="118">
        <f t="shared" si="9"/>
        <v>0</v>
      </c>
      <c r="AQ24" s="272">
        <f t="shared" si="9"/>
        <v>0</v>
      </c>
      <c r="AR24" s="272">
        <f t="shared" si="9"/>
        <v>0</v>
      </c>
      <c r="AS24" s="272">
        <f t="shared" si="9"/>
        <v>0</v>
      </c>
      <c r="AT24" s="118">
        <f t="shared" si="9"/>
        <v>7.5</v>
      </c>
      <c r="AU24" s="272">
        <f t="shared" si="9"/>
        <v>0</v>
      </c>
      <c r="AV24" s="272">
        <f t="shared" si="9"/>
        <v>0</v>
      </c>
      <c r="AW24" s="272">
        <f t="shared" si="9"/>
        <v>0</v>
      </c>
      <c r="AX24" s="118">
        <f t="shared" si="9"/>
        <v>6</v>
      </c>
      <c r="AY24" s="272">
        <f t="shared" si="9"/>
        <v>0</v>
      </c>
      <c r="AZ24" s="272">
        <f t="shared" si="9"/>
        <v>0</v>
      </c>
      <c r="BA24" s="272">
        <f t="shared" si="9"/>
        <v>0</v>
      </c>
      <c r="BB24" s="118">
        <f t="shared" si="9"/>
        <v>32.5</v>
      </c>
      <c r="BC24" s="272">
        <f t="shared" si="9"/>
        <v>19</v>
      </c>
      <c r="BD24" s="272">
        <f>SUM(BD15:BD23)</f>
        <v>0</v>
      </c>
      <c r="BE24" s="272">
        <f>SUM(BE15:BE23)</f>
        <v>0</v>
      </c>
      <c r="BF24" s="278">
        <f t="shared" si="7"/>
        <v>64.5</v>
      </c>
      <c r="BG24" s="279">
        <f t="shared" si="7"/>
        <v>65</v>
      </c>
      <c r="BH24" s="279">
        <f t="shared" si="7"/>
        <v>0</v>
      </c>
      <c r="BI24" s="705">
        <f t="shared" si="7"/>
        <v>0</v>
      </c>
    </row>
    <row r="25" spans="3:61" s="119" customFormat="1" ht="9" customHeight="1" thickBot="1">
      <c r="C25" s="121"/>
      <c r="D25" s="121"/>
      <c r="E25" s="121"/>
      <c r="F25" s="121"/>
      <c r="H25" s="122"/>
      <c r="I25" s="122"/>
      <c r="J25" s="125"/>
      <c r="K25" s="126"/>
      <c r="L25" s="126"/>
      <c r="M25" s="126"/>
      <c r="N25" s="125"/>
      <c r="O25" s="126"/>
      <c r="P25" s="126"/>
      <c r="Q25" s="126"/>
      <c r="R25" s="125"/>
      <c r="S25" s="126"/>
      <c r="T25" s="126"/>
      <c r="U25" s="126"/>
      <c r="V25" s="125"/>
      <c r="W25" s="126"/>
      <c r="X25" s="126"/>
      <c r="Y25" s="126"/>
      <c r="Z25" s="125"/>
      <c r="AA25" s="126"/>
      <c r="AB25" s="126"/>
      <c r="AC25" s="126"/>
      <c r="AD25" s="125"/>
      <c r="AE25" s="126"/>
      <c r="AF25" s="126"/>
      <c r="AG25" s="126"/>
      <c r="AH25" s="125"/>
      <c r="AI25" s="126"/>
      <c r="AJ25" s="126"/>
      <c r="AK25" s="126"/>
      <c r="AL25" s="125"/>
      <c r="AM25" s="126"/>
      <c r="AN25" s="126"/>
      <c r="AO25" s="126"/>
      <c r="AP25" s="125"/>
      <c r="AQ25" s="126"/>
      <c r="AR25" s="126"/>
      <c r="AS25" s="126"/>
      <c r="AT25" s="125"/>
      <c r="AU25" s="126"/>
      <c r="AV25" s="126"/>
      <c r="AW25" s="126"/>
      <c r="AX25" s="125"/>
      <c r="AY25" s="126"/>
      <c r="AZ25" s="126"/>
      <c r="BA25" s="126"/>
      <c r="BB25" s="125"/>
      <c r="BC25" s="126"/>
      <c r="BD25" s="126"/>
      <c r="BE25" s="126"/>
      <c r="BF25" s="125"/>
      <c r="BG25" s="126"/>
    </row>
    <row r="26" spans="3:61" s="28" customFormat="1" ht="26.25" customHeight="1" thickBot="1">
      <c r="D26" s="29"/>
      <c r="E26" s="29"/>
      <c r="F26" s="29"/>
      <c r="H26" s="1893" t="s">
        <v>49</v>
      </c>
      <c r="I26" s="1894"/>
      <c r="J26" s="123">
        <f t="shared" ref="J26:BI26" si="10">J10+J24</f>
        <v>60</v>
      </c>
      <c r="K26" s="280">
        <f t="shared" si="10"/>
        <v>46.05</v>
      </c>
      <c r="L26" s="280">
        <f>L10+L24</f>
        <v>6.05</v>
      </c>
      <c r="M26" s="280">
        <f>M10+M24</f>
        <v>21.3</v>
      </c>
      <c r="N26" s="123">
        <f t="shared" ref="N26:O26" si="11">N10+N24</f>
        <v>21</v>
      </c>
      <c r="O26" s="280">
        <f t="shared" si="11"/>
        <v>17.149999999999999</v>
      </c>
      <c r="P26" s="280">
        <f>P10+P24</f>
        <v>0</v>
      </c>
      <c r="Q26" s="280">
        <f>Q10+Q24</f>
        <v>19.16</v>
      </c>
      <c r="R26" s="123">
        <f t="shared" ref="R26:S26" si="12">R10+R24</f>
        <v>15</v>
      </c>
      <c r="S26" s="280">
        <f t="shared" si="12"/>
        <v>9.5</v>
      </c>
      <c r="T26" s="280">
        <f>T10+T24</f>
        <v>4.5</v>
      </c>
      <c r="U26" s="280">
        <f>U10+U24</f>
        <v>0</v>
      </c>
      <c r="V26" s="123">
        <f t="shared" ref="V26:W26" si="13">V10+V24</f>
        <v>10</v>
      </c>
      <c r="W26" s="280">
        <f t="shared" si="13"/>
        <v>7</v>
      </c>
      <c r="X26" s="280">
        <f>X10+X24</f>
        <v>0</v>
      </c>
      <c r="Y26" s="280">
        <f>Y10+Y24</f>
        <v>0</v>
      </c>
      <c r="Z26" s="123">
        <f t="shared" ref="Z26:AA26" si="14">Z10+Z24</f>
        <v>5</v>
      </c>
      <c r="AA26" s="280">
        <f t="shared" si="14"/>
        <v>0</v>
      </c>
      <c r="AB26" s="280">
        <f>AB10+AB24</f>
        <v>0</v>
      </c>
      <c r="AC26" s="280">
        <f>AC10+AC24</f>
        <v>0</v>
      </c>
      <c r="AD26" s="123">
        <f t="shared" ref="AD26:AE26" si="15">AD10+AD24</f>
        <v>20</v>
      </c>
      <c r="AE26" s="280">
        <f t="shared" si="15"/>
        <v>0</v>
      </c>
      <c r="AF26" s="280">
        <f>AF10+AF24</f>
        <v>0</v>
      </c>
      <c r="AG26" s="280">
        <f>AG10+AG24</f>
        <v>0</v>
      </c>
      <c r="AH26" s="127">
        <f t="shared" ref="AH26:AI26" si="16">AH10+AH24</f>
        <v>131</v>
      </c>
      <c r="AI26" s="280">
        <f t="shared" si="16"/>
        <v>79.7</v>
      </c>
      <c r="AJ26" s="697">
        <f>AJ10+AJ24</f>
        <v>10.55</v>
      </c>
      <c r="AK26" s="696">
        <f>AK10+AK24</f>
        <v>40.46</v>
      </c>
      <c r="AL26" s="123">
        <f t="shared" ref="AL26:AM26" si="17">AL10+AL24</f>
        <v>22.5</v>
      </c>
      <c r="AM26" s="280">
        <f t="shared" si="17"/>
        <v>23</v>
      </c>
      <c r="AN26" s="280">
        <f>AN10+AN24</f>
        <v>0</v>
      </c>
      <c r="AO26" s="280">
        <f>AO10+AO24</f>
        <v>0</v>
      </c>
      <c r="AP26" s="123">
        <f t="shared" ref="AP26:AQ26" si="18">AP10+AP24</f>
        <v>5</v>
      </c>
      <c r="AQ26" s="280">
        <f t="shared" si="18"/>
        <v>0.4</v>
      </c>
      <c r="AR26" s="280">
        <f>AR10+AR24</f>
        <v>0.4</v>
      </c>
      <c r="AS26" s="280">
        <f>AS10+AS24</f>
        <v>0</v>
      </c>
      <c r="AT26" s="123">
        <f t="shared" ref="AT26:AU26" si="19">AT10+AT24</f>
        <v>10</v>
      </c>
      <c r="AU26" s="280">
        <f t="shared" si="19"/>
        <v>8</v>
      </c>
      <c r="AV26" s="280">
        <f>AV10+AV24</f>
        <v>8</v>
      </c>
      <c r="AW26" s="280">
        <f>AW10+AW24</f>
        <v>0</v>
      </c>
      <c r="AX26" s="123">
        <f t="shared" ref="AX26:AY26" si="20">AX10+AX24</f>
        <v>6</v>
      </c>
      <c r="AY26" s="280">
        <f t="shared" si="20"/>
        <v>0</v>
      </c>
      <c r="AZ26" s="280">
        <f>AZ10+AZ24</f>
        <v>0</v>
      </c>
      <c r="BA26" s="280">
        <f>BA10+BA24</f>
        <v>0</v>
      </c>
      <c r="BB26" s="127">
        <f t="shared" ref="BB26:BC26" si="21">BB10+BB24</f>
        <v>43.5</v>
      </c>
      <c r="BC26" s="280">
        <f t="shared" si="21"/>
        <v>31.4</v>
      </c>
      <c r="BD26" s="697">
        <f>BD10+BD24</f>
        <v>8.4</v>
      </c>
      <c r="BE26" s="697">
        <f>BE10+BE24</f>
        <v>0</v>
      </c>
      <c r="BF26" s="124">
        <f>BF10+BF24</f>
        <v>174.5</v>
      </c>
      <c r="BG26" s="707">
        <f t="shared" si="10"/>
        <v>111.1</v>
      </c>
      <c r="BH26" s="706">
        <f t="shared" si="10"/>
        <v>18.950000000000003</v>
      </c>
      <c r="BI26" s="284">
        <f t="shared" si="10"/>
        <v>40.46</v>
      </c>
    </row>
    <row r="27" spans="3:61" ht="21" customHeight="1">
      <c r="H27" s="320"/>
      <c r="I27" s="320"/>
      <c r="J27" s="321"/>
      <c r="K27" s="321"/>
      <c r="L27" s="321">
        <v>21.3</v>
      </c>
      <c r="M27" s="321" t="s">
        <v>32</v>
      </c>
      <c r="N27" s="321"/>
      <c r="O27" s="321"/>
      <c r="P27" s="321">
        <v>19.16</v>
      </c>
      <c r="Q27" s="321" t="s">
        <v>381</v>
      </c>
      <c r="R27" s="321"/>
      <c r="S27" s="321"/>
      <c r="T27" s="321"/>
      <c r="U27" s="321"/>
      <c r="V27" s="321"/>
      <c r="W27" s="321"/>
      <c r="X27" s="323"/>
      <c r="Y27" s="323"/>
      <c r="Z27" s="321"/>
      <c r="AA27" s="321"/>
      <c r="AB27" s="323"/>
      <c r="AC27" s="323"/>
      <c r="AD27" s="321"/>
      <c r="AE27" s="321"/>
      <c r="AF27" s="321"/>
      <c r="AG27" s="321"/>
      <c r="AH27" s="321"/>
      <c r="AI27" s="321"/>
      <c r="AJ27" s="321"/>
      <c r="AK27" s="321"/>
      <c r="AL27" s="321"/>
      <c r="AM27" s="321"/>
      <c r="AN27" s="321"/>
      <c r="AO27" s="321"/>
      <c r="AP27" s="321"/>
      <c r="AQ27" s="321"/>
      <c r="AR27" s="321"/>
      <c r="AS27" s="321"/>
      <c r="AT27" s="321"/>
      <c r="AU27" s="321"/>
      <c r="AV27" s="321"/>
      <c r="AW27" s="321"/>
      <c r="AX27" s="321"/>
      <c r="AY27" s="321"/>
      <c r="AZ27" s="321"/>
      <c r="BA27" s="321"/>
      <c r="BB27" s="335"/>
      <c r="BC27" s="1918">
        <f>SUM(I27:AZ29)</f>
        <v>40.46</v>
      </c>
      <c r="BD27" s="335"/>
      <c r="BE27" s="335"/>
      <c r="BF27" s="335"/>
      <c r="BG27" s="335"/>
      <c r="BH27" s="1917">
        <f>BH26+BI26</f>
        <v>59.410000000000004</v>
      </c>
      <c r="BI27" s="1917"/>
    </row>
    <row r="28" spans="3:61" ht="21" customHeight="1">
      <c r="H28" s="320"/>
      <c r="I28" s="320"/>
      <c r="J28" s="322"/>
      <c r="K28" s="323"/>
      <c r="L28" s="323"/>
      <c r="M28" s="323"/>
      <c r="N28" s="322"/>
      <c r="O28" s="323"/>
      <c r="P28" s="323"/>
      <c r="Q28" s="323"/>
      <c r="R28" s="322"/>
      <c r="S28" s="323"/>
      <c r="T28" s="323"/>
      <c r="U28" s="323"/>
      <c r="V28" s="321"/>
      <c r="W28" s="323"/>
      <c r="X28" s="323"/>
      <c r="Y28" s="323"/>
      <c r="Z28" s="322"/>
      <c r="AA28" s="323"/>
      <c r="AB28" s="323"/>
      <c r="AC28" s="323"/>
      <c r="AD28" s="322"/>
      <c r="AE28" s="323"/>
      <c r="AF28" s="323"/>
      <c r="AG28" s="322"/>
      <c r="AH28" s="322"/>
      <c r="AI28" s="323"/>
      <c r="AJ28" s="323"/>
      <c r="AK28" s="323"/>
      <c r="AL28" s="321"/>
      <c r="AM28" s="323"/>
      <c r="AN28" s="622"/>
      <c r="AO28" s="622"/>
      <c r="AP28" s="321"/>
      <c r="AQ28" s="323"/>
      <c r="AR28" s="323"/>
      <c r="AS28" s="323"/>
      <c r="AT28" s="322"/>
      <c r="AU28" s="323"/>
      <c r="AV28" s="323"/>
      <c r="AW28" s="323"/>
      <c r="AX28" s="322"/>
      <c r="AY28" s="468"/>
      <c r="AZ28" s="468"/>
      <c r="BA28" s="468"/>
      <c r="BB28" s="392"/>
      <c r="BC28" s="1919"/>
      <c r="BD28" s="434"/>
      <c r="BE28" s="434"/>
      <c r="BF28" s="435"/>
      <c r="BG28" s="434"/>
      <c r="BH28" s="726"/>
      <c r="BI28" s="434"/>
    </row>
    <row r="29" spans="3:61" ht="23.25">
      <c r="H29" s="320"/>
      <c r="I29" s="320"/>
      <c r="J29" s="322"/>
      <c r="K29" s="323"/>
      <c r="L29" s="323"/>
      <c r="M29" s="323"/>
      <c r="N29" s="322"/>
      <c r="O29" s="323"/>
      <c r="P29" s="323"/>
      <c r="Q29" s="323"/>
      <c r="R29" s="322"/>
      <c r="S29" s="323"/>
      <c r="T29" s="323"/>
      <c r="U29" s="323"/>
      <c r="V29" s="322"/>
      <c r="W29" s="323"/>
      <c r="X29" s="323"/>
      <c r="Y29" s="323"/>
      <c r="Z29" s="322"/>
      <c r="AA29" s="323"/>
      <c r="AB29" s="323"/>
      <c r="AC29" s="323"/>
      <c r="AD29" s="322"/>
      <c r="AE29" s="323"/>
      <c r="AF29" s="688"/>
      <c r="AG29" s="688"/>
      <c r="AH29" s="322"/>
      <c r="AI29" s="322"/>
      <c r="AJ29" s="323"/>
      <c r="AK29" s="323"/>
      <c r="AL29" s="321"/>
      <c r="AM29" s="323"/>
      <c r="AN29" s="321"/>
      <c r="AO29" s="321"/>
      <c r="AP29" s="322"/>
      <c r="AQ29" s="323"/>
      <c r="AR29" s="323"/>
      <c r="AS29" s="323"/>
      <c r="AT29" s="322"/>
      <c r="AU29" s="323"/>
      <c r="AV29" s="323"/>
      <c r="AW29" s="323"/>
      <c r="AX29" s="322"/>
      <c r="AY29" s="468"/>
      <c r="AZ29" s="468"/>
      <c r="BA29" s="468"/>
      <c r="BB29" s="392"/>
      <c r="BC29" s="434"/>
      <c r="BD29" s="434"/>
      <c r="BE29" s="434"/>
      <c r="BF29" s="435"/>
      <c r="BG29" s="434"/>
      <c r="BH29" s="682"/>
      <c r="BI29" s="434"/>
    </row>
    <row r="30" spans="3:61" s="464" customFormat="1" ht="21.75" thickBot="1">
      <c r="D30" s="576"/>
      <c r="E30" s="576"/>
      <c r="F30" s="576"/>
      <c r="I30" s="577"/>
      <c r="J30" s="578"/>
      <c r="K30" s="579"/>
      <c r="L30" s="579"/>
      <c r="M30" s="579"/>
      <c r="N30" s="578"/>
      <c r="O30" s="579"/>
      <c r="P30" s="579"/>
      <c r="Q30" s="579"/>
      <c r="R30" s="578"/>
      <c r="S30" s="579"/>
      <c r="T30" s="579"/>
      <c r="U30" s="579"/>
      <c r="V30" s="578"/>
      <c r="W30" s="578"/>
      <c r="X30" s="579"/>
      <c r="Y30" s="579"/>
      <c r="Z30" s="579"/>
      <c r="AA30" s="578"/>
      <c r="AB30" s="579"/>
      <c r="AC30" s="579"/>
      <c r="AD30" s="579"/>
      <c r="AE30" s="578"/>
      <c r="AF30" s="579"/>
      <c r="AG30" s="579"/>
      <c r="AH30" s="621"/>
      <c r="AI30" s="578"/>
      <c r="AJ30" s="579"/>
      <c r="AK30" s="579"/>
      <c r="AM30" s="580"/>
      <c r="AN30" s="579"/>
      <c r="AO30" s="579"/>
      <c r="AP30" s="579"/>
      <c r="AQ30" s="578"/>
      <c r="AR30" s="579"/>
      <c r="AS30" s="579"/>
      <c r="AT30" s="579"/>
      <c r="AU30" s="578"/>
      <c r="AV30" s="579"/>
      <c r="AW30" s="579"/>
      <c r="AZ30" s="581"/>
      <c r="BA30" s="581"/>
      <c r="BB30" s="581"/>
      <c r="BC30" s="582"/>
      <c r="BD30" s="583"/>
      <c r="BE30" s="583"/>
      <c r="BF30" s="583"/>
      <c r="BG30" s="584"/>
      <c r="BH30" s="583"/>
      <c r="BI30" s="585"/>
    </row>
    <row r="31" spans="3:61" ht="35.25" customHeight="1" thickBot="1">
      <c r="L31" s="1951" t="s">
        <v>402</v>
      </c>
      <c r="M31" s="1952"/>
      <c r="N31" s="1952"/>
      <c r="O31" s="1952"/>
      <c r="P31" s="1952"/>
      <c r="Q31" s="1952"/>
      <c r="R31" s="1952"/>
      <c r="S31" s="1953"/>
      <c r="T31" s="579"/>
      <c r="U31" s="579"/>
      <c r="V31" s="1929" t="s">
        <v>204</v>
      </c>
      <c r="W31" s="1930"/>
      <c r="X31" s="1930"/>
      <c r="Y31" s="1930"/>
      <c r="Z31" s="1930"/>
      <c r="AA31" s="1930"/>
      <c r="AB31" s="1930"/>
      <c r="AC31" s="1935"/>
      <c r="AD31" s="1936"/>
      <c r="AE31" s="579"/>
      <c r="AF31" s="579"/>
      <c r="AG31" s="26"/>
      <c r="AH31" s="24"/>
      <c r="AJ31" s="685"/>
      <c r="AL31" s="24"/>
      <c r="AM31" s="599"/>
      <c r="AN31" s="1014"/>
      <c r="AP31" s="24"/>
      <c r="AS31" s="26"/>
      <c r="AT31" s="24"/>
      <c r="AU31" s="24">
        <v>40</v>
      </c>
      <c r="AX31" s="24"/>
      <c r="AY31" s="25"/>
      <c r="AZ31" s="25"/>
      <c r="BA31" s="24"/>
      <c r="BB31" s="24"/>
      <c r="BE31" s="1124"/>
      <c r="BF31" s="23"/>
      <c r="BG31" s="1124"/>
    </row>
    <row r="32" spans="3:61" s="24" customFormat="1" ht="28.5" customHeight="1" thickBot="1">
      <c r="C32" s="23"/>
      <c r="D32" s="27"/>
      <c r="E32" s="27"/>
      <c r="F32" s="27"/>
      <c r="G32" s="23"/>
      <c r="H32" s="23"/>
      <c r="I32" s="27"/>
      <c r="L32" s="450" t="s">
        <v>0</v>
      </c>
      <c r="M32" s="439" t="s">
        <v>200</v>
      </c>
      <c r="N32" s="454" t="s">
        <v>205</v>
      </c>
      <c r="O32" s="439" t="s">
        <v>31</v>
      </c>
      <c r="P32" s="448" t="s">
        <v>201</v>
      </c>
      <c r="Q32" s="455" t="s">
        <v>206</v>
      </c>
      <c r="R32" s="436" t="s">
        <v>22</v>
      </c>
      <c r="S32" s="438" t="s">
        <v>191</v>
      </c>
      <c r="T32" s="579"/>
      <c r="U32" s="579"/>
      <c r="V32" s="571" t="s">
        <v>0</v>
      </c>
      <c r="W32" s="572" t="s">
        <v>200</v>
      </c>
      <c r="X32" s="623" t="s">
        <v>205</v>
      </c>
      <c r="Y32" s="572" t="s">
        <v>31</v>
      </c>
      <c r="Z32" s="573" t="s">
        <v>201</v>
      </c>
      <c r="AA32" s="574" t="s">
        <v>206</v>
      </c>
      <c r="AB32" s="717" t="s">
        <v>22</v>
      </c>
      <c r="AC32" s="721" t="s">
        <v>191</v>
      </c>
      <c r="AD32" s="722" t="s">
        <v>226</v>
      </c>
      <c r="AE32" s="579"/>
      <c r="AF32" s="579"/>
      <c r="AG32" s="599"/>
      <c r="AH32" s="599"/>
      <c r="AI32" s="599"/>
      <c r="AN32" s="26"/>
      <c r="AT32" s="25"/>
      <c r="AU32" s="25">
        <v>9</v>
      </c>
      <c r="AW32" s="23"/>
      <c r="AX32" s="23"/>
    </row>
    <row r="33" spans="1:59" ht="23.25">
      <c r="L33" s="441" t="s">
        <v>189</v>
      </c>
      <c r="M33" s="470">
        <f>$J$6</f>
        <v>40</v>
      </c>
      <c r="N33" s="430">
        <f>$J9</f>
        <v>0</v>
      </c>
      <c r="O33" s="430">
        <f>$J7</f>
        <v>0</v>
      </c>
      <c r="P33" s="430">
        <f>$J8</f>
        <v>0</v>
      </c>
      <c r="Q33" s="430">
        <f>J24</f>
        <v>20</v>
      </c>
      <c r="R33" s="430">
        <f>$J20</f>
        <v>0</v>
      </c>
      <c r="S33" s="446">
        <f>SUM(M33:R33)</f>
        <v>60</v>
      </c>
      <c r="T33" s="579"/>
      <c r="U33" s="579"/>
      <c r="V33" s="447" t="s">
        <v>189</v>
      </c>
      <c r="W33" s="569">
        <f>L$6</f>
        <v>6.05</v>
      </c>
      <c r="X33" s="570">
        <f>$L9</f>
        <v>0</v>
      </c>
      <c r="Y33" s="570">
        <f>$L7</f>
        <v>0</v>
      </c>
      <c r="Z33" s="570">
        <f>$L8</f>
        <v>0</v>
      </c>
      <c r="AA33" s="570">
        <f>L$15+L$16+L$17+L$18+L$19+L$21+L$22+L$23</f>
        <v>0</v>
      </c>
      <c r="AB33" s="718">
        <f>$L20</f>
        <v>0</v>
      </c>
      <c r="AC33" s="723">
        <f t="shared" ref="AC33:AC42" si="22">SUM(W33:AB33)</f>
        <v>6.05</v>
      </c>
      <c r="AD33" s="587">
        <f>M6+M7+M8++M9+M15+M16+M17+M18+M19+M21+M20+M22+M23</f>
        <v>21.3</v>
      </c>
      <c r="AE33" s="579">
        <f>AC33+AD33</f>
        <v>27.35</v>
      </c>
      <c r="AF33" s="579"/>
      <c r="AG33" s="599"/>
      <c r="AH33" s="599"/>
      <c r="AI33" s="599"/>
      <c r="AL33" s="24"/>
      <c r="AN33" s="26"/>
      <c r="AP33" s="24"/>
      <c r="AT33" s="25"/>
      <c r="AU33" s="25">
        <v>7</v>
      </c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</row>
    <row r="34" spans="1:59" s="24" customFormat="1" ht="23.25">
      <c r="A34" s="23"/>
      <c r="B34" s="23"/>
      <c r="C34" s="23"/>
      <c r="D34" s="27"/>
      <c r="E34" s="27"/>
      <c r="F34" s="27"/>
      <c r="G34" s="23"/>
      <c r="H34" s="23"/>
      <c r="I34" s="27"/>
      <c r="L34" s="441" t="s">
        <v>183</v>
      </c>
      <c r="M34" s="470">
        <f>$N$6</f>
        <v>21</v>
      </c>
      <c r="N34" s="430">
        <f>$N9</f>
        <v>0</v>
      </c>
      <c r="O34" s="430">
        <f>$N7</f>
        <v>0</v>
      </c>
      <c r="P34" s="430">
        <f>$N8</f>
        <v>0</v>
      </c>
      <c r="Q34" s="430">
        <f>N15+N16+N17+N18+N19+N21+N22+N23</f>
        <v>0</v>
      </c>
      <c r="R34" s="430">
        <f>$N20</f>
        <v>0</v>
      </c>
      <c r="S34" s="446">
        <f t="shared" ref="S34:S42" si="23">SUM(M34:R34)</f>
        <v>21</v>
      </c>
      <c r="T34" s="686"/>
      <c r="U34" s="26"/>
      <c r="V34" s="441" t="s">
        <v>183</v>
      </c>
      <c r="W34" s="440">
        <f>P$6</f>
        <v>0</v>
      </c>
      <c r="X34" s="430">
        <f>$P9</f>
        <v>0</v>
      </c>
      <c r="Y34" s="430">
        <f>$P7</f>
        <v>0</v>
      </c>
      <c r="Z34" s="430">
        <f>$P8</f>
        <v>0</v>
      </c>
      <c r="AA34" s="430">
        <f>P$15+P$16+P$17+P$18+P$19+P$21+P$22+P$23</f>
        <v>0</v>
      </c>
      <c r="AB34" s="719">
        <f>$P20</f>
        <v>0</v>
      </c>
      <c r="AC34" s="723">
        <f t="shared" si="22"/>
        <v>0</v>
      </c>
      <c r="AD34" s="587">
        <f>Q6+Q7+Q8+Q9+Q15+Q16+Q17+Q18+Q19+Q20+Q21+Q22+Q23</f>
        <v>19.16</v>
      </c>
      <c r="AE34" s="579">
        <f t="shared" ref="AE34:AE43" si="24">AC34+AD34</f>
        <v>19.16</v>
      </c>
      <c r="AG34" s="599"/>
      <c r="AH34" s="599"/>
      <c r="AI34" s="599"/>
      <c r="AN34" s="26"/>
      <c r="AT34" s="25"/>
      <c r="AU34" s="25">
        <v>3.5</v>
      </c>
    </row>
    <row r="35" spans="1:59" ht="23.25">
      <c r="L35" s="441" t="s">
        <v>184</v>
      </c>
      <c r="M35" s="470">
        <f>$R$6</f>
        <v>8</v>
      </c>
      <c r="N35" s="430">
        <f>$R9</f>
        <v>1</v>
      </c>
      <c r="O35" s="430">
        <f>$R7</f>
        <v>0</v>
      </c>
      <c r="P35" s="430">
        <f>$R8</f>
        <v>0</v>
      </c>
      <c r="Q35" s="430">
        <f>R15+R16+R17+R18+R19+R21+R22+R23</f>
        <v>6</v>
      </c>
      <c r="R35" s="430">
        <f>$R20</f>
        <v>0</v>
      </c>
      <c r="S35" s="446">
        <f t="shared" si="23"/>
        <v>15</v>
      </c>
      <c r="T35" s="686"/>
      <c r="U35" s="26"/>
      <c r="V35" s="441" t="s">
        <v>184</v>
      </c>
      <c r="W35" s="440">
        <f>T$6</f>
        <v>0</v>
      </c>
      <c r="X35" s="430">
        <f>$T9</f>
        <v>1</v>
      </c>
      <c r="Y35" s="430">
        <f>$T7</f>
        <v>0</v>
      </c>
      <c r="Z35" s="430">
        <f>$T8</f>
        <v>3.5</v>
      </c>
      <c r="AA35" s="430">
        <f>T$15+T$16+T$17+T$18+T$19+T$21+T$22+T$23</f>
        <v>0</v>
      </c>
      <c r="AB35" s="719">
        <f>$T20</f>
        <v>0</v>
      </c>
      <c r="AC35" s="723">
        <f t="shared" si="22"/>
        <v>4.5</v>
      </c>
      <c r="AD35" s="587">
        <f>U6+U7+U8+U9+U15+U16+U17+U18+U19+U20+U21+U22+U23</f>
        <v>0</v>
      </c>
      <c r="AE35" s="579">
        <f t="shared" si="24"/>
        <v>4.5</v>
      </c>
      <c r="AF35" s="26"/>
      <c r="AG35" s="599"/>
      <c r="AH35" s="599"/>
      <c r="AI35" s="599"/>
      <c r="AL35" s="24"/>
      <c r="AN35" s="26"/>
      <c r="AP35" s="24"/>
      <c r="AT35" s="25"/>
      <c r="AU35" s="25"/>
      <c r="AX35" s="23"/>
      <c r="AY35" s="23">
        <v>60</v>
      </c>
      <c r="AZ35" s="23"/>
      <c r="BA35" s="23"/>
      <c r="BB35" s="23"/>
      <c r="BC35" s="23"/>
      <c r="BD35" s="23"/>
      <c r="BE35" s="23"/>
      <c r="BF35" s="23"/>
      <c r="BG35" s="23"/>
    </row>
    <row r="36" spans="1:59" ht="23.25">
      <c r="L36" s="441" t="s">
        <v>170</v>
      </c>
      <c r="M36" s="470">
        <f>$V$6</f>
        <v>0</v>
      </c>
      <c r="N36" s="430">
        <f>$V9</f>
        <v>4</v>
      </c>
      <c r="O36" s="430">
        <f>$V7</f>
        <v>0</v>
      </c>
      <c r="P36" s="430">
        <f>$V8</f>
        <v>0</v>
      </c>
      <c r="Q36" s="430">
        <f>V15+V16+V17+V18+V19+V21++V22+V23</f>
        <v>6</v>
      </c>
      <c r="R36" s="430">
        <f>$V20</f>
        <v>0</v>
      </c>
      <c r="S36" s="446">
        <f t="shared" si="23"/>
        <v>10</v>
      </c>
      <c r="T36" s="686"/>
      <c r="U36" s="26"/>
      <c r="V36" s="441" t="s">
        <v>170</v>
      </c>
      <c r="W36" s="440">
        <f>X$6</f>
        <v>0</v>
      </c>
      <c r="X36" s="430">
        <f>$X9</f>
        <v>0</v>
      </c>
      <c r="Y36" s="430">
        <f>$X7</f>
        <v>0</v>
      </c>
      <c r="Z36" s="430">
        <f>$X8</f>
        <v>0</v>
      </c>
      <c r="AA36" s="430">
        <f>X$15+X$16+X$17+X$18+X$19+X$21+X$22+X$23</f>
        <v>0</v>
      </c>
      <c r="AB36" s="719">
        <f>$X20</f>
        <v>0</v>
      </c>
      <c r="AC36" s="723">
        <f t="shared" si="22"/>
        <v>0</v>
      </c>
      <c r="AD36" s="587">
        <f>Y6+Y7+Y8+Y9+Y15+Y16+Y17+Y18+Y19+Y20+Y21+Y22+Y23</f>
        <v>0</v>
      </c>
      <c r="AE36" s="579">
        <f t="shared" si="24"/>
        <v>0</v>
      </c>
      <c r="AF36" s="26"/>
      <c r="AG36" s="599"/>
      <c r="AH36" s="599"/>
      <c r="AI36" s="599"/>
      <c r="AL36" s="24"/>
      <c r="AN36" s="26"/>
      <c r="AP36" s="24"/>
      <c r="AT36" s="25"/>
      <c r="AU36" s="25">
        <v>60</v>
      </c>
      <c r="AX36" s="23"/>
      <c r="AY36" s="23">
        <v>17</v>
      </c>
      <c r="AZ36" s="23"/>
      <c r="BA36" s="23"/>
      <c r="BB36" s="23"/>
      <c r="BC36" s="23"/>
      <c r="BD36" s="23"/>
      <c r="BE36" s="23"/>
      <c r="BF36" s="23"/>
      <c r="BG36" s="23"/>
    </row>
    <row r="37" spans="1:59" ht="23.25">
      <c r="L37" s="441" t="s">
        <v>171</v>
      </c>
      <c r="M37" s="470">
        <f>$Z$6</f>
        <v>0</v>
      </c>
      <c r="N37" s="430">
        <f>$Z9</f>
        <v>5</v>
      </c>
      <c r="O37" s="430">
        <f>$Z7</f>
        <v>0</v>
      </c>
      <c r="P37" s="430">
        <f>$Z8</f>
        <v>0</v>
      </c>
      <c r="Q37" s="430">
        <f>Z15+Z16+Z17+Z18+Z19+Z21+Z22+Z23</f>
        <v>0</v>
      </c>
      <c r="R37" s="430">
        <f>$Z20</f>
        <v>0</v>
      </c>
      <c r="S37" s="446">
        <f t="shared" si="23"/>
        <v>5</v>
      </c>
      <c r="T37" s="686"/>
      <c r="U37" s="26"/>
      <c r="V37" s="441" t="s">
        <v>171</v>
      </c>
      <c r="W37" s="440">
        <f>AB$6</f>
        <v>0</v>
      </c>
      <c r="X37" s="430">
        <f>$AB9</f>
        <v>0</v>
      </c>
      <c r="Y37" s="430">
        <f>$AB7</f>
        <v>0</v>
      </c>
      <c r="Z37" s="430">
        <f>$AB8</f>
        <v>0</v>
      </c>
      <c r="AA37" s="430">
        <f>AB$15+AB$16+AB$17+AB$18+AB$19+AB$21+AB$22+AB$23</f>
        <v>0</v>
      </c>
      <c r="AB37" s="719">
        <f>$AB20</f>
        <v>0</v>
      </c>
      <c r="AC37" s="723">
        <f t="shared" si="22"/>
        <v>0</v>
      </c>
      <c r="AD37" s="587">
        <f>AC6+AC7+AC8+AC9+AC15+AC17+AC16+AC18+AC19+AC20+AC21+AC22+AC23</f>
        <v>0</v>
      </c>
      <c r="AE37" s="579">
        <f t="shared" si="24"/>
        <v>0</v>
      </c>
      <c r="AF37" s="26"/>
      <c r="AG37" s="26"/>
      <c r="AI37" s="26"/>
      <c r="AJ37" s="26"/>
      <c r="AK37" s="26"/>
      <c r="AL37" s="24"/>
      <c r="AN37" s="26"/>
      <c r="AP37" s="24"/>
      <c r="AT37" s="24"/>
      <c r="AU37" s="24">
        <v>17</v>
      </c>
      <c r="AX37" s="23"/>
      <c r="AY37" s="23">
        <v>19</v>
      </c>
      <c r="AZ37" s="23"/>
      <c r="BA37" s="23"/>
      <c r="BB37" s="23"/>
      <c r="BC37" s="23"/>
      <c r="BD37" s="23"/>
      <c r="BE37" s="23"/>
      <c r="BF37" s="23"/>
      <c r="BG37" s="23"/>
    </row>
    <row r="38" spans="1:59" ht="23.25">
      <c r="L38" s="441" t="s">
        <v>190</v>
      </c>
      <c r="M38" s="492">
        <f>$AD$6</f>
        <v>10</v>
      </c>
      <c r="N38" s="471">
        <f>$AD9</f>
        <v>0</v>
      </c>
      <c r="O38" s="471">
        <f>$AD7</f>
        <v>0</v>
      </c>
      <c r="P38" s="471">
        <f>$AD8</f>
        <v>10</v>
      </c>
      <c r="Q38" s="430">
        <f>AD15+AD16+AD17+AD18+AD19+AD21+AD22+AD23</f>
        <v>0</v>
      </c>
      <c r="R38" s="471">
        <f>$AD20</f>
        <v>0</v>
      </c>
      <c r="S38" s="446">
        <f t="shared" si="23"/>
        <v>20</v>
      </c>
      <c r="T38" s="686"/>
      <c r="U38" s="26"/>
      <c r="V38" s="441" t="s">
        <v>190</v>
      </c>
      <c r="W38" s="440">
        <f>AF$6</f>
        <v>0</v>
      </c>
      <c r="X38" s="430">
        <f>$AF9</f>
        <v>0</v>
      </c>
      <c r="Y38" s="430">
        <f>$AF7</f>
        <v>0</v>
      </c>
      <c r="Z38" s="430">
        <f>$AF8</f>
        <v>0</v>
      </c>
      <c r="AA38" s="430">
        <f>AF$15+AF$16+AF$17+AF$18+AF$19+AF$21+AF$22+AF$23</f>
        <v>0</v>
      </c>
      <c r="AB38" s="719">
        <f>$AF20</f>
        <v>0</v>
      </c>
      <c r="AC38" s="723">
        <f t="shared" si="22"/>
        <v>0</v>
      </c>
      <c r="AD38" s="587">
        <f>AG6+AG7+AG8+AG9+AG15+AG16+AG17+AG18+AG19+AG20+AG21+AG22+AG23</f>
        <v>0</v>
      </c>
      <c r="AE38" s="579">
        <f t="shared" si="24"/>
        <v>0</v>
      </c>
      <c r="AF38" s="26"/>
      <c r="AG38" s="26"/>
      <c r="AI38" s="26"/>
      <c r="AJ38" s="26"/>
      <c r="AK38" s="26"/>
      <c r="AL38" s="24"/>
      <c r="AN38" s="26"/>
      <c r="AP38" s="24"/>
      <c r="AT38" s="24"/>
      <c r="AU38" s="24">
        <v>19</v>
      </c>
      <c r="AX38" s="23"/>
      <c r="AY38" s="23">
        <v>17</v>
      </c>
      <c r="AZ38" s="23"/>
      <c r="BA38" s="23"/>
      <c r="BB38" s="23"/>
      <c r="BC38" s="23"/>
      <c r="BD38" s="23"/>
      <c r="BE38" s="23"/>
      <c r="BF38" s="23"/>
      <c r="BG38" s="23"/>
    </row>
    <row r="39" spans="1:59" ht="23.25">
      <c r="L39" s="441" t="s">
        <v>185</v>
      </c>
      <c r="M39" s="470">
        <f>$AL$6</f>
        <v>3.5</v>
      </c>
      <c r="N39" s="430">
        <f>$AL9</f>
        <v>0</v>
      </c>
      <c r="O39" s="430">
        <f>$AL7</f>
        <v>0</v>
      </c>
      <c r="P39" s="430">
        <f>$AL8</f>
        <v>0</v>
      </c>
      <c r="Q39" s="430">
        <f>AL15+AL16+AL17+AL18+AL19+AL21+AL22+AL23</f>
        <v>0</v>
      </c>
      <c r="R39" s="430">
        <f>$AL20</f>
        <v>19</v>
      </c>
      <c r="S39" s="446">
        <f t="shared" si="23"/>
        <v>22.5</v>
      </c>
      <c r="T39" s="686"/>
      <c r="U39" s="26"/>
      <c r="V39" s="441" t="s">
        <v>185</v>
      </c>
      <c r="W39" s="469">
        <f>AN$6</f>
        <v>0</v>
      </c>
      <c r="X39" s="430">
        <f>$AN9</f>
        <v>0</v>
      </c>
      <c r="Y39" s="430">
        <f>$AN7</f>
        <v>0</v>
      </c>
      <c r="Z39" s="430">
        <f>$AN8</f>
        <v>0</v>
      </c>
      <c r="AA39" s="430">
        <f>AN$15+AN$16+AN$17+AN$18+AN$19+AN$21+AN$22+AN$23</f>
        <v>0</v>
      </c>
      <c r="AB39" s="719">
        <f>$AN20</f>
        <v>0</v>
      </c>
      <c r="AC39" s="723">
        <f t="shared" si="22"/>
        <v>0</v>
      </c>
      <c r="AD39" s="587">
        <f>AO6+AO7+AO8+AO9+AO15+AO16+AO17+AO18+AO19+AO20+AO21+AO22+AO23</f>
        <v>0</v>
      </c>
      <c r="AE39" s="579">
        <f t="shared" si="24"/>
        <v>0</v>
      </c>
      <c r="AF39" s="23"/>
      <c r="AG39" s="26"/>
      <c r="AI39" s="26"/>
      <c r="AJ39" s="26"/>
      <c r="AK39" s="26"/>
      <c r="AL39" s="24"/>
      <c r="AN39" s="26"/>
      <c r="AP39" s="24"/>
      <c r="AT39" s="24"/>
      <c r="AU39" s="24">
        <v>17</v>
      </c>
      <c r="AX39" s="23"/>
      <c r="AY39" s="23"/>
      <c r="AZ39" s="23"/>
      <c r="BA39" s="23"/>
      <c r="BB39" s="23"/>
      <c r="BC39" s="23"/>
      <c r="BD39" s="23"/>
      <c r="BE39" s="23"/>
      <c r="BF39" s="23"/>
      <c r="BG39" s="23"/>
    </row>
    <row r="40" spans="1:59" ht="23.25">
      <c r="L40" s="441" t="s">
        <v>202</v>
      </c>
      <c r="M40" s="470">
        <f>$AP$6</f>
        <v>3</v>
      </c>
      <c r="N40" s="430">
        <f>$AP9</f>
        <v>2</v>
      </c>
      <c r="O40" s="430">
        <f>$AP7</f>
        <v>0</v>
      </c>
      <c r="P40" s="430">
        <f>$AP8</f>
        <v>0</v>
      </c>
      <c r="Q40" s="430">
        <f>AP15+AP16+AP17+AP18+AP19+AP21+AP22+AP23</f>
        <v>0</v>
      </c>
      <c r="R40" s="430">
        <f>$AP20</f>
        <v>0</v>
      </c>
      <c r="S40" s="446">
        <f t="shared" si="23"/>
        <v>5</v>
      </c>
      <c r="T40" s="686"/>
      <c r="U40" s="26"/>
      <c r="V40" s="441" t="s">
        <v>202</v>
      </c>
      <c r="W40" s="440">
        <f>AR$6</f>
        <v>0.4</v>
      </c>
      <c r="X40" s="430">
        <f>$AR9</f>
        <v>0</v>
      </c>
      <c r="Y40" s="430">
        <f>$AR7</f>
        <v>0</v>
      </c>
      <c r="Z40" s="430">
        <f>$AR8</f>
        <v>0</v>
      </c>
      <c r="AA40" s="430">
        <f>AR$15+AR$16+AR$17+AR$18+AR$19+AR$21+AR$22+AR$23</f>
        <v>0</v>
      </c>
      <c r="AB40" s="719">
        <f>$AR20</f>
        <v>0</v>
      </c>
      <c r="AC40" s="723">
        <f t="shared" si="22"/>
        <v>0.4</v>
      </c>
      <c r="AD40" s="587">
        <f>AS6+AS7+AS8+AS9+AS15+AS16+AS17+AS18+AS19+AS20+AS21+AS22+AS23</f>
        <v>0</v>
      </c>
      <c r="AE40" s="579">
        <f t="shared" si="24"/>
        <v>0.4</v>
      </c>
      <c r="AF40" s="28"/>
      <c r="AG40" s="26"/>
      <c r="AI40" s="26"/>
      <c r="AJ40" s="26"/>
      <c r="AK40" s="26"/>
      <c r="AL40" s="24"/>
      <c r="AN40" s="26"/>
      <c r="AP40" s="24"/>
      <c r="AS40" s="23"/>
      <c r="AT40" s="24"/>
      <c r="AX40" s="23"/>
      <c r="AY40" s="23"/>
      <c r="AZ40" s="23"/>
      <c r="BA40" s="23"/>
      <c r="BB40" s="23"/>
      <c r="BC40" s="23"/>
      <c r="BD40" s="23"/>
      <c r="BE40" s="23"/>
      <c r="BF40" s="23"/>
      <c r="BG40" s="23"/>
    </row>
    <row r="41" spans="1:59" ht="23.25">
      <c r="L41" s="441" t="s">
        <v>186</v>
      </c>
      <c r="M41" s="470">
        <f>$AT$6</f>
        <v>0</v>
      </c>
      <c r="N41" s="430">
        <f>$AT9</f>
        <v>2.5</v>
      </c>
      <c r="O41" s="430">
        <f>$AT7</f>
        <v>0</v>
      </c>
      <c r="P41" s="430">
        <f>$AT8</f>
        <v>0</v>
      </c>
      <c r="Q41" s="430">
        <f>AT15+AT16+AT17+AT18+AT19+AT21+AT22+AT23</f>
        <v>0</v>
      </c>
      <c r="R41" s="430">
        <f>$AT20</f>
        <v>7.5</v>
      </c>
      <c r="S41" s="446">
        <f t="shared" si="23"/>
        <v>10</v>
      </c>
      <c r="T41" s="686"/>
      <c r="U41" s="26"/>
      <c r="V41" s="441" t="s">
        <v>186</v>
      </c>
      <c r="W41" s="440">
        <f>AV$6</f>
        <v>6.5</v>
      </c>
      <c r="X41" s="430">
        <f>$AV9</f>
        <v>1.5</v>
      </c>
      <c r="Y41" s="430">
        <f>$AV7</f>
        <v>0</v>
      </c>
      <c r="Z41" s="430">
        <f>$AV8</f>
        <v>0</v>
      </c>
      <c r="AA41" s="430">
        <f>AV$15+AV$16+AV$17+AV$18+AV$19+AV$21+AV$22+AV$23</f>
        <v>0</v>
      </c>
      <c r="AB41" s="719">
        <f>$AV20</f>
        <v>0</v>
      </c>
      <c r="AC41" s="723">
        <f t="shared" si="22"/>
        <v>8</v>
      </c>
      <c r="AD41" s="587">
        <f>AW6+AW7+AW8+AW9+AW15+AW16+AW17+AW18+AW20+AW19+AW21+AW22+AW23</f>
        <v>0</v>
      </c>
      <c r="AE41" s="579">
        <f t="shared" si="24"/>
        <v>8</v>
      </c>
      <c r="AH41" s="24"/>
      <c r="AJ41" s="25"/>
      <c r="AL41" s="24"/>
      <c r="AN41" s="25"/>
      <c r="AP41" s="24"/>
      <c r="AR41" s="25"/>
      <c r="AT41" s="24"/>
      <c r="AX41" s="23"/>
      <c r="AY41" s="23"/>
      <c r="AZ41" s="23"/>
      <c r="BA41" s="23"/>
      <c r="BB41" s="23"/>
      <c r="BC41" s="23"/>
      <c r="BD41" s="23"/>
      <c r="BE41" s="23"/>
      <c r="BF41" s="23"/>
      <c r="BG41" s="23"/>
    </row>
    <row r="42" spans="1:59" ht="23.25">
      <c r="L42" s="441" t="s">
        <v>203</v>
      </c>
      <c r="M42" s="470">
        <f>$AX$6</f>
        <v>0</v>
      </c>
      <c r="N42" s="430">
        <f>$AX9</f>
        <v>0</v>
      </c>
      <c r="O42" s="430">
        <f>$AX7</f>
        <v>0</v>
      </c>
      <c r="P42" s="430">
        <f>$AX8</f>
        <v>0</v>
      </c>
      <c r="Q42" s="430">
        <f>AX15+AX16+AX17+AX18+AX19+AX21+AX22+AX23</f>
        <v>6</v>
      </c>
      <c r="R42" s="430">
        <f>$AX20</f>
        <v>0</v>
      </c>
      <c r="S42" s="446">
        <f t="shared" si="23"/>
        <v>6</v>
      </c>
      <c r="T42" s="686"/>
      <c r="U42" s="26"/>
      <c r="V42" s="441" t="s">
        <v>203</v>
      </c>
      <c r="W42" s="440">
        <f>AZ$6</f>
        <v>0</v>
      </c>
      <c r="X42" s="430">
        <f>$AZ9</f>
        <v>0</v>
      </c>
      <c r="Y42" s="430">
        <f>$AZ7</f>
        <v>0</v>
      </c>
      <c r="Z42" s="430">
        <f>$AZ8</f>
        <v>0</v>
      </c>
      <c r="AA42" s="430">
        <f>AZ$15+AZ$16+AZ$17+AZ$18+AZ$19+AZ$21+AZ$22+AZ$23</f>
        <v>0</v>
      </c>
      <c r="AB42" s="719">
        <f>$AZ20</f>
        <v>0</v>
      </c>
      <c r="AC42" s="723">
        <f t="shared" si="22"/>
        <v>0</v>
      </c>
      <c r="AD42" s="587">
        <f>BA6+BA7+BA8+BA9+BA15+BA16+BA17+BA18+BA19+BA20+BA21+BA22+BA23</f>
        <v>0</v>
      </c>
      <c r="AE42" s="579">
        <f t="shared" si="24"/>
        <v>0</v>
      </c>
      <c r="AH42" s="24"/>
      <c r="AJ42" s="25"/>
      <c r="AL42" s="24"/>
      <c r="AN42" s="25"/>
      <c r="AP42" s="24"/>
      <c r="AR42" s="25"/>
      <c r="AT42" s="24"/>
      <c r="AV42" s="25"/>
      <c r="AX42" s="23"/>
      <c r="AY42" s="23"/>
      <c r="AZ42" s="23"/>
      <c r="BA42" s="23"/>
      <c r="BB42" s="23"/>
      <c r="BC42" s="23"/>
      <c r="BD42" s="23"/>
      <c r="BE42" s="23"/>
      <c r="BF42" s="23"/>
      <c r="BG42" s="23"/>
    </row>
    <row r="43" spans="1:59" ht="24" thickBot="1">
      <c r="L43" s="442" t="s">
        <v>191</v>
      </c>
      <c r="M43" s="443">
        <f t="shared" ref="M43" si="25">SUM(M33:M42)</f>
        <v>85.5</v>
      </c>
      <c r="N43" s="444">
        <f>SUM(N33:N42)</f>
        <v>14.5</v>
      </c>
      <c r="O43" s="443">
        <f t="shared" ref="O43" si="26">SUM(O33:O42)</f>
        <v>0</v>
      </c>
      <c r="P43" s="444">
        <f>SUM(P33:P42)</f>
        <v>10</v>
      </c>
      <c r="Q43" s="444">
        <f>SUM(Q33:Q42)</f>
        <v>38</v>
      </c>
      <c r="R43" s="445">
        <f>SUM(R33:R42)</f>
        <v>26.5</v>
      </c>
      <c r="S43" s="451">
        <f>SUM(S33:S42)</f>
        <v>174.5</v>
      </c>
      <c r="T43" s="687"/>
      <c r="U43" s="26"/>
      <c r="V43" s="442" t="s">
        <v>191</v>
      </c>
      <c r="W43" s="443">
        <f t="shared" ref="W43:Y43" si="27">SUM(W33:W42)</f>
        <v>12.95</v>
      </c>
      <c r="X43" s="444">
        <f>SUM(X33:X42)</f>
        <v>2.5</v>
      </c>
      <c r="Y43" s="443">
        <f t="shared" si="27"/>
        <v>0</v>
      </c>
      <c r="Z43" s="444">
        <f>SUM(Z33:Z42)</f>
        <v>3.5</v>
      </c>
      <c r="AA43" s="444">
        <f>SUM(AA33:AA42)</f>
        <v>0</v>
      </c>
      <c r="AB43" s="720">
        <f>SUM(AB33:AB42)</f>
        <v>0</v>
      </c>
      <c r="AC43" s="724">
        <f>SUM(AC33:AC42)</f>
        <v>18.950000000000003</v>
      </c>
      <c r="AD43" s="725">
        <f>SUM(AD33:AD42)</f>
        <v>40.46</v>
      </c>
      <c r="AE43" s="579">
        <f t="shared" si="24"/>
        <v>59.410000000000004</v>
      </c>
      <c r="AH43" s="24"/>
      <c r="AJ43" s="25"/>
      <c r="AL43" s="24"/>
      <c r="AN43" s="25"/>
      <c r="AP43" s="24"/>
      <c r="AR43" s="25"/>
      <c r="AT43" s="24"/>
      <c r="AV43" s="25"/>
      <c r="AX43" s="23"/>
      <c r="AY43" s="23"/>
      <c r="AZ43" s="23"/>
      <c r="BA43" s="23"/>
      <c r="BB43" s="23"/>
      <c r="BC43" s="23"/>
      <c r="BD43" s="23"/>
      <c r="BE43" s="23"/>
      <c r="BF43" s="23"/>
      <c r="BG43" s="23"/>
    </row>
    <row r="44" spans="1:59" ht="15" customHeight="1" thickBot="1">
      <c r="L44" s="26"/>
      <c r="M44" s="26"/>
      <c r="N44" s="24"/>
      <c r="P44" s="26"/>
      <c r="Q44" s="26"/>
      <c r="R44" s="24"/>
      <c r="T44" s="26"/>
      <c r="U44" s="26"/>
      <c r="V44" s="24"/>
      <c r="Z44" s="24"/>
      <c r="AD44" s="24"/>
      <c r="AE44" s="26"/>
      <c r="AF44" s="466"/>
      <c r="AG44" s="466"/>
      <c r="AH44" s="466"/>
      <c r="AI44" s="467"/>
      <c r="AL44" s="24"/>
      <c r="AM44" s="25"/>
      <c r="AP44" s="24"/>
      <c r="AQ44" s="25"/>
      <c r="AT44" s="24"/>
      <c r="AU44" s="25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</row>
    <row r="45" spans="1:59" ht="26.25" customHeight="1" thickBot="1">
      <c r="L45" s="1929" t="str">
        <f>L31</f>
        <v>Mode wise Collection Plan-25-01-2022</v>
      </c>
      <c r="M45" s="1930"/>
      <c r="N45" s="1930"/>
      <c r="O45" s="1930"/>
      <c r="P45" s="1930"/>
      <c r="Q45" s="1930"/>
      <c r="R45" s="1930"/>
      <c r="S45" s="1930"/>
      <c r="T45" s="1931"/>
      <c r="U45" s="26"/>
      <c r="V45" s="1923" t="s">
        <v>312</v>
      </c>
      <c r="W45" s="1937"/>
      <c r="X45" s="1937"/>
      <c r="Y45" s="1937"/>
      <c r="Z45" s="1937"/>
      <c r="AA45" s="1937"/>
      <c r="AB45" s="1937"/>
      <c r="AC45" s="1937"/>
      <c r="AD45" s="1937"/>
      <c r="AE45" s="1938"/>
      <c r="AF45" s="466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</row>
    <row r="46" spans="1:59" s="28" customFormat="1" ht="31.5">
      <c r="D46" s="29"/>
      <c r="E46" s="29"/>
      <c r="F46" s="29"/>
      <c r="I46" s="29"/>
      <c r="J46" s="1011" t="s">
        <v>270</v>
      </c>
      <c r="K46" s="1011" t="s">
        <v>196</v>
      </c>
      <c r="L46" s="450" t="s">
        <v>0</v>
      </c>
      <c r="M46" s="439" t="s">
        <v>200</v>
      </c>
      <c r="N46" s="454" t="s">
        <v>205</v>
      </c>
      <c r="O46" s="439" t="s">
        <v>31</v>
      </c>
      <c r="P46" s="448" t="s">
        <v>201</v>
      </c>
      <c r="Q46" s="455" t="s">
        <v>206</v>
      </c>
      <c r="R46" s="436" t="s">
        <v>22</v>
      </c>
      <c r="S46" s="438" t="s">
        <v>191</v>
      </c>
      <c r="T46" s="438" t="s">
        <v>244</v>
      </c>
      <c r="U46" s="26"/>
      <c r="V46" s="596" t="s">
        <v>0</v>
      </c>
      <c r="W46" s="436" t="s">
        <v>200</v>
      </c>
      <c r="X46" s="454" t="s">
        <v>205</v>
      </c>
      <c r="Y46" s="436" t="s">
        <v>31</v>
      </c>
      <c r="Z46" s="448" t="s">
        <v>201</v>
      </c>
      <c r="AA46" s="453" t="s">
        <v>206</v>
      </c>
      <c r="AB46" s="453" t="s">
        <v>210</v>
      </c>
      <c r="AC46" s="436" t="s">
        <v>22</v>
      </c>
      <c r="AD46" s="437" t="s">
        <v>191</v>
      </c>
      <c r="AE46" s="438" t="s">
        <v>244</v>
      </c>
      <c r="AF46" s="952" t="s">
        <v>32</v>
      </c>
      <c r="AG46" s="1022" t="s">
        <v>25</v>
      </c>
      <c r="AH46" s="1022" t="s">
        <v>23</v>
      </c>
      <c r="AI46" s="1123" t="s">
        <v>285</v>
      </c>
      <c r="AJ46" s="23"/>
      <c r="AK46" s="23"/>
      <c r="AL46" s="23"/>
      <c r="AM46" s="23"/>
      <c r="AN46" s="23"/>
      <c r="AO46" s="23"/>
      <c r="AP46" s="23"/>
      <c r="AQ46" s="23"/>
      <c r="AR46" s="23"/>
    </row>
    <row r="47" spans="1:59" ht="23.25">
      <c r="J47" s="441">
        <f>21+20+8</f>
        <v>49</v>
      </c>
      <c r="K47" s="441">
        <v>17</v>
      </c>
      <c r="L47" s="441" t="s">
        <v>189</v>
      </c>
      <c r="M47" s="470">
        <v>40</v>
      </c>
      <c r="N47" s="430">
        <v>0</v>
      </c>
      <c r="O47" s="430">
        <v>0</v>
      </c>
      <c r="P47" s="430">
        <v>0</v>
      </c>
      <c r="Q47" s="430">
        <v>20</v>
      </c>
      <c r="R47" s="430">
        <v>0</v>
      </c>
      <c r="S47" s="446">
        <f t="shared" ref="S47:S56" si="28">SUM(M47:R47)</f>
        <v>60</v>
      </c>
      <c r="T47" s="446">
        <v>21</v>
      </c>
      <c r="U47" s="26"/>
      <c r="V47" s="586" t="s">
        <v>189</v>
      </c>
      <c r="W47" s="569"/>
      <c r="X47" s="570"/>
      <c r="Y47" s="570"/>
      <c r="Z47" s="570"/>
      <c r="AA47" s="570">
        <f>L$15+L$16+L$17+L$18+L$19+L$21+L$22+L$23</f>
        <v>0</v>
      </c>
      <c r="AB47" s="718"/>
      <c r="AC47" s="430"/>
      <c r="AD47" s="568">
        <f t="shared" ref="AD47:AD56" si="29">SUM(W47:AC47)</f>
        <v>0</v>
      </c>
      <c r="AE47" s="587">
        <f>L27+L28+L29</f>
        <v>21.3</v>
      </c>
      <c r="AF47" s="953">
        <v>7.99</v>
      </c>
      <c r="AG47" s="1017"/>
      <c r="AH47" s="1017"/>
      <c r="AI47" s="1017">
        <v>27.64</v>
      </c>
      <c r="AJ47" s="28"/>
      <c r="AK47" s="28"/>
      <c r="AL47" s="28"/>
      <c r="AM47" s="28"/>
      <c r="AN47" s="28"/>
      <c r="AO47" s="28"/>
      <c r="AP47" s="28"/>
      <c r="AQ47" s="28"/>
      <c r="AR47" s="28"/>
      <c r="AT47" s="24"/>
      <c r="AU47" s="25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</row>
    <row r="48" spans="1:59" ht="23.25">
      <c r="J48" s="441"/>
      <c r="K48" s="441">
        <v>24</v>
      </c>
      <c r="L48" s="441" t="s">
        <v>183</v>
      </c>
      <c r="M48" s="470">
        <v>21</v>
      </c>
      <c r="N48" s="430">
        <v>0</v>
      </c>
      <c r="O48" s="430">
        <v>0</v>
      </c>
      <c r="P48" s="430">
        <v>0</v>
      </c>
      <c r="Q48" s="430">
        <v>0</v>
      </c>
      <c r="R48" s="430">
        <v>0</v>
      </c>
      <c r="S48" s="446">
        <f t="shared" si="28"/>
        <v>21</v>
      </c>
      <c r="T48" s="446">
        <v>17</v>
      </c>
      <c r="U48" s="466"/>
      <c r="V48" s="586" t="s">
        <v>183</v>
      </c>
      <c r="W48" s="440">
        <f>P$6</f>
        <v>0</v>
      </c>
      <c r="X48" s="430"/>
      <c r="Y48" s="430"/>
      <c r="Z48" s="430"/>
      <c r="AA48" s="430"/>
      <c r="AB48" s="719"/>
      <c r="AC48" s="430"/>
      <c r="AD48" s="568">
        <f t="shared" si="29"/>
        <v>0</v>
      </c>
      <c r="AE48" s="587">
        <f>P27+P28+P29</f>
        <v>19.16</v>
      </c>
      <c r="AF48" s="953"/>
      <c r="AG48" s="951">
        <v>24.16</v>
      </c>
      <c r="AH48" s="951"/>
      <c r="AI48" s="655"/>
      <c r="AL48" s="24"/>
      <c r="AM48" s="25"/>
      <c r="AP48" s="24"/>
      <c r="AQ48" s="25"/>
      <c r="AT48" s="24"/>
      <c r="AU48" s="25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</row>
    <row r="49" spans="4:59" ht="21.75" customHeight="1">
      <c r="J49" s="441"/>
      <c r="K49" s="441"/>
      <c r="L49" s="441" t="s">
        <v>184</v>
      </c>
      <c r="M49" s="470">
        <v>8</v>
      </c>
      <c r="N49" s="430">
        <v>1</v>
      </c>
      <c r="O49" s="430">
        <v>0</v>
      </c>
      <c r="P49" s="430">
        <v>0</v>
      </c>
      <c r="Q49" s="430">
        <v>6</v>
      </c>
      <c r="R49" s="430">
        <v>0</v>
      </c>
      <c r="S49" s="446">
        <f t="shared" si="28"/>
        <v>15</v>
      </c>
      <c r="T49" s="446">
        <v>5</v>
      </c>
      <c r="U49" s="466"/>
      <c r="V49" s="586" t="s">
        <v>184</v>
      </c>
      <c r="W49" s="440"/>
      <c r="X49" s="430"/>
      <c r="Y49" s="430"/>
      <c r="Z49" s="430"/>
      <c r="AA49" s="430"/>
      <c r="AB49" s="719"/>
      <c r="AC49" s="430"/>
      <c r="AD49" s="568">
        <f t="shared" si="29"/>
        <v>0</v>
      </c>
      <c r="AE49" s="587">
        <f>T27+T28+T29</f>
        <v>0</v>
      </c>
      <c r="AF49" s="953"/>
      <c r="AG49" s="951"/>
      <c r="AH49" s="951"/>
      <c r="AI49" s="655"/>
      <c r="AL49" s="24"/>
      <c r="AM49" s="25"/>
      <c r="AP49" s="24"/>
      <c r="AQ49" s="25"/>
      <c r="AT49" s="24"/>
      <c r="AU49" s="25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</row>
    <row r="50" spans="4:59" ht="21.75" customHeight="1">
      <c r="J50" s="441"/>
      <c r="K50" s="441"/>
      <c r="L50" s="441" t="s">
        <v>170</v>
      </c>
      <c r="M50" s="470">
        <v>0</v>
      </c>
      <c r="N50" s="430">
        <v>4</v>
      </c>
      <c r="O50" s="430">
        <v>0</v>
      </c>
      <c r="P50" s="430">
        <v>0</v>
      </c>
      <c r="Q50" s="430">
        <v>6</v>
      </c>
      <c r="R50" s="430">
        <v>0</v>
      </c>
      <c r="S50" s="446">
        <f t="shared" si="28"/>
        <v>10</v>
      </c>
      <c r="T50" s="446"/>
      <c r="U50" s="466"/>
      <c r="V50" s="586" t="s">
        <v>170</v>
      </c>
      <c r="W50" s="440"/>
      <c r="X50" s="430"/>
      <c r="Y50" s="430"/>
      <c r="Z50" s="430"/>
      <c r="AA50" s="430"/>
      <c r="AB50" s="719"/>
      <c r="AC50" s="430"/>
      <c r="AD50" s="568">
        <f t="shared" si="29"/>
        <v>0</v>
      </c>
      <c r="AE50" s="587">
        <f>X27+X28+X29</f>
        <v>0</v>
      </c>
      <c r="AF50" s="953"/>
      <c r="AG50" s="951"/>
      <c r="AH50" s="951"/>
      <c r="AI50" s="655">
        <v>6.09</v>
      </c>
      <c r="AL50" s="24"/>
      <c r="AM50" s="25"/>
      <c r="AP50" s="24"/>
      <c r="AQ50" s="25"/>
      <c r="AT50" s="24"/>
      <c r="AU50" s="25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</row>
    <row r="51" spans="4:59" ht="21.75" customHeight="1">
      <c r="J51" s="441"/>
      <c r="K51" s="441"/>
      <c r="L51" s="441" t="s">
        <v>171</v>
      </c>
      <c r="M51" s="470">
        <v>0</v>
      </c>
      <c r="N51" s="430">
        <v>5</v>
      </c>
      <c r="O51" s="430">
        <v>0</v>
      </c>
      <c r="P51" s="430">
        <v>0</v>
      </c>
      <c r="Q51" s="430">
        <v>0</v>
      </c>
      <c r="R51" s="430">
        <v>0</v>
      </c>
      <c r="S51" s="446">
        <f t="shared" si="28"/>
        <v>5</v>
      </c>
      <c r="T51" s="446"/>
      <c r="U51" s="466"/>
      <c r="V51" s="586" t="s">
        <v>171</v>
      </c>
      <c r="W51" s="440">
        <f>AB$6</f>
        <v>0</v>
      </c>
      <c r="X51" s="430"/>
      <c r="Y51" s="430"/>
      <c r="Z51" s="430"/>
      <c r="AA51" s="430"/>
      <c r="AB51" s="719"/>
      <c r="AC51" s="430"/>
      <c r="AD51" s="568">
        <f t="shared" si="29"/>
        <v>0</v>
      </c>
      <c r="AE51" s="587">
        <f>AB27+AB28+AB29</f>
        <v>0</v>
      </c>
      <c r="AF51" s="953"/>
      <c r="AG51" s="951"/>
      <c r="AH51" s="951"/>
      <c r="AI51" s="655"/>
      <c r="AL51" s="24"/>
      <c r="AM51" s="25"/>
      <c r="AP51" s="24"/>
      <c r="AQ51" s="25"/>
      <c r="AT51" s="24"/>
      <c r="AU51" s="25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</row>
    <row r="52" spans="4:59" ht="21.75" customHeight="1">
      <c r="J52" s="441"/>
      <c r="K52" s="441"/>
      <c r="L52" s="441" t="s">
        <v>190</v>
      </c>
      <c r="M52" s="492">
        <v>10</v>
      </c>
      <c r="N52" s="471">
        <v>0</v>
      </c>
      <c r="O52" s="471">
        <v>0</v>
      </c>
      <c r="P52" s="471">
        <v>10</v>
      </c>
      <c r="Q52" s="430">
        <v>0</v>
      </c>
      <c r="R52" s="471">
        <v>0</v>
      </c>
      <c r="S52" s="446">
        <f t="shared" si="28"/>
        <v>20</v>
      </c>
      <c r="T52" s="446"/>
      <c r="U52" s="466"/>
      <c r="V52" s="586" t="s">
        <v>190</v>
      </c>
      <c r="W52" s="440"/>
      <c r="X52" s="430"/>
      <c r="Y52" s="430"/>
      <c r="Z52" s="430"/>
      <c r="AA52" s="430"/>
      <c r="AB52" s="719"/>
      <c r="AC52" s="430"/>
      <c r="AD52" s="568">
        <f t="shared" si="29"/>
        <v>0</v>
      </c>
      <c r="AE52" s="587">
        <f>AF27+AF28+AF29</f>
        <v>0</v>
      </c>
      <c r="AF52" s="954"/>
      <c r="AG52" s="951"/>
      <c r="AH52" s="951"/>
      <c r="AI52" s="655"/>
      <c r="AL52" s="24"/>
      <c r="AM52" s="25"/>
      <c r="AP52" s="24"/>
      <c r="AQ52" s="25"/>
      <c r="AT52" s="24"/>
      <c r="AU52" s="25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</row>
    <row r="53" spans="4:59" ht="21.75" customHeight="1">
      <c r="J53" s="441">
        <f>17+25</f>
        <v>42</v>
      </c>
      <c r="K53" s="441"/>
      <c r="L53" s="441" t="s">
        <v>185</v>
      </c>
      <c r="M53" s="470">
        <v>3.5</v>
      </c>
      <c r="N53" s="430">
        <v>0</v>
      </c>
      <c r="O53" s="430">
        <v>0</v>
      </c>
      <c r="P53" s="430">
        <v>0</v>
      </c>
      <c r="Q53" s="430">
        <v>0</v>
      </c>
      <c r="R53" s="430">
        <v>19</v>
      </c>
      <c r="S53" s="446">
        <f t="shared" si="28"/>
        <v>22.5</v>
      </c>
      <c r="T53" s="446"/>
      <c r="U53" s="466"/>
      <c r="V53" s="586" t="s">
        <v>185</v>
      </c>
      <c r="W53" s="469"/>
      <c r="X53" s="430"/>
      <c r="Y53" s="430"/>
      <c r="Z53" s="430"/>
      <c r="AA53" s="430"/>
      <c r="AB53" s="719"/>
      <c r="AC53" s="430"/>
      <c r="AD53" s="568">
        <f t="shared" si="29"/>
        <v>0</v>
      </c>
      <c r="AE53" s="587">
        <f>AN27+AN28+AN29</f>
        <v>0</v>
      </c>
      <c r="AF53" s="954">
        <v>17.7</v>
      </c>
      <c r="AG53" s="951"/>
      <c r="AH53" s="951">
        <f>18.84+27.78</f>
        <v>46.620000000000005</v>
      </c>
      <c r="AI53" s="655"/>
      <c r="AL53" s="24"/>
      <c r="AM53" s="25"/>
      <c r="AP53" s="24"/>
      <c r="AQ53" s="25"/>
      <c r="AT53" s="24"/>
      <c r="AU53" s="25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</row>
    <row r="54" spans="4:59" ht="21.75" customHeight="1">
      <c r="J54" s="441">
        <v>7</v>
      </c>
      <c r="K54" s="441"/>
      <c r="L54" s="441" t="s">
        <v>202</v>
      </c>
      <c r="M54" s="470">
        <v>3</v>
      </c>
      <c r="N54" s="430">
        <v>2</v>
      </c>
      <c r="O54" s="430">
        <v>0</v>
      </c>
      <c r="P54" s="430">
        <v>0</v>
      </c>
      <c r="Q54" s="430">
        <v>0</v>
      </c>
      <c r="R54" s="430">
        <v>0</v>
      </c>
      <c r="S54" s="446">
        <f t="shared" si="28"/>
        <v>5</v>
      </c>
      <c r="T54" s="446"/>
      <c r="U54" s="466"/>
      <c r="V54" s="586" t="s">
        <v>202</v>
      </c>
      <c r="W54" s="440">
        <f>AR$6</f>
        <v>0.4</v>
      </c>
      <c r="X54" s="430"/>
      <c r="Y54" s="430"/>
      <c r="Z54" s="430"/>
      <c r="AA54" s="430"/>
      <c r="AB54" s="719"/>
      <c r="AC54" s="430"/>
      <c r="AD54" s="568">
        <f t="shared" si="29"/>
        <v>0.4</v>
      </c>
      <c r="AE54" s="587">
        <f>AR27+AR28+AR29</f>
        <v>0</v>
      </c>
      <c r="AF54" s="952"/>
      <c r="AG54" s="951"/>
      <c r="AH54" s="951"/>
      <c r="AI54" s="655"/>
      <c r="AL54" s="24"/>
      <c r="AM54" s="25"/>
      <c r="AP54" s="24"/>
      <c r="AQ54" s="25"/>
      <c r="AT54" s="24"/>
      <c r="AU54" s="25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</row>
    <row r="55" spans="4:59" ht="21.75" customHeight="1">
      <c r="J55" s="441">
        <f>19.9+21.8+7</f>
        <v>48.7</v>
      </c>
      <c r="K55" s="441"/>
      <c r="L55" s="441" t="s">
        <v>186</v>
      </c>
      <c r="M55" s="470">
        <v>0</v>
      </c>
      <c r="N55" s="430">
        <v>2.5</v>
      </c>
      <c r="O55" s="430">
        <v>0</v>
      </c>
      <c r="P55" s="430">
        <v>0</v>
      </c>
      <c r="Q55" s="430">
        <v>0</v>
      </c>
      <c r="R55" s="430">
        <v>7.5</v>
      </c>
      <c r="S55" s="446">
        <f t="shared" si="28"/>
        <v>10</v>
      </c>
      <c r="T55" s="446"/>
      <c r="U55" s="466"/>
      <c r="V55" s="586" t="s">
        <v>186</v>
      </c>
      <c r="W55" s="440"/>
      <c r="X55" s="430"/>
      <c r="Y55" s="430"/>
      <c r="Z55" s="430"/>
      <c r="AA55" s="430"/>
      <c r="AB55" s="719"/>
      <c r="AC55" s="430"/>
      <c r="AD55" s="568">
        <f t="shared" si="29"/>
        <v>0</v>
      </c>
      <c r="AE55" s="587">
        <f>AV27+AV28+AV29</f>
        <v>0</v>
      </c>
      <c r="AF55" s="952">
        <v>26.89</v>
      </c>
      <c r="AG55" s="951"/>
      <c r="AH55" s="951">
        <v>16.149999999999999</v>
      </c>
      <c r="AI55" s="655"/>
      <c r="AL55" s="24"/>
      <c r="AM55" s="25"/>
      <c r="AP55" s="24"/>
      <c r="AQ55" s="25"/>
      <c r="AT55" s="24"/>
      <c r="AU55" s="25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</row>
    <row r="56" spans="4:59" ht="21.75" customHeight="1">
      <c r="J56" s="441"/>
      <c r="K56" s="441"/>
      <c r="L56" s="441" t="s">
        <v>203</v>
      </c>
      <c r="M56" s="470">
        <v>0</v>
      </c>
      <c r="N56" s="430">
        <v>0</v>
      </c>
      <c r="O56" s="430">
        <v>0</v>
      </c>
      <c r="P56" s="430">
        <v>0</v>
      </c>
      <c r="Q56" s="430">
        <v>6</v>
      </c>
      <c r="R56" s="430">
        <v>0</v>
      </c>
      <c r="S56" s="446">
        <f t="shared" si="28"/>
        <v>6</v>
      </c>
      <c r="T56" s="446"/>
      <c r="U56" s="466"/>
      <c r="V56" s="586" t="s">
        <v>203</v>
      </c>
      <c r="W56" s="440"/>
      <c r="X56" s="430"/>
      <c r="Y56" s="430"/>
      <c r="Z56" s="430"/>
      <c r="AA56" s="430"/>
      <c r="AB56" s="719"/>
      <c r="AC56" s="430"/>
      <c r="AD56" s="568">
        <f t="shared" si="29"/>
        <v>0</v>
      </c>
      <c r="AE56" s="587">
        <f>AZ27+AZ28+AZ29</f>
        <v>0</v>
      </c>
      <c r="AF56" s="952"/>
      <c r="AG56" s="951"/>
      <c r="AH56" s="951"/>
      <c r="AI56" s="655"/>
      <c r="AL56" s="24"/>
      <c r="AM56" s="25"/>
      <c r="AP56" s="24"/>
      <c r="AQ56" s="25"/>
      <c r="AT56" s="24"/>
      <c r="AU56" s="25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</row>
    <row r="57" spans="4:59" ht="21.75" customHeight="1" thickBot="1">
      <c r="J57" s="442">
        <f t="shared" ref="J57:K57" si="30">SUM(J47:J56)</f>
        <v>146.69999999999999</v>
      </c>
      <c r="K57" s="442">
        <f t="shared" si="30"/>
        <v>41</v>
      </c>
      <c r="L57" s="442" t="s">
        <v>191</v>
      </c>
      <c r="M57" s="443">
        <f t="shared" ref="M57" si="31">SUM(M47:M56)</f>
        <v>85.5</v>
      </c>
      <c r="N57" s="444">
        <f>SUM(N47:N56)</f>
        <v>14.5</v>
      </c>
      <c r="O57" s="443">
        <f t="shared" ref="O57" si="32">SUM(O47:O56)</f>
        <v>0</v>
      </c>
      <c r="P57" s="444">
        <f>SUM(P47:P56)</f>
        <v>10</v>
      </c>
      <c r="Q57" s="444">
        <f>SUM(Q47:Q56)</f>
        <v>38</v>
      </c>
      <c r="R57" s="445">
        <f>SUM(R47:R56)</f>
        <v>26.5</v>
      </c>
      <c r="S57" s="451">
        <f>SUM(S47:S56)</f>
        <v>174.5</v>
      </c>
      <c r="T57" s="451">
        <f>SUM(T47:T56)</f>
        <v>43</v>
      </c>
      <c r="U57" s="466"/>
      <c r="V57" s="588" t="s">
        <v>191</v>
      </c>
      <c r="W57" s="589">
        <f t="shared" ref="W57" si="33">SUM(W47:W56)</f>
        <v>0.4</v>
      </c>
      <c r="X57" s="444">
        <f>SUM(X47:X56)</f>
        <v>0</v>
      </c>
      <c r="Y57" s="444">
        <f t="shared" ref="Y57" si="34">SUM(Y47:Y56)</f>
        <v>0</v>
      </c>
      <c r="Z57" s="444">
        <f>SUM(Z47:Z56)</f>
        <v>0</v>
      </c>
      <c r="AA57" s="444">
        <f>SUM(AA47:AA56)</f>
        <v>0</v>
      </c>
      <c r="AB57" s="444"/>
      <c r="AC57" s="444">
        <f t="shared" ref="AC57" si="35">SUM(AC47:AC56)</f>
        <v>0</v>
      </c>
      <c r="AD57" s="630">
        <f>SUM(AD47:AD56)</f>
        <v>0.4</v>
      </c>
      <c r="AE57" s="631">
        <f>SUM(AE47:AE56)</f>
        <v>40.46</v>
      </c>
      <c r="AF57" s="1016">
        <f t="shared" ref="AF57:AI57" si="36">SUM(AF47:AF56)</f>
        <v>52.58</v>
      </c>
      <c r="AG57" s="1015">
        <f t="shared" si="36"/>
        <v>24.16</v>
      </c>
      <c r="AH57" s="1015">
        <f t="shared" si="36"/>
        <v>62.77</v>
      </c>
      <c r="AI57" s="1015">
        <f t="shared" si="36"/>
        <v>33.730000000000004</v>
      </c>
      <c r="AL57" s="24"/>
      <c r="AM57" s="25"/>
      <c r="AP57" s="24"/>
      <c r="AQ57" s="25"/>
      <c r="AT57" s="24"/>
      <c r="AU57" s="25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</row>
    <row r="58" spans="4:59" ht="28.5" customHeight="1" thickBot="1">
      <c r="N58" s="24"/>
      <c r="O58" s="1924" t="s">
        <v>254</v>
      </c>
      <c r="P58" s="1925"/>
      <c r="Q58" s="1925"/>
      <c r="R58" s="1926"/>
      <c r="S58" s="1927">
        <f>S57+T57</f>
        <v>217.5</v>
      </c>
      <c r="T58" s="1928"/>
      <c r="U58" s="466"/>
      <c r="V58" s="1932" t="s">
        <v>221</v>
      </c>
      <c r="W58" s="1932"/>
      <c r="X58" s="1932"/>
      <c r="Y58" s="1932"/>
      <c r="Z58" s="1932"/>
      <c r="AA58" s="1932"/>
      <c r="AB58" s="1932"/>
      <c r="AC58" s="1932"/>
      <c r="AD58" s="1933">
        <f>AD57+AE57</f>
        <v>40.86</v>
      </c>
      <c r="AE58" s="1934"/>
      <c r="AF58" s="466"/>
      <c r="AH58" s="24"/>
      <c r="AI58" s="25"/>
      <c r="AL58" s="24"/>
      <c r="AM58" s="25"/>
      <c r="AP58" s="24"/>
      <c r="AQ58" s="25"/>
      <c r="AT58" s="24"/>
      <c r="AU58" s="25"/>
      <c r="AX58" s="24"/>
      <c r="AY58" s="24"/>
      <c r="AZ58" s="25"/>
      <c r="BA58" s="24"/>
      <c r="BB58" s="24"/>
      <c r="BC58" s="23"/>
      <c r="BD58" s="23"/>
      <c r="BE58" s="23"/>
      <c r="BF58" s="23"/>
      <c r="BG58" s="23"/>
    </row>
    <row r="59" spans="4:59" ht="31.5" customHeight="1" thickBot="1">
      <c r="J59" s="24"/>
      <c r="N59" s="24"/>
      <c r="R59" s="24"/>
      <c r="T59" s="26"/>
      <c r="U59" s="26"/>
      <c r="V59" s="966"/>
      <c r="W59" s="966"/>
      <c r="X59" s="966"/>
      <c r="Y59" s="1922" t="s">
        <v>235</v>
      </c>
      <c r="Z59" s="1922"/>
      <c r="AA59" s="1922"/>
      <c r="AB59" s="1922"/>
      <c r="AC59" s="1922"/>
      <c r="AD59" s="1920">
        <f>BH6+BI6+BD20+BE20+Q17</f>
        <v>53.41</v>
      </c>
      <c r="AE59" s="1921"/>
      <c r="AF59" s="466"/>
      <c r="AH59" s="24"/>
      <c r="AI59" s="25"/>
      <c r="AL59" s="24"/>
      <c r="AP59" s="25"/>
      <c r="AT59" s="25"/>
      <c r="AX59" s="25"/>
      <c r="AY59" s="24"/>
      <c r="AZ59" s="24"/>
      <c r="BA59" s="24"/>
      <c r="BB59" s="25"/>
      <c r="BE59" s="23"/>
      <c r="BF59" s="23"/>
      <c r="BG59" s="23"/>
    </row>
    <row r="60" spans="4:59" s="28" customFormat="1" ht="30.75" customHeight="1" thickBot="1">
      <c r="D60" s="29"/>
      <c r="E60" s="29"/>
      <c r="F60" s="29"/>
      <c r="I60" s="29"/>
      <c r="J60" s="24"/>
      <c r="K60" s="24"/>
      <c r="L60" s="1923" t="s">
        <v>279</v>
      </c>
      <c r="M60" s="1937"/>
      <c r="N60" s="1937"/>
      <c r="O60" s="1937"/>
      <c r="P60" s="1937"/>
      <c r="Q60" s="1937"/>
      <c r="R60" s="1937"/>
      <c r="S60" s="1937"/>
      <c r="T60" s="1937"/>
      <c r="U60" s="1938"/>
      <c r="V60" s="966"/>
      <c r="W60" s="966"/>
      <c r="X60" s="966"/>
      <c r="Y60" s="1013"/>
      <c r="Z60" s="966"/>
      <c r="AA60" s="966"/>
      <c r="AB60" s="966"/>
      <c r="AC60" s="1013"/>
      <c r="AD60" s="966"/>
      <c r="AE60" s="964"/>
      <c r="AF60" s="966"/>
      <c r="AG60" s="964"/>
      <c r="AH60" s="964"/>
      <c r="AI60" s="967"/>
      <c r="AJ60" s="964"/>
      <c r="AK60" s="964"/>
      <c r="AL60" s="964"/>
      <c r="AM60" s="964"/>
      <c r="AN60" s="964"/>
      <c r="AO60" s="964"/>
      <c r="AP60" s="967"/>
      <c r="AQ60" s="964"/>
      <c r="AR60" s="964"/>
      <c r="AS60" s="964"/>
      <c r="AT60" s="967"/>
      <c r="AU60" s="964"/>
      <c r="AV60" s="964"/>
      <c r="AW60" s="964"/>
      <c r="AX60" s="967"/>
      <c r="AY60" s="965"/>
      <c r="AZ60" s="965"/>
      <c r="BA60" s="964"/>
      <c r="BB60" s="964"/>
      <c r="BC60" s="967"/>
      <c r="BD60" s="967"/>
      <c r="BE60" s="964"/>
    </row>
    <row r="61" spans="4:59" ht="31.5">
      <c r="J61" s="24"/>
      <c r="L61" s="596" t="s">
        <v>0</v>
      </c>
      <c r="M61" s="436" t="s">
        <v>200</v>
      </c>
      <c r="N61" s="454" t="s">
        <v>205</v>
      </c>
      <c r="O61" s="436" t="s">
        <v>31</v>
      </c>
      <c r="P61" s="448" t="s">
        <v>201</v>
      </c>
      <c r="Q61" s="453" t="s">
        <v>206</v>
      </c>
      <c r="R61" s="453" t="s">
        <v>210</v>
      </c>
      <c r="S61" s="436" t="s">
        <v>22</v>
      </c>
      <c r="T61" s="437" t="s">
        <v>191</v>
      </c>
      <c r="U61" s="438" t="s">
        <v>244</v>
      </c>
      <c r="V61" s="1286"/>
      <c r="W61" s="1286"/>
      <c r="X61" s="1286"/>
      <c r="Y61" s="1286"/>
      <c r="Z61" s="1286"/>
      <c r="AA61" s="1286"/>
      <c r="AB61" s="1286"/>
      <c r="AC61" s="1286"/>
      <c r="AD61" s="1286"/>
      <c r="AE61" s="1286"/>
      <c r="AF61" s="466"/>
      <c r="AH61" s="24"/>
      <c r="AI61" s="25"/>
      <c r="AL61" s="24"/>
      <c r="AM61" s="26"/>
      <c r="AN61" s="26"/>
      <c r="AP61" s="24"/>
      <c r="AQ61" s="26"/>
      <c r="AR61" s="26"/>
      <c r="AT61" s="24"/>
      <c r="AU61" s="26"/>
      <c r="AV61" s="26"/>
      <c r="AX61" s="24"/>
      <c r="AY61" s="26"/>
      <c r="AZ61" s="26"/>
      <c r="BA61" s="24"/>
      <c r="BB61" s="24"/>
      <c r="BC61" s="25"/>
      <c r="BD61" s="25"/>
      <c r="BF61" s="23"/>
      <c r="BG61" s="23"/>
    </row>
    <row r="62" spans="4:59" ht="23.25">
      <c r="J62" s="24"/>
      <c r="L62" s="586" t="s">
        <v>189</v>
      </c>
      <c r="M62" s="569">
        <v>6.05</v>
      </c>
      <c r="N62" s="570">
        <v>0</v>
      </c>
      <c r="O62" s="570">
        <v>0</v>
      </c>
      <c r="P62" s="570">
        <v>0</v>
      </c>
      <c r="Q62" s="570"/>
      <c r="R62" s="718"/>
      <c r="S62" s="430"/>
      <c r="T62" s="568">
        <f t="shared" ref="T62:T71" si="37">SUM(M62:S62)</f>
        <v>6.05</v>
      </c>
      <c r="U62" s="587">
        <v>21.3</v>
      </c>
      <c r="V62" s="1286"/>
      <c r="W62" s="1286"/>
      <c r="X62" s="1286"/>
      <c r="Y62" s="1286"/>
      <c r="Z62" s="1286"/>
      <c r="AA62" s="1286"/>
      <c r="AB62" s="1286"/>
      <c r="AC62" s="1286"/>
      <c r="AD62" s="1286"/>
      <c r="AE62" s="1286"/>
      <c r="AF62" s="466"/>
      <c r="AH62" s="24"/>
      <c r="AI62" s="25"/>
      <c r="AL62" s="24"/>
      <c r="AM62" s="26"/>
      <c r="AN62" s="26"/>
      <c r="AP62" s="24"/>
      <c r="AQ62" s="26"/>
      <c r="AR62" s="26"/>
      <c r="AT62" s="24"/>
      <c r="AU62" s="26"/>
      <c r="AV62" s="26"/>
      <c r="AX62" s="24"/>
      <c r="AY62" s="26"/>
      <c r="AZ62" s="26"/>
      <c r="BA62" s="24"/>
      <c r="BB62" s="24"/>
      <c r="BC62" s="25"/>
      <c r="BD62" s="25"/>
      <c r="BF62" s="23"/>
      <c r="BG62" s="23"/>
    </row>
    <row r="63" spans="4:59" ht="23.25">
      <c r="J63" s="24"/>
      <c r="L63" s="586" t="s">
        <v>183</v>
      </c>
      <c r="M63" s="440">
        <v>0</v>
      </c>
      <c r="N63" s="430">
        <v>0</v>
      </c>
      <c r="O63" s="430">
        <v>0</v>
      </c>
      <c r="P63" s="430">
        <v>0</v>
      </c>
      <c r="Q63" s="430"/>
      <c r="R63" s="719"/>
      <c r="S63" s="430"/>
      <c r="T63" s="568">
        <f t="shared" si="37"/>
        <v>0</v>
      </c>
      <c r="U63" s="587">
        <v>19.16</v>
      </c>
      <c r="V63" s="1286"/>
      <c r="W63" s="1286"/>
      <c r="X63" s="1286"/>
      <c r="Y63" s="1286"/>
      <c r="Z63" s="1286"/>
      <c r="AA63" s="1286"/>
      <c r="AB63" s="1286"/>
      <c r="AC63" s="1286"/>
      <c r="AD63" s="1286"/>
      <c r="AE63" s="1286"/>
      <c r="AF63" s="26"/>
      <c r="AH63" s="24"/>
      <c r="AJ63" s="49"/>
      <c r="AL63" s="26"/>
      <c r="AM63" s="26"/>
      <c r="AQ63" s="26"/>
      <c r="AU63" s="26"/>
      <c r="AY63" s="26"/>
      <c r="AZ63" s="24"/>
      <c r="BA63" s="24"/>
      <c r="BB63" s="25"/>
      <c r="BC63" s="25"/>
      <c r="BE63" s="23"/>
      <c r="BF63" s="23"/>
      <c r="BG63" s="23"/>
    </row>
    <row r="64" spans="4:59" ht="26.25" customHeight="1">
      <c r="J64" s="24"/>
      <c r="L64" s="586" t="s">
        <v>184</v>
      </c>
      <c r="M64" s="440">
        <v>0</v>
      </c>
      <c r="N64" s="430">
        <v>1</v>
      </c>
      <c r="O64" s="430">
        <v>0</v>
      </c>
      <c r="P64" s="430">
        <v>3.5</v>
      </c>
      <c r="Q64" s="430"/>
      <c r="R64" s="719"/>
      <c r="S64" s="430"/>
      <c r="T64" s="568">
        <f t="shared" si="37"/>
        <v>4.5</v>
      </c>
      <c r="U64" s="587">
        <v>0</v>
      </c>
      <c r="V64" s="1286"/>
      <c r="W64" s="1286"/>
      <c r="X64" s="1286"/>
      <c r="Y64" s="1286"/>
      <c r="Z64" s="1286"/>
      <c r="AA64" s="1286"/>
      <c r="AB64" s="1286"/>
      <c r="AC64" s="1286"/>
      <c r="AD64" s="1286"/>
      <c r="AE64" s="1286"/>
      <c r="AF64" s="26"/>
      <c r="AH64" s="24">
        <f>500-339</f>
        <v>161</v>
      </c>
      <c r="AJ64" s="49"/>
      <c r="AL64" s="24"/>
      <c r="AN64" s="26"/>
      <c r="AQ64" s="26"/>
      <c r="AU64" s="26"/>
      <c r="AY64" s="26"/>
      <c r="AZ64" s="24"/>
      <c r="BA64" s="24"/>
      <c r="BB64" s="24"/>
      <c r="BD64" s="25"/>
      <c r="BF64" s="23"/>
      <c r="BG64" s="23"/>
    </row>
    <row r="65" spans="10:59" ht="23.25">
      <c r="J65" s="24"/>
      <c r="L65" s="586" t="s">
        <v>170</v>
      </c>
      <c r="M65" s="440">
        <v>0</v>
      </c>
      <c r="N65" s="430">
        <v>0</v>
      </c>
      <c r="O65" s="430">
        <v>0</v>
      </c>
      <c r="P65" s="430">
        <v>0</v>
      </c>
      <c r="Q65" s="430"/>
      <c r="R65" s="719"/>
      <c r="S65" s="430"/>
      <c r="T65" s="568">
        <f t="shared" si="37"/>
        <v>0</v>
      </c>
      <c r="U65" s="587">
        <v>0</v>
      </c>
      <c r="V65" s="1286"/>
      <c r="W65" s="1286"/>
      <c r="X65" s="1286"/>
      <c r="Y65" s="1286"/>
      <c r="Z65" s="1286"/>
      <c r="AA65" s="1286"/>
      <c r="AB65" s="1286"/>
      <c r="AC65" s="1286"/>
      <c r="AD65" s="1286"/>
      <c r="AE65" s="1286"/>
      <c r="AF65" s="26"/>
      <c r="AH65" s="24">
        <f>AH64-86</f>
        <v>75</v>
      </c>
      <c r="AJ65" s="49"/>
      <c r="AL65" s="24"/>
      <c r="AN65" s="26"/>
      <c r="AQ65" s="26"/>
      <c r="AU65" s="26"/>
      <c r="AY65" s="26"/>
      <c r="AZ65" s="24"/>
      <c r="BA65" s="24"/>
      <c r="BB65" s="24"/>
      <c r="BD65" s="25"/>
      <c r="BF65" s="23"/>
      <c r="BG65" s="23"/>
    </row>
    <row r="66" spans="10:59" ht="23.25">
      <c r="J66" s="24"/>
      <c r="L66" s="586" t="s">
        <v>171</v>
      </c>
      <c r="M66" s="440">
        <v>0</v>
      </c>
      <c r="N66" s="430">
        <v>0</v>
      </c>
      <c r="O66" s="430">
        <v>0</v>
      </c>
      <c r="P66" s="430">
        <v>0</v>
      </c>
      <c r="Q66" s="430"/>
      <c r="R66" s="719"/>
      <c r="S66" s="430"/>
      <c r="T66" s="568">
        <f t="shared" si="37"/>
        <v>0</v>
      </c>
      <c r="U66" s="587">
        <v>0</v>
      </c>
      <c r="V66" s="1286"/>
      <c r="W66" s="1286"/>
      <c r="X66" s="1286"/>
      <c r="Y66" s="1286"/>
      <c r="Z66" s="1286"/>
      <c r="AA66" s="1286"/>
      <c r="AB66" s="1286"/>
      <c r="AC66" s="1286"/>
      <c r="AD66" s="1286"/>
      <c r="AE66" s="1286"/>
      <c r="AF66" s="26"/>
      <c r="AH66" s="24"/>
      <c r="AJ66" s="49"/>
      <c r="AL66" s="24"/>
      <c r="AN66" s="26"/>
      <c r="AQ66" s="26"/>
      <c r="AU66" s="26"/>
      <c r="AY66" s="26"/>
      <c r="AZ66" s="24"/>
      <c r="BA66" s="24"/>
      <c r="BB66" s="24"/>
      <c r="BD66" s="25"/>
      <c r="BF66" s="23"/>
      <c r="BG66" s="23"/>
    </row>
    <row r="67" spans="10:59" ht="23.25">
      <c r="J67" s="24"/>
      <c r="L67" s="586" t="s">
        <v>190</v>
      </c>
      <c r="M67" s="440">
        <v>0</v>
      </c>
      <c r="N67" s="430">
        <v>0</v>
      </c>
      <c r="O67" s="430">
        <v>0</v>
      </c>
      <c r="P67" s="430">
        <v>0</v>
      </c>
      <c r="Q67" s="430"/>
      <c r="R67" s="719"/>
      <c r="S67" s="430"/>
      <c r="T67" s="568">
        <f t="shared" si="37"/>
        <v>0</v>
      </c>
      <c r="U67" s="587">
        <v>0</v>
      </c>
      <c r="V67" s="1286"/>
      <c r="W67" s="1286"/>
      <c r="X67" s="1286"/>
      <c r="Y67" s="1286"/>
      <c r="Z67" s="1286"/>
      <c r="AA67" s="1286"/>
      <c r="AB67" s="1286"/>
      <c r="AC67" s="1286"/>
      <c r="AD67" s="1286"/>
      <c r="AE67" s="1286"/>
      <c r="AF67" s="26"/>
      <c r="AH67" s="24"/>
      <c r="AJ67" s="49"/>
      <c r="AL67" s="24"/>
      <c r="AN67" s="26"/>
      <c r="AQ67" s="26"/>
      <c r="AU67" s="26"/>
      <c r="AY67" s="26"/>
      <c r="AZ67" s="24"/>
      <c r="BA67" s="24"/>
      <c r="BB67" s="24"/>
      <c r="BD67" s="25"/>
      <c r="BF67" s="23"/>
      <c r="BG67" s="23"/>
    </row>
    <row r="68" spans="10:59" ht="23.25">
      <c r="L68" s="586" t="s">
        <v>185</v>
      </c>
      <c r="M68" s="469">
        <v>0</v>
      </c>
      <c r="N68" s="430">
        <v>0</v>
      </c>
      <c r="O68" s="430">
        <v>0</v>
      </c>
      <c r="P68" s="430">
        <v>0</v>
      </c>
      <c r="Q68" s="430"/>
      <c r="R68" s="719"/>
      <c r="S68" s="430"/>
      <c r="T68" s="568">
        <f t="shared" si="37"/>
        <v>0</v>
      </c>
      <c r="U68" s="587">
        <v>0</v>
      </c>
      <c r="V68" s="1286"/>
      <c r="W68" s="1286"/>
      <c r="X68" s="1286"/>
      <c r="Y68" s="1286"/>
      <c r="Z68" s="1286"/>
      <c r="AA68" s="1286"/>
      <c r="AB68" s="1286"/>
      <c r="AC68" s="1286"/>
      <c r="AD68" s="1286"/>
      <c r="AE68" s="1286"/>
      <c r="AF68" s="26"/>
      <c r="AH68" s="24"/>
      <c r="AJ68" s="49"/>
      <c r="AL68" s="24"/>
      <c r="AN68" s="26"/>
      <c r="AQ68" s="26"/>
      <c r="AU68" s="26"/>
      <c r="AY68" s="26"/>
      <c r="AZ68" s="24"/>
      <c r="BA68" s="24"/>
      <c r="BB68" s="24"/>
      <c r="BD68" s="25"/>
      <c r="BF68" s="23"/>
      <c r="BG68" s="23"/>
    </row>
    <row r="69" spans="10:59" ht="23.25">
      <c r="L69" s="586" t="s">
        <v>202</v>
      </c>
      <c r="M69" s="440">
        <v>0.4</v>
      </c>
      <c r="N69" s="430">
        <v>0</v>
      </c>
      <c r="O69" s="430">
        <v>0</v>
      </c>
      <c r="P69" s="430">
        <v>0</v>
      </c>
      <c r="Q69" s="430"/>
      <c r="R69" s="719"/>
      <c r="S69" s="430"/>
      <c r="T69" s="568">
        <f t="shared" si="37"/>
        <v>0.4</v>
      </c>
      <c r="U69" s="587">
        <v>0</v>
      </c>
      <c r="V69" s="1286"/>
      <c r="W69" s="1286"/>
      <c r="X69" s="1286"/>
      <c r="Y69" s="1286"/>
      <c r="Z69" s="1286"/>
      <c r="AA69" s="1286"/>
      <c r="AB69" s="1286"/>
      <c r="AC69" s="1286"/>
      <c r="AD69" s="1286"/>
      <c r="AE69" s="1286"/>
      <c r="AF69" s="26"/>
      <c r="AH69" s="24"/>
      <c r="AJ69" s="49"/>
      <c r="AL69" s="26"/>
      <c r="AM69" s="26"/>
      <c r="AO69" s="26"/>
      <c r="AP69" s="24"/>
      <c r="AS69" s="26"/>
      <c r="AT69" s="24"/>
      <c r="AW69" s="26"/>
      <c r="AX69" s="24"/>
      <c r="AY69" s="24"/>
      <c r="AZ69" s="24"/>
      <c r="BA69" s="24"/>
      <c r="BB69" s="25"/>
      <c r="BC69" s="25"/>
      <c r="BE69" s="23"/>
      <c r="BF69" s="23"/>
      <c r="BG69" s="23"/>
    </row>
    <row r="70" spans="10:59" ht="23.25">
      <c r="L70" s="586" t="s">
        <v>186</v>
      </c>
      <c r="M70" s="440">
        <v>6.5</v>
      </c>
      <c r="N70" s="430">
        <v>0</v>
      </c>
      <c r="O70" s="430">
        <v>0</v>
      </c>
      <c r="P70" s="430">
        <v>0</v>
      </c>
      <c r="Q70" s="430"/>
      <c r="R70" s="719"/>
      <c r="S70" s="430"/>
      <c r="T70" s="568">
        <f t="shared" si="37"/>
        <v>6.5</v>
      </c>
      <c r="U70" s="587">
        <v>0</v>
      </c>
      <c r="V70" s="1286"/>
      <c r="W70" s="1286"/>
      <c r="X70" s="1286"/>
      <c r="Y70" s="1286"/>
      <c r="Z70" s="1286"/>
      <c r="AA70" s="1286"/>
      <c r="AB70" s="1286"/>
      <c r="AC70" s="1286"/>
      <c r="AD70" s="1286"/>
      <c r="AE70" s="1286"/>
      <c r="AF70" s="26"/>
      <c r="AH70" s="24"/>
      <c r="AJ70" s="49"/>
      <c r="AL70" s="26"/>
      <c r="AM70" s="26"/>
      <c r="AO70" s="26"/>
      <c r="AP70" s="24"/>
      <c r="AS70" s="26"/>
      <c r="AT70" s="24"/>
      <c r="AW70" s="26"/>
      <c r="AX70" s="24"/>
      <c r="AY70" s="24"/>
      <c r="AZ70" s="24"/>
      <c r="BA70" s="24"/>
      <c r="BB70" s="25"/>
      <c r="BC70" s="25"/>
      <c r="BE70" s="23"/>
      <c r="BF70" s="23"/>
      <c r="BG70" s="23"/>
    </row>
    <row r="71" spans="10:59" ht="23.25">
      <c r="L71" s="586" t="s">
        <v>203</v>
      </c>
      <c r="M71" s="440">
        <v>0</v>
      </c>
      <c r="N71" s="430">
        <v>0</v>
      </c>
      <c r="O71" s="430">
        <v>0</v>
      </c>
      <c r="P71" s="430">
        <v>0</v>
      </c>
      <c r="Q71" s="430"/>
      <c r="R71" s="719"/>
      <c r="S71" s="430"/>
      <c r="T71" s="568">
        <f t="shared" si="37"/>
        <v>0</v>
      </c>
      <c r="U71" s="587">
        <v>0</v>
      </c>
      <c r="V71" s="1286"/>
      <c r="W71" s="1286"/>
      <c r="X71" s="1286"/>
      <c r="Y71" s="1286"/>
      <c r="Z71" s="1286"/>
      <c r="AA71" s="1286"/>
      <c r="AB71" s="1286"/>
      <c r="AC71" s="1286"/>
      <c r="AD71" s="1286"/>
      <c r="AE71" s="1286"/>
      <c r="AG71" s="26"/>
      <c r="AH71" s="24"/>
      <c r="AK71" s="49"/>
      <c r="AL71" s="24"/>
      <c r="AM71" s="26"/>
      <c r="AN71" s="26"/>
      <c r="AY71" s="24"/>
      <c r="AZ71" s="24"/>
      <c r="BA71" s="24"/>
      <c r="BB71" s="24"/>
      <c r="BC71" s="25"/>
      <c r="BD71" s="25"/>
      <c r="BF71" s="23"/>
      <c r="BG71" s="23"/>
    </row>
    <row r="72" spans="10:59" ht="24" thickBot="1">
      <c r="L72" s="588" t="s">
        <v>191</v>
      </c>
      <c r="M72" s="589">
        <f>SUM(M62:M71)</f>
        <v>12.95</v>
      </c>
      <c r="N72" s="444">
        <f>SUM(N62:N71)</f>
        <v>1</v>
      </c>
      <c r="O72" s="444">
        <f t="shared" ref="O72" si="38">SUM(O62:O71)</f>
        <v>0</v>
      </c>
      <c r="P72" s="444">
        <f>SUM(P62:P71)</f>
        <v>3.5</v>
      </c>
      <c r="Q72" s="444">
        <f>SUM(Q62:Q71)</f>
        <v>0</v>
      </c>
      <c r="R72" s="444"/>
      <c r="S72" s="444">
        <f t="shared" ref="S72" si="39">SUM(S62:S71)</f>
        <v>0</v>
      </c>
      <c r="T72" s="630">
        <f>SUM(T62:T71)</f>
        <v>17.450000000000003</v>
      </c>
      <c r="U72" s="631">
        <f>SUM(U62:U71)</f>
        <v>40.46</v>
      </c>
      <c r="V72" s="1286"/>
      <c r="W72" s="1286"/>
      <c r="X72" s="1286"/>
      <c r="Y72" s="1286"/>
      <c r="Z72" s="1286"/>
      <c r="AA72" s="1286"/>
      <c r="AB72" s="1286"/>
      <c r="AC72" s="1286"/>
      <c r="AD72" s="1286"/>
      <c r="AE72" s="1286"/>
      <c r="AG72" s="26"/>
      <c r="AH72" s="24"/>
      <c r="AK72" s="49"/>
      <c r="AL72" s="24"/>
      <c r="AM72" s="26"/>
      <c r="AN72" s="26"/>
      <c r="AY72" s="24"/>
      <c r="AZ72" s="24"/>
      <c r="BA72" s="24"/>
      <c r="BB72" s="24"/>
      <c r="BC72" s="25"/>
      <c r="BD72" s="25"/>
      <c r="BF72" s="23"/>
      <c r="BG72" s="23"/>
    </row>
    <row r="73" spans="10:59" ht="27" thickBot="1">
      <c r="L73" s="1932" t="s">
        <v>221</v>
      </c>
      <c r="M73" s="1932"/>
      <c r="N73" s="1932"/>
      <c r="O73" s="1932"/>
      <c r="P73" s="1932"/>
      <c r="Q73" s="1932"/>
      <c r="R73" s="1932"/>
      <c r="S73" s="1932"/>
      <c r="T73" s="1933">
        <f>T72+U72</f>
        <v>57.910000000000004</v>
      </c>
      <c r="U73" s="1934"/>
      <c r="V73" s="24"/>
      <c r="W73" s="466"/>
      <c r="X73" s="466"/>
      <c r="Y73" s="465"/>
      <c r="Z73" s="466"/>
      <c r="AA73" s="466"/>
      <c r="AB73" s="466"/>
      <c r="AC73" s="465"/>
      <c r="AD73" s="466"/>
      <c r="AG73" s="26"/>
      <c r="AH73" s="24"/>
      <c r="AK73" s="49"/>
      <c r="AL73" s="24"/>
      <c r="AM73" s="26"/>
      <c r="AN73" s="26"/>
      <c r="AP73" s="24"/>
      <c r="AQ73" s="26"/>
      <c r="AR73" s="26"/>
      <c r="AT73" s="24"/>
      <c r="AU73" s="26"/>
      <c r="AV73" s="26"/>
      <c r="AW73" s="50"/>
      <c r="AX73" s="50"/>
      <c r="AY73" s="26"/>
      <c r="AZ73" s="26"/>
      <c r="BA73" s="24"/>
      <c r="BB73" s="24"/>
      <c r="BC73" s="25"/>
      <c r="BD73" s="25"/>
      <c r="BF73" s="23"/>
      <c r="BG73" s="23"/>
    </row>
    <row r="74" spans="10:59" ht="26.25">
      <c r="L74" s="966"/>
      <c r="M74" s="966"/>
      <c r="N74" s="966"/>
      <c r="O74" s="1922" t="s">
        <v>235</v>
      </c>
      <c r="P74" s="1922"/>
      <c r="Q74" s="1922"/>
      <c r="R74" s="1922"/>
      <c r="S74" s="1922"/>
      <c r="T74" s="1920">
        <f>U72+M72</f>
        <v>53.41</v>
      </c>
      <c r="U74" s="1921"/>
      <c r="V74" s="24"/>
      <c r="W74" s="466"/>
      <c r="X74" s="466"/>
      <c r="Y74" s="466"/>
      <c r="Z74" s="465"/>
      <c r="AA74" s="466"/>
      <c r="AB74" s="466"/>
      <c r="AC74" s="466"/>
      <c r="AD74" s="465"/>
      <c r="AE74" s="466"/>
      <c r="AN74" s="26"/>
      <c r="AO74" s="26"/>
      <c r="AP74" s="24"/>
      <c r="AR74" s="26"/>
      <c r="AS74" s="26"/>
      <c r="AT74" s="24"/>
      <c r="AV74" s="26"/>
      <c r="AW74" s="26"/>
      <c r="AX74" s="50"/>
      <c r="AZ74" s="26"/>
      <c r="BA74" s="26"/>
      <c r="BB74" s="24"/>
      <c r="BD74" s="25"/>
      <c r="BE74" s="25"/>
      <c r="BF74" s="24"/>
      <c r="BG74" s="23"/>
    </row>
    <row r="75" spans="10:59">
      <c r="L75" s="26"/>
      <c r="M75" s="26"/>
      <c r="N75" s="24"/>
      <c r="P75" s="26"/>
      <c r="Q75" s="26"/>
      <c r="R75" s="24"/>
      <c r="T75" s="26"/>
      <c r="U75" s="26"/>
      <c r="V75" s="24"/>
      <c r="W75" s="466"/>
      <c r="X75" s="466"/>
      <c r="Y75" s="466"/>
      <c r="Z75" s="465"/>
      <c r="AA75" s="466"/>
      <c r="AB75" s="466"/>
      <c r="AC75" s="466"/>
      <c r="AD75" s="465"/>
      <c r="AE75" s="466"/>
      <c r="AN75" s="26"/>
      <c r="AO75" s="26"/>
      <c r="AP75" s="24"/>
      <c r="AR75" s="26"/>
      <c r="AS75" s="26"/>
      <c r="AT75" s="24"/>
      <c r="AV75" s="26"/>
      <c r="AW75" s="26"/>
      <c r="AX75" s="50"/>
      <c r="AZ75" s="26"/>
      <c r="BA75" s="26"/>
      <c r="BB75" s="24"/>
      <c r="BD75" s="25"/>
      <c r="BE75" s="25"/>
      <c r="BF75" s="24"/>
      <c r="BG75" s="23"/>
    </row>
    <row r="76" spans="10:59">
      <c r="L76" s="26"/>
      <c r="M76" s="26"/>
      <c r="N76" s="24"/>
      <c r="P76" s="26"/>
      <c r="Q76" s="26"/>
      <c r="R76" s="24"/>
      <c r="T76" s="26"/>
      <c r="U76" s="26"/>
      <c r="V76" s="24"/>
      <c r="W76" s="466"/>
      <c r="X76" s="466"/>
      <c r="Y76" s="466"/>
      <c r="Z76" s="465"/>
      <c r="AA76" s="466"/>
      <c r="AB76" s="466"/>
      <c r="AC76" s="466"/>
      <c r="AD76" s="465"/>
      <c r="AE76" s="466"/>
      <c r="AN76" s="26"/>
      <c r="AO76" s="26"/>
      <c r="AP76" s="24"/>
      <c r="AR76" s="26"/>
      <c r="AS76" s="26"/>
      <c r="AT76" s="24"/>
      <c r="AV76" s="26"/>
      <c r="AW76" s="26"/>
      <c r="AX76" s="50"/>
      <c r="AZ76" s="26"/>
      <c r="BA76" s="26"/>
      <c r="BB76" s="24"/>
      <c r="BD76" s="25"/>
      <c r="BE76" s="25"/>
      <c r="BF76" s="24"/>
      <c r="BG76" s="23"/>
    </row>
    <row r="77" spans="10:59">
      <c r="L77" s="26"/>
      <c r="M77" s="26"/>
      <c r="N77" s="24"/>
      <c r="P77" s="26"/>
      <c r="Q77" s="26"/>
      <c r="R77" s="24"/>
      <c r="T77" s="26"/>
      <c r="U77" s="26"/>
      <c r="V77" s="24"/>
      <c r="X77" s="26"/>
      <c r="Y77" s="466"/>
      <c r="Z77" s="465"/>
      <c r="AA77" s="466"/>
      <c r="AB77" s="466"/>
      <c r="AC77" s="466"/>
      <c r="AD77" s="465"/>
      <c r="AE77" s="466"/>
      <c r="AN77" s="26"/>
      <c r="AO77" s="26"/>
      <c r="AP77" s="24"/>
      <c r="AR77" s="26"/>
      <c r="AS77" s="26"/>
      <c r="AT77" s="24"/>
      <c r="AV77" s="26"/>
      <c r="AW77" s="26"/>
      <c r="AX77" s="50"/>
      <c r="AZ77" s="26"/>
      <c r="BA77" s="26"/>
      <c r="BB77" s="24"/>
      <c r="BD77" s="25"/>
      <c r="BE77" s="25"/>
      <c r="BF77" s="24"/>
      <c r="BG77" s="23"/>
    </row>
    <row r="78" spans="10:59">
      <c r="L78" s="26"/>
      <c r="M78" s="26"/>
      <c r="N78" s="24"/>
      <c r="P78" s="26"/>
      <c r="Q78" s="26"/>
      <c r="R78" s="24"/>
      <c r="T78" s="26"/>
      <c r="U78" s="26"/>
      <c r="V78" s="24"/>
      <c r="X78" s="26"/>
      <c r="Y78" s="26"/>
      <c r="Z78" s="24"/>
      <c r="AB78" s="26"/>
      <c r="AC78" s="26"/>
      <c r="AD78" s="24"/>
      <c r="AF78" s="26"/>
      <c r="AG78" s="26"/>
      <c r="AH78" s="24"/>
      <c r="AJ78" s="49"/>
      <c r="AK78" s="49"/>
      <c r="AL78" s="24"/>
      <c r="AN78" s="26"/>
      <c r="AO78" s="26"/>
      <c r="AP78" s="24"/>
      <c r="AR78" s="26"/>
      <c r="AS78" s="26"/>
      <c r="AT78" s="24"/>
      <c r="AV78" s="26"/>
      <c r="AW78" s="26"/>
      <c r="AX78" s="50"/>
      <c r="AZ78" s="26"/>
      <c r="BA78" s="26"/>
      <c r="BB78" s="24"/>
      <c r="BD78" s="25"/>
      <c r="BE78" s="25"/>
      <c r="BF78" s="24"/>
      <c r="BG78" s="23"/>
    </row>
    <row r="79" spans="10:59">
      <c r="L79" s="26"/>
      <c r="M79" s="26"/>
      <c r="N79" s="24"/>
      <c r="P79" s="26"/>
      <c r="Q79" s="26"/>
      <c r="R79" s="24"/>
      <c r="T79" s="26"/>
      <c r="U79" s="26"/>
      <c r="Y79" s="26"/>
      <c r="Z79" s="24"/>
      <c r="AB79" s="26"/>
      <c r="AC79" s="26"/>
      <c r="AD79" s="24"/>
      <c r="AF79" s="26"/>
      <c r="AG79" s="26"/>
      <c r="AH79" s="24"/>
      <c r="AJ79" s="49"/>
      <c r="AK79" s="49"/>
      <c r="AL79" s="24"/>
      <c r="AN79" s="26"/>
      <c r="AO79" s="26"/>
      <c r="AP79" s="24"/>
      <c r="AR79" s="26"/>
      <c r="AS79" s="26"/>
      <c r="AT79" s="24"/>
      <c r="AV79" s="26"/>
      <c r="AW79" s="26"/>
      <c r="AX79" s="50"/>
      <c r="AZ79" s="26"/>
      <c r="BA79" s="26"/>
      <c r="BB79" s="24"/>
      <c r="BD79" s="25"/>
      <c r="BE79" s="25"/>
      <c r="BF79" s="24"/>
      <c r="BG79" s="23"/>
    </row>
  </sheetData>
  <mergeCells count="62">
    <mergeCell ref="C2:F2"/>
    <mergeCell ref="H2:K2"/>
    <mergeCell ref="C5:D5"/>
    <mergeCell ref="AD59:AE59"/>
    <mergeCell ref="C6:C9"/>
    <mergeCell ref="H6:H9"/>
    <mergeCell ref="D4:F4"/>
    <mergeCell ref="H4:I5"/>
    <mergeCell ref="D13:F13"/>
    <mergeCell ref="H13:I14"/>
    <mergeCell ref="C14:D14"/>
    <mergeCell ref="H10:I10"/>
    <mergeCell ref="H12:BI12"/>
    <mergeCell ref="J13:M13"/>
    <mergeCell ref="N13:Q13"/>
    <mergeCell ref="C15:C24"/>
    <mergeCell ref="H15:H23"/>
    <mergeCell ref="H24:I24"/>
    <mergeCell ref="H26:I26"/>
    <mergeCell ref="V31:AD31"/>
    <mergeCell ref="L31:S31"/>
    <mergeCell ref="BB2:BI2"/>
    <mergeCell ref="H3:BI3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N2:AZ2"/>
    <mergeCell ref="BC27:BC28"/>
    <mergeCell ref="BB13:BE13"/>
    <mergeCell ref="BF13:BI13"/>
    <mergeCell ref="V13:Y13"/>
    <mergeCell ref="Z13:AC13"/>
    <mergeCell ref="AD13:AG13"/>
    <mergeCell ref="AH13:AK13"/>
    <mergeCell ref="AL13:AO13"/>
    <mergeCell ref="AP13:AS13"/>
    <mergeCell ref="AT13:AW13"/>
    <mergeCell ref="BH27:BI27"/>
    <mergeCell ref="AX13:BA13"/>
    <mergeCell ref="V45:AE45"/>
    <mergeCell ref="Y59:AC59"/>
    <mergeCell ref="L45:T45"/>
    <mergeCell ref="V58:AC58"/>
    <mergeCell ref="AD58:AE58"/>
    <mergeCell ref="L73:S73"/>
    <mergeCell ref="T73:U73"/>
    <mergeCell ref="O74:S74"/>
    <mergeCell ref="T74:U74"/>
    <mergeCell ref="R13:U13"/>
    <mergeCell ref="O58:R58"/>
    <mergeCell ref="S58:T58"/>
    <mergeCell ref="L60:U60"/>
  </mergeCells>
  <conditionalFormatting sqref="M47:R56">
    <cfRule type="cellIs" dxfId="21" priority="2" operator="equal">
      <formula>0</formula>
    </cfRule>
  </conditionalFormatting>
  <conditionalFormatting sqref="M62:R71">
    <cfRule type="cellIs" dxfId="20" priority="1" operator="equal">
      <formula>0</formula>
    </cfRule>
  </conditionalFormatting>
  <pageMargins left="0.7" right="0.7" top="0.75" bottom="0.75" header="0.3" footer="0.3"/>
  <pageSetup paperSize="9" scale="21" orientation="landscape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BI93"/>
  <sheetViews>
    <sheetView topLeftCell="H1" zoomScale="60" zoomScaleNormal="60" workbookViewId="0">
      <pane xSplit="2" topLeftCell="J1" activePane="topRight" state="frozen"/>
      <selection activeCell="H1" sqref="H1"/>
      <selection pane="topRight" activeCell="K27" sqref="K27:AH29"/>
    </sheetView>
  </sheetViews>
  <sheetFormatPr defaultColWidth="9.140625" defaultRowHeight="15"/>
  <cols>
    <col min="1" max="2" width="9.140625" style="23" hidden="1" customWidth="1"/>
    <col min="3" max="3" width="14.5703125" style="23" hidden="1" customWidth="1"/>
    <col min="4" max="4" width="11.42578125" style="27" hidden="1" customWidth="1"/>
    <col min="5" max="5" width="6.85546875" style="27" hidden="1" customWidth="1"/>
    <col min="6" max="6" width="9.140625" style="27" hidden="1" customWidth="1"/>
    <col min="7" max="7" width="3.42578125" style="23" hidden="1" customWidth="1"/>
    <col min="8" max="8" width="6.140625" style="23" customWidth="1"/>
    <col min="9" max="9" width="15.28515625" style="27" bestFit="1" customWidth="1"/>
    <col min="10" max="10" width="11.5703125" style="26" customWidth="1"/>
    <col min="11" max="11" width="9.140625" style="24" customWidth="1"/>
    <col min="12" max="13" width="12.85546875" style="24" customWidth="1"/>
    <col min="14" max="14" width="10.5703125" style="26" customWidth="1"/>
    <col min="15" max="15" width="10.28515625" style="24" customWidth="1"/>
    <col min="16" max="17" width="10.5703125" style="24" customWidth="1"/>
    <col min="18" max="18" width="8.5703125" style="26" customWidth="1"/>
    <col min="19" max="19" width="11.5703125" style="24" customWidth="1"/>
    <col min="20" max="20" width="14" style="24" customWidth="1"/>
    <col min="21" max="21" width="10.5703125" style="24" customWidth="1"/>
    <col min="22" max="22" width="13.7109375" style="26" customWidth="1"/>
    <col min="23" max="23" width="11" style="24" customWidth="1"/>
    <col min="24" max="25" width="9.7109375" style="24" customWidth="1"/>
    <col min="26" max="26" width="13.85546875" style="26" customWidth="1"/>
    <col min="27" max="27" width="12.42578125" style="24" customWidth="1"/>
    <col min="28" max="29" width="11.85546875" style="24" customWidth="1"/>
    <col min="30" max="30" width="11" style="26" customWidth="1"/>
    <col min="31" max="31" width="11.7109375" style="24" customWidth="1"/>
    <col min="32" max="33" width="10.5703125" style="24" customWidth="1"/>
    <col min="34" max="34" width="11.5703125" style="26" customWidth="1"/>
    <col min="35" max="35" width="13.5703125" style="24" customWidth="1"/>
    <col min="36" max="37" width="11.5703125" style="24" customWidth="1"/>
    <col min="38" max="38" width="10.5703125" style="49" customWidth="1"/>
    <col min="39" max="39" width="9" style="24" customWidth="1"/>
    <col min="40" max="41" width="12" style="24" customWidth="1"/>
    <col min="42" max="42" width="8.42578125" style="26" customWidth="1"/>
    <col min="43" max="43" width="10" style="24" customWidth="1"/>
    <col min="44" max="45" width="13.85546875" style="24" customWidth="1"/>
    <col min="46" max="46" width="11.7109375" style="26" customWidth="1"/>
    <col min="47" max="47" width="11.7109375" style="24" customWidth="1"/>
    <col min="48" max="48" width="10.5703125" style="24" bestFit="1" customWidth="1"/>
    <col min="49" max="49" width="10.5703125" style="24" customWidth="1"/>
    <col min="50" max="50" width="10.5703125" style="26" customWidth="1"/>
    <col min="51" max="51" width="10.5703125" style="50" customWidth="1"/>
    <col min="52" max="52" width="10.5703125" style="50" bestFit="1" customWidth="1"/>
    <col min="53" max="53" width="10.5703125" style="50" customWidth="1"/>
    <col min="54" max="54" width="10.7109375" style="26" bestFit="1" customWidth="1"/>
    <col min="55" max="55" width="12.85546875" style="24" bestFit="1" customWidth="1"/>
    <col min="56" max="56" width="10.5703125" style="24" bestFit="1" customWidth="1"/>
    <col min="57" max="57" width="10.5703125" style="24" customWidth="1"/>
    <col min="58" max="58" width="16" style="25" bestFit="1" customWidth="1"/>
    <col min="59" max="59" width="10.7109375" style="24" bestFit="1" customWidth="1"/>
    <col min="60" max="60" width="13" style="23" bestFit="1" customWidth="1"/>
    <col min="61" max="16384" width="9.140625" style="23"/>
  </cols>
  <sheetData>
    <row r="1" spans="3:61" ht="15" customHeight="1" thickBot="1"/>
    <row r="2" spans="3:61" ht="21.75" thickBot="1">
      <c r="C2" s="1899" t="s">
        <v>45</v>
      </c>
      <c r="D2" s="1900"/>
      <c r="E2" s="1900"/>
      <c r="F2" s="1901"/>
      <c r="H2" s="1915"/>
      <c r="I2" s="1567"/>
      <c r="J2" s="1567"/>
      <c r="K2" s="1567"/>
      <c r="L2" s="1020"/>
      <c r="M2" s="1020"/>
      <c r="N2" s="1916" t="s">
        <v>249</v>
      </c>
      <c r="O2" s="1916"/>
      <c r="P2" s="1916"/>
      <c r="Q2" s="1916"/>
      <c r="R2" s="1916"/>
      <c r="S2" s="1916"/>
      <c r="T2" s="1916"/>
      <c r="U2" s="1916"/>
      <c r="V2" s="1916"/>
      <c r="W2" s="1916"/>
      <c r="X2" s="1916"/>
      <c r="Y2" s="1916"/>
      <c r="Z2" s="1916"/>
      <c r="AA2" s="1916"/>
      <c r="AB2" s="1916"/>
      <c r="AC2" s="1916"/>
      <c r="AD2" s="1916"/>
      <c r="AE2" s="1916"/>
      <c r="AF2" s="1916"/>
      <c r="AG2" s="1916"/>
      <c r="AH2" s="1916"/>
      <c r="AI2" s="1916"/>
      <c r="AJ2" s="1916"/>
      <c r="AK2" s="1916"/>
      <c r="AL2" s="1916"/>
      <c r="AM2" s="1916"/>
      <c r="AN2" s="1916"/>
      <c r="AO2" s="1916"/>
      <c r="AP2" s="1916"/>
      <c r="AQ2" s="1916"/>
      <c r="AR2" s="1916"/>
      <c r="AS2" s="1916"/>
      <c r="AT2" s="1916"/>
      <c r="AU2" s="1916"/>
      <c r="AV2" s="1916"/>
      <c r="AW2" s="1916"/>
      <c r="AX2" s="1916"/>
      <c r="AY2" s="1916"/>
      <c r="AZ2" s="1916"/>
      <c r="BA2" s="1020"/>
      <c r="BB2" s="1902" t="s">
        <v>118</v>
      </c>
      <c r="BC2" s="1903"/>
      <c r="BD2" s="1903"/>
      <c r="BE2" s="1903"/>
      <c r="BF2" s="1903"/>
      <c r="BG2" s="1903"/>
      <c r="BH2" s="1903"/>
      <c r="BI2" s="1904"/>
    </row>
    <row r="3" spans="3:61" ht="19.5" thickBot="1">
      <c r="C3" s="1019"/>
      <c r="D3" s="1017"/>
      <c r="E3" s="1017"/>
      <c r="F3" s="1023"/>
      <c r="H3" s="1905" t="s">
        <v>115</v>
      </c>
      <c r="I3" s="1906"/>
      <c r="J3" s="1906"/>
      <c r="K3" s="1906"/>
      <c r="L3" s="1906"/>
      <c r="M3" s="1906"/>
      <c r="N3" s="1906"/>
      <c r="O3" s="1906"/>
      <c r="P3" s="1906"/>
      <c r="Q3" s="1906"/>
      <c r="R3" s="1906"/>
      <c r="S3" s="1906"/>
      <c r="T3" s="1906"/>
      <c r="U3" s="1906"/>
      <c r="V3" s="1906"/>
      <c r="W3" s="1906"/>
      <c r="X3" s="1906"/>
      <c r="Y3" s="1906"/>
      <c r="Z3" s="1906"/>
      <c r="AA3" s="1906"/>
      <c r="AB3" s="1906"/>
      <c r="AC3" s="1906"/>
      <c r="AD3" s="1906"/>
      <c r="AE3" s="1906"/>
      <c r="AF3" s="1906"/>
      <c r="AG3" s="1906"/>
      <c r="AH3" s="1906"/>
      <c r="AI3" s="1906"/>
      <c r="AJ3" s="1906"/>
      <c r="AK3" s="1906"/>
      <c r="AL3" s="1906"/>
      <c r="AM3" s="1906"/>
      <c r="AN3" s="1906"/>
      <c r="AO3" s="1906"/>
      <c r="AP3" s="1906"/>
      <c r="AQ3" s="1906"/>
      <c r="AR3" s="1906"/>
      <c r="AS3" s="1906"/>
      <c r="AT3" s="1906"/>
      <c r="AU3" s="1906"/>
      <c r="AV3" s="1906"/>
      <c r="AW3" s="1906"/>
      <c r="AX3" s="1906"/>
      <c r="AY3" s="1906"/>
      <c r="AZ3" s="1906"/>
      <c r="BA3" s="1906"/>
      <c r="BB3" s="1906"/>
      <c r="BC3" s="1906"/>
      <c r="BD3" s="1906"/>
      <c r="BE3" s="1906"/>
      <c r="BF3" s="1906"/>
      <c r="BG3" s="1906"/>
      <c r="BH3" s="1906"/>
      <c r="BI3" s="1907"/>
    </row>
    <row r="4" spans="3:61" ht="18.75">
      <c r="C4" s="37" t="s">
        <v>44</v>
      </c>
      <c r="D4" s="1869"/>
      <c r="E4" s="1869"/>
      <c r="F4" s="1870"/>
      <c r="H4" s="1908" t="s">
        <v>33</v>
      </c>
      <c r="I4" s="1909"/>
      <c r="J4" s="1871" t="s">
        <v>43</v>
      </c>
      <c r="K4" s="1872"/>
      <c r="L4" s="1872"/>
      <c r="M4" s="1873"/>
      <c r="N4" s="1871" t="s">
        <v>42</v>
      </c>
      <c r="O4" s="1872"/>
      <c r="P4" s="1872"/>
      <c r="Q4" s="1873"/>
      <c r="R4" s="1871" t="s">
        <v>41</v>
      </c>
      <c r="S4" s="1872"/>
      <c r="T4" s="1872"/>
      <c r="U4" s="1873"/>
      <c r="V4" s="1871" t="s">
        <v>40</v>
      </c>
      <c r="W4" s="1872"/>
      <c r="X4" s="1872"/>
      <c r="Y4" s="1873"/>
      <c r="Z4" s="1871" t="s">
        <v>39</v>
      </c>
      <c r="AA4" s="1872"/>
      <c r="AB4" s="1872"/>
      <c r="AC4" s="1873"/>
      <c r="AD4" s="1871" t="s">
        <v>38</v>
      </c>
      <c r="AE4" s="1872"/>
      <c r="AF4" s="1872"/>
      <c r="AG4" s="1873"/>
      <c r="AH4" s="1874" t="s">
        <v>122</v>
      </c>
      <c r="AI4" s="1875"/>
      <c r="AJ4" s="1875"/>
      <c r="AK4" s="1876"/>
      <c r="AL4" s="1871" t="s">
        <v>37</v>
      </c>
      <c r="AM4" s="1872"/>
      <c r="AN4" s="1872"/>
      <c r="AO4" s="1873"/>
      <c r="AP4" s="1871" t="s">
        <v>36</v>
      </c>
      <c r="AQ4" s="1872"/>
      <c r="AR4" s="1872"/>
      <c r="AS4" s="1873"/>
      <c r="AT4" s="1871" t="s">
        <v>35</v>
      </c>
      <c r="AU4" s="1872"/>
      <c r="AV4" s="1872"/>
      <c r="AW4" s="1873"/>
      <c r="AX4" s="1871" t="s">
        <v>34</v>
      </c>
      <c r="AY4" s="1872"/>
      <c r="AZ4" s="1872"/>
      <c r="BA4" s="1873"/>
      <c r="BB4" s="1874" t="s">
        <v>123</v>
      </c>
      <c r="BC4" s="1875"/>
      <c r="BD4" s="1875"/>
      <c r="BE4" s="1876"/>
      <c r="BF4" s="1877" t="s">
        <v>17</v>
      </c>
      <c r="BG4" s="1878"/>
      <c r="BH4" s="1878"/>
      <c r="BI4" s="1878"/>
    </row>
    <row r="5" spans="3:61" ht="15.75" customHeight="1">
      <c r="C5" s="1879" t="s">
        <v>33</v>
      </c>
      <c r="D5" s="1869"/>
      <c r="E5" s="1017" t="s">
        <v>1</v>
      </c>
      <c r="F5" s="1023" t="s">
        <v>2</v>
      </c>
      <c r="H5" s="1910"/>
      <c r="I5" s="1911"/>
      <c r="J5" s="36" t="s">
        <v>1</v>
      </c>
      <c r="K5" s="271" t="s">
        <v>2</v>
      </c>
      <c r="L5" s="693" t="s">
        <v>182</v>
      </c>
      <c r="M5" s="35" t="s">
        <v>247</v>
      </c>
      <c r="N5" s="36" t="s">
        <v>1</v>
      </c>
      <c r="O5" s="271" t="s">
        <v>2</v>
      </c>
      <c r="P5" s="693" t="s">
        <v>182</v>
      </c>
      <c r="Q5" s="35" t="s">
        <v>247</v>
      </c>
      <c r="R5" s="36" t="s">
        <v>1</v>
      </c>
      <c r="S5" s="271" t="s">
        <v>2</v>
      </c>
      <c r="T5" s="693" t="s">
        <v>182</v>
      </c>
      <c r="U5" s="35" t="s">
        <v>247</v>
      </c>
      <c r="V5" s="36" t="s">
        <v>1</v>
      </c>
      <c r="W5" s="271" t="s">
        <v>2</v>
      </c>
      <c r="X5" s="693" t="s">
        <v>182</v>
      </c>
      <c r="Y5" s="35" t="s">
        <v>247</v>
      </c>
      <c r="Z5" s="36" t="s">
        <v>1</v>
      </c>
      <c r="AA5" s="271" t="s">
        <v>2</v>
      </c>
      <c r="AB5" s="693" t="s">
        <v>182</v>
      </c>
      <c r="AC5" s="35" t="s">
        <v>247</v>
      </c>
      <c r="AD5" s="36" t="s">
        <v>1</v>
      </c>
      <c r="AE5" s="271" t="s">
        <v>2</v>
      </c>
      <c r="AF5" s="693" t="s">
        <v>182</v>
      </c>
      <c r="AG5" s="35" t="s">
        <v>247</v>
      </c>
      <c r="AH5" s="36" t="s">
        <v>1</v>
      </c>
      <c r="AI5" s="271" t="s">
        <v>2</v>
      </c>
      <c r="AJ5" s="271" t="s">
        <v>182</v>
      </c>
      <c r="AK5" s="690" t="s">
        <v>196</v>
      </c>
      <c r="AL5" s="36" t="s">
        <v>1</v>
      </c>
      <c r="AM5" s="271" t="s">
        <v>2</v>
      </c>
      <c r="AN5" s="693" t="s">
        <v>182</v>
      </c>
      <c r="AO5" s="35" t="s">
        <v>247</v>
      </c>
      <c r="AP5" s="36" t="s">
        <v>1</v>
      </c>
      <c r="AQ5" s="271" t="s">
        <v>2</v>
      </c>
      <c r="AR5" s="693" t="s">
        <v>182</v>
      </c>
      <c r="AS5" s="35" t="s">
        <v>247</v>
      </c>
      <c r="AT5" s="36" t="s">
        <v>1</v>
      </c>
      <c r="AU5" s="271" t="s">
        <v>2</v>
      </c>
      <c r="AV5" s="693" t="s">
        <v>182</v>
      </c>
      <c r="AW5" s="35" t="s">
        <v>247</v>
      </c>
      <c r="AX5" s="36" t="s">
        <v>1</v>
      </c>
      <c r="AY5" s="271" t="s">
        <v>2</v>
      </c>
      <c r="AZ5" s="693" t="s">
        <v>182</v>
      </c>
      <c r="BA5" s="35" t="s">
        <v>247</v>
      </c>
      <c r="BB5" s="36" t="s">
        <v>1</v>
      </c>
      <c r="BC5" s="271" t="s">
        <v>2</v>
      </c>
      <c r="BD5" s="271" t="s">
        <v>182</v>
      </c>
      <c r="BE5" s="690" t="s">
        <v>196</v>
      </c>
      <c r="BF5" s="274" t="s">
        <v>1</v>
      </c>
      <c r="BG5" s="275" t="s">
        <v>2</v>
      </c>
      <c r="BH5" s="275" t="s">
        <v>182</v>
      </c>
      <c r="BI5" s="698" t="s">
        <v>196</v>
      </c>
    </row>
    <row r="6" spans="3:61" s="28" customFormat="1" ht="20.100000000000001" customHeight="1">
      <c r="C6" s="1879" t="s">
        <v>19</v>
      </c>
      <c r="D6" s="1017" t="s">
        <v>32</v>
      </c>
      <c r="E6" s="1017"/>
      <c r="F6" s="1018"/>
      <c r="H6" s="1886" t="s">
        <v>32</v>
      </c>
      <c r="I6" s="33" t="s">
        <v>32</v>
      </c>
      <c r="J6" s="462"/>
      <c r="K6" s="463"/>
      <c r="L6" s="463"/>
      <c r="M6" s="691"/>
      <c r="N6" s="462"/>
      <c r="O6" s="463"/>
      <c r="P6" s="463"/>
      <c r="Q6" s="691"/>
      <c r="R6" s="462"/>
      <c r="S6" s="463"/>
      <c r="T6" s="463"/>
      <c r="U6" s="691"/>
      <c r="V6" s="462"/>
      <c r="W6" s="463"/>
      <c r="X6" s="463"/>
      <c r="Y6" s="691"/>
      <c r="Z6" s="462"/>
      <c r="AA6" s="463"/>
      <c r="AB6" s="463"/>
      <c r="AC6" s="691"/>
      <c r="AD6" s="462"/>
      <c r="AE6" s="463"/>
      <c r="AF6" s="463"/>
      <c r="AG6" s="691"/>
      <c r="AH6" s="128">
        <f>J6+N6+R6+V6+Z6+AD6</f>
        <v>0</v>
      </c>
      <c r="AI6" s="273">
        <f>K6+O6+S6+W6+AA6+AE6</f>
        <v>0</v>
      </c>
      <c r="AJ6" s="273">
        <f>L6+P6+T6+X6+AB6+AF6</f>
        <v>0</v>
      </c>
      <c r="AK6" s="694">
        <f>M6+Q6+U6+Y6+AC6+AG6</f>
        <v>0</v>
      </c>
      <c r="AL6" s="462"/>
      <c r="AM6" s="463"/>
      <c r="AN6" s="463"/>
      <c r="AO6" s="691"/>
      <c r="AP6" s="462"/>
      <c r="AQ6" s="463"/>
      <c r="AR6" s="463"/>
      <c r="AS6" s="691"/>
      <c r="AT6" s="462"/>
      <c r="AU6" s="463"/>
      <c r="AV6" s="463"/>
      <c r="AW6" s="691"/>
      <c r="AX6" s="462"/>
      <c r="AY6" s="463"/>
      <c r="AZ6" s="463"/>
      <c r="BA6" s="691"/>
      <c r="BB6" s="128">
        <f>AL6+AP6+AT6+AX6</f>
        <v>0</v>
      </c>
      <c r="BC6" s="273">
        <f>AM6+AQ6+AU6+AY6</f>
        <v>0</v>
      </c>
      <c r="BD6" s="273">
        <f>AN6+AR6+AV6+AZ6</f>
        <v>0</v>
      </c>
      <c r="BE6" s="273">
        <f>AO6+AS6+AW6+BA6</f>
        <v>0</v>
      </c>
      <c r="BF6" s="276">
        <f>AH6+BB6</f>
        <v>0</v>
      </c>
      <c r="BG6" s="277">
        <f>AI6+BC6</f>
        <v>0</v>
      </c>
      <c r="BH6" s="701">
        <f>AJ6+BD6</f>
        <v>0</v>
      </c>
      <c r="BI6" s="699">
        <f>AK6+BE6</f>
        <v>0</v>
      </c>
    </row>
    <row r="7" spans="3:61" s="28" customFormat="1" ht="20.100000000000001" customHeight="1">
      <c r="C7" s="1879"/>
      <c r="D7" s="1017" t="s">
        <v>31</v>
      </c>
      <c r="E7" s="1017"/>
      <c r="F7" s="1018"/>
      <c r="H7" s="1887"/>
      <c r="I7" s="33" t="s">
        <v>31</v>
      </c>
      <c r="J7" s="462"/>
      <c r="K7" s="463"/>
      <c r="L7" s="463"/>
      <c r="M7" s="691"/>
      <c r="N7" s="462"/>
      <c r="O7" s="463"/>
      <c r="P7" s="463"/>
      <c r="Q7" s="691"/>
      <c r="R7" s="462"/>
      <c r="S7" s="463"/>
      <c r="T7" s="463"/>
      <c r="U7" s="691"/>
      <c r="V7" s="462"/>
      <c r="W7" s="463"/>
      <c r="X7" s="463"/>
      <c r="Y7" s="691"/>
      <c r="Z7" s="462"/>
      <c r="AA7" s="463"/>
      <c r="AB7" s="463"/>
      <c r="AC7" s="691"/>
      <c r="AD7" s="462"/>
      <c r="AE7" s="463"/>
      <c r="AF7" s="463"/>
      <c r="AG7" s="691"/>
      <c r="AH7" s="128">
        <f t="shared" ref="AH7:AK9" si="0">J7+N7+R7+V7+Z7+AD7</f>
        <v>0</v>
      </c>
      <c r="AI7" s="273">
        <f t="shared" si="0"/>
        <v>0</v>
      </c>
      <c r="AJ7" s="273">
        <f t="shared" si="0"/>
        <v>0</v>
      </c>
      <c r="AK7" s="694">
        <f t="shared" si="0"/>
        <v>0</v>
      </c>
      <c r="AL7" s="462"/>
      <c r="AM7" s="463"/>
      <c r="AN7" s="463"/>
      <c r="AO7" s="691"/>
      <c r="AP7" s="462"/>
      <c r="AQ7" s="463"/>
      <c r="AR7" s="463"/>
      <c r="AS7" s="691"/>
      <c r="AT7" s="462"/>
      <c r="AU7" s="463"/>
      <c r="AV7" s="463"/>
      <c r="AW7" s="691"/>
      <c r="AX7" s="462"/>
      <c r="AY7" s="463"/>
      <c r="AZ7" s="463"/>
      <c r="BA7" s="691"/>
      <c r="BB7" s="128">
        <f t="shared" ref="BB7:BE9" si="1">AL7+AP7+AT7+AX7</f>
        <v>0</v>
      </c>
      <c r="BC7" s="273">
        <f t="shared" si="1"/>
        <v>0</v>
      </c>
      <c r="BD7" s="273">
        <f t="shared" si="1"/>
        <v>0</v>
      </c>
      <c r="BE7" s="273">
        <f t="shared" si="1"/>
        <v>0</v>
      </c>
      <c r="BF7" s="276">
        <f t="shared" ref="BF7:BI9" si="2">AH7+BB7</f>
        <v>0</v>
      </c>
      <c r="BG7" s="277">
        <f t="shared" si="2"/>
        <v>0</v>
      </c>
      <c r="BH7" s="277">
        <f t="shared" si="2"/>
        <v>0</v>
      </c>
      <c r="BI7" s="699">
        <f t="shared" si="2"/>
        <v>0</v>
      </c>
    </row>
    <row r="8" spans="3:61" s="28" customFormat="1" ht="20.100000000000001" customHeight="1">
      <c r="C8" s="1879"/>
      <c r="D8" s="1017" t="s">
        <v>30</v>
      </c>
      <c r="E8" s="1017"/>
      <c r="F8" s="1018"/>
      <c r="H8" s="1887"/>
      <c r="I8" s="33" t="s">
        <v>30</v>
      </c>
      <c r="J8" s="462"/>
      <c r="K8" s="463"/>
      <c r="L8" s="463"/>
      <c r="M8" s="691"/>
      <c r="N8" s="462"/>
      <c r="O8" s="463"/>
      <c r="P8" s="463"/>
      <c r="Q8" s="691"/>
      <c r="R8" s="462"/>
      <c r="S8" s="463"/>
      <c r="T8" s="463"/>
      <c r="U8" s="691"/>
      <c r="V8" s="462"/>
      <c r="W8" s="463"/>
      <c r="X8" s="463"/>
      <c r="Y8" s="691"/>
      <c r="Z8" s="462"/>
      <c r="AA8" s="463"/>
      <c r="AB8" s="463"/>
      <c r="AC8" s="691"/>
      <c r="AD8" s="462"/>
      <c r="AE8" s="463"/>
      <c r="AF8" s="463"/>
      <c r="AG8" s="691"/>
      <c r="AH8" s="128">
        <f t="shared" si="0"/>
        <v>0</v>
      </c>
      <c r="AI8" s="273">
        <f t="shared" si="0"/>
        <v>0</v>
      </c>
      <c r="AJ8" s="273">
        <f t="shared" si="0"/>
        <v>0</v>
      </c>
      <c r="AK8" s="694">
        <f t="shared" si="0"/>
        <v>0</v>
      </c>
      <c r="AL8" s="462"/>
      <c r="AM8" s="463"/>
      <c r="AN8" s="463"/>
      <c r="AO8" s="691"/>
      <c r="AP8" s="462"/>
      <c r="AQ8" s="463"/>
      <c r="AR8" s="463"/>
      <c r="AS8" s="691"/>
      <c r="AT8" s="462"/>
      <c r="AU8" s="463"/>
      <c r="AV8" s="463"/>
      <c r="AW8" s="691"/>
      <c r="AX8" s="462"/>
      <c r="AY8" s="463"/>
      <c r="AZ8" s="463"/>
      <c r="BA8" s="691"/>
      <c r="BB8" s="128">
        <f t="shared" si="1"/>
        <v>0</v>
      </c>
      <c r="BC8" s="273">
        <f t="shared" si="1"/>
        <v>0</v>
      </c>
      <c r="BD8" s="273">
        <f t="shared" si="1"/>
        <v>0</v>
      </c>
      <c r="BE8" s="273">
        <f t="shared" si="1"/>
        <v>0</v>
      </c>
      <c r="BF8" s="276">
        <f t="shared" si="2"/>
        <v>0</v>
      </c>
      <c r="BG8" s="277">
        <f t="shared" si="2"/>
        <v>0</v>
      </c>
      <c r="BH8" s="277">
        <f t="shared" si="2"/>
        <v>0</v>
      </c>
      <c r="BI8" s="699">
        <f t="shared" si="2"/>
        <v>0</v>
      </c>
    </row>
    <row r="9" spans="3:61" s="28" customFormat="1" ht="20.100000000000001" customHeight="1">
      <c r="C9" s="1885"/>
      <c r="D9" s="1017" t="s">
        <v>29</v>
      </c>
      <c r="E9" s="1017"/>
      <c r="F9" s="1018"/>
      <c r="H9" s="1887"/>
      <c r="I9" s="33" t="s">
        <v>109</v>
      </c>
      <c r="J9" s="462"/>
      <c r="K9" s="463"/>
      <c r="L9" s="463"/>
      <c r="M9" s="691"/>
      <c r="N9" s="462"/>
      <c r="O9" s="463"/>
      <c r="P9" s="463"/>
      <c r="Q9" s="691"/>
      <c r="R9" s="462"/>
      <c r="S9" s="463"/>
      <c r="T9" s="463"/>
      <c r="U9" s="691"/>
      <c r="V9" s="462"/>
      <c r="W9" s="463"/>
      <c r="X9" s="463"/>
      <c r="Y9" s="691"/>
      <c r="Z9" s="462"/>
      <c r="AA9" s="463"/>
      <c r="AB9" s="463"/>
      <c r="AC9" s="691"/>
      <c r="AD9" s="462"/>
      <c r="AE9" s="463"/>
      <c r="AF9" s="463"/>
      <c r="AG9" s="691"/>
      <c r="AH9" s="128">
        <f t="shared" si="0"/>
        <v>0</v>
      </c>
      <c r="AI9" s="273">
        <f t="shared" si="0"/>
        <v>0</v>
      </c>
      <c r="AJ9" s="273">
        <f t="shared" si="0"/>
        <v>0</v>
      </c>
      <c r="AK9" s="694">
        <f t="shared" si="0"/>
        <v>0</v>
      </c>
      <c r="AL9" s="462"/>
      <c r="AM9" s="463"/>
      <c r="AN9" s="463"/>
      <c r="AO9" s="691"/>
      <c r="AP9" s="462"/>
      <c r="AQ9" s="463"/>
      <c r="AR9" s="463"/>
      <c r="AS9" s="691"/>
      <c r="AT9" s="462"/>
      <c r="AU9" s="463"/>
      <c r="AV9" s="463"/>
      <c r="AW9" s="691"/>
      <c r="AX9" s="462"/>
      <c r="AY9" s="463"/>
      <c r="AZ9" s="463"/>
      <c r="BA9" s="691"/>
      <c r="BB9" s="128">
        <f t="shared" si="1"/>
        <v>0</v>
      </c>
      <c r="BC9" s="273">
        <f t="shared" si="1"/>
        <v>0</v>
      </c>
      <c r="BD9" s="273">
        <f t="shared" si="1"/>
        <v>0</v>
      </c>
      <c r="BE9" s="273">
        <f t="shared" si="1"/>
        <v>0</v>
      </c>
      <c r="BF9" s="276">
        <f t="shared" si="2"/>
        <v>0</v>
      </c>
      <c r="BG9" s="277">
        <f t="shared" si="2"/>
        <v>0</v>
      </c>
      <c r="BH9" s="277">
        <f t="shared" si="2"/>
        <v>0</v>
      </c>
      <c r="BI9" s="699">
        <f t="shared" si="2"/>
        <v>0</v>
      </c>
    </row>
    <row r="10" spans="3:61" s="28" customFormat="1" ht="19.5" customHeight="1" thickBot="1">
      <c r="C10" s="32"/>
      <c r="D10" s="31" t="s">
        <v>18</v>
      </c>
      <c r="E10" s="31"/>
      <c r="F10" s="30"/>
      <c r="H10" s="1865" t="s">
        <v>47</v>
      </c>
      <c r="I10" s="1866"/>
      <c r="J10" s="118">
        <f t="shared" ref="J10:BG10" si="3">SUM(J6:J9)</f>
        <v>0</v>
      </c>
      <c r="K10" s="272">
        <f t="shared" si="3"/>
        <v>0</v>
      </c>
      <c r="L10" s="272">
        <f t="shared" si="3"/>
        <v>0</v>
      </c>
      <c r="M10" s="272">
        <f t="shared" si="3"/>
        <v>0</v>
      </c>
      <c r="N10" s="118">
        <f t="shared" si="3"/>
        <v>0</v>
      </c>
      <c r="O10" s="272">
        <f t="shared" si="3"/>
        <v>0</v>
      </c>
      <c r="P10" s="272">
        <f t="shared" si="3"/>
        <v>0</v>
      </c>
      <c r="Q10" s="272">
        <f t="shared" si="3"/>
        <v>0</v>
      </c>
      <c r="R10" s="118">
        <f t="shared" si="3"/>
        <v>0</v>
      </c>
      <c r="S10" s="272">
        <f t="shared" si="3"/>
        <v>0</v>
      </c>
      <c r="T10" s="272">
        <f t="shared" si="3"/>
        <v>0</v>
      </c>
      <c r="U10" s="272">
        <f t="shared" si="3"/>
        <v>0</v>
      </c>
      <c r="V10" s="118">
        <f t="shared" si="3"/>
        <v>0</v>
      </c>
      <c r="W10" s="272">
        <f t="shared" si="3"/>
        <v>0</v>
      </c>
      <c r="X10" s="272">
        <f t="shared" si="3"/>
        <v>0</v>
      </c>
      <c r="Y10" s="272">
        <f t="shared" si="3"/>
        <v>0</v>
      </c>
      <c r="Z10" s="118">
        <f t="shared" si="3"/>
        <v>0</v>
      </c>
      <c r="AA10" s="272">
        <f t="shared" si="3"/>
        <v>0</v>
      </c>
      <c r="AB10" s="272">
        <f t="shared" si="3"/>
        <v>0</v>
      </c>
      <c r="AC10" s="272">
        <f t="shared" si="3"/>
        <v>0</v>
      </c>
      <c r="AD10" s="118">
        <f t="shared" si="3"/>
        <v>0</v>
      </c>
      <c r="AE10" s="272">
        <f t="shared" si="3"/>
        <v>0</v>
      </c>
      <c r="AF10" s="272">
        <f t="shared" si="3"/>
        <v>0</v>
      </c>
      <c r="AG10" s="272">
        <f t="shared" si="3"/>
        <v>0</v>
      </c>
      <c r="AH10" s="118">
        <f t="shared" si="3"/>
        <v>0</v>
      </c>
      <c r="AI10" s="272">
        <f t="shared" si="3"/>
        <v>0</v>
      </c>
      <c r="AJ10" s="272">
        <f>SUM(AJ6:AJ9)</f>
        <v>0</v>
      </c>
      <c r="AK10" s="695">
        <f>SUM(AK6:AK9)</f>
        <v>0</v>
      </c>
      <c r="AL10" s="118">
        <f t="shared" si="3"/>
        <v>0</v>
      </c>
      <c r="AM10" s="272">
        <f t="shared" si="3"/>
        <v>0</v>
      </c>
      <c r="AN10" s="272">
        <f t="shared" si="3"/>
        <v>0</v>
      </c>
      <c r="AO10" s="272">
        <f t="shared" si="3"/>
        <v>0</v>
      </c>
      <c r="AP10" s="118">
        <f t="shared" si="3"/>
        <v>0</v>
      </c>
      <c r="AQ10" s="272">
        <f t="shared" si="3"/>
        <v>0</v>
      </c>
      <c r="AR10" s="272">
        <f t="shared" si="3"/>
        <v>0</v>
      </c>
      <c r="AS10" s="272">
        <f t="shared" si="3"/>
        <v>0</v>
      </c>
      <c r="AT10" s="118">
        <f t="shared" si="3"/>
        <v>0</v>
      </c>
      <c r="AU10" s="272">
        <f t="shared" si="3"/>
        <v>0</v>
      </c>
      <c r="AV10" s="272">
        <f t="shared" si="3"/>
        <v>0</v>
      </c>
      <c r="AW10" s="272">
        <f t="shared" si="3"/>
        <v>0</v>
      </c>
      <c r="AX10" s="118">
        <f t="shared" si="3"/>
        <v>0</v>
      </c>
      <c r="AY10" s="272">
        <f t="shared" si="3"/>
        <v>0</v>
      </c>
      <c r="AZ10" s="272">
        <f t="shared" si="3"/>
        <v>0</v>
      </c>
      <c r="BA10" s="272">
        <f t="shared" si="3"/>
        <v>0</v>
      </c>
      <c r="BB10" s="118">
        <f t="shared" si="3"/>
        <v>0</v>
      </c>
      <c r="BC10" s="272">
        <f t="shared" si="3"/>
        <v>0</v>
      </c>
      <c r="BD10" s="272">
        <f t="shared" si="3"/>
        <v>0</v>
      </c>
      <c r="BE10" s="272">
        <f t="shared" si="3"/>
        <v>0</v>
      </c>
      <c r="BF10" s="278">
        <f t="shared" si="3"/>
        <v>0</v>
      </c>
      <c r="BG10" s="279">
        <f t="shared" si="3"/>
        <v>0</v>
      </c>
      <c r="BH10" s="702">
        <f>AJ10+BD10</f>
        <v>0</v>
      </c>
      <c r="BI10" s="700">
        <f>AK10+BE10</f>
        <v>0</v>
      </c>
    </row>
    <row r="11" spans="3:61" s="119" customFormat="1" ht="5.25" customHeight="1">
      <c r="D11" s="120"/>
      <c r="E11" s="120"/>
      <c r="F11" s="120"/>
      <c r="H11" s="122"/>
      <c r="I11" s="122"/>
      <c r="J11" s="125"/>
      <c r="K11" s="126"/>
      <c r="L11" s="126"/>
      <c r="M11" s="126"/>
      <c r="N11" s="125"/>
      <c r="O11" s="126"/>
      <c r="P11" s="126"/>
      <c r="Q11" s="126"/>
      <c r="R11" s="125"/>
      <c r="S11" s="126"/>
      <c r="T11" s="126"/>
      <c r="U11" s="126"/>
      <c r="V11" s="125"/>
      <c r="W11" s="126"/>
      <c r="X11" s="126"/>
      <c r="Y11" s="126"/>
      <c r="Z11" s="125"/>
      <c r="AA11" s="126"/>
      <c r="AB11" s="126"/>
      <c r="AC11" s="126"/>
      <c r="AD11" s="125"/>
      <c r="AE11" s="126"/>
      <c r="AF11" s="126"/>
      <c r="AG11" s="126"/>
      <c r="AH11" s="125"/>
      <c r="AI11" s="126"/>
      <c r="AJ11" s="126"/>
      <c r="AK11" s="126"/>
      <c r="AL11" s="125"/>
      <c r="AM11" s="126"/>
      <c r="AN11" s="126"/>
      <c r="AO11" s="126"/>
      <c r="AP11" s="125"/>
      <c r="AQ11" s="126"/>
      <c r="AR11" s="126"/>
      <c r="AS11" s="126"/>
      <c r="AT11" s="125"/>
      <c r="AU11" s="126"/>
      <c r="AV11" s="126"/>
      <c r="AW11" s="126"/>
      <c r="AX11" s="125"/>
      <c r="AY11" s="126"/>
      <c r="AZ11" s="126"/>
      <c r="BA11" s="126"/>
      <c r="BB11" s="125"/>
      <c r="BC11" s="126"/>
      <c r="BD11" s="126"/>
      <c r="BE11" s="126"/>
      <c r="BF11" s="125"/>
      <c r="BG11" s="126"/>
    </row>
    <row r="12" spans="3:61" ht="19.5" thickBot="1">
      <c r="C12" s="1019"/>
      <c r="D12" s="1017"/>
      <c r="E12" s="1017"/>
      <c r="F12" s="1023"/>
      <c r="H12" s="1867" t="s">
        <v>114</v>
      </c>
      <c r="I12" s="1868"/>
      <c r="J12" s="1868"/>
      <c r="K12" s="1868"/>
      <c r="L12" s="1868"/>
      <c r="M12" s="1868"/>
      <c r="N12" s="1868"/>
      <c r="O12" s="1868"/>
      <c r="P12" s="1868"/>
      <c r="Q12" s="1868"/>
      <c r="R12" s="1868"/>
      <c r="S12" s="1868"/>
      <c r="T12" s="1868"/>
      <c r="U12" s="1868"/>
      <c r="V12" s="1868"/>
      <c r="W12" s="1868"/>
      <c r="X12" s="1868"/>
      <c r="Y12" s="1868"/>
      <c r="Z12" s="1868"/>
      <c r="AA12" s="1868"/>
      <c r="AB12" s="1868"/>
      <c r="AC12" s="1868"/>
      <c r="AD12" s="1868"/>
      <c r="AE12" s="1868"/>
      <c r="AF12" s="1868"/>
      <c r="AG12" s="1868"/>
      <c r="AH12" s="1868"/>
      <c r="AI12" s="1868"/>
      <c r="AJ12" s="1868"/>
      <c r="AK12" s="1868"/>
      <c r="AL12" s="1868"/>
      <c r="AM12" s="1868"/>
      <c r="AN12" s="1868"/>
      <c r="AO12" s="1868"/>
      <c r="AP12" s="1868"/>
      <c r="AQ12" s="1868"/>
      <c r="AR12" s="1868"/>
      <c r="AS12" s="1868"/>
      <c r="AT12" s="1868"/>
      <c r="AU12" s="1868"/>
      <c r="AV12" s="1868"/>
      <c r="AW12" s="1868"/>
      <c r="AX12" s="1868"/>
      <c r="AY12" s="1868"/>
      <c r="AZ12" s="1868"/>
      <c r="BA12" s="1868"/>
      <c r="BB12" s="1868"/>
      <c r="BC12" s="1868"/>
      <c r="BD12" s="1868"/>
      <c r="BE12" s="1868"/>
      <c r="BF12" s="1868"/>
      <c r="BG12" s="1868"/>
      <c r="BH12" s="1868"/>
      <c r="BI12" s="1868"/>
    </row>
    <row r="13" spans="3:61" ht="18.75" customHeight="1">
      <c r="C13" s="37" t="s">
        <v>44</v>
      </c>
      <c r="D13" s="1869"/>
      <c r="E13" s="1869"/>
      <c r="F13" s="1870"/>
      <c r="H13" s="1895" t="s">
        <v>117</v>
      </c>
      <c r="I13" s="1896"/>
      <c r="J13" s="1890" t="s">
        <v>43</v>
      </c>
      <c r="K13" s="1891"/>
      <c r="L13" s="1891"/>
      <c r="M13" s="1892"/>
      <c r="N13" s="1890" t="s">
        <v>42</v>
      </c>
      <c r="O13" s="1891"/>
      <c r="P13" s="1891"/>
      <c r="Q13" s="1892"/>
      <c r="R13" s="1890" t="s">
        <v>41</v>
      </c>
      <c r="S13" s="1891"/>
      <c r="T13" s="1891"/>
      <c r="U13" s="1892"/>
      <c r="V13" s="1890" t="s">
        <v>40</v>
      </c>
      <c r="W13" s="1891"/>
      <c r="X13" s="1891"/>
      <c r="Y13" s="1892"/>
      <c r="Z13" s="1890" t="s">
        <v>39</v>
      </c>
      <c r="AA13" s="1891"/>
      <c r="AB13" s="1891"/>
      <c r="AC13" s="1892"/>
      <c r="AD13" s="1890" t="s">
        <v>38</v>
      </c>
      <c r="AE13" s="1891"/>
      <c r="AF13" s="1891"/>
      <c r="AG13" s="1892"/>
      <c r="AH13" s="1882" t="s">
        <v>122</v>
      </c>
      <c r="AI13" s="1883"/>
      <c r="AJ13" s="1883"/>
      <c r="AK13" s="1884"/>
      <c r="AL13" s="1890" t="s">
        <v>37</v>
      </c>
      <c r="AM13" s="1891"/>
      <c r="AN13" s="1891"/>
      <c r="AO13" s="1892"/>
      <c r="AP13" s="1890" t="s">
        <v>36</v>
      </c>
      <c r="AQ13" s="1891"/>
      <c r="AR13" s="1891"/>
      <c r="AS13" s="1892"/>
      <c r="AT13" s="1890" t="s">
        <v>35</v>
      </c>
      <c r="AU13" s="1891"/>
      <c r="AV13" s="1891"/>
      <c r="AW13" s="1892"/>
      <c r="AX13" s="1890" t="s">
        <v>34</v>
      </c>
      <c r="AY13" s="1891"/>
      <c r="AZ13" s="1891"/>
      <c r="BA13" s="1892"/>
      <c r="BB13" s="1882" t="s">
        <v>123</v>
      </c>
      <c r="BC13" s="1883"/>
      <c r="BD13" s="1883"/>
      <c r="BE13" s="1884"/>
      <c r="BF13" s="1880" t="s">
        <v>17</v>
      </c>
      <c r="BG13" s="1881"/>
      <c r="BH13" s="1881"/>
      <c r="BI13" s="1881"/>
    </row>
    <row r="14" spans="3:61" ht="27" customHeight="1">
      <c r="C14" s="1879" t="s">
        <v>33</v>
      </c>
      <c r="D14" s="1869"/>
      <c r="E14" s="1017" t="s">
        <v>1</v>
      </c>
      <c r="F14" s="1023" t="s">
        <v>2</v>
      </c>
      <c r="H14" s="1897"/>
      <c r="I14" s="1898"/>
      <c r="J14" s="36" t="s">
        <v>1</v>
      </c>
      <c r="K14" s="271" t="s">
        <v>2</v>
      </c>
      <c r="L14" s="271" t="s">
        <v>182</v>
      </c>
      <c r="M14" s="35" t="s">
        <v>247</v>
      </c>
      <c r="N14" s="36" t="s">
        <v>1</v>
      </c>
      <c r="O14" s="271" t="s">
        <v>2</v>
      </c>
      <c r="P14" s="271" t="s">
        <v>182</v>
      </c>
      <c r="Q14" s="35" t="s">
        <v>247</v>
      </c>
      <c r="R14" s="36" t="s">
        <v>1</v>
      </c>
      <c r="S14" s="271" t="s">
        <v>2</v>
      </c>
      <c r="T14" s="271" t="s">
        <v>182</v>
      </c>
      <c r="U14" s="35" t="s">
        <v>247</v>
      </c>
      <c r="V14" s="36" t="s">
        <v>1</v>
      </c>
      <c r="W14" s="271" t="s">
        <v>2</v>
      </c>
      <c r="X14" s="271" t="s">
        <v>182</v>
      </c>
      <c r="Y14" s="35" t="s">
        <v>247</v>
      </c>
      <c r="Z14" s="36" t="s">
        <v>1</v>
      </c>
      <c r="AA14" s="271" t="s">
        <v>2</v>
      </c>
      <c r="AB14" s="271" t="s">
        <v>182</v>
      </c>
      <c r="AC14" s="35" t="s">
        <v>247</v>
      </c>
      <c r="AD14" s="36" t="s">
        <v>1</v>
      </c>
      <c r="AE14" s="271" t="s">
        <v>2</v>
      </c>
      <c r="AF14" s="271" t="s">
        <v>182</v>
      </c>
      <c r="AG14" s="35" t="s">
        <v>247</v>
      </c>
      <c r="AH14" s="36" t="s">
        <v>1</v>
      </c>
      <c r="AI14" s="271" t="s">
        <v>2</v>
      </c>
      <c r="AJ14" s="271" t="s">
        <v>182</v>
      </c>
      <c r="AK14" s="690" t="s">
        <v>196</v>
      </c>
      <c r="AL14" s="36" t="s">
        <v>1</v>
      </c>
      <c r="AM14" s="271" t="s">
        <v>2</v>
      </c>
      <c r="AN14" s="271" t="s">
        <v>182</v>
      </c>
      <c r="AO14" s="35" t="s">
        <v>247</v>
      </c>
      <c r="AP14" s="36" t="s">
        <v>1</v>
      </c>
      <c r="AQ14" s="271" t="s">
        <v>2</v>
      </c>
      <c r="AR14" s="271" t="s">
        <v>182</v>
      </c>
      <c r="AS14" s="35" t="s">
        <v>247</v>
      </c>
      <c r="AT14" s="36" t="s">
        <v>1</v>
      </c>
      <c r="AU14" s="271" t="s">
        <v>2</v>
      </c>
      <c r="AV14" s="271" t="s">
        <v>182</v>
      </c>
      <c r="AW14" s="35" t="s">
        <v>247</v>
      </c>
      <c r="AX14" s="36" t="s">
        <v>1</v>
      </c>
      <c r="AY14" s="271" t="s">
        <v>2</v>
      </c>
      <c r="AZ14" s="271" t="s">
        <v>182</v>
      </c>
      <c r="BA14" s="35" t="s">
        <v>247</v>
      </c>
      <c r="BB14" s="36" t="s">
        <v>1</v>
      </c>
      <c r="BC14" s="271" t="s">
        <v>2</v>
      </c>
      <c r="BD14" s="271" t="s">
        <v>182</v>
      </c>
      <c r="BE14" s="690" t="s">
        <v>196</v>
      </c>
      <c r="BF14" s="274" t="s">
        <v>1</v>
      </c>
      <c r="BG14" s="275" t="s">
        <v>2</v>
      </c>
      <c r="BH14" s="275" t="s">
        <v>182</v>
      </c>
      <c r="BI14" s="703" t="s">
        <v>196</v>
      </c>
    </row>
    <row r="15" spans="3:61" s="28" customFormat="1" ht="20.100000000000001" customHeight="1">
      <c r="C15" s="1879" t="s">
        <v>28</v>
      </c>
      <c r="D15" s="1017" t="s">
        <v>27</v>
      </c>
      <c r="E15" s="1021"/>
      <c r="F15" s="34"/>
      <c r="H15" s="1888" t="s">
        <v>112</v>
      </c>
      <c r="I15" s="33" t="s">
        <v>27</v>
      </c>
      <c r="J15" s="462"/>
      <c r="K15" s="463"/>
      <c r="L15" s="463"/>
      <c r="M15" s="692"/>
      <c r="N15" s="462"/>
      <c r="O15" s="463"/>
      <c r="P15" s="463"/>
      <c r="Q15" s="692"/>
      <c r="R15" s="462"/>
      <c r="S15" s="463"/>
      <c r="T15" s="463"/>
      <c r="U15" s="692"/>
      <c r="V15" s="462"/>
      <c r="W15" s="463"/>
      <c r="X15" s="463"/>
      <c r="Y15" s="692"/>
      <c r="Z15" s="462"/>
      <c r="AA15" s="463"/>
      <c r="AB15" s="463"/>
      <c r="AC15" s="692"/>
      <c r="AD15" s="462"/>
      <c r="AE15" s="463"/>
      <c r="AF15" s="463"/>
      <c r="AG15" s="692"/>
      <c r="AH15" s="128">
        <f>J15+N15+R15+V15+Z15+AD15</f>
        <v>0</v>
      </c>
      <c r="AI15" s="273">
        <f>K15+O15+S15+W15+AA15+AE15</f>
        <v>0</v>
      </c>
      <c r="AJ15" s="273">
        <f>L15+P15+T15+X15+AB15+AF15</f>
        <v>0</v>
      </c>
      <c r="AK15" s="694">
        <f>M15+Q15+U15+Y15+AC15+AG15</f>
        <v>0</v>
      </c>
      <c r="AL15" s="462"/>
      <c r="AM15" s="463"/>
      <c r="AN15" s="463"/>
      <c r="AO15" s="692"/>
      <c r="AP15" s="462"/>
      <c r="AQ15" s="463"/>
      <c r="AR15" s="463"/>
      <c r="AS15" s="692"/>
      <c r="AT15" s="462"/>
      <c r="AU15" s="463"/>
      <c r="AV15" s="463"/>
      <c r="AW15" s="692"/>
      <c r="AX15" s="462"/>
      <c r="AY15" s="463"/>
      <c r="AZ15" s="463"/>
      <c r="BA15" s="692"/>
      <c r="BB15" s="128">
        <f>AL15+AP15+AT15+AX15</f>
        <v>0</v>
      </c>
      <c r="BC15" s="273">
        <f>AM15+AQ15+AU15+AY15</f>
        <v>0</v>
      </c>
      <c r="BD15" s="273">
        <f>AN15+AR15+AV15+AZ15</f>
        <v>0</v>
      </c>
      <c r="BE15" s="273">
        <f>AO15+AS15+AW15+BA15</f>
        <v>0</v>
      </c>
      <c r="BF15" s="276">
        <f t="shared" ref="BF15:BI23" si="4">AH15+BB15</f>
        <v>0</v>
      </c>
      <c r="BG15" s="277">
        <f t="shared" si="4"/>
        <v>0</v>
      </c>
      <c r="BH15" s="277">
        <f t="shared" si="4"/>
        <v>0</v>
      </c>
      <c r="BI15" s="704">
        <f t="shared" si="4"/>
        <v>0</v>
      </c>
    </row>
    <row r="16" spans="3:61" s="28" customFormat="1" ht="20.100000000000001" customHeight="1">
      <c r="C16" s="1879"/>
      <c r="D16" s="1017" t="s">
        <v>26</v>
      </c>
      <c r="E16" s="1017"/>
      <c r="F16" s="1018"/>
      <c r="H16" s="1889"/>
      <c r="I16" s="33" t="s">
        <v>26</v>
      </c>
      <c r="J16" s="462"/>
      <c r="K16" s="463"/>
      <c r="L16" s="463"/>
      <c r="M16" s="692"/>
      <c r="N16" s="462"/>
      <c r="O16" s="463"/>
      <c r="P16" s="463"/>
      <c r="Q16" s="692"/>
      <c r="R16" s="462"/>
      <c r="S16" s="463"/>
      <c r="T16" s="463"/>
      <c r="U16" s="692"/>
      <c r="V16" s="462"/>
      <c r="W16" s="463"/>
      <c r="X16" s="463"/>
      <c r="Y16" s="692"/>
      <c r="Z16" s="462"/>
      <c r="AA16" s="463"/>
      <c r="AB16" s="463"/>
      <c r="AC16" s="692"/>
      <c r="AD16" s="462"/>
      <c r="AE16" s="463"/>
      <c r="AF16" s="463"/>
      <c r="AG16" s="692"/>
      <c r="AH16" s="128">
        <f t="shared" ref="AH16:AK23" si="5">J16+N16+R16+V16+Z16+AD16</f>
        <v>0</v>
      </c>
      <c r="AI16" s="273">
        <f t="shared" si="5"/>
        <v>0</v>
      </c>
      <c r="AJ16" s="273">
        <f t="shared" si="5"/>
        <v>0</v>
      </c>
      <c r="AK16" s="694">
        <f t="shared" si="5"/>
        <v>0</v>
      </c>
      <c r="AL16" s="462"/>
      <c r="AM16" s="463"/>
      <c r="AN16" s="463"/>
      <c r="AO16" s="692"/>
      <c r="AP16" s="462"/>
      <c r="AQ16" s="463"/>
      <c r="AR16" s="463"/>
      <c r="AS16" s="692"/>
      <c r="AT16" s="462"/>
      <c r="AU16" s="463"/>
      <c r="AV16" s="463"/>
      <c r="AW16" s="692"/>
      <c r="AX16" s="462"/>
      <c r="AY16" s="463"/>
      <c r="AZ16" s="463"/>
      <c r="BA16" s="692"/>
      <c r="BB16" s="128">
        <f t="shared" ref="BB16:BE23" si="6">AL16+AP16+AT16+AX16</f>
        <v>0</v>
      </c>
      <c r="BC16" s="273">
        <f t="shared" si="6"/>
        <v>0</v>
      </c>
      <c r="BD16" s="273">
        <f t="shared" si="6"/>
        <v>0</v>
      </c>
      <c r="BE16" s="273">
        <f t="shared" si="6"/>
        <v>0</v>
      </c>
      <c r="BF16" s="276">
        <f t="shared" si="4"/>
        <v>0</v>
      </c>
      <c r="BG16" s="277">
        <f t="shared" si="4"/>
        <v>0</v>
      </c>
      <c r="BH16" s="277">
        <f t="shared" si="4"/>
        <v>0</v>
      </c>
      <c r="BI16" s="704">
        <f t="shared" si="4"/>
        <v>0</v>
      </c>
    </row>
    <row r="17" spans="3:61" s="28" customFormat="1" ht="23.25" customHeight="1">
      <c r="C17" s="1879"/>
      <c r="D17" s="1017" t="s">
        <v>25</v>
      </c>
      <c r="E17" s="1017"/>
      <c r="F17" s="1018"/>
      <c r="H17" s="1889"/>
      <c r="I17" s="33" t="s">
        <v>25</v>
      </c>
      <c r="J17" s="462"/>
      <c r="K17" s="463"/>
      <c r="L17" s="463"/>
      <c r="M17" s="692"/>
      <c r="N17" s="462"/>
      <c r="O17" s="463"/>
      <c r="P17" s="463"/>
      <c r="Q17" s="692"/>
      <c r="R17" s="462"/>
      <c r="S17" s="463"/>
      <c r="T17" s="463"/>
      <c r="U17" s="692"/>
      <c r="V17" s="462"/>
      <c r="W17" s="463"/>
      <c r="X17" s="463"/>
      <c r="Y17" s="692"/>
      <c r="Z17" s="462"/>
      <c r="AA17" s="463"/>
      <c r="AB17" s="463"/>
      <c r="AC17" s="692"/>
      <c r="AD17" s="462"/>
      <c r="AE17" s="463"/>
      <c r="AF17" s="463"/>
      <c r="AG17" s="692"/>
      <c r="AH17" s="128">
        <f t="shared" si="5"/>
        <v>0</v>
      </c>
      <c r="AI17" s="273">
        <f t="shared" si="5"/>
        <v>0</v>
      </c>
      <c r="AJ17" s="273">
        <f t="shared" si="5"/>
        <v>0</v>
      </c>
      <c r="AK17" s="694">
        <f t="shared" si="5"/>
        <v>0</v>
      </c>
      <c r="AL17" s="462"/>
      <c r="AM17" s="463"/>
      <c r="AN17" s="463"/>
      <c r="AO17" s="692"/>
      <c r="AP17" s="462"/>
      <c r="AQ17" s="463"/>
      <c r="AR17" s="463"/>
      <c r="AS17" s="692"/>
      <c r="AT17" s="462"/>
      <c r="AU17" s="463"/>
      <c r="AV17" s="463"/>
      <c r="AW17" s="692"/>
      <c r="AX17" s="462"/>
      <c r="AY17" s="463"/>
      <c r="AZ17" s="463"/>
      <c r="BA17" s="692"/>
      <c r="BB17" s="128">
        <f t="shared" si="6"/>
        <v>0</v>
      </c>
      <c r="BC17" s="273">
        <f t="shared" si="6"/>
        <v>0</v>
      </c>
      <c r="BD17" s="273">
        <f t="shared" si="6"/>
        <v>0</v>
      </c>
      <c r="BE17" s="273">
        <f t="shared" si="6"/>
        <v>0</v>
      </c>
      <c r="BF17" s="276">
        <f t="shared" si="4"/>
        <v>0</v>
      </c>
      <c r="BG17" s="277">
        <f t="shared" si="4"/>
        <v>0</v>
      </c>
      <c r="BH17" s="277">
        <f t="shared" si="4"/>
        <v>0</v>
      </c>
      <c r="BI17" s="704">
        <f t="shared" si="4"/>
        <v>0</v>
      </c>
    </row>
    <row r="18" spans="3:61" s="28" customFormat="1" ht="21">
      <c r="C18" s="1879"/>
      <c r="D18" s="1017" t="s">
        <v>24</v>
      </c>
      <c r="E18" s="1017"/>
      <c r="F18" s="1018"/>
      <c r="H18" s="1889"/>
      <c r="I18" s="33" t="s">
        <v>24</v>
      </c>
      <c r="J18" s="462"/>
      <c r="K18" s="463"/>
      <c r="L18" s="463"/>
      <c r="M18" s="692"/>
      <c r="N18" s="462"/>
      <c r="O18" s="463"/>
      <c r="P18" s="463"/>
      <c r="Q18" s="692"/>
      <c r="R18" s="462"/>
      <c r="S18" s="463"/>
      <c r="T18" s="463"/>
      <c r="U18" s="692"/>
      <c r="V18" s="462"/>
      <c r="W18" s="463"/>
      <c r="X18" s="463"/>
      <c r="Y18" s="692"/>
      <c r="Z18" s="462"/>
      <c r="AA18" s="463"/>
      <c r="AB18" s="463"/>
      <c r="AC18" s="692"/>
      <c r="AD18" s="462"/>
      <c r="AE18" s="463"/>
      <c r="AF18" s="463"/>
      <c r="AG18" s="692"/>
      <c r="AH18" s="128">
        <f t="shared" si="5"/>
        <v>0</v>
      </c>
      <c r="AI18" s="273">
        <f t="shared" si="5"/>
        <v>0</v>
      </c>
      <c r="AJ18" s="273">
        <f t="shared" si="5"/>
        <v>0</v>
      </c>
      <c r="AK18" s="694">
        <f t="shared" si="5"/>
        <v>0</v>
      </c>
      <c r="AL18" s="462"/>
      <c r="AM18" s="463"/>
      <c r="AN18" s="463"/>
      <c r="AO18" s="692"/>
      <c r="AP18" s="462"/>
      <c r="AQ18" s="463"/>
      <c r="AR18" s="463"/>
      <c r="AS18" s="692"/>
      <c r="AT18" s="462"/>
      <c r="AU18" s="463"/>
      <c r="AV18" s="463"/>
      <c r="AW18" s="692"/>
      <c r="AX18" s="462"/>
      <c r="AY18" s="463"/>
      <c r="AZ18" s="463"/>
      <c r="BA18" s="692"/>
      <c r="BB18" s="128">
        <f t="shared" si="6"/>
        <v>0</v>
      </c>
      <c r="BC18" s="273">
        <f t="shared" si="6"/>
        <v>0</v>
      </c>
      <c r="BD18" s="273">
        <f t="shared" si="6"/>
        <v>0</v>
      </c>
      <c r="BE18" s="273">
        <f t="shared" si="6"/>
        <v>0</v>
      </c>
      <c r="BF18" s="276">
        <f t="shared" si="4"/>
        <v>0</v>
      </c>
      <c r="BG18" s="277">
        <f t="shared" si="4"/>
        <v>0</v>
      </c>
      <c r="BH18" s="277">
        <f t="shared" si="4"/>
        <v>0</v>
      </c>
      <c r="BI18" s="704">
        <f t="shared" si="4"/>
        <v>0</v>
      </c>
    </row>
    <row r="19" spans="3:61" s="28" customFormat="1" ht="19.5" customHeight="1">
      <c r="C19" s="1879"/>
      <c r="D19" s="1017" t="s">
        <v>23</v>
      </c>
      <c r="E19" s="1017"/>
      <c r="F19" s="1018"/>
      <c r="H19" s="1889"/>
      <c r="I19" s="33" t="s">
        <v>23</v>
      </c>
      <c r="J19" s="462"/>
      <c r="K19" s="463"/>
      <c r="L19" s="463"/>
      <c r="M19" s="692"/>
      <c r="N19" s="462"/>
      <c r="O19" s="463"/>
      <c r="P19" s="463"/>
      <c r="Q19" s="692"/>
      <c r="R19" s="462"/>
      <c r="S19" s="463"/>
      <c r="T19" s="463"/>
      <c r="U19" s="692"/>
      <c r="V19" s="462"/>
      <c r="W19" s="463"/>
      <c r="X19" s="463"/>
      <c r="Y19" s="692"/>
      <c r="Z19" s="462"/>
      <c r="AA19" s="463"/>
      <c r="AB19" s="463"/>
      <c r="AC19" s="692"/>
      <c r="AD19" s="462"/>
      <c r="AE19" s="463"/>
      <c r="AF19" s="463"/>
      <c r="AG19" s="692"/>
      <c r="AH19" s="128">
        <f t="shared" si="5"/>
        <v>0</v>
      </c>
      <c r="AI19" s="273">
        <f t="shared" si="5"/>
        <v>0</v>
      </c>
      <c r="AJ19" s="273">
        <f t="shared" si="5"/>
        <v>0</v>
      </c>
      <c r="AK19" s="694">
        <f t="shared" si="5"/>
        <v>0</v>
      </c>
      <c r="AL19" s="1012"/>
      <c r="AM19" s="463"/>
      <c r="AN19" s="463"/>
      <c r="AO19" s="692"/>
      <c r="AP19" s="462"/>
      <c r="AQ19" s="463"/>
      <c r="AR19" s="463"/>
      <c r="AS19" s="692"/>
      <c r="AT19" s="462"/>
      <c r="AU19" s="463"/>
      <c r="AV19" s="463"/>
      <c r="AW19" s="692"/>
      <c r="AX19" s="462"/>
      <c r="AY19" s="463"/>
      <c r="AZ19" s="463"/>
      <c r="BA19" s="692"/>
      <c r="BB19" s="128">
        <f t="shared" si="6"/>
        <v>0</v>
      </c>
      <c r="BC19" s="273">
        <f t="shared" si="6"/>
        <v>0</v>
      </c>
      <c r="BD19" s="273">
        <f t="shared" si="6"/>
        <v>0</v>
      </c>
      <c r="BE19" s="273">
        <f t="shared" si="6"/>
        <v>0</v>
      </c>
      <c r="BF19" s="276">
        <f t="shared" si="4"/>
        <v>0</v>
      </c>
      <c r="BG19" s="277">
        <f t="shared" si="4"/>
        <v>0</v>
      </c>
      <c r="BH19" s="277">
        <f t="shared" si="4"/>
        <v>0</v>
      </c>
      <c r="BI19" s="704">
        <f t="shared" si="4"/>
        <v>0</v>
      </c>
    </row>
    <row r="20" spans="3:61" s="28" customFormat="1" ht="19.5" customHeight="1">
      <c r="C20" s="1879"/>
      <c r="D20" s="1017" t="s">
        <v>22</v>
      </c>
      <c r="E20" s="1017"/>
      <c r="F20" s="1018"/>
      <c r="H20" s="1889"/>
      <c r="I20" s="33" t="s">
        <v>22</v>
      </c>
      <c r="J20" s="462"/>
      <c r="K20" s="463"/>
      <c r="L20" s="463"/>
      <c r="M20" s="692"/>
      <c r="N20" s="462"/>
      <c r="O20" s="463"/>
      <c r="P20" s="463"/>
      <c r="Q20" s="692"/>
      <c r="R20" s="462"/>
      <c r="S20" s="463"/>
      <c r="T20" s="463"/>
      <c r="U20" s="692"/>
      <c r="V20" s="462"/>
      <c r="W20" s="463"/>
      <c r="X20" s="463"/>
      <c r="Y20" s="692"/>
      <c r="Z20" s="462"/>
      <c r="AA20" s="463"/>
      <c r="AB20" s="463"/>
      <c r="AC20" s="692"/>
      <c r="AD20" s="462"/>
      <c r="AE20" s="463"/>
      <c r="AF20" s="463"/>
      <c r="AG20" s="692"/>
      <c r="AH20" s="128">
        <f t="shared" si="5"/>
        <v>0</v>
      </c>
      <c r="AI20" s="273">
        <f t="shared" si="5"/>
        <v>0</v>
      </c>
      <c r="AJ20" s="273">
        <f t="shared" si="5"/>
        <v>0</v>
      </c>
      <c r="AK20" s="694">
        <f t="shared" si="5"/>
        <v>0</v>
      </c>
      <c r="AL20" s="462"/>
      <c r="AM20" s="463"/>
      <c r="AN20" s="463"/>
      <c r="AO20" s="692"/>
      <c r="AP20" s="462"/>
      <c r="AQ20" s="463"/>
      <c r="AR20" s="463"/>
      <c r="AS20" s="692"/>
      <c r="AT20" s="462"/>
      <c r="AU20" s="463"/>
      <c r="AV20" s="463"/>
      <c r="AW20" s="692"/>
      <c r="AX20" s="462"/>
      <c r="AY20" s="463"/>
      <c r="AZ20" s="463"/>
      <c r="BA20" s="692"/>
      <c r="BB20" s="128">
        <f t="shared" si="6"/>
        <v>0</v>
      </c>
      <c r="BC20" s="273">
        <f t="shared" si="6"/>
        <v>0</v>
      </c>
      <c r="BD20" s="273">
        <f t="shared" si="6"/>
        <v>0</v>
      </c>
      <c r="BE20" s="273">
        <f t="shared" si="6"/>
        <v>0</v>
      </c>
      <c r="BF20" s="276">
        <f t="shared" si="4"/>
        <v>0</v>
      </c>
      <c r="BG20" s="277">
        <f t="shared" si="4"/>
        <v>0</v>
      </c>
      <c r="BH20" s="277">
        <f t="shared" si="4"/>
        <v>0</v>
      </c>
      <c r="BI20" s="704">
        <f t="shared" si="4"/>
        <v>0</v>
      </c>
    </row>
    <row r="21" spans="3:61" s="28" customFormat="1" ht="20.100000000000001" customHeight="1">
      <c r="C21" s="1885"/>
      <c r="D21" s="1017"/>
      <c r="E21" s="1017"/>
      <c r="F21" s="1018"/>
      <c r="H21" s="1889"/>
      <c r="I21" s="33" t="s">
        <v>21</v>
      </c>
      <c r="J21" s="462"/>
      <c r="K21" s="463"/>
      <c r="L21" s="463"/>
      <c r="M21" s="692"/>
      <c r="N21" s="462"/>
      <c r="O21" s="463"/>
      <c r="P21" s="463"/>
      <c r="Q21" s="692"/>
      <c r="R21" s="462"/>
      <c r="S21" s="463"/>
      <c r="T21" s="463"/>
      <c r="U21" s="692"/>
      <c r="V21" s="462"/>
      <c r="W21" s="463"/>
      <c r="X21" s="463"/>
      <c r="Y21" s="692"/>
      <c r="Z21" s="462"/>
      <c r="AA21" s="463"/>
      <c r="AB21" s="463"/>
      <c r="AC21" s="692"/>
      <c r="AD21" s="462"/>
      <c r="AE21" s="463"/>
      <c r="AF21" s="463"/>
      <c r="AG21" s="692"/>
      <c r="AH21" s="128">
        <f t="shared" si="5"/>
        <v>0</v>
      </c>
      <c r="AI21" s="273">
        <f t="shared" si="5"/>
        <v>0</v>
      </c>
      <c r="AJ21" s="273">
        <f t="shared" si="5"/>
        <v>0</v>
      </c>
      <c r="AK21" s="694">
        <f t="shared" si="5"/>
        <v>0</v>
      </c>
      <c r="AL21" s="462"/>
      <c r="AM21" s="463"/>
      <c r="AN21" s="463"/>
      <c r="AO21" s="692"/>
      <c r="AP21" s="462"/>
      <c r="AQ21" s="463"/>
      <c r="AR21" s="463"/>
      <c r="AS21" s="692"/>
      <c r="AT21" s="462"/>
      <c r="AU21" s="463"/>
      <c r="AV21" s="463"/>
      <c r="AW21" s="692"/>
      <c r="AX21" s="462"/>
      <c r="AY21" s="463"/>
      <c r="AZ21" s="463"/>
      <c r="BA21" s="692"/>
      <c r="BB21" s="128">
        <f t="shared" si="6"/>
        <v>0</v>
      </c>
      <c r="BC21" s="273">
        <f t="shared" si="6"/>
        <v>0</v>
      </c>
      <c r="BD21" s="273">
        <f t="shared" si="6"/>
        <v>0</v>
      </c>
      <c r="BE21" s="273">
        <f t="shared" si="6"/>
        <v>0</v>
      </c>
      <c r="BF21" s="276">
        <f t="shared" si="4"/>
        <v>0</v>
      </c>
      <c r="BG21" s="277">
        <f t="shared" si="4"/>
        <v>0</v>
      </c>
      <c r="BH21" s="277">
        <f t="shared" si="4"/>
        <v>0</v>
      </c>
      <c r="BI21" s="704">
        <f t="shared" si="4"/>
        <v>0</v>
      </c>
    </row>
    <row r="22" spans="3:61" s="28" customFormat="1" ht="20.100000000000001" customHeight="1">
      <c r="C22" s="1885"/>
      <c r="D22" s="1017"/>
      <c r="E22" s="1017"/>
      <c r="F22" s="1018"/>
      <c r="H22" s="1889"/>
      <c r="I22" s="33" t="s">
        <v>20</v>
      </c>
      <c r="J22" s="462"/>
      <c r="K22" s="463"/>
      <c r="L22" s="463"/>
      <c r="M22" s="692"/>
      <c r="N22" s="462"/>
      <c r="O22" s="463"/>
      <c r="P22" s="463"/>
      <c r="Q22" s="692"/>
      <c r="R22" s="462"/>
      <c r="S22" s="463"/>
      <c r="T22" s="463"/>
      <c r="U22" s="692"/>
      <c r="V22" s="462"/>
      <c r="W22" s="463"/>
      <c r="X22" s="463"/>
      <c r="Y22" s="692"/>
      <c r="Z22" s="462"/>
      <c r="AA22" s="463"/>
      <c r="AB22" s="463"/>
      <c r="AC22" s="692"/>
      <c r="AD22" s="462"/>
      <c r="AE22" s="463"/>
      <c r="AF22" s="463"/>
      <c r="AG22" s="692"/>
      <c r="AH22" s="128">
        <f t="shared" si="5"/>
        <v>0</v>
      </c>
      <c r="AI22" s="273">
        <f t="shared" si="5"/>
        <v>0</v>
      </c>
      <c r="AJ22" s="273">
        <f t="shared" si="5"/>
        <v>0</v>
      </c>
      <c r="AK22" s="694">
        <f t="shared" si="5"/>
        <v>0</v>
      </c>
      <c r="AL22" s="462"/>
      <c r="AM22" s="463"/>
      <c r="AN22" s="463"/>
      <c r="AO22" s="692"/>
      <c r="AP22" s="462"/>
      <c r="AQ22" s="463"/>
      <c r="AR22" s="463"/>
      <c r="AS22" s="692"/>
      <c r="AT22" s="462"/>
      <c r="AU22" s="463"/>
      <c r="AV22" s="463"/>
      <c r="AW22" s="692"/>
      <c r="AX22" s="462"/>
      <c r="AY22" s="463"/>
      <c r="AZ22" s="463"/>
      <c r="BA22" s="692"/>
      <c r="BB22" s="128">
        <f t="shared" si="6"/>
        <v>0</v>
      </c>
      <c r="BC22" s="273">
        <f t="shared" si="6"/>
        <v>0</v>
      </c>
      <c r="BD22" s="273">
        <f t="shared" si="6"/>
        <v>0</v>
      </c>
      <c r="BE22" s="273">
        <f t="shared" si="6"/>
        <v>0</v>
      </c>
      <c r="BF22" s="276">
        <f t="shared" si="4"/>
        <v>0</v>
      </c>
      <c r="BG22" s="277">
        <f t="shared" si="4"/>
        <v>0</v>
      </c>
      <c r="BH22" s="277">
        <f t="shared" si="4"/>
        <v>0</v>
      </c>
      <c r="BI22" s="704">
        <f t="shared" si="4"/>
        <v>0</v>
      </c>
    </row>
    <row r="23" spans="3:61" s="28" customFormat="1" ht="20.100000000000001" customHeight="1">
      <c r="C23" s="1885"/>
      <c r="D23" s="1017"/>
      <c r="E23" s="1017"/>
      <c r="F23" s="1018"/>
      <c r="H23" s="1889"/>
      <c r="I23" s="33" t="s">
        <v>19</v>
      </c>
      <c r="J23" s="462"/>
      <c r="K23" s="463"/>
      <c r="L23" s="463"/>
      <c r="M23" s="692"/>
      <c r="N23" s="462"/>
      <c r="O23" s="463"/>
      <c r="P23" s="463"/>
      <c r="Q23" s="692"/>
      <c r="R23" s="462"/>
      <c r="S23" s="463"/>
      <c r="T23" s="463"/>
      <c r="U23" s="692"/>
      <c r="V23" s="462"/>
      <c r="W23" s="463"/>
      <c r="X23" s="463"/>
      <c r="Y23" s="692"/>
      <c r="Z23" s="462"/>
      <c r="AA23" s="463"/>
      <c r="AB23" s="463"/>
      <c r="AC23" s="692"/>
      <c r="AD23" s="462"/>
      <c r="AE23" s="463"/>
      <c r="AF23" s="463"/>
      <c r="AG23" s="692"/>
      <c r="AH23" s="128">
        <f t="shared" si="5"/>
        <v>0</v>
      </c>
      <c r="AI23" s="273">
        <f t="shared" si="5"/>
        <v>0</v>
      </c>
      <c r="AJ23" s="273">
        <f t="shared" si="5"/>
        <v>0</v>
      </c>
      <c r="AK23" s="694">
        <f t="shared" si="5"/>
        <v>0</v>
      </c>
      <c r="AL23" s="462"/>
      <c r="AM23" s="463"/>
      <c r="AN23" s="463"/>
      <c r="AO23" s="692"/>
      <c r="AP23" s="462"/>
      <c r="AQ23" s="463"/>
      <c r="AR23" s="463"/>
      <c r="AS23" s="692"/>
      <c r="AT23" s="462"/>
      <c r="AU23" s="463"/>
      <c r="AV23" s="463"/>
      <c r="AW23" s="692"/>
      <c r="AX23" s="462"/>
      <c r="AY23" s="463"/>
      <c r="AZ23" s="463"/>
      <c r="BA23" s="692"/>
      <c r="BB23" s="128">
        <f t="shared" si="6"/>
        <v>0</v>
      </c>
      <c r="BC23" s="273">
        <f t="shared" si="6"/>
        <v>0</v>
      </c>
      <c r="BD23" s="273">
        <f t="shared" si="6"/>
        <v>0</v>
      </c>
      <c r="BE23" s="273">
        <f t="shared" si="6"/>
        <v>0</v>
      </c>
      <c r="BF23" s="276">
        <f t="shared" si="4"/>
        <v>0</v>
      </c>
      <c r="BG23" s="277">
        <f t="shared" si="4"/>
        <v>0</v>
      </c>
      <c r="BH23" s="277">
        <f t="shared" si="4"/>
        <v>0</v>
      </c>
      <c r="BI23" s="704">
        <f t="shared" si="4"/>
        <v>0</v>
      </c>
    </row>
    <row r="24" spans="3:61" s="28" customFormat="1" ht="20.100000000000001" customHeight="1" thickBot="1">
      <c r="C24" s="1885"/>
      <c r="D24" s="1017"/>
      <c r="E24" s="1017"/>
      <c r="F24" s="1018"/>
      <c r="H24" s="1865" t="s">
        <v>116</v>
      </c>
      <c r="I24" s="1866"/>
      <c r="J24" s="118">
        <f t="shared" ref="J24:BI24" si="7">SUM(J15:J23)</f>
        <v>0</v>
      </c>
      <c r="K24" s="272">
        <f t="shared" si="7"/>
        <v>0</v>
      </c>
      <c r="L24" s="272">
        <f>SUM(L15:L23)</f>
        <v>0</v>
      </c>
      <c r="M24" s="272">
        <f>SUM(M15:M23)</f>
        <v>0</v>
      </c>
      <c r="N24" s="118">
        <f t="shared" ref="N24:AI24" si="8">SUM(N15:N23)</f>
        <v>0</v>
      </c>
      <c r="O24" s="272">
        <f t="shared" si="8"/>
        <v>0</v>
      </c>
      <c r="P24" s="272">
        <f t="shared" si="8"/>
        <v>0</v>
      </c>
      <c r="Q24" s="272">
        <f t="shared" si="8"/>
        <v>0</v>
      </c>
      <c r="R24" s="118">
        <f t="shared" si="8"/>
        <v>0</v>
      </c>
      <c r="S24" s="272">
        <f t="shared" si="8"/>
        <v>0</v>
      </c>
      <c r="T24" s="272">
        <f t="shared" si="8"/>
        <v>0</v>
      </c>
      <c r="U24" s="272">
        <f t="shared" si="8"/>
        <v>0</v>
      </c>
      <c r="V24" s="118">
        <f t="shared" si="8"/>
        <v>0</v>
      </c>
      <c r="W24" s="272">
        <f t="shared" si="8"/>
        <v>0</v>
      </c>
      <c r="X24" s="272">
        <f t="shared" si="8"/>
        <v>0</v>
      </c>
      <c r="Y24" s="272">
        <f t="shared" si="8"/>
        <v>0</v>
      </c>
      <c r="Z24" s="118">
        <f t="shared" si="8"/>
        <v>0</v>
      </c>
      <c r="AA24" s="272">
        <f t="shared" si="8"/>
        <v>0</v>
      </c>
      <c r="AB24" s="272">
        <f t="shared" si="8"/>
        <v>0</v>
      </c>
      <c r="AC24" s="272">
        <f t="shared" si="8"/>
        <v>0</v>
      </c>
      <c r="AD24" s="118">
        <f t="shared" si="8"/>
        <v>0</v>
      </c>
      <c r="AE24" s="272">
        <f t="shared" si="8"/>
        <v>0</v>
      </c>
      <c r="AF24" s="272">
        <f t="shared" si="8"/>
        <v>0</v>
      </c>
      <c r="AG24" s="272">
        <f t="shared" si="8"/>
        <v>0</v>
      </c>
      <c r="AH24" s="118">
        <f t="shared" si="8"/>
        <v>0</v>
      </c>
      <c r="AI24" s="272">
        <f t="shared" si="8"/>
        <v>0</v>
      </c>
      <c r="AJ24" s="272">
        <f>SUM(AJ15:AJ23)</f>
        <v>0</v>
      </c>
      <c r="AK24" s="695">
        <f>SUM(AK15:AK23)</f>
        <v>0</v>
      </c>
      <c r="AL24" s="118">
        <f t="shared" ref="AL24:BC24" si="9">SUM(AL15:AL23)</f>
        <v>0</v>
      </c>
      <c r="AM24" s="272">
        <f t="shared" si="9"/>
        <v>0</v>
      </c>
      <c r="AN24" s="272">
        <f t="shared" si="9"/>
        <v>0</v>
      </c>
      <c r="AO24" s="272">
        <f t="shared" si="9"/>
        <v>0</v>
      </c>
      <c r="AP24" s="118">
        <f t="shared" si="9"/>
        <v>0</v>
      </c>
      <c r="AQ24" s="272">
        <f t="shared" si="9"/>
        <v>0</v>
      </c>
      <c r="AR24" s="272">
        <f t="shared" si="9"/>
        <v>0</v>
      </c>
      <c r="AS24" s="272">
        <f t="shared" si="9"/>
        <v>0</v>
      </c>
      <c r="AT24" s="118">
        <f t="shared" si="9"/>
        <v>0</v>
      </c>
      <c r="AU24" s="272">
        <f t="shared" si="9"/>
        <v>0</v>
      </c>
      <c r="AV24" s="272">
        <f t="shared" si="9"/>
        <v>0</v>
      </c>
      <c r="AW24" s="272">
        <f t="shared" si="9"/>
        <v>0</v>
      </c>
      <c r="AX24" s="118">
        <f t="shared" si="9"/>
        <v>0</v>
      </c>
      <c r="AY24" s="272">
        <f t="shared" si="9"/>
        <v>0</v>
      </c>
      <c r="AZ24" s="272">
        <f t="shared" si="9"/>
        <v>0</v>
      </c>
      <c r="BA24" s="272">
        <f t="shared" si="9"/>
        <v>0</v>
      </c>
      <c r="BB24" s="118">
        <f t="shared" si="9"/>
        <v>0</v>
      </c>
      <c r="BC24" s="272">
        <f t="shared" si="9"/>
        <v>0</v>
      </c>
      <c r="BD24" s="272">
        <f>SUM(BD15:BD23)</f>
        <v>0</v>
      </c>
      <c r="BE24" s="272">
        <f>SUM(BE15:BE23)</f>
        <v>0</v>
      </c>
      <c r="BF24" s="278">
        <f t="shared" si="7"/>
        <v>0</v>
      </c>
      <c r="BG24" s="279">
        <f t="shared" si="7"/>
        <v>0</v>
      </c>
      <c r="BH24" s="279">
        <f t="shared" si="7"/>
        <v>0</v>
      </c>
      <c r="BI24" s="705">
        <f t="shared" si="7"/>
        <v>0</v>
      </c>
    </row>
    <row r="25" spans="3:61" s="119" customFormat="1" ht="9" customHeight="1" thickBot="1">
      <c r="C25" s="121"/>
      <c r="D25" s="121"/>
      <c r="E25" s="121"/>
      <c r="F25" s="121"/>
      <c r="H25" s="122"/>
      <c r="I25" s="122"/>
      <c r="J25" s="125"/>
      <c r="K25" s="126"/>
      <c r="L25" s="126"/>
      <c r="M25" s="126"/>
      <c r="N25" s="125"/>
      <c r="O25" s="126"/>
      <c r="P25" s="126"/>
      <c r="Q25" s="126"/>
      <c r="R25" s="125"/>
      <c r="S25" s="126"/>
      <c r="T25" s="126"/>
      <c r="U25" s="126"/>
      <c r="V25" s="125"/>
      <c r="W25" s="126"/>
      <c r="X25" s="126"/>
      <c r="Y25" s="126"/>
      <c r="Z25" s="125"/>
      <c r="AA25" s="126"/>
      <c r="AB25" s="126"/>
      <c r="AC25" s="126"/>
      <c r="AD25" s="125"/>
      <c r="AE25" s="126"/>
      <c r="AF25" s="126"/>
      <c r="AG25" s="126"/>
      <c r="AH25" s="125"/>
      <c r="AI25" s="126"/>
      <c r="AJ25" s="126"/>
      <c r="AK25" s="126"/>
      <c r="AL25" s="125"/>
      <c r="AM25" s="126"/>
      <c r="AN25" s="126"/>
      <c r="AO25" s="126"/>
      <c r="AP25" s="125"/>
      <c r="AQ25" s="126"/>
      <c r="AR25" s="126"/>
      <c r="AS25" s="126"/>
      <c r="AT25" s="125"/>
      <c r="AU25" s="126"/>
      <c r="AV25" s="126"/>
      <c r="AW25" s="126"/>
      <c r="AX25" s="125"/>
      <c r="AY25" s="126"/>
      <c r="AZ25" s="126"/>
      <c r="BA25" s="126"/>
      <c r="BB25" s="125"/>
      <c r="BC25" s="126"/>
      <c r="BD25" s="126"/>
      <c r="BE25" s="126"/>
      <c r="BF25" s="125"/>
      <c r="BG25" s="126"/>
    </row>
    <row r="26" spans="3:61" s="28" customFormat="1" ht="26.25" customHeight="1" thickBot="1">
      <c r="D26" s="29"/>
      <c r="E26" s="29"/>
      <c r="F26" s="29"/>
      <c r="H26" s="1893" t="s">
        <v>49</v>
      </c>
      <c r="I26" s="1894"/>
      <c r="J26" s="123">
        <f t="shared" ref="J26:BI26" si="10">J10+J24</f>
        <v>0</v>
      </c>
      <c r="K26" s="280">
        <f t="shared" si="10"/>
        <v>0</v>
      </c>
      <c r="L26" s="280">
        <f>L10+L24</f>
        <v>0</v>
      </c>
      <c r="M26" s="280">
        <f>M10+M24</f>
        <v>0</v>
      </c>
      <c r="N26" s="123">
        <f t="shared" ref="N26:O26" si="11">N10+N24</f>
        <v>0</v>
      </c>
      <c r="O26" s="280">
        <f t="shared" si="11"/>
        <v>0</v>
      </c>
      <c r="P26" s="280">
        <f>P10+P24</f>
        <v>0</v>
      </c>
      <c r="Q26" s="280">
        <f>Q10+Q24</f>
        <v>0</v>
      </c>
      <c r="R26" s="123">
        <f t="shared" ref="R26:S26" si="12">R10+R24</f>
        <v>0</v>
      </c>
      <c r="S26" s="280">
        <f t="shared" si="12"/>
        <v>0</v>
      </c>
      <c r="T26" s="280">
        <f>T10+T24</f>
        <v>0</v>
      </c>
      <c r="U26" s="280">
        <f>U10+U24</f>
        <v>0</v>
      </c>
      <c r="V26" s="123">
        <f t="shared" ref="V26:W26" si="13">V10+V24</f>
        <v>0</v>
      </c>
      <c r="W26" s="280">
        <f t="shared" si="13"/>
        <v>0</v>
      </c>
      <c r="X26" s="280">
        <f>X10+X24</f>
        <v>0</v>
      </c>
      <c r="Y26" s="280">
        <f>Y10+Y24</f>
        <v>0</v>
      </c>
      <c r="Z26" s="123">
        <f>Z10+Z24</f>
        <v>0</v>
      </c>
      <c r="AA26" s="280">
        <f t="shared" ref="AA26" si="14">AA10+AA24</f>
        <v>0</v>
      </c>
      <c r="AB26" s="280">
        <f>AB10+AB24</f>
        <v>0</v>
      </c>
      <c r="AC26" s="280">
        <f>AC10+AC24</f>
        <v>0</v>
      </c>
      <c r="AD26" s="123">
        <f t="shared" ref="AD26:AE26" si="15">AD10+AD24</f>
        <v>0</v>
      </c>
      <c r="AE26" s="280">
        <f t="shared" si="15"/>
        <v>0</v>
      </c>
      <c r="AF26" s="280">
        <f>AF10+AF24</f>
        <v>0</v>
      </c>
      <c r="AG26" s="280">
        <f>AG10+AG24</f>
        <v>0</v>
      </c>
      <c r="AH26" s="127">
        <f t="shared" ref="AH26:AI26" si="16">AH10+AH24</f>
        <v>0</v>
      </c>
      <c r="AI26" s="280">
        <f t="shared" si="16"/>
        <v>0</v>
      </c>
      <c r="AJ26" s="697">
        <f>AJ10+AJ24</f>
        <v>0</v>
      </c>
      <c r="AK26" s="696">
        <f>AK10+AK24</f>
        <v>0</v>
      </c>
      <c r="AL26" s="123">
        <f t="shared" ref="AL26:AM26" si="17">AL10+AL24</f>
        <v>0</v>
      </c>
      <c r="AM26" s="280">
        <f t="shared" si="17"/>
        <v>0</v>
      </c>
      <c r="AN26" s="280">
        <f>AN10+AN24</f>
        <v>0</v>
      </c>
      <c r="AO26" s="280">
        <f>AO10+AO24</f>
        <v>0</v>
      </c>
      <c r="AP26" s="123">
        <f t="shared" ref="AP26:AQ26" si="18">AP10+AP24</f>
        <v>0</v>
      </c>
      <c r="AQ26" s="280">
        <f t="shared" si="18"/>
        <v>0</v>
      </c>
      <c r="AR26" s="280">
        <f>AR10+AR24</f>
        <v>0</v>
      </c>
      <c r="AS26" s="280">
        <f>AS10+AS24</f>
        <v>0</v>
      </c>
      <c r="AT26" s="123">
        <f t="shared" ref="AT26:AU26" si="19">AT10+AT24</f>
        <v>0</v>
      </c>
      <c r="AU26" s="280">
        <f t="shared" si="19"/>
        <v>0</v>
      </c>
      <c r="AV26" s="280">
        <f>AV10+AV24</f>
        <v>0</v>
      </c>
      <c r="AW26" s="280">
        <f>AW10+AW24</f>
        <v>0</v>
      </c>
      <c r="AX26" s="123">
        <f t="shared" ref="AX26:AY26" si="20">AX10+AX24</f>
        <v>0</v>
      </c>
      <c r="AY26" s="280">
        <f t="shared" si="20"/>
        <v>0</v>
      </c>
      <c r="AZ26" s="280">
        <f>AZ10+AZ24</f>
        <v>0</v>
      </c>
      <c r="BA26" s="280">
        <f>BA10+BA24</f>
        <v>0</v>
      </c>
      <c r="BB26" s="127">
        <f t="shared" ref="BB26:BC26" si="21">BB10+BB24</f>
        <v>0</v>
      </c>
      <c r="BC26" s="280">
        <f t="shared" si="21"/>
        <v>0</v>
      </c>
      <c r="BD26" s="697">
        <f>BD10+BD24</f>
        <v>0</v>
      </c>
      <c r="BE26" s="697">
        <f>BE10+BE24</f>
        <v>0</v>
      </c>
      <c r="BF26" s="124">
        <f>BF10+BF24</f>
        <v>0</v>
      </c>
      <c r="BG26" s="707">
        <f t="shared" si="10"/>
        <v>0</v>
      </c>
      <c r="BH26" s="706">
        <f t="shared" si="10"/>
        <v>0</v>
      </c>
      <c r="BI26" s="284">
        <f t="shared" si="10"/>
        <v>0</v>
      </c>
    </row>
    <row r="27" spans="3:61" ht="21" customHeight="1">
      <c r="H27" s="320"/>
      <c r="I27" s="320"/>
      <c r="J27" s="321"/>
      <c r="K27" s="321"/>
      <c r="L27" s="321"/>
      <c r="M27" s="321"/>
      <c r="N27" s="321"/>
      <c r="O27" s="321"/>
      <c r="P27" s="321"/>
      <c r="Q27" s="321"/>
      <c r="R27" s="321"/>
      <c r="S27" s="321"/>
      <c r="T27" s="321"/>
      <c r="U27" s="321"/>
      <c r="V27" s="321"/>
      <c r="W27" s="321"/>
      <c r="X27" s="323"/>
      <c r="Y27" s="323"/>
      <c r="Z27" s="321"/>
      <c r="AA27" s="321"/>
      <c r="AB27" s="323"/>
      <c r="AC27" s="323"/>
      <c r="AD27" s="321"/>
      <c r="AE27" s="321"/>
      <c r="AF27" s="321"/>
      <c r="AG27" s="321"/>
      <c r="AH27" s="321"/>
      <c r="AI27" s="321"/>
      <c r="AJ27" s="321"/>
      <c r="AK27" s="321"/>
      <c r="AL27" s="321"/>
      <c r="AM27" s="321"/>
      <c r="AN27" s="321"/>
      <c r="AO27" s="321"/>
      <c r="AP27" s="321"/>
      <c r="AQ27" s="321"/>
      <c r="AR27" s="321"/>
      <c r="AS27" s="321"/>
      <c r="AT27" s="321"/>
      <c r="AU27" s="321"/>
      <c r="AV27" s="321"/>
      <c r="AW27" s="321"/>
      <c r="AX27" s="321"/>
      <c r="AY27" s="321"/>
      <c r="AZ27" s="321"/>
      <c r="BA27" s="321"/>
      <c r="BB27" s="335"/>
      <c r="BC27" s="1918">
        <f>SUM(I27:AZ29)</f>
        <v>0</v>
      </c>
      <c r="BD27" s="335"/>
      <c r="BE27" s="335"/>
      <c r="BF27" s="335"/>
      <c r="BG27" s="335"/>
      <c r="BH27" s="1917">
        <f>BH26+BI26</f>
        <v>0</v>
      </c>
      <c r="BI27" s="1917"/>
    </row>
    <row r="28" spans="3:61" ht="21" customHeight="1">
      <c r="H28" s="320"/>
      <c r="I28" s="320"/>
      <c r="J28" s="322"/>
      <c r="K28" s="323"/>
      <c r="L28" s="323"/>
      <c r="M28" s="321"/>
      <c r="N28" s="322"/>
      <c r="O28" s="323"/>
      <c r="P28" s="323"/>
      <c r="Q28" s="323"/>
      <c r="R28" s="322"/>
      <c r="S28" s="323"/>
      <c r="T28" s="323"/>
      <c r="U28" s="323"/>
      <c r="V28" s="321"/>
      <c r="W28" s="323"/>
      <c r="X28" s="323"/>
      <c r="Y28" s="323"/>
      <c r="Z28" s="322"/>
      <c r="AA28" s="323"/>
      <c r="AB28" s="323"/>
      <c r="AC28" s="323"/>
      <c r="AD28" s="322"/>
      <c r="AE28" s="323"/>
      <c r="AF28" s="323"/>
      <c r="AG28" s="322"/>
      <c r="AH28" s="322"/>
      <c r="AI28" s="323"/>
      <c r="AJ28" s="323"/>
      <c r="AK28" s="323"/>
      <c r="AL28" s="321"/>
      <c r="AM28" s="323"/>
      <c r="AN28" s="622"/>
      <c r="AO28" s="622"/>
      <c r="AP28" s="321"/>
      <c r="AQ28" s="323"/>
      <c r="AR28" s="323"/>
      <c r="AS28" s="323"/>
      <c r="AT28" s="322"/>
      <c r="AU28" s="323"/>
      <c r="AV28" s="323"/>
      <c r="AW28" s="323"/>
      <c r="AX28" s="322"/>
      <c r="AY28" s="468"/>
      <c r="AZ28" s="468"/>
      <c r="BA28" s="468"/>
      <c r="BB28" s="392"/>
      <c r="BC28" s="1919"/>
      <c r="BD28" s="434"/>
      <c r="BE28" s="434"/>
      <c r="BF28" s="435"/>
      <c r="BG28" s="434"/>
      <c r="BH28" s="726"/>
      <c r="BI28" s="434"/>
    </row>
    <row r="29" spans="3:61" ht="23.25">
      <c r="H29" s="320"/>
      <c r="I29" s="320"/>
      <c r="J29" s="322"/>
      <c r="K29" s="323"/>
      <c r="L29" s="323"/>
      <c r="M29" s="323"/>
      <c r="N29" s="322"/>
      <c r="O29" s="323"/>
      <c r="P29" s="323"/>
      <c r="Q29" s="323"/>
      <c r="R29" s="322"/>
      <c r="S29" s="323"/>
      <c r="T29" s="323"/>
      <c r="U29" s="323"/>
      <c r="V29" s="322"/>
      <c r="W29" s="323"/>
      <c r="X29" s="323"/>
      <c r="Y29" s="323"/>
      <c r="Z29" s="322"/>
      <c r="AA29" s="323"/>
      <c r="AB29" s="323"/>
      <c r="AC29" s="323"/>
      <c r="AD29" s="322"/>
      <c r="AE29" s="323"/>
      <c r="AF29" s="688"/>
      <c r="AG29" s="688"/>
      <c r="AH29" s="322"/>
      <c r="AI29" s="322"/>
      <c r="AJ29" s="323"/>
      <c r="AK29" s="323"/>
      <c r="AL29" s="321"/>
      <c r="AM29" s="323"/>
      <c r="AN29" s="321"/>
      <c r="AO29" s="321"/>
      <c r="AP29" s="322"/>
      <c r="AQ29" s="323"/>
      <c r="AR29" s="323"/>
      <c r="AS29" s="323"/>
      <c r="AT29" s="322"/>
      <c r="AU29" s="323"/>
      <c r="AV29" s="323"/>
      <c r="AW29" s="323"/>
      <c r="AX29" s="322"/>
      <c r="AY29" s="468"/>
      <c r="AZ29" s="468"/>
      <c r="BA29" s="468"/>
      <c r="BB29" s="392"/>
      <c r="BC29" s="434"/>
      <c r="BD29" s="434"/>
      <c r="BE29" s="434"/>
      <c r="BF29" s="435"/>
      <c r="BG29" s="434"/>
      <c r="BH29" s="682"/>
      <c r="BI29" s="434"/>
    </row>
    <row r="30" spans="3:61" s="464" customFormat="1" ht="21.75" thickBot="1">
      <c r="D30" s="576"/>
      <c r="E30" s="576"/>
      <c r="F30" s="576"/>
      <c r="I30" s="577"/>
      <c r="J30" s="578"/>
      <c r="K30" s="579"/>
      <c r="L30" s="579"/>
      <c r="M30" s="579"/>
      <c r="N30" s="578"/>
      <c r="O30" s="579"/>
      <c r="P30" s="579"/>
      <c r="Q30" s="579"/>
      <c r="R30" s="578"/>
      <c r="S30" s="579"/>
      <c r="T30" s="579"/>
      <c r="U30" s="579"/>
      <c r="V30" s="578"/>
      <c r="W30" s="578"/>
      <c r="X30" s="579"/>
      <c r="Y30" s="579"/>
      <c r="Z30" s="579"/>
      <c r="AA30" s="578"/>
      <c r="AB30" s="579"/>
      <c r="AC30" s="579"/>
      <c r="AD30" s="579"/>
      <c r="AE30" s="578"/>
      <c r="AF30" s="579"/>
      <c r="AG30" s="579"/>
      <c r="AH30" s="621"/>
      <c r="AI30" s="578"/>
      <c r="AJ30" s="579"/>
      <c r="AK30" s="579"/>
      <c r="AM30" s="580"/>
      <c r="AN30" s="579"/>
      <c r="AO30" s="579"/>
      <c r="AP30" s="579"/>
      <c r="AQ30" s="578"/>
      <c r="AR30" s="579"/>
      <c r="AS30" s="579"/>
      <c r="AT30" s="579"/>
      <c r="AU30" s="578"/>
      <c r="AV30" s="579"/>
      <c r="AW30" s="579"/>
      <c r="AZ30" s="581"/>
      <c r="BA30" s="581"/>
      <c r="BB30" s="581"/>
      <c r="BC30" s="582"/>
      <c r="BD30" s="583"/>
      <c r="BE30" s="583"/>
      <c r="BF30" s="583"/>
      <c r="BG30" s="584"/>
      <c r="BH30" s="583"/>
      <c r="BI30" s="585"/>
    </row>
    <row r="31" spans="3:61" ht="35.25" customHeight="1" thickBot="1">
      <c r="J31" s="26">
        <f>73.69-72.5</f>
        <v>1.1899999999999977</v>
      </c>
      <c r="L31" s="1929" t="s">
        <v>343</v>
      </c>
      <c r="M31" s="1930"/>
      <c r="N31" s="1930"/>
      <c r="O31" s="1930"/>
      <c r="P31" s="1930"/>
      <c r="Q31" s="1930"/>
      <c r="R31" s="1930"/>
      <c r="S31" s="1931"/>
      <c r="T31" s="579"/>
      <c r="U31" s="579"/>
      <c r="V31" s="1929" t="s">
        <v>204</v>
      </c>
      <c r="W31" s="1930"/>
      <c r="X31" s="1930"/>
      <c r="Y31" s="1930"/>
      <c r="Z31" s="1930"/>
      <c r="AA31" s="1930"/>
      <c r="AB31" s="1930"/>
      <c r="AC31" s="1935"/>
      <c r="AD31" s="1936"/>
      <c r="AE31" s="579"/>
      <c r="AF31" s="579"/>
      <c r="AG31" s="26"/>
      <c r="AH31" s="24"/>
      <c r="AJ31" s="685"/>
      <c r="AL31" s="24"/>
      <c r="AM31" s="599"/>
      <c r="AN31" s="1014"/>
      <c r="AP31" s="24"/>
      <c r="AS31" s="26"/>
      <c r="AT31" s="1126"/>
      <c r="AU31" s="1126"/>
      <c r="AX31" s="24"/>
      <c r="AY31" s="25"/>
      <c r="AZ31" s="25"/>
      <c r="BA31" s="24"/>
      <c r="BB31" s="24"/>
      <c r="BE31" s="1124"/>
      <c r="BF31" s="23"/>
      <c r="BG31" s="23"/>
    </row>
    <row r="32" spans="3:61" s="24" customFormat="1" ht="28.5" customHeight="1" thickBot="1">
      <c r="C32" s="23"/>
      <c r="D32" s="27"/>
      <c r="E32" s="27"/>
      <c r="F32" s="27"/>
      <c r="G32" s="23"/>
      <c r="H32" s="23"/>
      <c r="I32" s="27"/>
      <c r="L32" s="450" t="s">
        <v>0</v>
      </c>
      <c r="M32" s="439" t="s">
        <v>200</v>
      </c>
      <c r="N32" s="454" t="s">
        <v>205</v>
      </c>
      <c r="O32" s="439" t="s">
        <v>31</v>
      </c>
      <c r="P32" s="448" t="s">
        <v>201</v>
      </c>
      <c r="Q32" s="455" t="s">
        <v>206</v>
      </c>
      <c r="R32" s="436" t="s">
        <v>22</v>
      </c>
      <c r="S32" s="438" t="s">
        <v>191</v>
      </c>
      <c r="T32" s="579"/>
      <c r="U32" s="579"/>
      <c r="V32" s="571" t="s">
        <v>0</v>
      </c>
      <c r="W32" s="572" t="s">
        <v>200</v>
      </c>
      <c r="X32" s="623" t="s">
        <v>205</v>
      </c>
      <c r="Y32" s="572" t="s">
        <v>31</v>
      </c>
      <c r="Z32" s="573" t="s">
        <v>201</v>
      </c>
      <c r="AA32" s="574" t="s">
        <v>206</v>
      </c>
      <c r="AB32" s="717" t="s">
        <v>22</v>
      </c>
      <c r="AC32" s="721" t="s">
        <v>191</v>
      </c>
      <c r="AD32" s="722" t="s">
        <v>226</v>
      </c>
      <c r="AE32" s="579"/>
      <c r="AF32" s="579"/>
      <c r="AG32" s="599"/>
      <c r="AH32" s="599"/>
      <c r="AI32" s="599"/>
      <c r="AN32" s="26"/>
      <c r="AT32" s="25"/>
      <c r="AU32" s="25"/>
      <c r="AW32" s="23"/>
      <c r="AX32" s="23"/>
    </row>
    <row r="33" spans="1:59" ht="23.25">
      <c r="L33" s="441" t="s">
        <v>189</v>
      </c>
      <c r="M33" s="470">
        <f>$J$6</f>
        <v>0</v>
      </c>
      <c r="N33" s="430">
        <f>$J9</f>
        <v>0</v>
      </c>
      <c r="O33" s="430">
        <f>$J7</f>
        <v>0</v>
      </c>
      <c r="P33" s="430">
        <f>$J8</f>
        <v>0</v>
      </c>
      <c r="Q33" s="430">
        <f>J15+J16+J17+J18+J19+J21+J22+J23</f>
        <v>0</v>
      </c>
      <c r="R33" s="430">
        <f>$J20</f>
        <v>0</v>
      </c>
      <c r="S33" s="446">
        <f t="shared" ref="S33:S42" si="22">SUM(M33:R33)</f>
        <v>0</v>
      </c>
      <c r="T33" s="579"/>
      <c r="U33" s="579"/>
      <c r="V33" s="447" t="s">
        <v>189</v>
      </c>
      <c r="W33" s="569">
        <f>L$6</f>
        <v>0</v>
      </c>
      <c r="X33" s="570">
        <f>$L9</f>
        <v>0</v>
      </c>
      <c r="Y33" s="570">
        <f>$L7</f>
        <v>0</v>
      </c>
      <c r="Z33" s="570">
        <f>$L8</f>
        <v>0</v>
      </c>
      <c r="AA33" s="570">
        <f>L$15+L$16+L$17+L$18+L$19+L$21+L$22+L$23</f>
        <v>0</v>
      </c>
      <c r="AB33" s="718">
        <f>$L20</f>
        <v>0</v>
      </c>
      <c r="AC33" s="723">
        <f t="shared" ref="AC33:AC42" si="23">SUM(W33:AB33)</f>
        <v>0</v>
      </c>
      <c r="AD33" s="587">
        <f>M6+M7+M8++M9+M15+M16+M17+M18+M19+M21+M20+M22+M23</f>
        <v>0</v>
      </c>
      <c r="AE33" s="579">
        <f>AC33+AD33</f>
        <v>0</v>
      </c>
      <c r="AF33" s="579"/>
      <c r="AG33" s="599"/>
      <c r="AH33" s="599"/>
      <c r="AI33" s="599"/>
      <c r="AL33" s="24"/>
      <c r="AN33" s="26"/>
      <c r="AP33" s="24"/>
      <c r="AT33" s="25"/>
      <c r="AU33" s="25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</row>
    <row r="34" spans="1:59" s="24" customFormat="1" ht="23.25">
      <c r="A34" s="23"/>
      <c r="B34" s="23"/>
      <c r="C34" s="23"/>
      <c r="D34" s="27"/>
      <c r="E34" s="27"/>
      <c r="F34" s="27"/>
      <c r="G34" s="23"/>
      <c r="H34" s="23"/>
      <c r="I34" s="27"/>
      <c r="L34" s="441" t="s">
        <v>183</v>
      </c>
      <c r="M34" s="470">
        <f>$N$6</f>
        <v>0</v>
      </c>
      <c r="N34" s="430">
        <f>$N9</f>
        <v>0</v>
      </c>
      <c r="O34" s="430">
        <f>$N7</f>
        <v>0</v>
      </c>
      <c r="P34" s="430">
        <f>$N8</f>
        <v>0</v>
      </c>
      <c r="Q34" s="430">
        <f>N15+N16+N17+N18+N19+N21+N22+N23</f>
        <v>0</v>
      </c>
      <c r="R34" s="430">
        <f>$N20</f>
        <v>0</v>
      </c>
      <c r="S34" s="446">
        <f t="shared" si="22"/>
        <v>0</v>
      </c>
      <c r="T34" s="686"/>
      <c r="U34" s="26"/>
      <c r="V34" s="441" t="s">
        <v>183</v>
      </c>
      <c r="W34" s="440">
        <f>P$6</f>
        <v>0</v>
      </c>
      <c r="X34" s="430">
        <f>$P9</f>
        <v>0</v>
      </c>
      <c r="Y34" s="430">
        <f>$P7</f>
        <v>0</v>
      </c>
      <c r="Z34" s="430">
        <f>$P8</f>
        <v>0</v>
      </c>
      <c r="AA34" s="430">
        <f>P$15+P$16+P$17+P$18+P$19+P$21+P$22+P$23</f>
        <v>0</v>
      </c>
      <c r="AB34" s="719">
        <f>$P20</f>
        <v>0</v>
      </c>
      <c r="AC34" s="723">
        <f t="shared" si="23"/>
        <v>0</v>
      </c>
      <c r="AD34" s="587">
        <f>Q6+Q7+Q8+Q9+Q15+Q16+Q17+Q18+Q19+Q20+Q21+Q22+Q23</f>
        <v>0</v>
      </c>
      <c r="AE34" s="579">
        <f t="shared" ref="AE34:AE43" si="24">AC34+AD34</f>
        <v>0</v>
      </c>
      <c r="AG34" s="599"/>
      <c r="AH34" s="599"/>
      <c r="AI34" s="599"/>
      <c r="AN34" s="26"/>
      <c r="AT34" s="25"/>
      <c r="AU34" s="25"/>
    </row>
    <row r="35" spans="1:59" ht="23.25">
      <c r="L35" s="441" t="s">
        <v>184</v>
      </c>
      <c r="M35" s="470">
        <f>$R$6</f>
        <v>0</v>
      </c>
      <c r="N35" s="430">
        <f>$R9</f>
        <v>0</v>
      </c>
      <c r="O35" s="430">
        <f>$R7</f>
        <v>0</v>
      </c>
      <c r="P35" s="430">
        <f>$R8</f>
        <v>0</v>
      </c>
      <c r="Q35" s="430">
        <f>R15+R16+R17+R18+R19+R21+R22+R23</f>
        <v>0</v>
      </c>
      <c r="R35" s="430">
        <f>$R20</f>
        <v>0</v>
      </c>
      <c r="S35" s="446">
        <f t="shared" si="22"/>
        <v>0</v>
      </c>
      <c r="T35" s="686"/>
      <c r="U35" s="26"/>
      <c r="V35" s="441" t="s">
        <v>184</v>
      </c>
      <c r="W35" s="440">
        <f>T$6</f>
        <v>0</v>
      </c>
      <c r="X35" s="430">
        <f>$T9</f>
        <v>0</v>
      </c>
      <c r="Y35" s="430">
        <f>$T7</f>
        <v>0</v>
      </c>
      <c r="Z35" s="430">
        <f>$T8</f>
        <v>0</v>
      </c>
      <c r="AA35" s="430">
        <f>T$15+T$16+T$17+T$18+T$19+T$21+T$22+T$23</f>
        <v>0</v>
      </c>
      <c r="AB35" s="719">
        <f>$T20</f>
        <v>0</v>
      </c>
      <c r="AC35" s="723">
        <f t="shared" si="23"/>
        <v>0</v>
      </c>
      <c r="AD35" s="587">
        <f>U6+U7+U8+U9+U15+U16+U17+U18+U19+U20+U21+U22+U23</f>
        <v>0</v>
      </c>
      <c r="AE35" s="579">
        <f t="shared" si="24"/>
        <v>0</v>
      </c>
      <c r="AF35" s="26"/>
      <c r="AG35" s="599"/>
      <c r="AH35" s="599"/>
      <c r="AI35" s="599"/>
      <c r="AL35" s="24"/>
      <c r="AN35" s="26"/>
      <c r="AP35" s="24"/>
      <c r="AT35" s="25"/>
      <c r="AU35" s="25"/>
      <c r="AX35" s="23"/>
      <c r="AY35" s="23"/>
      <c r="AZ35" s="23"/>
      <c r="BA35" s="23"/>
      <c r="BB35" s="23"/>
      <c r="BC35" s="23"/>
      <c r="BD35" s="23"/>
      <c r="BE35" s="23"/>
      <c r="BF35" s="23"/>
      <c r="BG35" s="23"/>
    </row>
    <row r="36" spans="1:59" ht="23.25">
      <c r="L36" s="441" t="s">
        <v>170</v>
      </c>
      <c r="M36" s="470">
        <f>$V$6</f>
        <v>0</v>
      </c>
      <c r="N36" s="430">
        <f>$V9</f>
        <v>0</v>
      </c>
      <c r="O36" s="430">
        <f>$V7</f>
        <v>0</v>
      </c>
      <c r="P36" s="430">
        <f>$V8</f>
        <v>0</v>
      </c>
      <c r="Q36" s="430">
        <f>V15+V16+V17+V18+V19+V21++V22+V23</f>
        <v>0</v>
      </c>
      <c r="R36" s="430">
        <f>$V20</f>
        <v>0</v>
      </c>
      <c r="S36" s="446">
        <f t="shared" si="22"/>
        <v>0</v>
      </c>
      <c r="T36" s="686"/>
      <c r="U36" s="26"/>
      <c r="V36" s="441" t="s">
        <v>170</v>
      </c>
      <c r="W36" s="440">
        <f>X$6</f>
        <v>0</v>
      </c>
      <c r="X36" s="430">
        <f>$X9</f>
        <v>0</v>
      </c>
      <c r="Y36" s="430">
        <f>$X7</f>
        <v>0</v>
      </c>
      <c r="Z36" s="430">
        <f>$X8</f>
        <v>0</v>
      </c>
      <c r="AA36" s="430">
        <f>X$15+X$16+X$17+X$18+X$19+X$21+X$22+X$23</f>
        <v>0</v>
      </c>
      <c r="AB36" s="719">
        <f>$X20</f>
        <v>0</v>
      </c>
      <c r="AC36" s="723">
        <f t="shared" si="23"/>
        <v>0</v>
      </c>
      <c r="AD36" s="587">
        <f>Y6+Y7+Y8+Y9+Y15+Y16+Y17+Y18+Y19+Y20+Y21+Y22+Y23</f>
        <v>0</v>
      </c>
      <c r="AE36" s="579">
        <f t="shared" si="24"/>
        <v>0</v>
      </c>
      <c r="AF36" s="26"/>
      <c r="AG36" s="599"/>
      <c r="AH36" s="599"/>
      <c r="AI36" s="599"/>
      <c r="AL36" s="24"/>
      <c r="AN36" s="26"/>
      <c r="AP36" s="24"/>
      <c r="AT36" s="25"/>
      <c r="AU36" s="25"/>
      <c r="AX36" s="23"/>
      <c r="AY36" s="23"/>
      <c r="AZ36" s="23"/>
      <c r="BA36" s="23"/>
      <c r="BB36" s="23"/>
      <c r="BC36" s="23"/>
      <c r="BD36" s="23"/>
      <c r="BE36" s="23"/>
      <c r="BF36" s="23"/>
      <c r="BG36" s="23"/>
    </row>
    <row r="37" spans="1:59" ht="23.25">
      <c r="L37" s="441" t="s">
        <v>171</v>
      </c>
      <c r="M37" s="470">
        <f>$Z$6</f>
        <v>0</v>
      </c>
      <c r="N37" s="430">
        <f>$Z9</f>
        <v>0</v>
      </c>
      <c r="O37" s="430">
        <f>$Z7</f>
        <v>0</v>
      </c>
      <c r="P37" s="430">
        <f>$Z8</f>
        <v>0</v>
      </c>
      <c r="Q37" s="430">
        <f>Z15+Z16+Z17+Z18+Z19+Z21+Z22+Z23</f>
        <v>0</v>
      </c>
      <c r="R37" s="430">
        <f>$Z20</f>
        <v>0</v>
      </c>
      <c r="S37" s="446">
        <f t="shared" si="22"/>
        <v>0</v>
      </c>
      <c r="T37" s="686"/>
      <c r="U37" s="26"/>
      <c r="V37" s="441" t="s">
        <v>171</v>
      </c>
      <c r="W37" s="440">
        <f>AB$6</f>
        <v>0</v>
      </c>
      <c r="X37" s="430">
        <f>$AB9</f>
        <v>0</v>
      </c>
      <c r="Y37" s="430">
        <f>$AB7</f>
        <v>0</v>
      </c>
      <c r="Z37" s="430">
        <f>$AB8</f>
        <v>0</v>
      </c>
      <c r="AA37" s="430">
        <f>AB$15+AB$16+AB$17+AB$18+AB$19+AB$21+AB$22+AB$23</f>
        <v>0</v>
      </c>
      <c r="AB37" s="719">
        <f>$AB20</f>
        <v>0</v>
      </c>
      <c r="AC37" s="723">
        <f t="shared" si="23"/>
        <v>0</v>
      </c>
      <c r="AD37" s="587">
        <f>AC6+AC7+AC8+AC9+AC15+AC17+AC16+AC18+AC19+AC20+AC21+AC22+AC23</f>
        <v>0</v>
      </c>
      <c r="AE37" s="579">
        <f t="shared" si="24"/>
        <v>0</v>
      </c>
      <c r="AF37" s="26"/>
      <c r="AG37" s="26"/>
      <c r="AI37" s="26"/>
      <c r="AJ37" s="26"/>
      <c r="AK37" s="26"/>
      <c r="AL37" s="24"/>
      <c r="AN37" s="26"/>
      <c r="AP37" s="24"/>
      <c r="AT37" s="24"/>
      <c r="AX37" s="23"/>
      <c r="AY37" s="23"/>
      <c r="AZ37" s="23"/>
      <c r="BA37" s="23"/>
      <c r="BB37" s="23"/>
      <c r="BC37" s="23"/>
      <c r="BD37" s="23"/>
      <c r="BE37" s="23"/>
      <c r="BF37" s="23"/>
      <c r="BG37" s="23"/>
    </row>
    <row r="38" spans="1:59" ht="23.25">
      <c r="L38" s="441" t="s">
        <v>190</v>
      </c>
      <c r="M38" s="492">
        <f>$AD$6</f>
        <v>0</v>
      </c>
      <c r="N38" s="471">
        <f>$AD9</f>
        <v>0</v>
      </c>
      <c r="O38" s="471">
        <f>$AD7</f>
        <v>0</v>
      </c>
      <c r="P38" s="471">
        <f>$AD8</f>
        <v>0</v>
      </c>
      <c r="Q38" s="430">
        <f>AD15+AD16+AD17+AD18+AD19+AD21+AD22+AD23</f>
        <v>0</v>
      </c>
      <c r="R38" s="471">
        <f>$AD20</f>
        <v>0</v>
      </c>
      <c r="S38" s="446">
        <f t="shared" si="22"/>
        <v>0</v>
      </c>
      <c r="T38" s="686"/>
      <c r="U38" s="26"/>
      <c r="V38" s="441" t="s">
        <v>190</v>
      </c>
      <c r="W38" s="440">
        <f>AF$6</f>
        <v>0</v>
      </c>
      <c r="X38" s="430">
        <f>$AF9</f>
        <v>0</v>
      </c>
      <c r="Y38" s="430">
        <f>$AF7</f>
        <v>0</v>
      </c>
      <c r="Z38" s="430">
        <f>$AF8</f>
        <v>0</v>
      </c>
      <c r="AA38" s="430">
        <f>AF$15+AF$16+AF$17+AF$18+AF$19+AF$21+AF$22+AF$23</f>
        <v>0</v>
      </c>
      <c r="AB38" s="719">
        <f>$AF20</f>
        <v>0</v>
      </c>
      <c r="AC38" s="723">
        <f t="shared" si="23"/>
        <v>0</v>
      </c>
      <c r="AD38" s="587">
        <f>AG6+AG7+AG8+AG9+AG15+AG16+AG17+AG18+AG19+AG20+AG21+AG22+AG23</f>
        <v>0</v>
      </c>
      <c r="AE38" s="579">
        <f t="shared" si="24"/>
        <v>0</v>
      </c>
      <c r="AF38" s="26"/>
      <c r="AG38" s="26"/>
      <c r="AI38" s="26"/>
      <c r="AJ38" s="26"/>
      <c r="AK38" s="26"/>
      <c r="AL38" s="24"/>
      <c r="AN38" s="26"/>
      <c r="AP38" s="24"/>
      <c r="AT38" s="24"/>
      <c r="AX38" s="23"/>
      <c r="AY38" s="23"/>
      <c r="AZ38" s="23"/>
      <c r="BA38" s="23"/>
      <c r="BB38" s="23"/>
      <c r="BC38" s="23"/>
      <c r="BD38" s="23"/>
      <c r="BE38" s="23"/>
      <c r="BF38" s="23"/>
      <c r="BG38" s="23"/>
    </row>
    <row r="39" spans="1:59" ht="23.25">
      <c r="L39" s="441" t="s">
        <v>185</v>
      </c>
      <c r="M39" s="470">
        <f>$AL$6</f>
        <v>0</v>
      </c>
      <c r="N39" s="430">
        <f>$AL9</f>
        <v>0</v>
      </c>
      <c r="O39" s="430">
        <f>$AL7</f>
        <v>0</v>
      </c>
      <c r="P39" s="430">
        <f>$AL8</f>
        <v>0</v>
      </c>
      <c r="Q39" s="430">
        <f>AL15+AL16+AL17+AL18+AL19+AL21+AL22+AL23</f>
        <v>0</v>
      </c>
      <c r="R39" s="430">
        <f>$AL20</f>
        <v>0</v>
      </c>
      <c r="S39" s="446">
        <f t="shared" si="22"/>
        <v>0</v>
      </c>
      <c r="T39" s="686"/>
      <c r="U39" s="26"/>
      <c r="V39" s="441" t="s">
        <v>185</v>
      </c>
      <c r="W39" s="469">
        <f>AN$6</f>
        <v>0</v>
      </c>
      <c r="X39" s="430">
        <f>$AN9</f>
        <v>0</v>
      </c>
      <c r="Y39" s="430">
        <f>$AN7</f>
        <v>0</v>
      </c>
      <c r="Z39" s="430">
        <f>$AN8</f>
        <v>0</v>
      </c>
      <c r="AA39" s="430">
        <f>AN$15+AN$16+AN$17+AN$18+AN$19+AN$21+AN$22+AN$23</f>
        <v>0</v>
      </c>
      <c r="AB39" s="719">
        <f>$AN20</f>
        <v>0</v>
      </c>
      <c r="AC39" s="723">
        <f t="shared" si="23"/>
        <v>0</v>
      </c>
      <c r="AD39" s="587">
        <f>AO6+AO7+AO8+AO9+AO15+AO16+AO17+AO18+AO19+AO20+AO21+AO22+AO23</f>
        <v>0</v>
      </c>
      <c r="AE39" s="579">
        <f t="shared" si="24"/>
        <v>0</v>
      </c>
      <c r="AF39" s="23"/>
      <c r="AG39" s="26"/>
      <c r="AI39" s="26"/>
      <c r="AJ39" s="26"/>
      <c r="AK39" s="26"/>
      <c r="AL39" s="24"/>
      <c r="AN39" s="26"/>
      <c r="AP39" s="24"/>
      <c r="AT39" s="24"/>
      <c r="AX39" s="23"/>
      <c r="AY39" s="23"/>
      <c r="AZ39" s="23"/>
      <c r="BA39" s="23"/>
      <c r="BB39" s="23"/>
      <c r="BC39" s="23"/>
      <c r="BD39" s="23"/>
      <c r="BE39" s="23"/>
      <c r="BF39" s="23"/>
      <c r="BG39" s="23"/>
    </row>
    <row r="40" spans="1:59" ht="23.25">
      <c r="L40" s="441" t="s">
        <v>202</v>
      </c>
      <c r="M40" s="470">
        <f>$AP$6</f>
        <v>0</v>
      </c>
      <c r="N40" s="430">
        <f>$AP9</f>
        <v>0</v>
      </c>
      <c r="O40" s="430">
        <f>$AP7</f>
        <v>0</v>
      </c>
      <c r="P40" s="430">
        <f>$AP8</f>
        <v>0</v>
      </c>
      <c r="Q40" s="430">
        <f>AP15+AP16+AP17+AP18+AP19+AP21+AP22+AP23</f>
        <v>0</v>
      </c>
      <c r="R40" s="430">
        <f>$AP20</f>
        <v>0</v>
      </c>
      <c r="S40" s="446">
        <f t="shared" si="22"/>
        <v>0</v>
      </c>
      <c r="T40" s="686"/>
      <c r="U40" s="26"/>
      <c r="V40" s="441" t="s">
        <v>202</v>
      </c>
      <c r="W40" s="440">
        <f>AR$6</f>
        <v>0</v>
      </c>
      <c r="X40" s="430">
        <f>$AR9</f>
        <v>0</v>
      </c>
      <c r="Y40" s="430">
        <f>$AR7</f>
        <v>0</v>
      </c>
      <c r="Z40" s="430">
        <f>$AR8</f>
        <v>0</v>
      </c>
      <c r="AA40" s="430">
        <f>AR$15+AR$16+AR$17+AR$18+AR$19+AR$21+AR$22+AR$23</f>
        <v>0</v>
      </c>
      <c r="AB40" s="719">
        <f>$AR20</f>
        <v>0</v>
      </c>
      <c r="AC40" s="723">
        <f t="shared" si="23"/>
        <v>0</v>
      </c>
      <c r="AD40" s="587">
        <f>AS6+AS7+AS8+AS9+AS15+AS16+AS17+AS18+AS19+AS20+AS21+AS22+AS23</f>
        <v>0</v>
      </c>
      <c r="AE40" s="579">
        <f t="shared" si="24"/>
        <v>0</v>
      </c>
      <c r="AF40" s="28"/>
      <c r="AG40" s="26"/>
      <c r="AI40" s="26"/>
      <c r="AJ40" s="26"/>
      <c r="AK40" s="26"/>
      <c r="AL40" s="24"/>
      <c r="AN40" s="26"/>
      <c r="AP40" s="24"/>
      <c r="AS40" s="23"/>
      <c r="AT40" s="24"/>
      <c r="AX40" s="23"/>
      <c r="AY40" s="23"/>
      <c r="AZ40" s="23"/>
      <c r="BA40" s="23"/>
      <c r="BB40" s="23"/>
      <c r="BC40" s="23"/>
      <c r="BD40" s="23"/>
      <c r="BE40" s="23"/>
      <c r="BF40" s="23"/>
      <c r="BG40" s="23"/>
    </row>
    <row r="41" spans="1:59" ht="23.25">
      <c r="L41" s="441" t="s">
        <v>186</v>
      </c>
      <c r="M41" s="470">
        <f>$AT$6</f>
        <v>0</v>
      </c>
      <c r="N41" s="430">
        <f>$AT9</f>
        <v>0</v>
      </c>
      <c r="O41" s="430">
        <f>$AT7</f>
        <v>0</v>
      </c>
      <c r="P41" s="430">
        <f>$AT8</f>
        <v>0</v>
      </c>
      <c r="Q41" s="430">
        <f>AT15+AT16+AT17+AT18+AT19+AT21+AT22+AT23</f>
        <v>0</v>
      </c>
      <c r="R41" s="430">
        <f>$AT20</f>
        <v>0</v>
      </c>
      <c r="S41" s="446">
        <f t="shared" si="22"/>
        <v>0</v>
      </c>
      <c r="T41" s="686"/>
      <c r="U41" s="26"/>
      <c r="V41" s="441" t="s">
        <v>186</v>
      </c>
      <c r="W41" s="440">
        <f>AV$6</f>
        <v>0</v>
      </c>
      <c r="X41" s="430">
        <f>$AV9</f>
        <v>0</v>
      </c>
      <c r="Y41" s="430">
        <f>$AV7</f>
        <v>0</v>
      </c>
      <c r="Z41" s="430">
        <f>$AV8</f>
        <v>0</v>
      </c>
      <c r="AA41" s="430">
        <f>AV$15+AV$16+AV$17+AV$18+AV$19+AV$21+AV$22+AV$23</f>
        <v>0</v>
      </c>
      <c r="AB41" s="719">
        <f>$AV20</f>
        <v>0</v>
      </c>
      <c r="AC41" s="723">
        <f t="shared" si="23"/>
        <v>0</v>
      </c>
      <c r="AD41" s="587">
        <f>AW6+AW7+AW8+AW9+AW15+AW16+AW17+AW18+AW20+AW19+AW21+AW22+AW23</f>
        <v>0</v>
      </c>
      <c r="AE41" s="579">
        <f t="shared" si="24"/>
        <v>0</v>
      </c>
      <c r="AH41" s="24"/>
      <c r="AJ41" s="25"/>
      <c r="AL41" s="24"/>
      <c r="AN41" s="25"/>
      <c r="AP41" s="24"/>
      <c r="AR41" s="25"/>
      <c r="AT41" s="24"/>
      <c r="AX41" s="23"/>
      <c r="AY41" s="23"/>
      <c r="AZ41" s="23"/>
      <c r="BA41" s="23"/>
      <c r="BB41" s="23"/>
      <c r="BC41" s="23"/>
      <c r="BD41" s="23"/>
      <c r="BE41" s="23"/>
      <c r="BF41" s="23"/>
      <c r="BG41" s="23"/>
    </row>
    <row r="42" spans="1:59" ht="23.25">
      <c r="L42" s="441" t="s">
        <v>203</v>
      </c>
      <c r="M42" s="470">
        <f>$AX$6</f>
        <v>0</v>
      </c>
      <c r="N42" s="430">
        <f>$AX9</f>
        <v>0</v>
      </c>
      <c r="O42" s="430">
        <f>$AX7</f>
        <v>0</v>
      </c>
      <c r="P42" s="430">
        <f>$AX8</f>
        <v>0</v>
      </c>
      <c r="Q42" s="430">
        <f>AX15+AX16+AX17+AX18+AX19+AX21+AX22+AX23</f>
        <v>0</v>
      </c>
      <c r="R42" s="430">
        <f>$AX20</f>
        <v>0</v>
      </c>
      <c r="S42" s="446">
        <f t="shared" si="22"/>
        <v>0</v>
      </c>
      <c r="T42" s="686"/>
      <c r="U42" s="26"/>
      <c r="V42" s="441" t="s">
        <v>203</v>
      </c>
      <c r="W42" s="440">
        <f>AZ$6</f>
        <v>0</v>
      </c>
      <c r="X42" s="430">
        <f>$AZ9</f>
        <v>0</v>
      </c>
      <c r="Y42" s="430">
        <f>$AZ7</f>
        <v>0</v>
      </c>
      <c r="Z42" s="430">
        <f>$AZ8</f>
        <v>0</v>
      </c>
      <c r="AA42" s="430">
        <f>AZ$15+AZ$16+AZ$17+AZ$18+AZ$19+AZ$21+AZ$22+AZ$23</f>
        <v>0</v>
      </c>
      <c r="AB42" s="719">
        <f>$AZ20</f>
        <v>0</v>
      </c>
      <c r="AC42" s="723">
        <f t="shared" si="23"/>
        <v>0</v>
      </c>
      <c r="AD42" s="587">
        <f>BA6+BA7+BA8+BA9+BA15+BA16+BA17+BA18+BA19+BA20+BA21+BA22+BA23</f>
        <v>0</v>
      </c>
      <c r="AE42" s="579">
        <f t="shared" si="24"/>
        <v>0</v>
      </c>
      <c r="AH42" s="24"/>
      <c r="AJ42" s="25"/>
      <c r="AL42" s="24"/>
      <c r="AN42" s="25"/>
      <c r="AP42" s="24"/>
      <c r="AR42" s="25"/>
      <c r="AT42" s="24"/>
      <c r="AV42" s="25"/>
      <c r="AX42" s="23"/>
      <c r="AY42" s="23"/>
      <c r="AZ42" s="23"/>
      <c r="BA42" s="23"/>
      <c r="BB42" s="23"/>
      <c r="BC42" s="23"/>
      <c r="BD42" s="23"/>
      <c r="BE42" s="23"/>
      <c r="BF42" s="23"/>
      <c r="BG42" s="23"/>
    </row>
    <row r="43" spans="1:59" ht="24" thickBot="1">
      <c r="L43" s="442" t="s">
        <v>191</v>
      </c>
      <c r="M43" s="443">
        <f t="shared" ref="M43" si="25">SUM(M33:M42)</f>
        <v>0</v>
      </c>
      <c r="N43" s="444">
        <f>SUM(N33:N42)</f>
        <v>0</v>
      </c>
      <c r="O43" s="443">
        <f t="shared" ref="O43" si="26">SUM(O33:O42)</f>
        <v>0</v>
      </c>
      <c r="P43" s="444">
        <f>SUM(P33:P42)</f>
        <v>0</v>
      </c>
      <c r="Q43" s="444">
        <f>SUM(Q33:Q42)</f>
        <v>0</v>
      </c>
      <c r="R43" s="445">
        <f>SUM(R33:R42)</f>
        <v>0</v>
      </c>
      <c r="S43" s="451">
        <f>SUM(S33:S42)</f>
        <v>0</v>
      </c>
      <c r="T43" s="687"/>
      <c r="U43" s="26"/>
      <c r="V43" s="442" t="s">
        <v>191</v>
      </c>
      <c r="W43" s="443">
        <f t="shared" ref="W43:Y43" si="27">SUM(W33:W42)</f>
        <v>0</v>
      </c>
      <c r="X43" s="444">
        <f>SUM(X33:X42)</f>
        <v>0</v>
      </c>
      <c r="Y43" s="443">
        <f t="shared" si="27"/>
        <v>0</v>
      </c>
      <c r="Z43" s="444">
        <f>SUM(Z33:Z42)</f>
        <v>0</v>
      </c>
      <c r="AA43" s="444">
        <f>SUM(AA33:AA42)</f>
        <v>0</v>
      </c>
      <c r="AB43" s="720">
        <f>SUM(AB33:AB42)</f>
        <v>0</v>
      </c>
      <c r="AC43" s="724">
        <f>SUM(AC33:AC42)</f>
        <v>0</v>
      </c>
      <c r="AD43" s="725">
        <f>SUM(AD33:AD42)</f>
        <v>0</v>
      </c>
      <c r="AE43" s="579">
        <f t="shared" si="24"/>
        <v>0</v>
      </c>
      <c r="AH43" s="24"/>
      <c r="AJ43" s="25"/>
      <c r="AL43" s="24"/>
      <c r="AN43" s="25"/>
      <c r="AP43" s="24"/>
      <c r="AR43" s="25"/>
      <c r="AT43" s="24"/>
      <c r="AV43" s="25"/>
      <c r="AX43" s="23"/>
      <c r="AY43" s="23"/>
      <c r="AZ43" s="23"/>
      <c r="BA43" s="23"/>
      <c r="BB43" s="23"/>
      <c r="BC43" s="23"/>
      <c r="BD43" s="23"/>
      <c r="BE43" s="23"/>
      <c r="BF43" s="23"/>
      <c r="BG43" s="23"/>
    </row>
    <row r="44" spans="1:59" ht="15" customHeight="1" thickBot="1">
      <c r="L44" s="26"/>
      <c r="M44" s="26"/>
      <c r="N44" s="24"/>
      <c r="P44" s="26"/>
      <c r="Q44" s="26"/>
      <c r="R44" s="24"/>
      <c r="T44" s="26"/>
      <c r="U44" s="26"/>
      <c r="V44" s="24"/>
      <c r="Z44" s="24"/>
      <c r="AD44" s="24"/>
      <c r="AE44" s="26"/>
      <c r="AF44" s="466"/>
      <c r="AG44" s="466"/>
      <c r="AH44" s="466"/>
      <c r="AI44" s="467"/>
      <c r="AL44" s="24"/>
      <c r="AM44" s="25"/>
      <c r="AP44" s="24"/>
      <c r="AQ44" s="25"/>
      <c r="AT44" s="24"/>
      <c r="AU44" s="25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</row>
    <row r="45" spans="1:59" ht="27" thickBot="1">
      <c r="L45" s="1929" t="str">
        <f>L31</f>
        <v>Mode wise Collection Plan-26-11-2021</v>
      </c>
      <c r="M45" s="1930"/>
      <c r="N45" s="1930"/>
      <c r="O45" s="1930"/>
      <c r="P45" s="1930"/>
      <c r="Q45" s="1930"/>
      <c r="R45" s="1930"/>
      <c r="S45" s="1930"/>
      <c r="T45" s="1931"/>
      <c r="U45" s="26"/>
      <c r="V45" s="1923" t="s">
        <v>307</v>
      </c>
      <c r="W45" s="1937"/>
      <c r="X45" s="1937"/>
      <c r="Y45" s="1937"/>
      <c r="Z45" s="1937"/>
      <c r="AA45" s="1937"/>
      <c r="AB45" s="1937"/>
      <c r="AC45" s="1937"/>
      <c r="AD45" s="1937"/>
      <c r="AE45" s="1938"/>
      <c r="AF45" s="466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</row>
    <row r="46" spans="1:59" s="28" customFormat="1" ht="31.5">
      <c r="D46" s="29"/>
      <c r="E46" s="29"/>
      <c r="F46" s="29"/>
      <c r="I46" s="29"/>
      <c r="J46" s="1011" t="s">
        <v>270</v>
      </c>
      <c r="K46" s="1011" t="s">
        <v>196</v>
      </c>
      <c r="L46" s="450" t="s">
        <v>0</v>
      </c>
      <c r="M46" s="439" t="s">
        <v>200</v>
      </c>
      <c r="N46" s="454" t="s">
        <v>205</v>
      </c>
      <c r="O46" s="439" t="s">
        <v>31</v>
      </c>
      <c r="P46" s="448" t="s">
        <v>201</v>
      </c>
      <c r="Q46" s="455" t="s">
        <v>206</v>
      </c>
      <c r="R46" s="436" t="s">
        <v>22</v>
      </c>
      <c r="S46" s="438" t="s">
        <v>191</v>
      </c>
      <c r="T46" s="438" t="s">
        <v>244</v>
      </c>
      <c r="U46" s="26"/>
      <c r="V46" s="596" t="s">
        <v>0</v>
      </c>
      <c r="W46" s="436" t="s">
        <v>200</v>
      </c>
      <c r="X46" s="454" t="s">
        <v>205</v>
      </c>
      <c r="Y46" s="436" t="s">
        <v>31</v>
      </c>
      <c r="Z46" s="448" t="s">
        <v>201</v>
      </c>
      <c r="AA46" s="453" t="s">
        <v>206</v>
      </c>
      <c r="AB46" s="453" t="s">
        <v>210</v>
      </c>
      <c r="AC46" s="436" t="s">
        <v>22</v>
      </c>
      <c r="AD46" s="437" t="s">
        <v>191</v>
      </c>
      <c r="AE46" s="438" t="s">
        <v>244</v>
      </c>
      <c r="AF46" s="952" t="s">
        <v>32</v>
      </c>
      <c r="AG46" s="1022" t="s">
        <v>25</v>
      </c>
      <c r="AH46" s="1022" t="s">
        <v>23</v>
      </c>
      <c r="AI46" s="1022" t="s">
        <v>271</v>
      </c>
      <c r="AJ46" s="23"/>
      <c r="AK46" s="23"/>
      <c r="AL46" s="23"/>
      <c r="AM46" s="23"/>
      <c r="AN46" s="23"/>
      <c r="AO46" s="23"/>
      <c r="AP46" s="23"/>
      <c r="AQ46" s="23"/>
      <c r="AR46" s="23"/>
    </row>
    <row r="47" spans="1:59" ht="23.25">
      <c r="J47" s="441"/>
      <c r="K47" s="441">
        <f>20.5+10</f>
        <v>30.5</v>
      </c>
      <c r="L47" s="441" t="s">
        <v>189</v>
      </c>
      <c r="M47" s="470">
        <v>85</v>
      </c>
      <c r="N47" s="430">
        <v>5</v>
      </c>
      <c r="O47" s="430">
        <v>0</v>
      </c>
      <c r="P47" s="430">
        <v>0</v>
      </c>
      <c r="Q47" s="430">
        <v>20</v>
      </c>
      <c r="R47" s="430">
        <v>0</v>
      </c>
      <c r="S47" s="446">
        <f t="shared" ref="S47:S56" si="28">SUM(M47:R47)</f>
        <v>110</v>
      </c>
      <c r="T47" s="446">
        <v>29</v>
      </c>
      <c r="U47" s="26"/>
      <c r="V47" s="586" t="s">
        <v>189</v>
      </c>
      <c r="W47" s="430">
        <v>16</v>
      </c>
      <c r="X47" s="430">
        <v>1</v>
      </c>
      <c r="Y47" s="430">
        <v>0</v>
      </c>
      <c r="Z47" s="430">
        <v>0</v>
      </c>
      <c r="AA47" s="430">
        <v>0</v>
      </c>
      <c r="AB47" s="655">
        <v>0</v>
      </c>
      <c r="AC47" s="430">
        <v>0</v>
      </c>
      <c r="AD47" s="568">
        <f t="shared" ref="AD47:AD56" si="29">SUM(W47:AC47)</f>
        <v>17</v>
      </c>
      <c r="AE47" s="587">
        <f>L27+L28+L29</f>
        <v>0</v>
      </c>
      <c r="AF47" s="953" t="s">
        <v>22</v>
      </c>
      <c r="AG47" s="1017"/>
      <c r="AH47" s="1017"/>
      <c r="AI47" s="1017"/>
      <c r="AJ47" s="28"/>
      <c r="AK47" s="28"/>
      <c r="AL47" s="28"/>
      <c r="AM47" s="28"/>
      <c r="AN47" s="28"/>
      <c r="AO47" s="28"/>
      <c r="AP47" s="28"/>
      <c r="AQ47" s="28"/>
      <c r="AR47" s="28"/>
      <c r="AT47" s="24"/>
      <c r="AU47" s="25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</row>
    <row r="48" spans="1:59" ht="23.25">
      <c r="J48" s="441"/>
      <c r="K48" s="441"/>
      <c r="L48" s="441" t="s">
        <v>183</v>
      </c>
      <c r="M48" s="470">
        <v>24</v>
      </c>
      <c r="N48" s="430">
        <v>0</v>
      </c>
      <c r="O48" s="430">
        <v>0</v>
      </c>
      <c r="P48" s="430">
        <v>0</v>
      </c>
      <c r="Q48" s="430">
        <v>18</v>
      </c>
      <c r="R48" s="430">
        <v>0</v>
      </c>
      <c r="S48" s="446">
        <f t="shared" si="28"/>
        <v>42</v>
      </c>
      <c r="T48" s="446">
        <v>6</v>
      </c>
      <c r="U48" s="466"/>
      <c r="V48" s="586" t="s">
        <v>183</v>
      </c>
      <c r="W48" s="430">
        <v>2</v>
      </c>
      <c r="X48" s="430">
        <v>0</v>
      </c>
      <c r="Y48" s="430">
        <v>0</v>
      </c>
      <c r="Z48" s="430">
        <v>0</v>
      </c>
      <c r="AA48" s="430">
        <v>0</v>
      </c>
      <c r="AB48" s="655">
        <v>0</v>
      </c>
      <c r="AC48" s="430"/>
      <c r="AD48" s="568">
        <f t="shared" si="29"/>
        <v>2</v>
      </c>
      <c r="AE48" s="587">
        <f>P27+P28+P29</f>
        <v>0</v>
      </c>
      <c r="AF48" s="953"/>
      <c r="AG48" s="951"/>
      <c r="AH48" s="951"/>
      <c r="AI48" s="655"/>
      <c r="AL48" s="24"/>
      <c r="AM48" s="25"/>
      <c r="AP48" s="24"/>
      <c r="AQ48" s="25"/>
      <c r="AT48" s="24"/>
      <c r="AU48" s="25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</row>
    <row r="49" spans="4:59" ht="23.25">
      <c r="J49" s="441">
        <f>7+15</f>
        <v>22</v>
      </c>
      <c r="K49" s="441"/>
      <c r="L49" s="441" t="s">
        <v>184</v>
      </c>
      <c r="M49" s="470">
        <v>0</v>
      </c>
      <c r="N49" s="430">
        <v>0</v>
      </c>
      <c r="O49" s="430">
        <v>0</v>
      </c>
      <c r="P49" s="430">
        <v>0</v>
      </c>
      <c r="Q49" s="430">
        <v>30</v>
      </c>
      <c r="R49" s="430">
        <v>0</v>
      </c>
      <c r="S49" s="446">
        <f t="shared" si="28"/>
        <v>30</v>
      </c>
      <c r="T49" s="446">
        <v>40</v>
      </c>
      <c r="U49" s="466"/>
      <c r="V49" s="586" t="s">
        <v>184</v>
      </c>
      <c r="W49" s="430">
        <v>2</v>
      </c>
      <c r="X49" s="430">
        <v>0</v>
      </c>
      <c r="Y49" s="430">
        <v>0</v>
      </c>
      <c r="Z49" s="430">
        <v>0</v>
      </c>
      <c r="AA49" s="430">
        <v>0</v>
      </c>
      <c r="AB49" s="655">
        <v>0</v>
      </c>
      <c r="AC49" s="430"/>
      <c r="AD49" s="568">
        <f t="shared" si="29"/>
        <v>2</v>
      </c>
      <c r="AE49" s="587">
        <f>T27+T28+T29</f>
        <v>0</v>
      </c>
      <c r="AF49" s="953"/>
      <c r="AG49" s="951"/>
      <c r="AH49" s="951"/>
      <c r="AI49" s="655"/>
      <c r="AL49" s="24"/>
      <c r="AM49" s="25"/>
      <c r="AP49" s="24"/>
      <c r="AQ49" s="25"/>
      <c r="AT49" s="24"/>
      <c r="AU49" s="25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</row>
    <row r="50" spans="4:59" ht="23.25">
      <c r="J50" s="441"/>
      <c r="K50" s="441"/>
      <c r="L50" s="441" t="s">
        <v>170</v>
      </c>
      <c r="M50" s="470">
        <v>82</v>
      </c>
      <c r="N50" s="430">
        <v>0</v>
      </c>
      <c r="O50" s="430">
        <v>0</v>
      </c>
      <c r="P50" s="430">
        <v>0</v>
      </c>
      <c r="Q50" s="430">
        <v>0</v>
      </c>
      <c r="R50" s="430">
        <v>0</v>
      </c>
      <c r="S50" s="446">
        <f t="shared" si="28"/>
        <v>82</v>
      </c>
      <c r="T50" s="446">
        <v>30</v>
      </c>
      <c r="U50" s="466"/>
      <c r="V50" s="586" t="s">
        <v>170</v>
      </c>
      <c r="W50" s="430">
        <v>2.5</v>
      </c>
      <c r="X50" s="430">
        <v>0</v>
      </c>
      <c r="Y50" s="430">
        <v>0</v>
      </c>
      <c r="Z50" s="430">
        <v>0</v>
      </c>
      <c r="AA50" s="430">
        <v>0</v>
      </c>
      <c r="AB50" s="655">
        <v>0</v>
      </c>
      <c r="AC50" s="430"/>
      <c r="AD50" s="568">
        <f t="shared" si="29"/>
        <v>2.5</v>
      </c>
      <c r="AE50" s="587">
        <f>X27+X28+X29</f>
        <v>0</v>
      </c>
      <c r="AF50" s="953"/>
      <c r="AG50" s="951"/>
      <c r="AH50" s="951"/>
      <c r="AI50" s="655"/>
      <c r="AL50" s="24"/>
      <c r="AM50" s="25"/>
      <c r="AP50" s="24"/>
      <c r="AQ50" s="25"/>
      <c r="AT50" s="24"/>
      <c r="AU50" s="25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</row>
    <row r="51" spans="4:59" ht="23.25">
      <c r="J51" s="441"/>
      <c r="K51" s="441"/>
      <c r="L51" s="441" t="s">
        <v>171</v>
      </c>
      <c r="M51" s="470">
        <v>0</v>
      </c>
      <c r="N51" s="430">
        <v>0</v>
      </c>
      <c r="O51" s="430">
        <v>20</v>
      </c>
      <c r="P51" s="430">
        <v>0</v>
      </c>
      <c r="Q51" s="430">
        <v>0</v>
      </c>
      <c r="R51" s="430">
        <v>0</v>
      </c>
      <c r="S51" s="446">
        <f t="shared" si="28"/>
        <v>20</v>
      </c>
      <c r="T51" s="446">
        <v>14</v>
      </c>
      <c r="U51" s="466"/>
      <c r="V51" s="586" t="s">
        <v>171</v>
      </c>
      <c r="W51" s="430">
        <v>0</v>
      </c>
      <c r="X51" s="430">
        <v>0</v>
      </c>
      <c r="Y51" s="430">
        <v>0</v>
      </c>
      <c r="Z51" s="430">
        <v>0</v>
      </c>
      <c r="AA51" s="430">
        <v>0</v>
      </c>
      <c r="AB51" s="655">
        <v>0</v>
      </c>
      <c r="AC51" s="430"/>
      <c r="AD51" s="568">
        <f t="shared" si="29"/>
        <v>0</v>
      </c>
      <c r="AE51" s="587">
        <f>AB27+AB28+AB29</f>
        <v>0</v>
      </c>
      <c r="AF51" s="953"/>
      <c r="AG51" s="951"/>
      <c r="AH51" s="951"/>
      <c r="AI51" s="655"/>
      <c r="AL51" s="24"/>
      <c r="AM51" s="25"/>
      <c r="AP51" s="24"/>
      <c r="AQ51" s="25"/>
      <c r="AT51" s="24"/>
      <c r="AU51" s="25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</row>
    <row r="52" spans="4:59" ht="23.25">
      <c r="J52" s="441">
        <v>18.7</v>
      </c>
      <c r="K52" s="441"/>
      <c r="L52" s="441" t="s">
        <v>190</v>
      </c>
      <c r="M52" s="492">
        <v>30</v>
      </c>
      <c r="N52" s="471">
        <v>0</v>
      </c>
      <c r="O52" s="471">
        <v>0</v>
      </c>
      <c r="P52" s="471">
        <v>30</v>
      </c>
      <c r="Q52" s="430">
        <v>0</v>
      </c>
      <c r="R52" s="471">
        <v>0</v>
      </c>
      <c r="S52" s="446">
        <f t="shared" si="28"/>
        <v>60</v>
      </c>
      <c r="T52" s="446">
        <v>13</v>
      </c>
      <c r="U52" s="466"/>
      <c r="V52" s="586" t="s">
        <v>190</v>
      </c>
      <c r="W52" s="430">
        <v>10.8</v>
      </c>
      <c r="X52" s="430">
        <v>3.6</v>
      </c>
      <c r="Y52" s="430">
        <v>0</v>
      </c>
      <c r="Z52" s="430">
        <v>0</v>
      </c>
      <c r="AA52" s="430">
        <v>0</v>
      </c>
      <c r="AB52" s="655">
        <v>0</v>
      </c>
      <c r="AC52" s="430"/>
      <c r="AD52" s="568">
        <f t="shared" si="29"/>
        <v>14.4</v>
      </c>
      <c r="AE52" s="587">
        <f>AF27+AF28+AF29</f>
        <v>0</v>
      </c>
      <c r="AF52" s="954"/>
      <c r="AG52" s="951"/>
      <c r="AH52" s="951"/>
      <c r="AI52" s="655"/>
      <c r="AL52" s="24"/>
      <c r="AM52" s="25"/>
      <c r="AP52" s="24"/>
      <c r="AQ52" s="25"/>
      <c r="AT52" s="24"/>
      <c r="AU52" s="25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</row>
    <row r="53" spans="4:59" ht="23.25">
      <c r="J53" s="441"/>
      <c r="K53" s="441">
        <v>24.5</v>
      </c>
      <c r="L53" s="441" t="s">
        <v>185</v>
      </c>
      <c r="M53" s="470">
        <v>50</v>
      </c>
      <c r="N53" s="430">
        <v>0</v>
      </c>
      <c r="O53" s="430">
        <v>0</v>
      </c>
      <c r="P53" s="430">
        <v>0</v>
      </c>
      <c r="Q53" s="430">
        <v>70</v>
      </c>
      <c r="R53" s="430">
        <v>0</v>
      </c>
      <c r="S53" s="446">
        <f t="shared" si="28"/>
        <v>120</v>
      </c>
      <c r="T53" s="446">
        <v>76</v>
      </c>
      <c r="U53" s="466"/>
      <c r="V53" s="586" t="s">
        <v>185</v>
      </c>
      <c r="W53" s="430">
        <v>1</v>
      </c>
      <c r="X53" s="430">
        <v>0</v>
      </c>
      <c r="Y53" s="430">
        <v>0</v>
      </c>
      <c r="Z53" s="430">
        <v>0</v>
      </c>
      <c r="AA53" s="430">
        <v>0</v>
      </c>
      <c r="AB53" s="655">
        <v>0</v>
      </c>
      <c r="AC53" s="430"/>
      <c r="AD53" s="568">
        <f t="shared" si="29"/>
        <v>1</v>
      </c>
      <c r="AE53" s="587">
        <f>AN27+AN28+AN29</f>
        <v>0</v>
      </c>
      <c r="AF53" s="954" t="s">
        <v>23</v>
      </c>
      <c r="AG53" s="951"/>
      <c r="AH53" s="951"/>
      <c r="AI53" s="655"/>
      <c r="AL53" s="24"/>
      <c r="AM53" s="25"/>
      <c r="AP53" s="24"/>
      <c r="AQ53" s="25"/>
      <c r="AT53" s="24"/>
      <c r="AU53" s="25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</row>
    <row r="54" spans="4:59" ht="23.25">
      <c r="J54" s="441">
        <f>8.06+6.4</f>
        <v>14.46</v>
      </c>
      <c r="K54" s="441">
        <v>7.14</v>
      </c>
      <c r="L54" s="441" t="s">
        <v>202</v>
      </c>
      <c r="M54" s="470">
        <v>10</v>
      </c>
      <c r="N54" s="430">
        <v>0</v>
      </c>
      <c r="O54" s="430">
        <v>0</v>
      </c>
      <c r="P54" s="430">
        <v>0</v>
      </c>
      <c r="Q54" s="430">
        <v>0</v>
      </c>
      <c r="R54" s="430">
        <v>20</v>
      </c>
      <c r="S54" s="446">
        <f t="shared" si="28"/>
        <v>30</v>
      </c>
      <c r="T54" s="446"/>
      <c r="U54" s="466"/>
      <c r="V54" s="586" t="s">
        <v>202</v>
      </c>
      <c r="W54" s="430">
        <v>21</v>
      </c>
      <c r="X54" s="430">
        <v>0</v>
      </c>
      <c r="Y54" s="430">
        <v>0</v>
      </c>
      <c r="Z54" s="430">
        <v>0</v>
      </c>
      <c r="AA54" s="430">
        <v>0</v>
      </c>
      <c r="AB54" s="655">
        <v>0</v>
      </c>
      <c r="AC54" s="430"/>
      <c r="AD54" s="568">
        <f t="shared" si="29"/>
        <v>21</v>
      </c>
      <c r="AE54" s="587">
        <f>AR27+AR28+AR29</f>
        <v>0</v>
      </c>
      <c r="AF54" s="952" t="s">
        <v>22</v>
      </c>
      <c r="AG54" s="951"/>
      <c r="AH54" s="951"/>
      <c r="AI54" s="655"/>
      <c r="AL54" s="24"/>
      <c r="AM54" s="25"/>
      <c r="AP54" s="24"/>
      <c r="AQ54" s="25"/>
      <c r="AT54" s="24"/>
      <c r="AU54" s="25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</row>
    <row r="55" spans="4:59" ht="23.25">
      <c r="J55" s="441">
        <f>35</f>
        <v>35</v>
      </c>
      <c r="K55" s="441">
        <v>22</v>
      </c>
      <c r="L55" s="441" t="s">
        <v>186</v>
      </c>
      <c r="M55" s="470">
        <v>20</v>
      </c>
      <c r="N55" s="430">
        <v>0</v>
      </c>
      <c r="O55" s="430">
        <v>0</v>
      </c>
      <c r="P55" s="430">
        <v>0</v>
      </c>
      <c r="Q55" s="430">
        <v>40</v>
      </c>
      <c r="R55" s="430">
        <v>0</v>
      </c>
      <c r="S55" s="446">
        <f t="shared" si="28"/>
        <v>60</v>
      </c>
      <c r="T55" s="446">
        <v>18</v>
      </c>
      <c r="U55" s="466"/>
      <c r="V55" s="586" t="s">
        <v>186</v>
      </c>
      <c r="W55" s="430">
        <v>0</v>
      </c>
      <c r="X55" s="430">
        <v>0</v>
      </c>
      <c r="Y55" s="430">
        <v>0</v>
      </c>
      <c r="Z55" s="430">
        <v>0</v>
      </c>
      <c r="AA55" s="430">
        <v>0</v>
      </c>
      <c r="AB55" s="655">
        <v>0</v>
      </c>
      <c r="AC55" s="430"/>
      <c r="AD55" s="568">
        <f t="shared" si="29"/>
        <v>0</v>
      </c>
      <c r="AE55" s="587">
        <f>AV27+AV28+AV29</f>
        <v>0</v>
      </c>
      <c r="AF55" s="952"/>
      <c r="AG55" s="951"/>
      <c r="AH55" s="951"/>
      <c r="AI55" s="655"/>
      <c r="AL55" s="24"/>
      <c r="AM55" s="25"/>
      <c r="AP55" s="24"/>
      <c r="AQ55" s="25"/>
      <c r="AT55" s="24"/>
      <c r="AU55" s="25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</row>
    <row r="56" spans="4:59" ht="23.25">
      <c r="J56" s="441"/>
      <c r="K56" s="441"/>
      <c r="L56" s="441" t="s">
        <v>203</v>
      </c>
      <c r="M56" s="470">
        <v>45.8</v>
      </c>
      <c r="N56" s="430">
        <v>0</v>
      </c>
      <c r="O56" s="430">
        <v>0</v>
      </c>
      <c r="P56" s="430">
        <v>6</v>
      </c>
      <c r="Q56" s="430">
        <v>0</v>
      </c>
      <c r="R56" s="430">
        <v>0</v>
      </c>
      <c r="S56" s="446">
        <f t="shared" si="28"/>
        <v>51.8</v>
      </c>
      <c r="T56" s="446"/>
      <c r="U56" s="466"/>
      <c r="V56" s="586" t="s">
        <v>203</v>
      </c>
      <c r="W56" s="430">
        <v>0</v>
      </c>
      <c r="X56" s="430">
        <v>0</v>
      </c>
      <c r="Y56" s="430">
        <v>0</v>
      </c>
      <c r="Z56" s="430">
        <v>0</v>
      </c>
      <c r="AA56" s="430">
        <v>0</v>
      </c>
      <c r="AB56" s="655">
        <v>0</v>
      </c>
      <c r="AC56" s="430"/>
      <c r="AD56" s="568">
        <f t="shared" si="29"/>
        <v>0</v>
      </c>
      <c r="AE56" s="587">
        <f>AZ27+AZ28+AZ29</f>
        <v>0</v>
      </c>
      <c r="AF56" s="952"/>
      <c r="AG56" s="951"/>
      <c r="AH56" s="951"/>
      <c r="AI56" s="655"/>
      <c r="AL56" s="24"/>
      <c r="AM56" s="25"/>
      <c r="AP56" s="24"/>
      <c r="AQ56" s="25"/>
      <c r="AT56" s="24"/>
      <c r="AU56" s="25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</row>
    <row r="57" spans="4:59" ht="24" thickBot="1">
      <c r="J57" s="442">
        <f t="shared" ref="J57:K57" si="30">SUM(J47:J56)</f>
        <v>90.16</v>
      </c>
      <c r="K57" s="442">
        <f t="shared" si="30"/>
        <v>84.14</v>
      </c>
      <c r="L57" s="442" t="s">
        <v>191</v>
      </c>
      <c r="M57" s="443">
        <f t="shared" ref="M57" si="31">SUM(M47:M56)</f>
        <v>346.8</v>
      </c>
      <c r="N57" s="444">
        <f>SUM(N47:N56)</f>
        <v>5</v>
      </c>
      <c r="O57" s="443">
        <f t="shared" ref="O57" si="32">SUM(O47:O56)</f>
        <v>20</v>
      </c>
      <c r="P57" s="444">
        <f>SUM(P47:P56)</f>
        <v>36</v>
      </c>
      <c r="Q57" s="444">
        <f>SUM(Q47:Q56)</f>
        <v>178</v>
      </c>
      <c r="R57" s="445">
        <f>SUM(R47:R56)</f>
        <v>20</v>
      </c>
      <c r="S57" s="451">
        <f>SUM(S47:S56)</f>
        <v>605.79999999999995</v>
      </c>
      <c r="T57" s="1336">
        <f>SUM(T47:T56)</f>
        <v>226</v>
      </c>
      <c r="U57" s="466"/>
      <c r="V57" s="588" t="s">
        <v>191</v>
      </c>
      <c r="W57" s="589">
        <f t="shared" ref="W57" si="33">SUM(W47:W56)</f>
        <v>55.3</v>
      </c>
      <c r="X57" s="444">
        <f>SUM(X47:X56)</f>
        <v>4.5999999999999996</v>
      </c>
      <c r="Y57" s="444">
        <f t="shared" ref="Y57" si="34">SUM(Y47:Y56)</f>
        <v>0</v>
      </c>
      <c r="Z57" s="444">
        <f>SUM(Z47:Z56)</f>
        <v>0</v>
      </c>
      <c r="AA57" s="444">
        <f>SUM(AA47:AA56)</f>
        <v>0</v>
      </c>
      <c r="AB57" s="444">
        <f t="shared" ref="AB57:AC57" si="35">SUM(AB47:AB56)</f>
        <v>0</v>
      </c>
      <c r="AC57" s="444">
        <f t="shared" si="35"/>
        <v>0</v>
      </c>
      <c r="AD57" s="630">
        <f>SUM(AD47:AD56)</f>
        <v>59.9</v>
      </c>
      <c r="AE57" s="631">
        <f>SUM(AE47:AE56)</f>
        <v>0</v>
      </c>
      <c r="AF57" s="1016">
        <f t="shared" ref="AF57:AI57" si="36">SUM(AF47:AF56)</f>
        <v>0</v>
      </c>
      <c r="AG57" s="1015">
        <f t="shared" si="36"/>
        <v>0</v>
      </c>
      <c r="AH57" s="1015">
        <f t="shared" si="36"/>
        <v>0</v>
      </c>
      <c r="AI57" s="1015">
        <f t="shared" si="36"/>
        <v>0</v>
      </c>
      <c r="AL57" s="24"/>
      <c r="AM57" s="25"/>
      <c r="AP57" s="24"/>
      <c r="AQ57" s="25"/>
      <c r="AT57" s="24"/>
      <c r="AU57" s="25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</row>
    <row r="58" spans="4:59" ht="30" customHeight="1" thickBot="1">
      <c r="N58" s="24"/>
      <c r="O58" s="1924" t="s">
        <v>254</v>
      </c>
      <c r="P58" s="1925"/>
      <c r="Q58" s="1925"/>
      <c r="R58" s="1926"/>
      <c r="S58" s="1927">
        <f>S57+T57</f>
        <v>831.8</v>
      </c>
      <c r="T58" s="1928"/>
      <c r="U58" s="466"/>
      <c r="V58" s="1932" t="s">
        <v>221</v>
      </c>
      <c r="W58" s="1932"/>
      <c r="X58" s="1932"/>
      <c r="Y58" s="1932"/>
      <c r="Z58" s="1932"/>
      <c r="AA58" s="1932"/>
      <c r="AB58" s="1932"/>
      <c r="AC58" s="1932"/>
      <c r="AD58" s="1933">
        <f>AD57+AE57</f>
        <v>59.9</v>
      </c>
      <c r="AE58" s="1934"/>
      <c r="AF58" s="466"/>
      <c r="AH58" s="24"/>
      <c r="AI58" s="25"/>
      <c r="AL58" s="24"/>
      <c r="AM58" s="25"/>
      <c r="AP58" s="24"/>
      <c r="AQ58" s="25"/>
      <c r="AT58" s="24"/>
      <c r="AU58" s="25"/>
      <c r="AX58" s="24"/>
      <c r="AY58" s="24"/>
      <c r="AZ58" s="25"/>
      <c r="BA58" s="24"/>
      <c r="BB58" s="24"/>
      <c r="BC58" s="23"/>
      <c r="BD58" s="23"/>
      <c r="BE58" s="23"/>
      <c r="BF58" s="23"/>
      <c r="BG58" s="23"/>
    </row>
    <row r="59" spans="4:59" ht="24.75" customHeight="1" thickBot="1">
      <c r="J59" s="24"/>
      <c r="N59" s="24"/>
      <c r="R59" s="24"/>
      <c r="T59" s="26"/>
      <c r="U59" s="26"/>
      <c r="V59" s="966"/>
      <c r="W59" s="966"/>
      <c r="X59" s="966"/>
      <c r="Y59" s="1922" t="s">
        <v>235</v>
      </c>
      <c r="Z59" s="1922"/>
      <c r="AA59" s="1922"/>
      <c r="AB59" s="1922"/>
      <c r="AC59" s="1922"/>
      <c r="AD59" s="1920">
        <f>BH6+BI6+BE20+BD20+AE47</f>
        <v>0</v>
      </c>
      <c r="AE59" s="1921"/>
      <c r="AF59" s="466"/>
      <c r="AH59" s="24"/>
      <c r="AI59" s="25"/>
      <c r="AL59" s="24"/>
      <c r="AP59" s="25"/>
      <c r="AT59" s="25"/>
      <c r="AX59" s="25"/>
      <c r="AY59" s="24"/>
      <c r="AZ59" s="24"/>
      <c r="BA59" s="24"/>
      <c r="BB59" s="25"/>
      <c r="BE59" s="23"/>
      <c r="BF59" s="23"/>
      <c r="BG59" s="23"/>
    </row>
    <row r="60" spans="4:59" s="1064" customFormat="1" ht="39" customHeight="1" thickBot="1">
      <c r="D60" s="1079"/>
      <c r="E60" s="1079"/>
      <c r="F60" s="1079"/>
      <c r="I60" s="1079"/>
      <c r="J60" s="1030"/>
      <c r="K60" s="1030"/>
      <c r="L60" s="1923" t="s">
        <v>319</v>
      </c>
      <c r="M60" s="1937"/>
      <c r="N60" s="1937"/>
      <c r="O60" s="1937"/>
      <c r="P60" s="1937"/>
      <c r="Q60" s="1937"/>
      <c r="R60" s="1937"/>
      <c r="S60" s="1937"/>
      <c r="T60" s="1938"/>
      <c r="U60" s="1080"/>
      <c r="V60" s="1082"/>
      <c r="W60" s="1082"/>
      <c r="X60" s="1082"/>
      <c r="Y60" s="1083"/>
      <c r="Z60" s="1082"/>
      <c r="AA60" s="1082"/>
      <c r="AB60" s="1082"/>
      <c r="AC60" s="1083"/>
      <c r="AD60" s="1082"/>
      <c r="AE60" s="1080"/>
      <c r="AF60" s="1082"/>
      <c r="AG60" s="1080"/>
      <c r="AH60" s="1080"/>
      <c r="AI60" s="1084"/>
      <c r="AJ60" s="1080"/>
      <c r="AK60" s="1080"/>
      <c r="AL60" s="1080"/>
      <c r="AM60" s="1080"/>
      <c r="AN60" s="1080"/>
      <c r="AO60" s="1080"/>
      <c r="AP60" s="1084"/>
      <c r="AQ60" s="1080"/>
      <c r="AR60" s="1080"/>
      <c r="AS60" s="1080"/>
      <c r="AT60" s="1084"/>
      <c r="AU60" s="1080"/>
      <c r="AV60" s="1080"/>
      <c r="AW60" s="1080"/>
      <c r="AX60" s="1084"/>
      <c r="AY60" s="1081"/>
      <c r="AZ60" s="1081"/>
      <c r="BA60" s="1080"/>
      <c r="BB60" s="1080"/>
      <c r="BC60" s="1084"/>
      <c r="BD60" s="1084"/>
      <c r="BE60" s="1080"/>
    </row>
    <row r="61" spans="4:59" s="1063" customFormat="1" ht="40.5" customHeight="1">
      <c r="D61" s="1085"/>
      <c r="E61" s="1085"/>
      <c r="F61" s="1085"/>
      <c r="I61" s="1085"/>
      <c r="J61" s="1030"/>
      <c r="K61" s="1030"/>
      <c r="L61" s="596" t="s">
        <v>0</v>
      </c>
      <c r="M61" s="436" t="s">
        <v>200</v>
      </c>
      <c r="N61" s="454" t="s">
        <v>205</v>
      </c>
      <c r="O61" s="436" t="s">
        <v>31</v>
      </c>
      <c r="P61" s="448" t="s">
        <v>201</v>
      </c>
      <c r="Q61" s="453" t="s">
        <v>206</v>
      </c>
      <c r="R61" s="436" t="s">
        <v>22</v>
      </c>
      <c r="S61" s="437" t="s">
        <v>191</v>
      </c>
      <c r="T61" s="438" t="s">
        <v>244</v>
      </c>
      <c r="U61" s="1080"/>
      <c r="V61" s="1080"/>
      <c r="W61" s="1082"/>
      <c r="X61" s="1080"/>
      <c r="Y61" s="1080"/>
      <c r="Z61" s="1080"/>
      <c r="AA61" s="1080"/>
      <c r="AB61" s="1080"/>
      <c r="AC61" s="1080"/>
      <c r="AD61" s="1080"/>
      <c r="AE61" s="1080"/>
      <c r="AF61" s="1080"/>
      <c r="AG61" s="1080"/>
      <c r="AH61" s="1080"/>
      <c r="AI61" s="1080"/>
      <c r="AJ61" s="1030"/>
      <c r="AK61" s="1030"/>
      <c r="AL61" s="1032"/>
      <c r="AM61" s="1032"/>
      <c r="AN61" s="1030"/>
      <c r="AO61" s="1030"/>
      <c r="AP61" s="1032"/>
      <c r="AQ61" s="1032"/>
      <c r="AR61" s="1030"/>
      <c r="AS61" s="1030"/>
      <c r="AT61" s="1032"/>
      <c r="AU61" s="1032"/>
      <c r="AV61" s="1030"/>
      <c r="AW61" s="1030"/>
      <c r="AX61" s="1032"/>
      <c r="AY61" s="1032"/>
      <c r="AZ61" s="1030"/>
      <c r="BA61" s="1030"/>
      <c r="BB61" s="1088"/>
      <c r="BC61" s="1088"/>
      <c r="BD61" s="1030"/>
    </row>
    <row r="62" spans="4:59" s="1063" customFormat="1" ht="24" customHeight="1">
      <c r="D62" s="1085"/>
      <c r="E62" s="1085"/>
      <c r="F62" s="1085"/>
      <c r="I62" s="1085"/>
      <c r="J62" s="1030"/>
      <c r="K62" s="1030"/>
      <c r="L62" s="586" t="s">
        <v>189</v>
      </c>
      <c r="M62" s="430">
        <v>32</v>
      </c>
      <c r="N62" s="430">
        <v>0.5</v>
      </c>
      <c r="O62" s="430">
        <v>0</v>
      </c>
      <c r="P62" s="430">
        <v>1</v>
      </c>
      <c r="Q62" s="430">
        <v>0</v>
      </c>
      <c r="R62" s="430">
        <v>0</v>
      </c>
      <c r="S62" s="568">
        <f t="shared" ref="S62:S71" si="37">SUM(M62:R62)</f>
        <v>33.5</v>
      </c>
      <c r="T62" s="587">
        <v>8</v>
      </c>
      <c r="U62" s="1080"/>
      <c r="V62" s="1080"/>
      <c r="W62" s="1080"/>
      <c r="X62" s="1080"/>
      <c r="Y62" s="1080"/>
      <c r="Z62" s="1080"/>
      <c r="AA62" s="1080"/>
      <c r="AB62" s="1080"/>
      <c r="AC62" s="1080"/>
      <c r="AD62" s="1080"/>
      <c r="AE62" s="1080"/>
      <c r="AF62" s="1080"/>
      <c r="AG62" s="1080"/>
      <c r="AH62" s="1080"/>
      <c r="AI62" s="1080"/>
      <c r="AJ62" s="1030"/>
      <c r="AK62" s="1030"/>
      <c r="AL62" s="1032"/>
      <c r="AM62" s="1032"/>
      <c r="AN62" s="1030"/>
      <c r="AO62" s="1030"/>
      <c r="AP62" s="1032"/>
      <c r="AQ62" s="1032"/>
      <c r="AR62" s="1030"/>
      <c r="AS62" s="1030"/>
      <c r="AT62" s="1032"/>
      <c r="AU62" s="1032"/>
      <c r="AV62" s="1030"/>
      <c r="AW62" s="1030"/>
      <c r="AX62" s="1032"/>
      <c r="AY62" s="1032"/>
      <c r="AZ62" s="1030"/>
      <c r="BA62" s="1030"/>
      <c r="BB62" s="1088"/>
      <c r="BC62" s="1088"/>
      <c r="BD62" s="1030"/>
    </row>
    <row r="63" spans="4:59" s="1063" customFormat="1" ht="23.25">
      <c r="D63" s="1085"/>
      <c r="E63" s="1085"/>
      <c r="F63" s="1085"/>
      <c r="I63" s="1085"/>
      <c r="J63" s="1030"/>
      <c r="K63" s="1030"/>
      <c r="L63" s="586" t="s">
        <v>183</v>
      </c>
      <c r="M63" s="430">
        <v>34.26</v>
      </c>
      <c r="N63" s="430">
        <v>0</v>
      </c>
      <c r="O63" s="430">
        <v>0</v>
      </c>
      <c r="P63" s="430">
        <v>0</v>
      </c>
      <c r="Q63" s="430">
        <v>0</v>
      </c>
      <c r="R63" s="430">
        <v>0</v>
      </c>
      <c r="S63" s="568">
        <f t="shared" si="37"/>
        <v>34.26</v>
      </c>
      <c r="T63" s="587">
        <v>9</v>
      </c>
      <c r="U63" s="1080"/>
      <c r="V63" s="1080"/>
      <c r="W63" s="1080"/>
      <c r="X63" s="1080"/>
      <c r="Y63" s="1080"/>
      <c r="Z63" s="1080"/>
      <c r="AA63" s="1080"/>
      <c r="AB63" s="1080"/>
      <c r="AC63" s="1080"/>
      <c r="AD63" s="1080"/>
      <c r="AE63" s="1080"/>
      <c r="AF63" s="1080"/>
      <c r="AG63" s="1080"/>
      <c r="AH63" s="1080"/>
      <c r="AI63" s="1080"/>
      <c r="AJ63" s="1089"/>
      <c r="AK63" s="1030"/>
      <c r="AL63" s="1032"/>
      <c r="AM63" s="1032"/>
      <c r="AN63" s="1030"/>
      <c r="AO63" s="1030"/>
      <c r="AP63" s="1032"/>
      <c r="AQ63" s="1032"/>
      <c r="AR63" s="1030"/>
      <c r="AS63" s="1030"/>
      <c r="AT63" s="1032"/>
      <c r="AU63" s="1032"/>
      <c r="AV63" s="1030"/>
      <c r="AW63" s="1030"/>
      <c r="AX63" s="1032"/>
      <c r="AY63" s="1032"/>
      <c r="AZ63" s="1030"/>
      <c r="BA63" s="1030"/>
      <c r="BB63" s="1088"/>
      <c r="BC63" s="1088"/>
      <c r="BD63" s="1030"/>
    </row>
    <row r="64" spans="4:59" s="1063" customFormat="1" ht="31.5" customHeight="1">
      <c r="D64" s="1085"/>
      <c r="E64" s="1085"/>
      <c r="F64" s="1085"/>
      <c r="I64" s="1085"/>
      <c r="J64" s="1030"/>
      <c r="K64" s="1030"/>
      <c r="L64" s="586" t="s">
        <v>184</v>
      </c>
      <c r="M64" s="430">
        <v>1</v>
      </c>
      <c r="N64" s="430">
        <v>1.5</v>
      </c>
      <c r="O64" s="430">
        <v>0</v>
      </c>
      <c r="P64" s="430">
        <v>0</v>
      </c>
      <c r="Q64" s="430">
        <v>0</v>
      </c>
      <c r="R64" s="430">
        <v>0</v>
      </c>
      <c r="S64" s="568">
        <f t="shared" si="37"/>
        <v>2.5</v>
      </c>
      <c r="T64" s="587">
        <v>0</v>
      </c>
      <c r="U64" s="1080"/>
      <c r="V64" s="1080"/>
      <c r="W64" s="1080"/>
      <c r="X64" s="1080"/>
      <c r="Y64" s="1080"/>
      <c r="Z64" s="1080"/>
      <c r="AA64" s="1080"/>
      <c r="AB64" s="1080"/>
      <c r="AC64" s="1080"/>
      <c r="AD64" s="1080"/>
      <c r="AE64" s="1080"/>
      <c r="AF64" s="1080"/>
      <c r="AG64" s="1080"/>
      <c r="AH64" s="1080"/>
      <c r="AI64" s="1080"/>
      <c r="AJ64" s="1089"/>
      <c r="AK64" s="1030"/>
      <c r="AL64" s="1030"/>
      <c r="AM64" s="1030"/>
      <c r="AN64" s="1032"/>
      <c r="AO64" s="1030"/>
      <c r="AP64" s="1032"/>
      <c r="AQ64" s="1032"/>
      <c r="AR64" s="1030"/>
      <c r="AS64" s="1030"/>
      <c r="AT64" s="1032"/>
      <c r="AU64" s="1032"/>
      <c r="AV64" s="1030"/>
      <c r="AW64" s="1030"/>
      <c r="AX64" s="1032"/>
      <c r="AY64" s="1032"/>
      <c r="AZ64" s="1030"/>
      <c r="BA64" s="1030"/>
      <c r="BB64" s="1030"/>
      <c r="BC64" s="1030"/>
      <c r="BD64" s="1088"/>
      <c r="BE64" s="1030"/>
    </row>
    <row r="65" spans="4:59" s="1063" customFormat="1" ht="23.25" customHeight="1">
      <c r="D65" s="1085"/>
      <c r="E65" s="1085"/>
      <c r="F65" s="1085"/>
      <c r="I65" s="1085"/>
      <c r="J65" s="1030"/>
      <c r="K65" s="1030"/>
      <c r="L65" s="586" t="s">
        <v>170</v>
      </c>
      <c r="M65" s="430">
        <v>13.95</v>
      </c>
      <c r="N65" s="430">
        <v>0</v>
      </c>
      <c r="O65" s="430">
        <v>0</v>
      </c>
      <c r="P65" s="430">
        <v>25.4</v>
      </c>
      <c r="Q65" s="430">
        <v>0</v>
      </c>
      <c r="R65" s="430">
        <v>0</v>
      </c>
      <c r="S65" s="568">
        <f t="shared" si="37"/>
        <v>39.349999999999994</v>
      </c>
      <c r="T65" s="587">
        <v>29.97</v>
      </c>
      <c r="U65" s="1080"/>
      <c r="V65" s="1080"/>
      <c r="W65" s="1080"/>
      <c r="X65" s="1080"/>
      <c r="Y65" s="1080"/>
      <c r="Z65" s="1080"/>
      <c r="AA65" s="1080"/>
      <c r="AB65" s="1080"/>
      <c r="AC65" s="1080"/>
      <c r="AD65" s="1080"/>
      <c r="AE65" s="1080"/>
      <c r="AF65" s="1080"/>
      <c r="AG65" s="1080"/>
      <c r="AH65" s="1080"/>
      <c r="AI65" s="1080"/>
      <c r="AJ65" s="1089"/>
      <c r="AK65" s="1030"/>
      <c r="AL65" s="1030"/>
      <c r="AM65" s="1030"/>
      <c r="AN65" s="1032"/>
      <c r="AO65" s="1030"/>
      <c r="AP65" s="1032"/>
      <c r="AQ65" s="1032"/>
      <c r="AR65" s="1030"/>
      <c r="AS65" s="1030"/>
      <c r="AT65" s="1032"/>
      <c r="AU65" s="1032"/>
      <c r="AV65" s="1030"/>
      <c r="AW65" s="1030"/>
      <c r="AX65" s="1032"/>
      <c r="AY65" s="1032"/>
      <c r="AZ65" s="1030"/>
      <c r="BA65" s="1030"/>
      <c r="BB65" s="1030"/>
      <c r="BC65" s="1030"/>
      <c r="BD65" s="1088"/>
      <c r="BE65" s="1030"/>
    </row>
    <row r="66" spans="4:59" s="1063" customFormat="1" ht="26.25" customHeight="1">
      <c r="D66" s="1085"/>
      <c r="E66" s="1085"/>
      <c r="F66" s="1085"/>
      <c r="I66" s="1085"/>
      <c r="J66" s="1030"/>
      <c r="K66" s="1030"/>
      <c r="L66" s="586" t="s">
        <v>171</v>
      </c>
      <c r="M66" s="430">
        <v>0</v>
      </c>
      <c r="N66" s="430">
        <v>0</v>
      </c>
      <c r="O66" s="430">
        <v>0</v>
      </c>
      <c r="P66" s="430">
        <v>0</v>
      </c>
      <c r="Q66" s="430">
        <v>0</v>
      </c>
      <c r="R66" s="430">
        <v>0</v>
      </c>
      <c r="S66" s="568">
        <f t="shared" si="37"/>
        <v>0</v>
      </c>
      <c r="T66" s="587">
        <v>0</v>
      </c>
      <c r="U66" s="1080"/>
      <c r="V66" s="1080"/>
      <c r="W66" s="1080"/>
      <c r="X66" s="1080"/>
      <c r="Y66" s="1080"/>
      <c r="Z66" s="1080"/>
      <c r="AA66" s="1080"/>
      <c r="AB66" s="1080"/>
      <c r="AC66" s="1080"/>
      <c r="AD66" s="1080"/>
      <c r="AE66" s="1080"/>
      <c r="AF66" s="1080"/>
      <c r="AG66" s="1080"/>
      <c r="AH66" s="1080"/>
      <c r="AI66" s="1080"/>
      <c r="AJ66" s="1089"/>
      <c r="AK66" s="1030"/>
      <c r="AL66" s="1030"/>
      <c r="AM66" s="1030"/>
      <c r="AN66" s="1032"/>
      <c r="AO66" s="1030"/>
      <c r="AP66" s="1032"/>
      <c r="AQ66" s="1032"/>
      <c r="AR66" s="1030"/>
      <c r="AS66" s="1030"/>
      <c r="AT66" s="1032"/>
      <c r="AU66" s="1032"/>
      <c r="AV66" s="1030"/>
      <c r="AW66" s="1030"/>
      <c r="AX66" s="1032"/>
      <c r="AY66" s="1032"/>
      <c r="AZ66" s="1030"/>
      <c r="BA66" s="1030"/>
      <c r="BB66" s="1030"/>
      <c r="BC66" s="1030"/>
      <c r="BD66" s="1088"/>
      <c r="BE66" s="1030"/>
    </row>
    <row r="67" spans="4:59" s="1063" customFormat="1" ht="26.25" customHeight="1">
      <c r="D67" s="1085"/>
      <c r="E67" s="1085"/>
      <c r="F67" s="1085"/>
      <c r="I67" s="1085"/>
      <c r="J67" s="1030"/>
      <c r="K67" s="1030"/>
      <c r="L67" s="586" t="s">
        <v>190</v>
      </c>
      <c r="M67" s="430">
        <v>32.9</v>
      </c>
      <c r="N67" s="430">
        <v>0</v>
      </c>
      <c r="O67" s="430">
        <v>0</v>
      </c>
      <c r="P67" s="430">
        <v>35</v>
      </c>
      <c r="Q67" s="430">
        <v>0</v>
      </c>
      <c r="R67" s="430">
        <v>0</v>
      </c>
      <c r="S67" s="568">
        <f t="shared" si="37"/>
        <v>67.900000000000006</v>
      </c>
      <c r="T67" s="587">
        <v>4</v>
      </c>
      <c r="U67" s="1080"/>
      <c r="V67" s="1080"/>
      <c r="W67" s="1080"/>
      <c r="X67" s="1080"/>
      <c r="Y67" s="1080"/>
      <c r="Z67" s="1080"/>
      <c r="AA67" s="1080"/>
      <c r="AB67" s="1080"/>
      <c r="AC67" s="1080"/>
      <c r="AD67" s="1080"/>
      <c r="AE67" s="1080"/>
      <c r="AF67" s="1080"/>
      <c r="AG67" s="1080"/>
      <c r="AH67" s="1080"/>
      <c r="AI67" s="1080"/>
      <c r="AJ67" s="1089"/>
      <c r="AK67" s="1030"/>
      <c r="AL67" s="1030"/>
      <c r="AM67" s="1030"/>
      <c r="AN67" s="1032"/>
      <c r="AO67" s="1030"/>
      <c r="AP67" s="1032"/>
      <c r="AQ67" s="1032"/>
      <c r="AR67" s="1030"/>
      <c r="AS67" s="1030"/>
      <c r="AT67" s="1032"/>
      <c r="AU67" s="1032"/>
      <c r="AV67" s="1030"/>
      <c r="AW67" s="1030"/>
      <c r="AX67" s="1032"/>
      <c r="AY67" s="1032"/>
      <c r="AZ67" s="1030"/>
      <c r="BA67" s="1030"/>
      <c r="BB67" s="1030"/>
      <c r="BC67" s="1030"/>
      <c r="BD67" s="1088"/>
      <c r="BE67" s="1030"/>
    </row>
    <row r="68" spans="4:59" s="1063" customFormat="1" ht="26.25" customHeight="1">
      <c r="D68" s="1085"/>
      <c r="E68" s="1085"/>
      <c r="F68" s="1085"/>
      <c r="I68" s="1085"/>
      <c r="J68" s="1030"/>
      <c r="K68" s="1030"/>
      <c r="L68" s="586" t="s">
        <v>185</v>
      </c>
      <c r="M68" s="430">
        <v>86.96</v>
      </c>
      <c r="N68" s="430">
        <v>0</v>
      </c>
      <c r="O68" s="430">
        <v>0</v>
      </c>
      <c r="P68" s="430">
        <v>0</v>
      </c>
      <c r="Q68" s="430"/>
      <c r="R68" s="430">
        <v>0</v>
      </c>
      <c r="S68" s="568">
        <f t="shared" si="37"/>
        <v>86.96</v>
      </c>
      <c r="T68" s="587">
        <v>57</v>
      </c>
      <c r="U68" s="1080"/>
      <c r="V68" s="1080"/>
      <c r="W68" s="1080"/>
      <c r="X68" s="1080"/>
      <c r="Y68" s="1080"/>
      <c r="Z68" s="1080"/>
      <c r="AA68" s="1080"/>
      <c r="AB68" s="1080"/>
      <c r="AC68" s="1080"/>
      <c r="AD68" s="1080"/>
      <c r="AE68" s="1080"/>
      <c r="AF68" s="1080"/>
      <c r="AG68" s="1080"/>
      <c r="AH68" s="1080"/>
      <c r="AI68" s="1080"/>
      <c r="AJ68" s="1089"/>
      <c r="AK68" s="1030"/>
      <c r="AL68" s="1030"/>
      <c r="AM68" s="1030"/>
      <c r="AN68" s="1032"/>
      <c r="AO68" s="1030"/>
      <c r="AP68" s="1032"/>
      <c r="AQ68" s="1032"/>
      <c r="AR68" s="1030"/>
      <c r="AS68" s="1030"/>
      <c r="AT68" s="1032"/>
      <c r="AU68" s="1032"/>
      <c r="AV68" s="1030"/>
      <c r="AW68" s="1030"/>
      <c r="AX68" s="1032"/>
      <c r="AY68" s="1032"/>
      <c r="AZ68" s="1030"/>
      <c r="BA68" s="1030"/>
      <c r="BB68" s="1030"/>
      <c r="BC68" s="1030"/>
      <c r="BD68" s="1088"/>
      <c r="BE68" s="1030"/>
    </row>
    <row r="69" spans="4:59" ht="26.25" customHeight="1">
      <c r="L69" s="586" t="s">
        <v>202</v>
      </c>
      <c r="M69" s="430">
        <v>7.8</v>
      </c>
      <c r="N69" s="430">
        <v>1</v>
      </c>
      <c r="O69" s="430">
        <v>0</v>
      </c>
      <c r="P69" s="430">
        <v>3</v>
      </c>
      <c r="Q69" s="430">
        <v>0</v>
      </c>
      <c r="R69" s="430">
        <v>0</v>
      </c>
      <c r="S69" s="568">
        <f t="shared" si="37"/>
        <v>11.8</v>
      </c>
      <c r="T69" s="587">
        <v>0</v>
      </c>
      <c r="U69" s="1080"/>
      <c r="V69" s="1080"/>
      <c r="W69" s="1080"/>
      <c r="X69" s="1080"/>
      <c r="Y69" s="1080"/>
      <c r="Z69" s="1080"/>
      <c r="AA69" s="1080"/>
      <c r="AB69" s="1080"/>
      <c r="AC69" s="1080"/>
      <c r="AD69" s="1080"/>
      <c r="AE69" s="1080"/>
      <c r="AF69" s="1080"/>
      <c r="AG69" s="1080"/>
      <c r="AH69" s="1080"/>
      <c r="AI69" s="1080"/>
      <c r="AJ69" s="49"/>
      <c r="AL69" s="24"/>
      <c r="AN69" s="26"/>
      <c r="AQ69" s="26"/>
      <c r="AU69" s="26"/>
      <c r="AY69" s="26"/>
      <c r="AZ69" s="24"/>
      <c r="BA69" s="24"/>
      <c r="BB69" s="24"/>
      <c r="BD69" s="25"/>
      <c r="BF69" s="23"/>
      <c r="BG69" s="23"/>
    </row>
    <row r="70" spans="4:59" ht="26.25" customHeight="1">
      <c r="L70" s="586" t="s">
        <v>186</v>
      </c>
      <c r="M70" s="430">
        <v>11.5</v>
      </c>
      <c r="N70" s="430">
        <v>0</v>
      </c>
      <c r="O70" s="430">
        <v>0</v>
      </c>
      <c r="P70" s="430">
        <v>4.5</v>
      </c>
      <c r="Q70" s="430">
        <v>0</v>
      </c>
      <c r="R70" s="430">
        <v>0</v>
      </c>
      <c r="S70" s="568">
        <f t="shared" si="37"/>
        <v>16</v>
      </c>
      <c r="T70" s="587">
        <v>0</v>
      </c>
      <c r="U70" s="1080"/>
      <c r="V70" s="1080"/>
      <c r="W70" s="1080"/>
      <c r="X70" s="1080"/>
      <c r="Y70" s="1080"/>
      <c r="Z70" s="1080"/>
      <c r="AA70" s="1080"/>
      <c r="AB70" s="1080"/>
      <c r="AC70" s="1080"/>
      <c r="AD70" s="1080"/>
      <c r="AE70" s="1080"/>
      <c r="AF70" s="1080"/>
      <c r="AG70" s="1080"/>
      <c r="AH70" s="1080"/>
      <c r="AI70" s="1080"/>
      <c r="AJ70" s="49"/>
      <c r="AL70" s="26"/>
      <c r="AM70" s="26"/>
      <c r="AO70" s="26"/>
      <c r="AP70" s="24"/>
      <c r="AS70" s="26"/>
      <c r="AT70" s="24"/>
      <c r="AW70" s="26"/>
      <c r="AX70" s="24"/>
      <c r="AY70" s="24"/>
      <c r="AZ70" s="24"/>
      <c r="BA70" s="24"/>
      <c r="BB70" s="25"/>
      <c r="BC70" s="25"/>
      <c r="BE70" s="23"/>
      <c r="BF70" s="23"/>
      <c r="BG70" s="23"/>
    </row>
    <row r="71" spans="4:59" ht="26.25" customHeight="1">
      <c r="L71" s="586" t="s">
        <v>203</v>
      </c>
      <c r="M71" s="430">
        <v>28.3</v>
      </c>
      <c r="N71" s="430">
        <v>0</v>
      </c>
      <c r="O71" s="430">
        <v>0</v>
      </c>
      <c r="P71" s="430">
        <v>0</v>
      </c>
      <c r="Q71" s="430">
        <v>0</v>
      </c>
      <c r="R71" s="430">
        <v>0</v>
      </c>
      <c r="S71" s="568">
        <f t="shared" si="37"/>
        <v>28.3</v>
      </c>
      <c r="T71" s="587">
        <v>0</v>
      </c>
      <c r="U71" s="1080"/>
      <c r="V71" s="1080"/>
      <c r="W71" s="1080"/>
      <c r="X71" s="1080"/>
      <c r="Y71" s="1080"/>
      <c r="Z71" s="1080">
        <v>62</v>
      </c>
      <c r="AA71" s="1080"/>
      <c r="AB71" s="1080"/>
      <c r="AC71" s="1080"/>
      <c r="AD71" s="1080"/>
      <c r="AE71" s="1080"/>
      <c r="AF71" s="1080"/>
      <c r="AG71" s="1080"/>
      <c r="AH71" s="1080"/>
      <c r="AI71" s="1080"/>
      <c r="AJ71" s="49"/>
      <c r="AL71" s="26"/>
      <c r="AM71" s="26"/>
      <c r="AO71" s="26"/>
      <c r="AP71" s="24"/>
      <c r="AS71" s="26"/>
      <c r="AT71" s="24"/>
      <c r="AW71" s="26"/>
      <c r="AX71" s="24"/>
      <c r="AY71" s="24"/>
      <c r="AZ71" s="24"/>
      <c r="BA71" s="24"/>
      <c r="BB71" s="25"/>
      <c r="BC71" s="25"/>
      <c r="BE71" s="23"/>
      <c r="BF71" s="23"/>
      <c r="BG71" s="23"/>
    </row>
    <row r="72" spans="4:59" ht="26.25" customHeight="1" thickBot="1">
      <c r="L72" s="588" t="s">
        <v>191</v>
      </c>
      <c r="M72" s="589">
        <f t="shared" ref="M72" si="38">SUM(M62:M71)</f>
        <v>248.67000000000002</v>
      </c>
      <c r="N72" s="444">
        <f>SUM(N62:N71)</f>
        <v>3</v>
      </c>
      <c r="O72" s="444">
        <f t="shared" ref="O72" si="39">SUM(O62:O71)</f>
        <v>0</v>
      </c>
      <c r="P72" s="444">
        <f>SUM(P62:P71)</f>
        <v>68.900000000000006</v>
      </c>
      <c r="Q72" s="444">
        <f>SUM(Q62:Q71)</f>
        <v>0</v>
      </c>
      <c r="R72" s="444">
        <f t="shared" ref="R72" si="40">SUM(R62:R71)</f>
        <v>0</v>
      </c>
      <c r="S72" s="630">
        <f>SUM(S62:S71)</f>
        <v>320.57</v>
      </c>
      <c r="T72" s="631">
        <f>SUM(T62:T71)</f>
        <v>107.97</v>
      </c>
      <c r="U72" s="1080"/>
      <c r="V72" s="1080"/>
      <c r="W72" s="1080"/>
      <c r="X72" s="1080"/>
      <c r="Y72" s="1080"/>
      <c r="Z72" s="1080"/>
      <c r="AA72" s="1080"/>
      <c r="AB72" s="1080"/>
      <c r="AC72" s="1080"/>
      <c r="AD72" s="1080"/>
      <c r="AE72" s="1080"/>
      <c r="AF72" s="1080"/>
      <c r="AG72" s="1080"/>
      <c r="AH72" s="1080"/>
      <c r="AI72" s="1080"/>
      <c r="AJ72" s="49"/>
      <c r="AL72" s="26"/>
      <c r="AM72" s="26"/>
      <c r="AO72" s="26"/>
      <c r="AP72" s="24"/>
      <c r="AS72" s="26"/>
      <c r="AT72" s="24"/>
      <c r="AW72" s="26"/>
      <c r="AX72" s="24"/>
      <c r="AY72" s="24"/>
      <c r="AZ72" s="24"/>
      <c r="BA72" s="24"/>
      <c r="BB72" s="25"/>
      <c r="BC72" s="25"/>
      <c r="BE72" s="23"/>
      <c r="BF72" s="23"/>
      <c r="BG72" s="23"/>
    </row>
    <row r="73" spans="4:59" ht="26.25" customHeight="1" thickBot="1">
      <c r="L73" s="1932" t="s">
        <v>221</v>
      </c>
      <c r="M73" s="1932"/>
      <c r="N73" s="1932"/>
      <c r="O73" s="1932"/>
      <c r="P73" s="1932"/>
      <c r="Q73" s="1932"/>
      <c r="R73" s="1932"/>
      <c r="S73" s="1932"/>
      <c r="T73" s="1334">
        <f>S72+T72</f>
        <v>428.53999999999996</v>
      </c>
      <c r="U73" s="1080"/>
      <c r="V73" s="1080"/>
      <c r="W73" s="1080"/>
      <c r="X73" s="1080"/>
      <c r="Y73" s="1080"/>
      <c r="Z73" s="1080"/>
      <c r="AA73" s="1080"/>
      <c r="AB73" s="1080"/>
      <c r="AC73" s="1080"/>
      <c r="AD73" s="1080"/>
      <c r="AE73" s="1080"/>
      <c r="AF73" s="1080"/>
      <c r="AG73" s="1080"/>
      <c r="AH73" s="1080"/>
      <c r="AI73" s="1080"/>
      <c r="AJ73" s="1080"/>
      <c r="AK73" s="49"/>
      <c r="AL73" s="24"/>
      <c r="AM73" s="26"/>
      <c r="AN73" s="26"/>
      <c r="AY73" s="24"/>
      <c r="AZ73" s="24"/>
      <c r="BA73" s="24"/>
      <c r="BB73" s="24"/>
      <c r="BC73" s="25"/>
      <c r="BD73" s="25"/>
      <c r="BF73" s="23"/>
      <c r="BG73" s="23"/>
    </row>
    <row r="74" spans="4:59" ht="32.25" customHeight="1" thickBot="1">
      <c r="L74" s="966"/>
      <c r="M74" s="966"/>
      <c r="N74" s="966"/>
      <c r="O74" s="1922" t="s">
        <v>235</v>
      </c>
      <c r="P74" s="1922"/>
      <c r="Q74" s="1922"/>
      <c r="R74" s="1922"/>
      <c r="S74" s="1922"/>
      <c r="T74" s="1335">
        <v>347</v>
      </c>
      <c r="U74" s="1080"/>
      <c r="V74" s="1080"/>
      <c r="W74" s="1080"/>
      <c r="X74" s="1080"/>
      <c r="Y74" s="1080"/>
      <c r="Z74" s="1080"/>
      <c r="AA74" s="1080"/>
      <c r="AB74" s="1080"/>
      <c r="AC74" s="1080"/>
      <c r="AD74" s="1080"/>
      <c r="AE74" s="1080"/>
      <c r="AF74" s="1080"/>
      <c r="AG74" s="1080"/>
      <c r="AH74" s="1080"/>
      <c r="AI74" s="1080"/>
      <c r="AJ74" s="1080"/>
      <c r="AK74" s="49"/>
      <c r="AL74" s="24"/>
      <c r="AM74" s="26"/>
      <c r="AN74" s="26"/>
      <c r="AP74" s="24"/>
      <c r="AQ74" s="26"/>
      <c r="AR74" s="26"/>
      <c r="AT74" s="24"/>
      <c r="AU74" s="26"/>
      <c r="AV74" s="26"/>
      <c r="AW74" s="50"/>
      <c r="AX74" s="50"/>
      <c r="AY74" s="26"/>
      <c r="AZ74" s="26"/>
      <c r="BA74" s="24"/>
      <c r="BB74" s="24"/>
      <c r="BC74" s="25"/>
      <c r="BD74" s="25"/>
      <c r="BF74" s="23"/>
      <c r="BG74" s="23"/>
    </row>
    <row r="75" spans="4:59" ht="15" customHeight="1">
      <c r="L75" s="26"/>
      <c r="M75" s="1080"/>
      <c r="N75" s="1080"/>
      <c r="O75" s="1080"/>
      <c r="P75" s="1080"/>
      <c r="Q75" s="1080"/>
      <c r="R75" s="1080"/>
      <c r="S75" s="1080"/>
      <c r="T75" s="1080"/>
      <c r="U75" s="1080"/>
      <c r="V75" s="1080"/>
      <c r="W75" s="1080"/>
      <c r="X75" s="1080"/>
      <c r="Y75" s="1080"/>
      <c r="Z75" s="1080"/>
      <c r="AA75" s="1080"/>
      <c r="AB75" s="1080"/>
      <c r="AC75" s="1080"/>
      <c r="AD75" s="1080"/>
      <c r="AE75" s="1080"/>
      <c r="AF75" s="1080"/>
      <c r="AG75" s="1080"/>
      <c r="AH75" s="1080"/>
      <c r="AI75" s="1080"/>
      <c r="AJ75" s="1080"/>
      <c r="AN75" s="26"/>
      <c r="AO75" s="26"/>
      <c r="AP75" s="24"/>
      <c r="AR75" s="26"/>
      <c r="AS75" s="26"/>
      <c r="AT75" s="24"/>
      <c r="AV75" s="26"/>
      <c r="AW75" s="26"/>
      <c r="AX75" s="50"/>
      <c r="AZ75" s="26"/>
      <c r="BA75" s="26"/>
      <c r="BB75" s="24"/>
      <c r="BD75" s="25"/>
      <c r="BE75" s="25"/>
      <c r="BF75" s="24"/>
      <c r="BG75" s="23"/>
    </row>
    <row r="76" spans="4:59" ht="15.75" customHeight="1">
      <c r="L76" s="26"/>
      <c r="M76" s="1080"/>
      <c r="N76" s="1080"/>
      <c r="O76" s="1080"/>
      <c r="P76" s="1080"/>
      <c r="Q76" s="1080"/>
      <c r="R76" s="1080"/>
      <c r="S76" s="1080"/>
      <c r="T76" s="1080"/>
      <c r="U76" s="1080"/>
      <c r="V76" s="1080"/>
      <c r="W76" s="1080"/>
      <c r="X76" s="1080"/>
      <c r="Y76" s="1080"/>
      <c r="Z76" s="1080"/>
      <c r="AA76" s="1080"/>
      <c r="AB76" s="1080"/>
      <c r="AC76" s="1080"/>
      <c r="AD76" s="1080"/>
      <c r="AE76" s="1080"/>
      <c r="AF76" s="1080"/>
      <c r="AG76" s="1080"/>
      <c r="AH76" s="1080"/>
      <c r="AI76" s="1080"/>
      <c r="AJ76" s="1080"/>
      <c r="AN76" s="26"/>
      <c r="AO76" s="26"/>
      <c r="AP76" s="24"/>
      <c r="AR76" s="26"/>
      <c r="AS76" s="26"/>
      <c r="AT76" s="24"/>
      <c r="AV76" s="26"/>
      <c r="AW76" s="26"/>
      <c r="AX76" s="50"/>
      <c r="AZ76" s="26"/>
      <c r="BA76" s="26"/>
      <c r="BB76" s="24"/>
      <c r="BD76" s="25"/>
      <c r="BE76" s="25"/>
      <c r="BF76" s="24"/>
      <c r="BG76" s="23"/>
    </row>
    <row r="77" spans="4:59" ht="15" customHeight="1">
      <c r="L77" s="26"/>
      <c r="M77" s="1080"/>
      <c r="N77" s="1080"/>
      <c r="O77" s="1080"/>
      <c r="P77" s="1080"/>
      <c r="Q77" s="1080"/>
      <c r="R77" s="1080"/>
      <c r="S77" s="1080"/>
      <c r="T77" s="1080"/>
      <c r="U77" s="1080"/>
      <c r="V77" s="1080"/>
      <c r="W77" s="1080"/>
      <c r="X77" s="1080"/>
      <c r="Y77" s="1080"/>
      <c r="Z77" s="1080"/>
      <c r="AA77" s="1080"/>
      <c r="AB77" s="1080"/>
      <c r="AC77" s="1080"/>
      <c r="AD77" s="1080"/>
      <c r="AE77" s="1080"/>
      <c r="AF77" s="1080"/>
      <c r="AG77" s="1080"/>
      <c r="AH77" s="1080"/>
      <c r="AI77" s="1080"/>
      <c r="AJ77" s="1080"/>
      <c r="AN77" s="26"/>
      <c r="AO77" s="26"/>
      <c r="AP77" s="24"/>
      <c r="AR77" s="26"/>
      <c r="AS77" s="26"/>
      <c r="AT77" s="24"/>
      <c r="AV77" s="26"/>
      <c r="AW77" s="26"/>
      <c r="AX77" s="50"/>
      <c r="AZ77" s="26"/>
      <c r="BA77" s="26"/>
      <c r="BB77" s="24"/>
      <c r="BD77" s="25"/>
      <c r="BE77" s="25"/>
      <c r="BF77" s="24"/>
      <c r="BG77" s="23"/>
    </row>
    <row r="78" spans="4:59" ht="15" customHeight="1">
      <c r="L78" s="26"/>
      <c r="M78" s="1080"/>
      <c r="N78" s="1080"/>
      <c r="O78" s="1080"/>
      <c r="P78" s="1080"/>
      <c r="Q78" s="1080"/>
      <c r="R78" s="1080"/>
      <c r="S78" s="1080"/>
      <c r="T78" s="1080"/>
      <c r="U78" s="1080"/>
      <c r="V78" s="1080"/>
      <c r="W78" s="1080"/>
      <c r="X78" s="1080"/>
      <c r="Y78" s="1080"/>
      <c r="Z78" s="1080"/>
      <c r="AA78" s="1080"/>
      <c r="AB78" s="1080"/>
      <c r="AC78" s="1080"/>
      <c r="AD78" s="1080"/>
      <c r="AE78" s="1080"/>
      <c r="AF78" s="1080"/>
      <c r="AG78" s="1080"/>
      <c r="AH78" s="1080"/>
      <c r="AI78" s="1080"/>
      <c r="AJ78" s="1080"/>
      <c r="AN78" s="26"/>
      <c r="AO78" s="26"/>
      <c r="AP78" s="24"/>
      <c r="AR78" s="26"/>
      <c r="AS78" s="26"/>
      <c r="AT78" s="24"/>
      <c r="AV78" s="26"/>
      <c r="AW78" s="26"/>
      <c r="AX78" s="50"/>
      <c r="AZ78" s="26"/>
      <c r="BA78" s="26"/>
      <c r="BB78" s="24"/>
      <c r="BD78" s="25"/>
      <c r="BE78" s="25"/>
      <c r="BF78" s="24"/>
      <c r="BG78" s="23"/>
    </row>
    <row r="79" spans="4:59" ht="15" customHeight="1">
      <c r="L79" s="26"/>
      <c r="M79" s="1080"/>
      <c r="N79" s="1080"/>
      <c r="O79" s="1080"/>
      <c r="P79" s="1080"/>
      <c r="Q79" s="1080"/>
      <c r="R79" s="1080"/>
      <c r="S79" s="1080"/>
      <c r="T79" s="1080"/>
      <c r="U79" s="1080"/>
      <c r="V79" s="1080"/>
      <c r="W79" s="1080"/>
      <c r="X79" s="1080"/>
      <c r="Y79" s="1080"/>
      <c r="Z79" s="1080"/>
      <c r="AA79" s="1080"/>
      <c r="AB79" s="1080"/>
      <c r="AC79" s="1080"/>
      <c r="AD79" s="1080"/>
      <c r="AE79" s="1080"/>
      <c r="AF79" s="1080"/>
      <c r="AG79" s="1080"/>
      <c r="AH79" s="1080"/>
      <c r="AI79" s="1080"/>
      <c r="AJ79" s="1080"/>
      <c r="AK79" s="49"/>
      <c r="AL79" s="24"/>
      <c r="AN79" s="26"/>
      <c r="AO79" s="26"/>
      <c r="AP79" s="24"/>
      <c r="AR79" s="26"/>
      <c r="AS79" s="26"/>
      <c r="AT79" s="24"/>
      <c r="AV79" s="26"/>
      <c r="AW79" s="26"/>
      <c r="AX79" s="50"/>
      <c r="AZ79" s="26"/>
      <c r="BA79" s="26"/>
      <c r="BB79" s="24"/>
      <c r="BD79" s="25"/>
      <c r="BE79" s="25"/>
      <c r="BF79" s="24"/>
      <c r="BG79" s="23"/>
    </row>
    <row r="80" spans="4:59" ht="15" customHeight="1">
      <c r="L80" s="26"/>
      <c r="M80" s="1080"/>
      <c r="N80" s="1080"/>
      <c r="O80" s="1080"/>
      <c r="P80" s="1080"/>
      <c r="Q80" s="1080"/>
      <c r="R80" s="1080"/>
      <c r="S80" s="1080"/>
      <c r="T80" s="1080"/>
      <c r="U80" s="1080"/>
      <c r="V80" s="1080"/>
      <c r="W80" s="1080"/>
      <c r="X80" s="1080"/>
      <c r="Y80" s="1080"/>
      <c r="Z80" s="1080"/>
      <c r="AA80" s="1080"/>
      <c r="AB80" s="1080"/>
      <c r="AC80" s="1080"/>
      <c r="AD80" s="1080"/>
      <c r="AE80" s="1080"/>
      <c r="AF80" s="1080"/>
      <c r="AG80" s="1080"/>
      <c r="AH80" s="1080"/>
      <c r="AI80" s="1080"/>
      <c r="AJ80" s="1080"/>
      <c r="AK80" s="49"/>
      <c r="AL80" s="24"/>
      <c r="AN80" s="26"/>
      <c r="AO80" s="26"/>
      <c r="AP80" s="24"/>
      <c r="AR80" s="26"/>
      <c r="AS80" s="26"/>
      <c r="AT80" s="24"/>
      <c r="AV80" s="26"/>
      <c r="AW80" s="26"/>
      <c r="AX80" s="50"/>
      <c r="AZ80" s="26"/>
      <c r="BA80" s="26"/>
      <c r="BB80" s="24"/>
      <c r="BD80" s="25"/>
      <c r="BE80" s="25"/>
      <c r="BF80" s="24"/>
      <c r="BG80" s="23"/>
    </row>
    <row r="81" spans="13:36" ht="15" customHeight="1">
      <c r="M81" s="1080"/>
      <c r="N81" s="1080"/>
      <c r="O81" s="1080"/>
      <c r="P81" s="1080"/>
      <c r="Q81" s="1080"/>
      <c r="R81" s="1080"/>
      <c r="S81" s="1080"/>
      <c r="T81" s="1080"/>
      <c r="U81" s="1080"/>
      <c r="V81" s="1080"/>
      <c r="W81" s="1080"/>
      <c r="X81" s="1080"/>
      <c r="Y81" s="1080"/>
      <c r="Z81" s="1080"/>
      <c r="AA81" s="1080"/>
      <c r="AB81" s="1080"/>
      <c r="AC81" s="1080"/>
      <c r="AD81" s="1080"/>
      <c r="AE81" s="1080"/>
      <c r="AF81" s="1080"/>
      <c r="AG81" s="1080"/>
      <c r="AH81" s="1080"/>
      <c r="AI81" s="1080"/>
      <c r="AJ81" s="1080"/>
    </row>
    <row r="82" spans="13:36" ht="15" customHeight="1">
      <c r="M82" s="1080"/>
      <c r="N82" s="1080"/>
      <c r="O82" s="1080"/>
      <c r="P82" s="1080"/>
      <c r="Q82" s="1080"/>
      <c r="R82" s="1080"/>
      <c r="S82" s="1080"/>
      <c r="T82" s="1080"/>
      <c r="U82" s="1080"/>
      <c r="V82" s="1080"/>
      <c r="W82" s="1080"/>
      <c r="X82" s="1080"/>
      <c r="Y82" s="1080"/>
      <c r="Z82" s="1080"/>
      <c r="AA82" s="1080"/>
      <c r="AB82" s="1080"/>
      <c r="AC82" s="1080"/>
      <c r="AD82" s="1080"/>
      <c r="AE82" s="1080"/>
      <c r="AF82" s="1080"/>
      <c r="AG82" s="1080"/>
      <c r="AH82" s="1080"/>
      <c r="AI82" s="1080"/>
      <c r="AJ82" s="1080"/>
    </row>
    <row r="83" spans="13:36" ht="15" customHeight="1">
      <c r="M83" s="1080"/>
      <c r="N83" s="1080"/>
      <c r="O83" s="1080"/>
      <c r="P83" s="1080"/>
      <c r="Q83" s="1080"/>
      <c r="R83" s="1080"/>
      <c r="S83" s="1080"/>
      <c r="T83" s="1080"/>
      <c r="U83" s="1080"/>
      <c r="V83" s="1080"/>
      <c r="W83" s="1080"/>
      <c r="X83" s="1080"/>
      <c r="Y83" s="1080"/>
      <c r="Z83" s="1080"/>
      <c r="AA83" s="1080"/>
      <c r="AB83" s="1080"/>
      <c r="AC83" s="1080"/>
      <c r="AD83" s="1080"/>
      <c r="AE83" s="1080"/>
      <c r="AF83" s="1080"/>
      <c r="AG83" s="1080"/>
      <c r="AH83" s="1080"/>
      <c r="AI83" s="1080"/>
      <c r="AJ83" s="1080"/>
    </row>
    <row r="84" spans="13:36" ht="15" customHeight="1">
      <c r="M84" s="1080"/>
      <c r="N84" s="1080"/>
      <c r="O84" s="1080"/>
      <c r="P84" s="1080"/>
      <c r="Q84" s="1080"/>
      <c r="R84" s="1080"/>
      <c r="S84" s="1080"/>
      <c r="T84" s="1080"/>
      <c r="U84" s="1080"/>
      <c r="V84" s="1080"/>
      <c r="W84" s="1080"/>
      <c r="X84" s="1080"/>
      <c r="Y84" s="1080"/>
      <c r="Z84" s="1080"/>
      <c r="AA84" s="1080"/>
      <c r="AB84" s="1080"/>
      <c r="AC84" s="1080"/>
      <c r="AD84" s="1080"/>
      <c r="AE84" s="1080"/>
      <c r="AF84" s="1080"/>
      <c r="AG84" s="1080"/>
      <c r="AH84" s="1080"/>
      <c r="AI84" s="1080"/>
      <c r="AJ84" s="1080"/>
    </row>
    <row r="85" spans="13:36" ht="15" customHeight="1">
      <c r="M85" s="1080"/>
      <c r="N85" s="1080"/>
      <c r="O85" s="1080"/>
      <c r="P85" s="1080"/>
      <c r="Q85" s="1080"/>
      <c r="R85" s="1080"/>
      <c r="S85" s="1080"/>
      <c r="T85" s="1080"/>
      <c r="U85" s="1080"/>
      <c r="V85" s="1080"/>
      <c r="W85" s="1080"/>
      <c r="X85" s="1080"/>
      <c r="Y85" s="1080"/>
      <c r="Z85" s="1080"/>
      <c r="AA85" s="1080"/>
      <c r="AB85" s="1080"/>
      <c r="AC85" s="1080"/>
      <c r="AD85" s="1080"/>
      <c r="AE85" s="1080"/>
      <c r="AF85" s="1080"/>
      <c r="AG85" s="1080"/>
      <c r="AH85" s="1080"/>
      <c r="AI85" s="1080"/>
      <c r="AJ85" s="1080"/>
    </row>
    <row r="86" spans="13:36" ht="15" customHeight="1">
      <c r="M86" s="1080"/>
      <c r="N86" s="1080"/>
      <c r="O86" s="1080"/>
      <c r="P86" s="1080"/>
      <c r="Q86" s="1080"/>
      <c r="R86" s="1080"/>
      <c r="S86" s="1080"/>
      <c r="T86" s="1080"/>
      <c r="U86" s="1080"/>
      <c r="V86" s="1080"/>
      <c r="W86" s="1080"/>
      <c r="X86" s="1080"/>
      <c r="Y86" s="1080"/>
      <c r="Z86" s="1080"/>
      <c r="AA86" s="1080"/>
      <c r="AB86" s="1080"/>
      <c r="AC86" s="1080"/>
      <c r="AD86" s="1080"/>
      <c r="AE86" s="1080"/>
      <c r="AF86" s="1080"/>
      <c r="AG86" s="1080"/>
      <c r="AH86" s="1080"/>
      <c r="AI86" s="1080"/>
      <c r="AJ86" s="1080"/>
    </row>
    <row r="92" spans="13:36">
      <c r="AA92" s="24">
        <v>148</v>
      </c>
    </row>
    <row r="93" spans="13:36">
      <c r="AA93" s="24">
        <v>82</v>
      </c>
    </row>
  </sheetData>
  <mergeCells count="60">
    <mergeCell ref="L73:S73"/>
    <mergeCell ref="O74:S74"/>
    <mergeCell ref="L60:T60"/>
    <mergeCell ref="C2:F2"/>
    <mergeCell ref="H2:K2"/>
    <mergeCell ref="D13:F13"/>
    <mergeCell ref="H13:I14"/>
    <mergeCell ref="C14:D14"/>
    <mergeCell ref="C15:C24"/>
    <mergeCell ref="C5:D5"/>
    <mergeCell ref="C6:C9"/>
    <mergeCell ref="H6:H9"/>
    <mergeCell ref="D4:F4"/>
    <mergeCell ref="H10:I10"/>
    <mergeCell ref="H26:I26"/>
    <mergeCell ref="H4:I5"/>
    <mergeCell ref="AD59:AE59"/>
    <mergeCell ref="H15:H23"/>
    <mergeCell ref="H24:I24"/>
    <mergeCell ref="H12:BI12"/>
    <mergeCell ref="J13:M13"/>
    <mergeCell ref="N13:Q13"/>
    <mergeCell ref="R13:U13"/>
    <mergeCell ref="V13:Y13"/>
    <mergeCell ref="Z13:AC13"/>
    <mergeCell ref="AD13:AG13"/>
    <mergeCell ref="AH13:AK13"/>
    <mergeCell ref="AL13:AO13"/>
    <mergeCell ref="Y59:AC59"/>
    <mergeCell ref="BC27:BC28"/>
    <mergeCell ref="BF13:BI13"/>
    <mergeCell ref="O58:R58"/>
    <mergeCell ref="BB2:BI2"/>
    <mergeCell ref="H3:BI3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N2:AZ2"/>
    <mergeCell ref="S58:T58"/>
    <mergeCell ref="BH27:BI27"/>
    <mergeCell ref="AX13:BA13"/>
    <mergeCell ref="BB13:BE13"/>
    <mergeCell ref="V58:AC58"/>
    <mergeCell ref="AD58:AE58"/>
    <mergeCell ref="AP13:AS13"/>
    <mergeCell ref="AT13:AW13"/>
    <mergeCell ref="L31:S31"/>
    <mergeCell ref="L45:T45"/>
    <mergeCell ref="V45:AE45"/>
    <mergeCell ref="V31:AD31"/>
  </mergeCells>
  <conditionalFormatting sqref="M47:R56">
    <cfRule type="cellIs" dxfId="19" priority="2" operator="equal">
      <formula>0</formula>
    </cfRule>
  </conditionalFormatting>
  <conditionalFormatting sqref="M62:R71">
    <cfRule type="cellIs" dxfId="18" priority="1" operator="equal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I80"/>
  <sheetViews>
    <sheetView topLeftCell="G1" zoomScale="55" zoomScaleNormal="55" workbookViewId="0">
      <pane xSplit="3" topLeftCell="P1" activePane="topRight" state="frozen"/>
      <selection activeCell="G1" sqref="G1"/>
      <selection pane="topRight" activeCell="AP27" sqref="AP27"/>
    </sheetView>
  </sheetViews>
  <sheetFormatPr defaultColWidth="9.140625" defaultRowHeight="15"/>
  <cols>
    <col min="1" max="2" width="9.140625" style="23" hidden="1" customWidth="1"/>
    <col min="3" max="3" width="14.5703125" style="23" hidden="1" customWidth="1"/>
    <col min="4" max="4" width="11.42578125" style="27" hidden="1" customWidth="1"/>
    <col min="5" max="5" width="6.85546875" style="27" hidden="1" customWidth="1"/>
    <col min="6" max="6" width="9.140625" style="27" hidden="1" customWidth="1"/>
    <col min="7" max="7" width="3.42578125" style="23" hidden="1" customWidth="1"/>
    <col min="8" max="8" width="6.140625" style="23" customWidth="1"/>
    <col min="9" max="9" width="15.28515625" style="27" bestFit="1" customWidth="1"/>
    <col min="10" max="10" width="11.5703125" style="26" customWidth="1"/>
    <col min="11" max="11" width="9.140625" style="24" customWidth="1"/>
    <col min="12" max="13" width="12.85546875" style="24" customWidth="1"/>
    <col min="14" max="14" width="10.5703125" style="26" customWidth="1"/>
    <col min="15" max="15" width="10.28515625" style="24" customWidth="1"/>
    <col min="16" max="17" width="10.5703125" style="24" customWidth="1"/>
    <col min="18" max="18" width="8.5703125" style="26" customWidth="1"/>
    <col min="19" max="19" width="11.5703125" style="24" customWidth="1"/>
    <col min="20" max="20" width="14" style="24" bestFit="1" customWidth="1"/>
    <col min="21" max="21" width="14.42578125" style="24" customWidth="1"/>
    <col min="22" max="22" width="13.7109375" style="26" bestFit="1" customWidth="1"/>
    <col min="23" max="23" width="11" style="24" bestFit="1" customWidth="1"/>
    <col min="24" max="25" width="9.7109375" style="24" customWidth="1"/>
    <col min="26" max="26" width="11" style="26" customWidth="1"/>
    <col min="27" max="27" width="12.42578125" style="24" customWidth="1"/>
    <col min="28" max="29" width="11.85546875" style="24" customWidth="1"/>
    <col min="30" max="30" width="11" style="26" bestFit="1" customWidth="1"/>
    <col min="31" max="31" width="11.7109375" style="24" bestFit="1" customWidth="1"/>
    <col min="32" max="32" width="10.5703125" style="24" bestFit="1" customWidth="1"/>
    <col min="33" max="33" width="10.5703125" style="24" customWidth="1"/>
    <col min="34" max="34" width="11.5703125" style="26" bestFit="1" customWidth="1"/>
    <col min="35" max="35" width="13.5703125" style="24" customWidth="1"/>
    <col min="36" max="37" width="11.5703125" style="24" customWidth="1"/>
    <col min="38" max="38" width="10.5703125" style="49" customWidth="1"/>
    <col min="39" max="39" width="9" style="24" customWidth="1"/>
    <col min="40" max="40" width="12" style="24" bestFit="1" customWidth="1"/>
    <col min="41" max="41" width="12" style="24" customWidth="1"/>
    <col min="42" max="42" width="8.42578125" style="26" customWidth="1"/>
    <col min="43" max="43" width="10" style="24" bestFit="1" customWidth="1"/>
    <col min="44" max="44" width="13.85546875" style="24" bestFit="1" customWidth="1"/>
    <col min="45" max="45" width="13.85546875" style="24" customWidth="1"/>
    <col min="46" max="46" width="11.7109375" style="26" customWidth="1"/>
    <col min="47" max="47" width="11.7109375" style="24" customWidth="1"/>
    <col min="48" max="48" width="10.5703125" style="24" bestFit="1" customWidth="1"/>
    <col min="49" max="49" width="10.5703125" style="24" customWidth="1"/>
    <col min="50" max="50" width="9.140625" style="26" bestFit="1" customWidth="1"/>
    <col min="51" max="51" width="9.140625" style="50" bestFit="1" customWidth="1"/>
    <col min="52" max="52" width="10.85546875" style="50" bestFit="1" customWidth="1"/>
    <col min="53" max="53" width="10.5703125" style="50" customWidth="1"/>
    <col min="54" max="54" width="10.7109375" style="26" bestFit="1" customWidth="1"/>
    <col min="55" max="55" width="12.85546875" style="24" bestFit="1" customWidth="1"/>
    <col min="56" max="56" width="10.5703125" style="24" bestFit="1" customWidth="1"/>
    <col min="57" max="57" width="10.5703125" style="24" customWidth="1"/>
    <col min="58" max="58" width="16" style="25" bestFit="1" customWidth="1"/>
    <col min="59" max="59" width="10.7109375" style="24" bestFit="1" customWidth="1"/>
    <col min="60" max="60" width="13" style="23" bestFit="1" customWidth="1"/>
    <col min="61" max="16384" width="9.140625" style="23"/>
  </cols>
  <sheetData>
    <row r="1" spans="3:61" ht="15" customHeight="1" thickBot="1"/>
    <row r="2" spans="3:61" ht="21.75" thickBot="1">
      <c r="C2" s="1899" t="s">
        <v>45</v>
      </c>
      <c r="D2" s="1900"/>
      <c r="E2" s="1900"/>
      <c r="F2" s="1901"/>
      <c r="H2" s="1915"/>
      <c r="I2" s="1567"/>
      <c r="J2" s="1567"/>
      <c r="K2" s="1567"/>
      <c r="L2" s="1020"/>
      <c r="M2" s="1020"/>
      <c r="N2" s="1916" t="s">
        <v>249</v>
      </c>
      <c r="O2" s="1916"/>
      <c r="P2" s="1916"/>
      <c r="Q2" s="1916"/>
      <c r="R2" s="1916"/>
      <c r="S2" s="1916"/>
      <c r="T2" s="1916"/>
      <c r="U2" s="1916"/>
      <c r="V2" s="1916"/>
      <c r="W2" s="1916"/>
      <c r="X2" s="1916"/>
      <c r="Y2" s="1916"/>
      <c r="Z2" s="1916"/>
      <c r="AA2" s="1916"/>
      <c r="AB2" s="1916"/>
      <c r="AC2" s="1916"/>
      <c r="AD2" s="1916"/>
      <c r="AE2" s="1916"/>
      <c r="AF2" s="1916"/>
      <c r="AG2" s="1916"/>
      <c r="AH2" s="1916"/>
      <c r="AI2" s="1916"/>
      <c r="AJ2" s="1916"/>
      <c r="AK2" s="1916"/>
      <c r="AL2" s="1916"/>
      <c r="AM2" s="1916"/>
      <c r="AN2" s="1916"/>
      <c r="AO2" s="1916"/>
      <c r="AP2" s="1916"/>
      <c r="AQ2" s="1916"/>
      <c r="AR2" s="1916"/>
      <c r="AS2" s="1916"/>
      <c r="AT2" s="1916"/>
      <c r="AU2" s="1916"/>
      <c r="AV2" s="1916"/>
      <c r="AW2" s="1916"/>
      <c r="AX2" s="1916"/>
      <c r="AY2" s="1916"/>
      <c r="AZ2" s="1916"/>
      <c r="BA2" s="1020"/>
      <c r="BB2" s="1902" t="s">
        <v>118</v>
      </c>
      <c r="BC2" s="1903"/>
      <c r="BD2" s="1903"/>
      <c r="BE2" s="1903"/>
      <c r="BF2" s="1903"/>
      <c r="BG2" s="1903"/>
      <c r="BH2" s="1903"/>
      <c r="BI2" s="1904"/>
    </row>
    <row r="3" spans="3:61" ht="19.5" thickBot="1">
      <c r="C3" s="1019"/>
      <c r="D3" s="1017"/>
      <c r="E3" s="1017"/>
      <c r="F3" s="1023"/>
      <c r="H3" s="1905" t="s">
        <v>115</v>
      </c>
      <c r="I3" s="1906"/>
      <c r="J3" s="1906"/>
      <c r="K3" s="1906"/>
      <c r="L3" s="1906"/>
      <c r="M3" s="1906"/>
      <c r="N3" s="1906"/>
      <c r="O3" s="1906"/>
      <c r="P3" s="1906"/>
      <c r="Q3" s="1906"/>
      <c r="R3" s="1906"/>
      <c r="S3" s="1906"/>
      <c r="T3" s="1906"/>
      <c r="U3" s="1906"/>
      <c r="V3" s="1906"/>
      <c r="W3" s="1906"/>
      <c r="X3" s="1906"/>
      <c r="Y3" s="1906"/>
      <c r="Z3" s="1906"/>
      <c r="AA3" s="1906"/>
      <c r="AB3" s="1906"/>
      <c r="AC3" s="1906"/>
      <c r="AD3" s="1906"/>
      <c r="AE3" s="1906"/>
      <c r="AF3" s="1906"/>
      <c r="AG3" s="1906"/>
      <c r="AH3" s="1906"/>
      <c r="AI3" s="1906"/>
      <c r="AJ3" s="1906"/>
      <c r="AK3" s="1906"/>
      <c r="AL3" s="1906"/>
      <c r="AM3" s="1906"/>
      <c r="AN3" s="1906"/>
      <c r="AO3" s="1906"/>
      <c r="AP3" s="1906"/>
      <c r="AQ3" s="1906"/>
      <c r="AR3" s="1906"/>
      <c r="AS3" s="1906"/>
      <c r="AT3" s="1906"/>
      <c r="AU3" s="1906"/>
      <c r="AV3" s="1906"/>
      <c r="AW3" s="1906"/>
      <c r="AX3" s="1906"/>
      <c r="AY3" s="1906"/>
      <c r="AZ3" s="1906"/>
      <c r="BA3" s="1906"/>
      <c r="BB3" s="1906"/>
      <c r="BC3" s="1906"/>
      <c r="BD3" s="1906"/>
      <c r="BE3" s="1906"/>
      <c r="BF3" s="1906"/>
      <c r="BG3" s="1906"/>
      <c r="BH3" s="1906"/>
      <c r="BI3" s="1907"/>
    </row>
    <row r="4" spans="3:61" ht="18.75">
      <c r="C4" s="37" t="s">
        <v>44</v>
      </c>
      <c r="D4" s="1869"/>
      <c r="E4" s="1869"/>
      <c r="F4" s="1870"/>
      <c r="H4" s="1908" t="s">
        <v>33</v>
      </c>
      <c r="I4" s="1909"/>
      <c r="J4" s="1871" t="s">
        <v>43</v>
      </c>
      <c r="K4" s="1872"/>
      <c r="L4" s="1872"/>
      <c r="M4" s="1873"/>
      <c r="N4" s="1871" t="s">
        <v>42</v>
      </c>
      <c r="O4" s="1872"/>
      <c r="P4" s="1872"/>
      <c r="Q4" s="1873"/>
      <c r="R4" s="1871" t="s">
        <v>41</v>
      </c>
      <c r="S4" s="1872"/>
      <c r="T4" s="1872"/>
      <c r="U4" s="1873"/>
      <c r="V4" s="1871" t="s">
        <v>40</v>
      </c>
      <c r="W4" s="1872"/>
      <c r="X4" s="1872"/>
      <c r="Y4" s="1873"/>
      <c r="Z4" s="1871" t="s">
        <v>39</v>
      </c>
      <c r="AA4" s="1872"/>
      <c r="AB4" s="1872"/>
      <c r="AC4" s="1873"/>
      <c r="AD4" s="1871" t="s">
        <v>38</v>
      </c>
      <c r="AE4" s="1872"/>
      <c r="AF4" s="1872"/>
      <c r="AG4" s="1873"/>
      <c r="AH4" s="1874" t="s">
        <v>122</v>
      </c>
      <c r="AI4" s="1875"/>
      <c r="AJ4" s="1875"/>
      <c r="AK4" s="1876"/>
      <c r="AL4" s="1871" t="s">
        <v>37</v>
      </c>
      <c r="AM4" s="1872"/>
      <c r="AN4" s="1872"/>
      <c r="AO4" s="1873"/>
      <c r="AP4" s="1871" t="s">
        <v>36</v>
      </c>
      <c r="AQ4" s="1872"/>
      <c r="AR4" s="1872"/>
      <c r="AS4" s="1873"/>
      <c r="AT4" s="1871" t="s">
        <v>35</v>
      </c>
      <c r="AU4" s="1872"/>
      <c r="AV4" s="1872"/>
      <c r="AW4" s="1873"/>
      <c r="AX4" s="1871" t="s">
        <v>34</v>
      </c>
      <c r="AY4" s="1872"/>
      <c r="AZ4" s="1872"/>
      <c r="BA4" s="1873"/>
      <c r="BB4" s="1874" t="s">
        <v>123</v>
      </c>
      <c r="BC4" s="1875"/>
      <c r="BD4" s="1875"/>
      <c r="BE4" s="1876"/>
      <c r="BF4" s="1877" t="s">
        <v>17</v>
      </c>
      <c r="BG4" s="1878"/>
      <c r="BH4" s="1878"/>
      <c r="BI4" s="1878"/>
    </row>
    <row r="5" spans="3:61" ht="15.75" customHeight="1">
      <c r="C5" s="1879" t="s">
        <v>33</v>
      </c>
      <c r="D5" s="1869"/>
      <c r="E5" s="1017" t="s">
        <v>1</v>
      </c>
      <c r="F5" s="1023" t="s">
        <v>2</v>
      </c>
      <c r="H5" s="1910"/>
      <c r="I5" s="1911"/>
      <c r="J5" s="36" t="s">
        <v>1</v>
      </c>
      <c r="K5" s="271" t="s">
        <v>2</v>
      </c>
      <c r="L5" s="693" t="s">
        <v>182</v>
      </c>
      <c r="M5" s="35" t="s">
        <v>247</v>
      </c>
      <c r="N5" s="36" t="s">
        <v>1</v>
      </c>
      <c r="O5" s="271" t="s">
        <v>2</v>
      </c>
      <c r="P5" s="693" t="s">
        <v>182</v>
      </c>
      <c r="Q5" s="35" t="s">
        <v>247</v>
      </c>
      <c r="R5" s="36" t="s">
        <v>1</v>
      </c>
      <c r="S5" s="271" t="s">
        <v>2</v>
      </c>
      <c r="T5" s="693" t="s">
        <v>182</v>
      </c>
      <c r="U5" s="35" t="s">
        <v>247</v>
      </c>
      <c r="V5" s="36" t="s">
        <v>1</v>
      </c>
      <c r="W5" s="271" t="s">
        <v>2</v>
      </c>
      <c r="X5" s="693" t="s">
        <v>182</v>
      </c>
      <c r="Y5" s="35" t="s">
        <v>247</v>
      </c>
      <c r="Z5" s="36" t="s">
        <v>1</v>
      </c>
      <c r="AA5" s="271" t="s">
        <v>2</v>
      </c>
      <c r="AB5" s="693" t="s">
        <v>182</v>
      </c>
      <c r="AC5" s="35" t="s">
        <v>247</v>
      </c>
      <c r="AD5" s="36" t="s">
        <v>1</v>
      </c>
      <c r="AE5" s="271" t="s">
        <v>2</v>
      </c>
      <c r="AF5" s="693" t="s">
        <v>182</v>
      </c>
      <c r="AG5" s="35" t="s">
        <v>247</v>
      </c>
      <c r="AH5" s="36" t="s">
        <v>1</v>
      </c>
      <c r="AI5" s="271" t="s">
        <v>2</v>
      </c>
      <c r="AJ5" s="271" t="s">
        <v>182</v>
      </c>
      <c r="AK5" s="690" t="s">
        <v>196</v>
      </c>
      <c r="AL5" s="36" t="s">
        <v>1</v>
      </c>
      <c r="AM5" s="271" t="s">
        <v>2</v>
      </c>
      <c r="AN5" s="693" t="s">
        <v>182</v>
      </c>
      <c r="AO5" s="35" t="s">
        <v>247</v>
      </c>
      <c r="AP5" s="36" t="s">
        <v>1</v>
      </c>
      <c r="AQ5" s="271" t="s">
        <v>2</v>
      </c>
      <c r="AR5" s="693" t="s">
        <v>182</v>
      </c>
      <c r="AS5" s="35" t="s">
        <v>247</v>
      </c>
      <c r="AT5" s="36" t="s">
        <v>1</v>
      </c>
      <c r="AU5" s="271" t="s">
        <v>2</v>
      </c>
      <c r="AV5" s="693" t="s">
        <v>182</v>
      </c>
      <c r="AW5" s="35" t="s">
        <v>247</v>
      </c>
      <c r="AX5" s="36" t="s">
        <v>1</v>
      </c>
      <c r="AY5" s="271" t="s">
        <v>2</v>
      </c>
      <c r="AZ5" s="693" t="s">
        <v>182</v>
      </c>
      <c r="BA5" s="35" t="s">
        <v>247</v>
      </c>
      <c r="BB5" s="36" t="s">
        <v>1</v>
      </c>
      <c r="BC5" s="271" t="s">
        <v>2</v>
      </c>
      <c r="BD5" s="271" t="s">
        <v>182</v>
      </c>
      <c r="BE5" s="690" t="s">
        <v>196</v>
      </c>
      <c r="BF5" s="274" t="s">
        <v>1</v>
      </c>
      <c r="BG5" s="275" t="s">
        <v>2</v>
      </c>
      <c r="BH5" s="275" t="s">
        <v>182</v>
      </c>
      <c r="BI5" s="698" t="s">
        <v>196</v>
      </c>
    </row>
    <row r="6" spans="3:61" s="28" customFormat="1" ht="20.100000000000001" customHeight="1">
      <c r="C6" s="1879" t="s">
        <v>19</v>
      </c>
      <c r="D6" s="1017" t="s">
        <v>32</v>
      </c>
      <c r="E6" s="1017"/>
      <c r="F6" s="1018"/>
      <c r="H6" s="1886" t="s">
        <v>32</v>
      </c>
      <c r="I6" s="33" t="s">
        <v>32</v>
      </c>
      <c r="J6" s="462">
        <v>61</v>
      </c>
      <c r="K6" s="463">
        <f>52.16+10+1</f>
        <v>63.16</v>
      </c>
      <c r="L6" s="463">
        <v>52.16</v>
      </c>
      <c r="M6" s="691">
        <v>42</v>
      </c>
      <c r="N6" s="462">
        <v>12</v>
      </c>
      <c r="O6" s="463">
        <f>2+7.96</f>
        <v>9.9600000000000009</v>
      </c>
      <c r="P6" s="463">
        <v>2</v>
      </c>
      <c r="Q6" s="691">
        <f>8+9.4</f>
        <v>17.399999999999999</v>
      </c>
      <c r="R6" s="462">
        <v>5</v>
      </c>
      <c r="S6" s="463">
        <v>5</v>
      </c>
      <c r="T6" s="463"/>
      <c r="U6" s="691"/>
      <c r="V6" s="462"/>
      <c r="W6" s="463"/>
      <c r="X6" s="463"/>
      <c r="Y6" s="691"/>
      <c r="Z6" s="462"/>
      <c r="AA6" s="463"/>
      <c r="AB6" s="463"/>
      <c r="AC6" s="691"/>
      <c r="AD6" s="462">
        <v>10</v>
      </c>
      <c r="AE6" s="463"/>
      <c r="AF6" s="463"/>
      <c r="AG6" s="691"/>
      <c r="AH6" s="128">
        <f>J6+N6+R6+V6+Z6+AD6</f>
        <v>88</v>
      </c>
      <c r="AI6" s="273">
        <f>K6+O6+S6+W6+AA6+AE6</f>
        <v>78.12</v>
      </c>
      <c r="AJ6" s="273">
        <f>L6+P6+T6+X6+AB6+AF6</f>
        <v>54.16</v>
      </c>
      <c r="AK6" s="694">
        <f>M6+Q6+U6+Y6+AC6+AG6</f>
        <v>59.4</v>
      </c>
      <c r="AL6" s="462"/>
      <c r="AM6" s="463"/>
      <c r="AN6" s="463"/>
      <c r="AO6" s="691"/>
      <c r="AP6" s="462"/>
      <c r="AQ6" s="463"/>
      <c r="AR6" s="463"/>
      <c r="AS6" s="691"/>
      <c r="AT6" s="462">
        <v>20</v>
      </c>
      <c r="AU6" s="463">
        <v>3</v>
      </c>
      <c r="AV6" s="463">
        <v>2</v>
      </c>
      <c r="AW6" s="691"/>
      <c r="AX6" s="462"/>
      <c r="AY6" s="463">
        <v>4</v>
      </c>
      <c r="AZ6" s="463">
        <v>4</v>
      </c>
      <c r="BA6" s="691"/>
      <c r="BB6" s="128">
        <f>AL6+AP6+AT6+AX6</f>
        <v>20</v>
      </c>
      <c r="BC6" s="273">
        <f>AM6+AQ6+AU6+AY6</f>
        <v>7</v>
      </c>
      <c r="BD6" s="273">
        <f>AN6+AR6+AV6+AZ6</f>
        <v>6</v>
      </c>
      <c r="BE6" s="273">
        <f>AO6+AS6+AW6+BA6</f>
        <v>0</v>
      </c>
      <c r="BF6" s="276">
        <f>AH6+BB6</f>
        <v>108</v>
      </c>
      <c r="BG6" s="277">
        <f>AI6+BC6</f>
        <v>85.12</v>
      </c>
      <c r="BH6" s="701">
        <f>AJ6+BD6</f>
        <v>60.16</v>
      </c>
      <c r="BI6" s="699">
        <f>AK6+BE6</f>
        <v>59.4</v>
      </c>
    </row>
    <row r="7" spans="3:61" s="28" customFormat="1" ht="20.100000000000001" customHeight="1">
      <c r="C7" s="1879"/>
      <c r="D7" s="1017" t="s">
        <v>31</v>
      </c>
      <c r="E7" s="1017"/>
      <c r="F7" s="1018"/>
      <c r="H7" s="1887"/>
      <c r="I7" s="33" t="s">
        <v>31</v>
      </c>
      <c r="J7" s="462"/>
      <c r="K7" s="463"/>
      <c r="L7" s="463"/>
      <c r="M7" s="691"/>
      <c r="N7" s="462"/>
      <c r="O7" s="463"/>
      <c r="P7" s="463"/>
      <c r="Q7" s="691"/>
      <c r="R7" s="462"/>
      <c r="S7" s="463"/>
      <c r="T7" s="463"/>
      <c r="U7" s="691"/>
      <c r="V7" s="462"/>
      <c r="W7" s="463"/>
      <c r="X7" s="463"/>
      <c r="Y7" s="691"/>
      <c r="Z7" s="462"/>
      <c r="AA7" s="463"/>
      <c r="AB7" s="463"/>
      <c r="AC7" s="691"/>
      <c r="AD7" s="462"/>
      <c r="AE7" s="463"/>
      <c r="AF7" s="463"/>
      <c r="AG7" s="691"/>
      <c r="AH7" s="128">
        <f t="shared" ref="AH7:AK9" si="0">J7+N7+R7+V7+Z7+AD7</f>
        <v>0</v>
      </c>
      <c r="AI7" s="273">
        <f t="shared" si="0"/>
        <v>0</v>
      </c>
      <c r="AJ7" s="273">
        <f t="shared" si="0"/>
        <v>0</v>
      </c>
      <c r="AK7" s="694">
        <f t="shared" si="0"/>
        <v>0</v>
      </c>
      <c r="AL7" s="462"/>
      <c r="AM7" s="463"/>
      <c r="AN7" s="463"/>
      <c r="AO7" s="691"/>
      <c r="AP7" s="462"/>
      <c r="AQ7" s="463"/>
      <c r="AR7" s="463"/>
      <c r="AS7" s="691"/>
      <c r="AT7" s="462"/>
      <c r="AU7" s="463"/>
      <c r="AV7" s="463"/>
      <c r="AW7" s="691"/>
      <c r="AX7" s="462"/>
      <c r="AY7" s="463"/>
      <c r="AZ7" s="463"/>
      <c r="BA7" s="691"/>
      <c r="BB7" s="128">
        <f t="shared" ref="BB7:BE9" si="1">AL7+AP7+AT7+AX7</f>
        <v>0</v>
      </c>
      <c r="BC7" s="273">
        <f t="shared" si="1"/>
        <v>0</v>
      </c>
      <c r="BD7" s="273">
        <f t="shared" si="1"/>
        <v>0</v>
      </c>
      <c r="BE7" s="273">
        <f t="shared" si="1"/>
        <v>0</v>
      </c>
      <c r="BF7" s="276">
        <f t="shared" ref="BF7:BI9" si="2">AH7+BB7</f>
        <v>0</v>
      </c>
      <c r="BG7" s="277">
        <f t="shared" si="2"/>
        <v>0</v>
      </c>
      <c r="BH7" s="277">
        <f t="shared" si="2"/>
        <v>0</v>
      </c>
      <c r="BI7" s="699">
        <f t="shared" si="2"/>
        <v>0</v>
      </c>
    </row>
    <row r="8" spans="3:61" s="28" customFormat="1" ht="20.100000000000001" customHeight="1">
      <c r="C8" s="1879"/>
      <c r="D8" s="1017" t="s">
        <v>30</v>
      </c>
      <c r="E8" s="1017"/>
      <c r="F8" s="1018"/>
      <c r="H8" s="1887"/>
      <c r="I8" s="33" t="s">
        <v>30</v>
      </c>
      <c r="J8" s="462">
        <v>15</v>
      </c>
      <c r="K8" s="463"/>
      <c r="L8" s="463"/>
      <c r="M8" s="691"/>
      <c r="N8" s="462"/>
      <c r="O8" s="463"/>
      <c r="P8" s="463"/>
      <c r="Q8" s="691"/>
      <c r="R8" s="462"/>
      <c r="S8" s="463"/>
      <c r="T8" s="463"/>
      <c r="U8" s="691"/>
      <c r="V8" s="462"/>
      <c r="W8" s="463"/>
      <c r="X8" s="463"/>
      <c r="Y8" s="691"/>
      <c r="Z8" s="462"/>
      <c r="AA8" s="463"/>
      <c r="AB8" s="463"/>
      <c r="AC8" s="691"/>
      <c r="AD8" s="462"/>
      <c r="AE8" s="463"/>
      <c r="AF8" s="463"/>
      <c r="AG8" s="691"/>
      <c r="AH8" s="128">
        <f t="shared" si="0"/>
        <v>15</v>
      </c>
      <c r="AI8" s="273">
        <f t="shared" si="0"/>
        <v>0</v>
      </c>
      <c r="AJ8" s="273">
        <f t="shared" si="0"/>
        <v>0</v>
      </c>
      <c r="AK8" s="694">
        <f t="shared" si="0"/>
        <v>0</v>
      </c>
      <c r="AL8" s="462">
        <v>6</v>
      </c>
      <c r="AM8" s="463">
        <v>8</v>
      </c>
      <c r="AN8" s="463"/>
      <c r="AO8" s="691"/>
      <c r="AP8" s="462"/>
      <c r="AQ8" s="463"/>
      <c r="AR8" s="463"/>
      <c r="AS8" s="691"/>
      <c r="AT8" s="462"/>
      <c r="AU8" s="463">
        <v>8.5</v>
      </c>
      <c r="AV8" s="463">
        <v>8.5</v>
      </c>
      <c r="AW8" s="691"/>
      <c r="AX8" s="462">
        <v>17</v>
      </c>
      <c r="AY8" s="463">
        <v>2</v>
      </c>
      <c r="AZ8" s="463">
        <v>2</v>
      </c>
      <c r="BA8" s="691"/>
      <c r="BB8" s="128">
        <f t="shared" si="1"/>
        <v>23</v>
      </c>
      <c r="BC8" s="273">
        <f t="shared" si="1"/>
        <v>18.5</v>
      </c>
      <c r="BD8" s="273">
        <f t="shared" si="1"/>
        <v>10.5</v>
      </c>
      <c r="BE8" s="273">
        <f t="shared" si="1"/>
        <v>0</v>
      </c>
      <c r="BF8" s="276">
        <f t="shared" si="2"/>
        <v>38</v>
      </c>
      <c r="BG8" s="277">
        <f t="shared" si="2"/>
        <v>18.5</v>
      </c>
      <c r="BH8" s="277">
        <f t="shared" si="2"/>
        <v>10.5</v>
      </c>
      <c r="BI8" s="699">
        <f t="shared" si="2"/>
        <v>0</v>
      </c>
    </row>
    <row r="9" spans="3:61" s="28" customFormat="1" ht="20.100000000000001" customHeight="1">
      <c r="C9" s="1885"/>
      <c r="D9" s="1017" t="s">
        <v>29</v>
      </c>
      <c r="E9" s="1017"/>
      <c r="F9" s="1018"/>
      <c r="H9" s="1887"/>
      <c r="I9" s="33" t="s">
        <v>109</v>
      </c>
      <c r="J9" s="462"/>
      <c r="K9" s="463"/>
      <c r="L9" s="463"/>
      <c r="M9" s="691"/>
      <c r="N9" s="462"/>
      <c r="O9" s="463"/>
      <c r="P9" s="463"/>
      <c r="Q9" s="691"/>
      <c r="R9" s="462">
        <v>2</v>
      </c>
      <c r="S9" s="463">
        <v>2.2000000000000002</v>
      </c>
      <c r="T9" s="463">
        <v>2.2000000000000002</v>
      </c>
      <c r="U9" s="691"/>
      <c r="V9" s="462">
        <v>5</v>
      </c>
      <c r="W9" s="463">
        <v>1.5</v>
      </c>
      <c r="X9" s="463">
        <v>1.5</v>
      </c>
      <c r="Y9" s="691"/>
      <c r="Z9" s="462">
        <v>2</v>
      </c>
      <c r="AA9" s="463"/>
      <c r="AB9" s="463"/>
      <c r="AC9" s="691"/>
      <c r="AD9" s="462"/>
      <c r="AE9" s="463"/>
      <c r="AF9" s="463"/>
      <c r="AG9" s="691"/>
      <c r="AH9" s="128">
        <f t="shared" si="0"/>
        <v>9</v>
      </c>
      <c r="AI9" s="273">
        <f t="shared" si="0"/>
        <v>3.7</v>
      </c>
      <c r="AJ9" s="273">
        <f t="shared" si="0"/>
        <v>3.7</v>
      </c>
      <c r="AK9" s="694">
        <f t="shared" si="0"/>
        <v>0</v>
      </c>
      <c r="AL9" s="462"/>
      <c r="AM9" s="463">
        <v>1</v>
      </c>
      <c r="AN9" s="463"/>
      <c r="AO9" s="691"/>
      <c r="AP9" s="462">
        <v>1</v>
      </c>
      <c r="AQ9" s="463">
        <v>1</v>
      </c>
      <c r="AR9" s="463">
        <v>1</v>
      </c>
      <c r="AS9" s="691"/>
      <c r="AT9" s="462"/>
      <c r="AU9" s="463">
        <v>3</v>
      </c>
      <c r="AV9" s="463">
        <v>3</v>
      </c>
      <c r="AW9" s="691"/>
      <c r="AX9" s="462"/>
      <c r="AY9" s="463"/>
      <c r="AZ9" s="463"/>
      <c r="BA9" s="691"/>
      <c r="BB9" s="128">
        <f t="shared" si="1"/>
        <v>1</v>
      </c>
      <c r="BC9" s="273">
        <f t="shared" si="1"/>
        <v>5</v>
      </c>
      <c r="BD9" s="273">
        <f t="shared" si="1"/>
        <v>4</v>
      </c>
      <c r="BE9" s="273">
        <f t="shared" si="1"/>
        <v>0</v>
      </c>
      <c r="BF9" s="276">
        <f t="shared" si="2"/>
        <v>10</v>
      </c>
      <c r="BG9" s="277">
        <f t="shared" si="2"/>
        <v>8.6999999999999993</v>
      </c>
      <c r="BH9" s="277">
        <f t="shared" si="2"/>
        <v>7.7</v>
      </c>
      <c r="BI9" s="699">
        <f t="shared" si="2"/>
        <v>0</v>
      </c>
    </row>
    <row r="10" spans="3:61" s="28" customFormat="1" ht="19.5" customHeight="1" thickBot="1">
      <c r="C10" s="32"/>
      <c r="D10" s="31" t="s">
        <v>18</v>
      </c>
      <c r="E10" s="31"/>
      <c r="F10" s="30"/>
      <c r="H10" s="1865" t="s">
        <v>47</v>
      </c>
      <c r="I10" s="1866"/>
      <c r="J10" s="118">
        <f t="shared" ref="J10:BG10" si="3">SUM(J6:J9)</f>
        <v>76</v>
      </c>
      <c r="K10" s="272">
        <f t="shared" si="3"/>
        <v>63.16</v>
      </c>
      <c r="L10" s="272">
        <f t="shared" si="3"/>
        <v>52.16</v>
      </c>
      <c r="M10" s="272">
        <f t="shared" si="3"/>
        <v>42</v>
      </c>
      <c r="N10" s="118">
        <f t="shared" si="3"/>
        <v>12</v>
      </c>
      <c r="O10" s="272">
        <f t="shared" si="3"/>
        <v>9.9600000000000009</v>
      </c>
      <c r="P10" s="272">
        <f t="shared" si="3"/>
        <v>2</v>
      </c>
      <c r="Q10" s="272">
        <f t="shared" si="3"/>
        <v>17.399999999999999</v>
      </c>
      <c r="R10" s="118">
        <f t="shared" si="3"/>
        <v>7</v>
      </c>
      <c r="S10" s="272">
        <f t="shared" si="3"/>
        <v>7.2</v>
      </c>
      <c r="T10" s="272">
        <f t="shared" si="3"/>
        <v>2.2000000000000002</v>
      </c>
      <c r="U10" s="272">
        <f t="shared" si="3"/>
        <v>0</v>
      </c>
      <c r="V10" s="118">
        <f t="shared" si="3"/>
        <v>5</v>
      </c>
      <c r="W10" s="272">
        <f t="shared" si="3"/>
        <v>1.5</v>
      </c>
      <c r="X10" s="272">
        <f t="shared" si="3"/>
        <v>1.5</v>
      </c>
      <c r="Y10" s="272">
        <f t="shared" si="3"/>
        <v>0</v>
      </c>
      <c r="Z10" s="118">
        <f t="shared" si="3"/>
        <v>2</v>
      </c>
      <c r="AA10" s="272">
        <f t="shared" si="3"/>
        <v>0</v>
      </c>
      <c r="AB10" s="272">
        <f t="shared" si="3"/>
        <v>0</v>
      </c>
      <c r="AC10" s="272">
        <f t="shared" si="3"/>
        <v>0</v>
      </c>
      <c r="AD10" s="118">
        <f t="shared" si="3"/>
        <v>10</v>
      </c>
      <c r="AE10" s="272">
        <f t="shared" si="3"/>
        <v>0</v>
      </c>
      <c r="AF10" s="272">
        <f t="shared" si="3"/>
        <v>0</v>
      </c>
      <c r="AG10" s="272">
        <f t="shared" si="3"/>
        <v>0</v>
      </c>
      <c r="AH10" s="118">
        <f t="shared" si="3"/>
        <v>112</v>
      </c>
      <c r="AI10" s="272">
        <f t="shared" si="3"/>
        <v>81.820000000000007</v>
      </c>
      <c r="AJ10" s="272">
        <f>SUM(AJ6:AJ9)</f>
        <v>57.86</v>
      </c>
      <c r="AK10" s="695">
        <f>SUM(AK6:AK9)</f>
        <v>59.4</v>
      </c>
      <c r="AL10" s="118">
        <f t="shared" si="3"/>
        <v>6</v>
      </c>
      <c r="AM10" s="272">
        <f t="shared" si="3"/>
        <v>9</v>
      </c>
      <c r="AN10" s="272">
        <f t="shared" si="3"/>
        <v>0</v>
      </c>
      <c r="AO10" s="272">
        <f t="shared" si="3"/>
        <v>0</v>
      </c>
      <c r="AP10" s="118">
        <f t="shared" si="3"/>
        <v>1</v>
      </c>
      <c r="AQ10" s="272">
        <f t="shared" si="3"/>
        <v>1</v>
      </c>
      <c r="AR10" s="272">
        <f t="shared" si="3"/>
        <v>1</v>
      </c>
      <c r="AS10" s="272">
        <f t="shared" si="3"/>
        <v>0</v>
      </c>
      <c r="AT10" s="118">
        <f t="shared" si="3"/>
        <v>20</v>
      </c>
      <c r="AU10" s="272">
        <f t="shared" si="3"/>
        <v>14.5</v>
      </c>
      <c r="AV10" s="272">
        <f t="shared" si="3"/>
        <v>13.5</v>
      </c>
      <c r="AW10" s="272">
        <f t="shared" si="3"/>
        <v>0</v>
      </c>
      <c r="AX10" s="118">
        <f t="shared" si="3"/>
        <v>17</v>
      </c>
      <c r="AY10" s="272">
        <f t="shared" si="3"/>
        <v>6</v>
      </c>
      <c r="AZ10" s="272">
        <f t="shared" si="3"/>
        <v>6</v>
      </c>
      <c r="BA10" s="272">
        <f t="shared" si="3"/>
        <v>0</v>
      </c>
      <c r="BB10" s="118">
        <f t="shared" si="3"/>
        <v>44</v>
      </c>
      <c r="BC10" s="272">
        <f t="shared" si="3"/>
        <v>30.5</v>
      </c>
      <c r="BD10" s="272">
        <f t="shared" si="3"/>
        <v>20.5</v>
      </c>
      <c r="BE10" s="272">
        <f t="shared" si="3"/>
        <v>0</v>
      </c>
      <c r="BF10" s="278">
        <f t="shared" si="3"/>
        <v>156</v>
      </c>
      <c r="BG10" s="279">
        <f t="shared" si="3"/>
        <v>112.32000000000001</v>
      </c>
      <c r="BH10" s="702">
        <f>AJ10+BD10</f>
        <v>78.36</v>
      </c>
      <c r="BI10" s="700">
        <f>AK10+BE10</f>
        <v>59.4</v>
      </c>
    </row>
    <row r="11" spans="3:61" s="119" customFormat="1" ht="5.25" customHeight="1">
      <c r="D11" s="120"/>
      <c r="E11" s="120"/>
      <c r="F11" s="120"/>
      <c r="H11" s="122"/>
      <c r="I11" s="122"/>
      <c r="J11" s="125"/>
      <c r="K11" s="126"/>
      <c r="L11" s="126"/>
      <c r="M11" s="126"/>
      <c r="N11" s="125"/>
      <c r="O11" s="126"/>
      <c r="P11" s="126"/>
      <c r="Q11" s="126"/>
      <c r="R11" s="125"/>
      <c r="S11" s="126"/>
      <c r="T11" s="126"/>
      <c r="U11" s="126"/>
      <c r="V11" s="125"/>
      <c r="W11" s="126"/>
      <c r="X11" s="126"/>
      <c r="Y11" s="126"/>
      <c r="Z11" s="125"/>
      <c r="AA11" s="126"/>
      <c r="AB11" s="126"/>
      <c r="AC11" s="126"/>
      <c r="AD11" s="125"/>
      <c r="AE11" s="126"/>
      <c r="AF11" s="126"/>
      <c r="AG11" s="126"/>
      <c r="AH11" s="125"/>
      <c r="AI11" s="126"/>
      <c r="AJ11" s="126"/>
      <c r="AK11" s="126"/>
      <c r="AL11" s="125"/>
      <c r="AM11" s="126"/>
      <c r="AN11" s="126"/>
      <c r="AO11" s="126"/>
      <c r="AP11" s="125"/>
      <c r="AQ11" s="126"/>
      <c r="AR11" s="126"/>
      <c r="AS11" s="126"/>
      <c r="AT11" s="125"/>
      <c r="AU11" s="126"/>
      <c r="AV11" s="126"/>
      <c r="AW11" s="126"/>
      <c r="AX11" s="125"/>
      <c r="AY11" s="126"/>
      <c r="AZ11" s="126"/>
      <c r="BA11" s="126"/>
      <c r="BB11" s="125"/>
      <c r="BC11" s="126"/>
      <c r="BD11" s="126"/>
      <c r="BE11" s="126"/>
      <c r="BF11" s="125"/>
      <c r="BG11" s="126"/>
    </row>
    <row r="12" spans="3:61" ht="19.5" thickBot="1">
      <c r="C12" s="1019"/>
      <c r="D12" s="1017"/>
      <c r="E12" s="1017"/>
      <c r="F12" s="1023"/>
      <c r="H12" s="1867" t="s">
        <v>114</v>
      </c>
      <c r="I12" s="1868"/>
      <c r="J12" s="1868"/>
      <c r="K12" s="1868"/>
      <c r="L12" s="1868"/>
      <c r="M12" s="1868"/>
      <c r="N12" s="1868"/>
      <c r="O12" s="1868"/>
      <c r="P12" s="1868"/>
      <c r="Q12" s="1868"/>
      <c r="R12" s="1868"/>
      <c r="S12" s="1868"/>
      <c r="T12" s="1868"/>
      <c r="U12" s="1868"/>
      <c r="V12" s="1868"/>
      <c r="W12" s="1868"/>
      <c r="X12" s="1868"/>
      <c r="Y12" s="1868"/>
      <c r="Z12" s="1868"/>
      <c r="AA12" s="1868"/>
      <c r="AB12" s="1868"/>
      <c r="AC12" s="1868"/>
      <c r="AD12" s="1868"/>
      <c r="AE12" s="1868"/>
      <c r="AF12" s="1868"/>
      <c r="AG12" s="1868"/>
      <c r="AH12" s="1868"/>
      <c r="AI12" s="1868"/>
      <c r="AJ12" s="1868"/>
      <c r="AK12" s="1868"/>
      <c r="AL12" s="1868"/>
      <c r="AM12" s="1868"/>
      <c r="AN12" s="1868"/>
      <c r="AO12" s="1868"/>
      <c r="AP12" s="1868"/>
      <c r="AQ12" s="1868"/>
      <c r="AR12" s="1868"/>
      <c r="AS12" s="1868"/>
      <c r="AT12" s="1868"/>
      <c r="AU12" s="1868"/>
      <c r="AV12" s="1868"/>
      <c r="AW12" s="1868"/>
      <c r="AX12" s="1868"/>
      <c r="AY12" s="1868"/>
      <c r="AZ12" s="1868"/>
      <c r="BA12" s="1868"/>
      <c r="BB12" s="1868"/>
      <c r="BC12" s="1868"/>
      <c r="BD12" s="1868"/>
      <c r="BE12" s="1868"/>
      <c r="BF12" s="1868"/>
      <c r="BG12" s="1868"/>
      <c r="BH12" s="1868"/>
      <c r="BI12" s="1868"/>
    </row>
    <row r="13" spans="3:61" ht="18.75" customHeight="1">
      <c r="C13" s="37" t="s">
        <v>44</v>
      </c>
      <c r="D13" s="1869"/>
      <c r="E13" s="1869"/>
      <c r="F13" s="1870"/>
      <c r="H13" s="1895" t="s">
        <v>117</v>
      </c>
      <c r="I13" s="1896"/>
      <c r="J13" s="1890" t="s">
        <v>43</v>
      </c>
      <c r="K13" s="1891"/>
      <c r="L13" s="1891"/>
      <c r="M13" s="1892"/>
      <c r="N13" s="1890" t="s">
        <v>42</v>
      </c>
      <c r="O13" s="1891"/>
      <c r="P13" s="1891"/>
      <c r="Q13" s="1892"/>
      <c r="R13" s="1890" t="s">
        <v>41</v>
      </c>
      <c r="S13" s="1891"/>
      <c r="T13" s="1891"/>
      <c r="U13" s="1892"/>
      <c r="V13" s="1890" t="s">
        <v>40</v>
      </c>
      <c r="W13" s="1891"/>
      <c r="X13" s="1891"/>
      <c r="Y13" s="1892"/>
      <c r="Z13" s="1890" t="s">
        <v>39</v>
      </c>
      <c r="AA13" s="1891"/>
      <c r="AB13" s="1891"/>
      <c r="AC13" s="1892"/>
      <c r="AD13" s="1890" t="s">
        <v>38</v>
      </c>
      <c r="AE13" s="1891"/>
      <c r="AF13" s="1891"/>
      <c r="AG13" s="1892"/>
      <c r="AH13" s="1882" t="s">
        <v>122</v>
      </c>
      <c r="AI13" s="1883"/>
      <c r="AJ13" s="1883"/>
      <c r="AK13" s="1884"/>
      <c r="AL13" s="1890" t="s">
        <v>37</v>
      </c>
      <c r="AM13" s="1891"/>
      <c r="AN13" s="1891"/>
      <c r="AO13" s="1892"/>
      <c r="AP13" s="1890" t="s">
        <v>36</v>
      </c>
      <c r="AQ13" s="1891"/>
      <c r="AR13" s="1891"/>
      <c r="AS13" s="1892"/>
      <c r="AT13" s="1890" t="s">
        <v>35</v>
      </c>
      <c r="AU13" s="1891"/>
      <c r="AV13" s="1891"/>
      <c r="AW13" s="1892"/>
      <c r="AX13" s="1890" t="s">
        <v>34</v>
      </c>
      <c r="AY13" s="1891"/>
      <c r="AZ13" s="1891"/>
      <c r="BA13" s="1892"/>
      <c r="BB13" s="1882" t="s">
        <v>123</v>
      </c>
      <c r="BC13" s="1883"/>
      <c r="BD13" s="1883"/>
      <c r="BE13" s="1884"/>
      <c r="BF13" s="1880" t="s">
        <v>17</v>
      </c>
      <c r="BG13" s="1881"/>
      <c r="BH13" s="1881"/>
      <c r="BI13" s="1881"/>
    </row>
    <row r="14" spans="3:61" ht="27" customHeight="1">
      <c r="C14" s="1879" t="s">
        <v>33</v>
      </c>
      <c r="D14" s="1869"/>
      <c r="E14" s="1017" t="s">
        <v>1</v>
      </c>
      <c r="F14" s="1023" t="s">
        <v>2</v>
      </c>
      <c r="H14" s="1897"/>
      <c r="I14" s="1898"/>
      <c r="J14" s="36" t="s">
        <v>1</v>
      </c>
      <c r="K14" s="271" t="s">
        <v>2</v>
      </c>
      <c r="L14" s="271" t="s">
        <v>182</v>
      </c>
      <c r="M14" s="35" t="s">
        <v>247</v>
      </c>
      <c r="N14" s="36" t="s">
        <v>1</v>
      </c>
      <c r="O14" s="271" t="s">
        <v>2</v>
      </c>
      <c r="P14" s="271" t="s">
        <v>182</v>
      </c>
      <c r="Q14" s="35" t="s">
        <v>247</v>
      </c>
      <c r="R14" s="36" t="s">
        <v>1</v>
      </c>
      <c r="S14" s="271" t="s">
        <v>2</v>
      </c>
      <c r="T14" s="271" t="s">
        <v>182</v>
      </c>
      <c r="U14" s="35" t="s">
        <v>247</v>
      </c>
      <c r="V14" s="36" t="s">
        <v>1</v>
      </c>
      <c r="W14" s="271" t="s">
        <v>2</v>
      </c>
      <c r="X14" s="271" t="s">
        <v>182</v>
      </c>
      <c r="Y14" s="35" t="s">
        <v>247</v>
      </c>
      <c r="Z14" s="36" t="s">
        <v>1</v>
      </c>
      <c r="AA14" s="271" t="s">
        <v>2</v>
      </c>
      <c r="AB14" s="271" t="s">
        <v>182</v>
      </c>
      <c r="AC14" s="35" t="s">
        <v>247</v>
      </c>
      <c r="AD14" s="36" t="s">
        <v>1</v>
      </c>
      <c r="AE14" s="271" t="s">
        <v>2</v>
      </c>
      <c r="AF14" s="271" t="s">
        <v>182</v>
      </c>
      <c r="AG14" s="35" t="s">
        <v>247</v>
      </c>
      <c r="AH14" s="36" t="s">
        <v>1</v>
      </c>
      <c r="AI14" s="271" t="s">
        <v>2</v>
      </c>
      <c r="AJ14" s="271" t="s">
        <v>182</v>
      </c>
      <c r="AK14" s="690" t="s">
        <v>196</v>
      </c>
      <c r="AL14" s="36" t="s">
        <v>1</v>
      </c>
      <c r="AM14" s="271" t="s">
        <v>2</v>
      </c>
      <c r="AN14" s="271" t="s">
        <v>182</v>
      </c>
      <c r="AO14" s="35" t="s">
        <v>247</v>
      </c>
      <c r="AP14" s="36" t="s">
        <v>1</v>
      </c>
      <c r="AQ14" s="271" t="s">
        <v>2</v>
      </c>
      <c r="AR14" s="271" t="s">
        <v>182</v>
      </c>
      <c r="AS14" s="35" t="s">
        <v>247</v>
      </c>
      <c r="AT14" s="36" t="s">
        <v>1</v>
      </c>
      <c r="AU14" s="271" t="s">
        <v>2</v>
      </c>
      <c r="AV14" s="271" t="s">
        <v>182</v>
      </c>
      <c r="AW14" s="35" t="s">
        <v>247</v>
      </c>
      <c r="AX14" s="36" t="s">
        <v>1</v>
      </c>
      <c r="AY14" s="271" t="s">
        <v>2</v>
      </c>
      <c r="AZ14" s="271" t="s">
        <v>182</v>
      </c>
      <c r="BA14" s="35" t="s">
        <v>247</v>
      </c>
      <c r="BB14" s="36" t="s">
        <v>1</v>
      </c>
      <c r="BC14" s="271" t="s">
        <v>2</v>
      </c>
      <c r="BD14" s="271" t="s">
        <v>182</v>
      </c>
      <c r="BE14" s="690" t="s">
        <v>196</v>
      </c>
      <c r="BF14" s="274" t="s">
        <v>1</v>
      </c>
      <c r="BG14" s="275" t="s">
        <v>2</v>
      </c>
      <c r="BH14" s="275" t="s">
        <v>182</v>
      </c>
      <c r="BI14" s="703" t="s">
        <v>196</v>
      </c>
    </row>
    <row r="15" spans="3:61" s="28" customFormat="1" ht="20.100000000000001" customHeight="1">
      <c r="C15" s="1879" t="s">
        <v>28</v>
      </c>
      <c r="D15" s="1017" t="s">
        <v>27</v>
      </c>
      <c r="E15" s="1021"/>
      <c r="F15" s="34"/>
      <c r="H15" s="1888" t="s">
        <v>112</v>
      </c>
      <c r="I15" s="33" t="s">
        <v>27</v>
      </c>
      <c r="J15" s="462"/>
      <c r="K15" s="463"/>
      <c r="L15" s="463"/>
      <c r="M15" s="692"/>
      <c r="N15" s="462"/>
      <c r="O15" s="463"/>
      <c r="P15" s="463"/>
      <c r="Q15" s="692"/>
      <c r="R15" s="462">
        <v>8</v>
      </c>
      <c r="S15" s="463"/>
      <c r="T15" s="463"/>
      <c r="U15" s="692"/>
      <c r="V15" s="462"/>
      <c r="W15" s="463"/>
      <c r="X15" s="463"/>
      <c r="Y15" s="692"/>
      <c r="Z15" s="462"/>
      <c r="AA15" s="463"/>
      <c r="AB15" s="463"/>
      <c r="AC15" s="692"/>
      <c r="AD15" s="462"/>
      <c r="AE15" s="463"/>
      <c r="AF15" s="463"/>
      <c r="AG15" s="692"/>
      <c r="AH15" s="128">
        <f>J15+N15+R15+V15+Z15+AD15</f>
        <v>8</v>
      </c>
      <c r="AI15" s="273">
        <f>K15+O15+S15+W15+AA15+AE15</f>
        <v>0</v>
      </c>
      <c r="AJ15" s="273">
        <f>L15+P15+T15+X15+AB15+AF15</f>
        <v>0</v>
      </c>
      <c r="AK15" s="694">
        <f>M15+Q15+U15+Y15+AC15+AG15</f>
        <v>0</v>
      </c>
      <c r="AL15" s="462"/>
      <c r="AM15" s="463"/>
      <c r="AN15" s="463"/>
      <c r="AO15" s="692"/>
      <c r="AP15" s="462"/>
      <c r="AQ15" s="463"/>
      <c r="AR15" s="463"/>
      <c r="AS15" s="692"/>
      <c r="AT15" s="462"/>
      <c r="AU15" s="463"/>
      <c r="AV15" s="463"/>
      <c r="AW15" s="692"/>
      <c r="AX15" s="462"/>
      <c r="AY15" s="463"/>
      <c r="AZ15" s="463"/>
      <c r="BA15" s="692"/>
      <c r="BB15" s="128">
        <f>AL15+AP15+AT15+AX15</f>
        <v>0</v>
      </c>
      <c r="BC15" s="273">
        <f>AM15+AQ15+AU15+AY15</f>
        <v>0</v>
      </c>
      <c r="BD15" s="273">
        <f>AN15+AR15+AV15+AZ15</f>
        <v>0</v>
      </c>
      <c r="BE15" s="273">
        <f>AO15+AS15+AW15+BA15</f>
        <v>0</v>
      </c>
      <c r="BF15" s="276">
        <f t="shared" ref="BF15:BI23" si="4">AH15+BB15</f>
        <v>8</v>
      </c>
      <c r="BG15" s="277">
        <f t="shared" si="4"/>
        <v>0</v>
      </c>
      <c r="BH15" s="277">
        <f t="shared" si="4"/>
        <v>0</v>
      </c>
      <c r="BI15" s="704">
        <f t="shared" si="4"/>
        <v>0</v>
      </c>
    </row>
    <row r="16" spans="3:61" s="28" customFormat="1" ht="20.100000000000001" customHeight="1">
      <c r="C16" s="1879"/>
      <c r="D16" s="1017" t="s">
        <v>26</v>
      </c>
      <c r="E16" s="1017"/>
      <c r="F16" s="1018"/>
      <c r="H16" s="1889"/>
      <c r="I16" s="33" t="s">
        <v>26</v>
      </c>
      <c r="J16" s="462"/>
      <c r="K16" s="463"/>
      <c r="L16" s="463"/>
      <c r="M16" s="692"/>
      <c r="N16" s="462"/>
      <c r="O16" s="463"/>
      <c r="P16" s="463"/>
      <c r="Q16" s="692"/>
      <c r="R16" s="462"/>
      <c r="S16" s="463"/>
      <c r="T16" s="463"/>
      <c r="U16" s="692"/>
      <c r="V16" s="462"/>
      <c r="W16" s="463"/>
      <c r="X16" s="463"/>
      <c r="Y16" s="692"/>
      <c r="Z16" s="462"/>
      <c r="AA16" s="463"/>
      <c r="AB16" s="463"/>
      <c r="AC16" s="692"/>
      <c r="AD16" s="462"/>
      <c r="AE16" s="463"/>
      <c r="AF16" s="463"/>
      <c r="AG16" s="692"/>
      <c r="AH16" s="128">
        <f t="shared" ref="AH16:AK23" si="5">J16+N16+R16+V16+Z16+AD16</f>
        <v>0</v>
      </c>
      <c r="AI16" s="273">
        <f t="shared" si="5"/>
        <v>0</v>
      </c>
      <c r="AJ16" s="273">
        <f t="shared" si="5"/>
        <v>0</v>
      </c>
      <c r="AK16" s="694">
        <f t="shared" si="5"/>
        <v>0</v>
      </c>
      <c r="AL16" s="462"/>
      <c r="AM16" s="463"/>
      <c r="AN16" s="463"/>
      <c r="AO16" s="692"/>
      <c r="AP16" s="462"/>
      <c r="AQ16" s="463"/>
      <c r="AR16" s="463"/>
      <c r="AS16" s="692"/>
      <c r="AT16" s="462"/>
      <c r="AU16" s="463"/>
      <c r="AV16" s="463"/>
      <c r="AW16" s="692"/>
      <c r="AX16" s="462"/>
      <c r="AY16" s="463"/>
      <c r="AZ16" s="463"/>
      <c r="BA16" s="692"/>
      <c r="BB16" s="128">
        <f t="shared" ref="BB16:BE23" si="6">AL16+AP16+AT16+AX16</f>
        <v>0</v>
      </c>
      <c r="BC16" s="273">
        <f t="shared" si="6"/>
        <v>0</v>
      </c>
      <c r="BD16" s="273">
        <f t="shared" si="6"/>
        <v>0</v>
      </c>
      <c r="BE16" s="273">
        <f t="shared" si="6"/>
        <v>0</v>
      </c>
      <c r="BF16" s="276">
        <f t="shared" si="4"/>
        <v>0</v>
      </c>
      <c r="BG16" s="277">
        <f t="shared" si="4"/>
        <v>0</v>
      </c>
      <c r="BH16" s="277">
        <f t="shared" si="4"/>
        <v>0</v>
      </c>
      <c r="BI16" s="704">
        <f t="shared" si="4"/>
        <v>0</v>
      </c>
    </row>
    <row r="17" spans="3:61" s="28" customFormat="1" ht="23.25" customHeight="1">
      <c r="C17" s="1879"/>
      <c r="D17" s="1017" t="s">
        <v>25</v>
      </c>
      <c r="E17" s="1017"/>
      <c r="F17" s="1018"/>
      <c r="H17" s="1889"/>
      <c r="I17" s="33" t="s">
        <v>25</v>
      </c>
      <c r="J17" s="462"/>
      <c r="K17" s="463"/>
      <c r="L17" s="463"/>
      <c r="M17" s="692"/>
      <c r="N17" s="462">
        <v>18</v>
      </c>
      <c r="O17" s="463"/>
      <c r="P17" s="463"/>
      <c r="Q17" s="692"/>
      <c r="R17" s="462"/>
      <c r="S17" s="463"/>
      <c r="T17" s="463"/>
      <c r="U17" s="692"/>
      <c r="V17" s="462"/>
      <c r="W17" s="463"/>
      <c r="X17" s="463"/>
      <c r="Y17" s="692">
        <v>6</v>
      </c>
      <c r="Z17" s="462"/>
      <c r="AA17" s="463"/>
      <c r="AB17" s="463"/>
      <c r="AC17" s="692"/>
      <c r="AD17" s="462">
        <v>30</v>
      </c>
      <c r="AE17" s="463">
        <v>30</v>
      </c>
      <c r="AF17" s="463"/>
      <c r="AG17" s="692"/>
      <c r="AH17" s="128">
        <f t="shared" si="5"/>
        <v>48</v>
      </c>
      <c r="AI17" s="273">
        <f t="shared" si="5"/>
        <v>30</v>
      </c>
      <c r="AJ17" s="273">
        <f t="shared" si="5"/>
        <v>0</v>
      </c>
      <c r="AK17" s="694">
        <f t="shared" si="5"/>
        <v>6</v>
      </c>
      <c r="AL17" s="462"/>
      <c r="AM17" s="463"/>
      <c r="AN17" s="463"/>
      <c r="AO17" s="692"/>
      <c r="AP17" s="462"/>
      <c r="AQ17" s="463"/>
      <c r="AR17" s="463"/>
      <c r="AS17" s="692"/>
      <c r="AT17" s="462">
        <v>20</v>
      </c>
      <c r="AU17" s="463"/>
      <c r="AV17" s="463"/>
      <c r="AW17" s="692"/>
      <c r="AX17" s="462"/>
      <c r="AY17" s="463"/>
      <c r="AZ17" s="463"/>
      <c r="BA17" s="692"/>
      <c r="BB17" s="128">
        <f t="shared" si="6"/>
        <v>20</v>
      </c>
      <c r="BC17" s="273">
        <f t="shared" si="6"/>
        <v>0</v>
      </c>
      <c r="BD17" s="273">
        <f t="shared" si="6"/>
        <v>0</v>
      </c>
      <c r="BE17" s="273">
        <f t="shared" si="6"/>
        <v>0</v>
      </c>
      <c r="BF17" s="276">
        <f t="shared" si="4"/>
        <v>68</v>
      </c>
      <c r="BG17" s="277">
        <f t="shared" si="4"/>
        <v>30</v>
      </c>
      <c r="BH17" s="277">
        <f t="shared" si="4"/>
        <v>0</v>
      </c>
      <c r="BI17" s="704">
        <f t="shared" si="4"/>
        <v>6</v>
      </c>
    </row>
    <row r="18" spans="3:61" s="28" customFormat="1" ht="21">
      <c r="C18" s="1879"/>
      <c r="D18" s="1017" t="s">
        <v>24</v>
      </c>
      <c r="E18" s="1017"/>
      <c r="F18" s="1018"/>
      <c r="H18" s="1889"/>
      <c r="I18" s="33" t="s">
        <v>24</v>
      </c>
      <c r="J18" s="462"/>
      <c r="K18" s="463"/>
      <c r="L18" s="463"/>
      <c r="M18" s="692"/>
      <c r="N18" s="462"/>
      <c r="O18" s="463"/>
      <c r="P18" s="463"/>
      <c r="Q18" s="692"/>
      <c r="R18" s="462"/>
      <c r="S18" s="463"/>
      <c r="T18" s="463"/>
      <c r="U18" s="692"/>
      <c r="V18" s="462"/>
      <c r="W18" s="463"/>
      <c r="X18" s="463"/>
      <c r="Y18" s="692"/>
      <c r="Z18" s="462"/>
      <c r="AA18" s="463"/>
      <c r="AB18" s="463"/>
      <c r="AC18" s="692"/>
      <c r="AD18" s="462"/>
      <c r="AE18" s="463"/>
      <c r="AF18" s="463"/>
      <c r="AG18" s="692"/>
      <c r="AH18" s="128">
        <f t="shared" si="5"/>
        <v>0</v>
      </c>
      <c r="AI18" s="273">
        <f t="shared" si="5"/>
        <v>0</v>
      </c>
      <c r="AJ18" s="273">
        <f t="shared" si="5"/>
        <v>0</v>
      </c>
      <c r="AK18" s="694">
        <f t="shared" si="5"/>
        <v>0</v>
      </c>
      <c r="AL18" s="462"/>
      <c r="AM18" s="463"/>
      <c r="AN18" s="463"/>
      <c r="AO18" s="692"/>
      <c r="AP18" s="462"/>
      <c r="AQ18" s="463"/>
      <c r="AR18" s="463"/>
      <c r="AS18" s="692"/>
      <c r="AT18" s="462">
        <v>20</v>
      </c>
      <c r="AU18" s="463"/>
      <c r="AV18" s="463"/>
      <c r="AW18" s="692"/>
      <c r="AX18" s="462"/>
      <c r="AY18" s="463"/>
      <c r="AZ18" s="463"/>
      <c r="BA18" s="692"/>
      <c r="BB18" s="128">
        <f t="shared" si="6"/>
        <v>20</v>
      </c>
      <c r="BC18" s="273">
        <f t="shared" si="6"/>
        <v>0</v>
      </c>
      <c r="BD18" s="273">
        <f t="shared" si="6"/>
        <v>0</v>
      </c>
      <c r="BE18" s="273">
        <f t="shared" si="6"/>
        <v>0</v>
      </c>
      <c r="BF18" s="276">
        <f t="shared" si="4"/>
        <v>20</v>
      </c>
      <c r="BG18" s="277">
        <f t="shared" si="4"/>
        <v>0</v>
      </c>
      <c r="BH18" s="277">
        <f t="shared" si="4"/>
        <v>0</v>
      </c>
      <c r="BI18" s="704">
        <f t="shared" si="4"/>
        <v>0</v>
      </c>
    </row>
    <row r="19" spans="3:61" s="28" customFormat="1" ht="20.100000000000001" customHeight="1">
      <c r="C19" s="1879"/>
      <c r="D19" s="1017" t="s">
        <v>23</v>
      </c>
      <c r="E19" s="1017"/>
      <c r="F19" s="1018"/>
      <c r="H19" s="1889"/>
      <c r="I19" s="33" t="s">
        <v>23</v>
      </c>
      <c r="J19" s="462"/>
      <c r="K19" s="463"/>
      <c r="L19" s="463"/>
      <c r="M19" s="692"/>
      <c r="N19" s="462"/>
      <c r="O19" s="463"/>
      <c r="P19" s="463"/>
      <c r="Q19" s="692"/>
      <c r="R19" s="462"/>
      <c r="S19" s="463"/>
      <c r="T19" s="463"/>
      <c r="U19" s="692"/>
      <c r="V19" s="462"/>
      <c r="W19" s="463"/>
      <c r="X19" s="463"/>
      <c r="Y19" s="692"/>
      <c r="Z19" s="462"/>
      <c r="AA19" s="463"/>
      <c r="AB19" s="463"/>
      <c r="AC19" s="692"/>
      <c r="AD19" s="462"/>
      <c r="AE19" s="463"/>
      <c r="AF19" s="463"/>
      <c r="AG19" s="692"/>
      <c r="AH19" s="128">
        <f t="shared" si="5"/>
        <v>0</v>
      </c>
      <c r="AI19" s="273">
        <f t="shared" si="5"/>
        <v>0</v>
      </c>
      <c r="AJ19" s="273">
        <f t="shared" si="5"/>
        <v>0</v>
      </c>
      <c r="AK19" s="694">
        <f t="shared" si="5"/>
        <v>0</v>
      </c>
      <c r="AL19" s="1012"/>
      <c r="AM19" s="463"/>
      <c r="AN19" s="463"/>
      <c r="AO19" s="692"/>
      <c r="AP19" s="462"/>
      <c r="AQ19" s="463"/>
      <c r="AR19" s="463"/>
      <c r="AS19" s="692"/>
      <c r="AT19" s="462"/>
      <c r="AU19" s="463"/>
      <c r="AV19" s="463"/>
      <c r="AW19" s="692"/>
      <c r="AX19" s="462"/>
      <c r="AY19" s="463"/>
      <c r="AZ19" s="463"/>
      <c r="BA19" s="692"/>
      <c r="BB19" s="128">
        <f t="shared" si="6"/>
        <v>0</v>
      </c>
      <c r="BC19" s="273">
        <f t="shared" si="6"/>
        <v>0</v>
      </c>
      <c r="BD19" s="273">
        <f t="shared" si="6"/>
        <v>0</v>
      </c>
      <c r="BE19" s="273">
        <f t="shared" si="6"/>
        <v>0</v>
      </c>
      <c r="BF19" s="276">
        <f t="shared" si="4"/>
        <v>0</v>
      </c>
      <c r="BG19" s="277">
        <f t="shared" si="4"/>
        <v>0</v>
      </c>
      <c r="BH19" s="277">
        <f t="shared" si="4"/>
        <v>0</v>
      </c>
      <c r="BI19" s="704">
        <f t="shared" si="4"/>
        <v>0</v>
      </c>
    </row>
    <row r="20" spans="3:61" s="28" customFormat="1" ht="20.100000000000001" customHeight="1">
      <c r="C20" s="1879"/>
      <c r="D20" s="1017" t="s">
        <v>22</v>
      </c>
      <c r="E20" s="1017"/>
      <c r="F20" s="1018"/>
      <c r="H20" s="1889"/>
      <c r="I20" s="33" t="s">
        <v>22</v>
      </c>
      <c r="J20" s="462"/>
      <c r="K20" s="463"/>
      <c r="L20" s="463"/>
      <c r="M20" s="692"/>
      <c r="N20" s="462"/>
      <c r="O20" s="463"/>
      <c r="P20" s="463"/>
      <c r="Q20" s="692"/>
      <c r="R20" s="462"/>
      <c r="S20" s="463"/>
      <c r="T20" s="463"/>
      <c r="U20" s="692"/>
      <c r="V20" s="462">
        <v>12</v>
      </c>
      <c r="W20" s="463">
        <v>12</v>
      </c>
      <c r="X20" s="463"/>
      <c r="Y20" s="692"/>
      <c r="Z20" s="462"/>
      <c r="AA20" s="463"/>
      <c r="AB20" s="463"/>
      <c r="AC20" s="692"/>
      <c r="AD20" s="462"/>
      <c r="AE20" s="463"/>
      <c r="AF20" s="463"/>
      <c r="AG20" s="692"/>
      <c r="AH20" s="128">
        <f t="shared" si="5"/>
        <v>12</v>
      </c>
      <c r="AI20" s="273">
        <f t="shared" si="5"/>
        <v>12</v>
      </c>
      <c r="AJ20" s="273">
        <f t="shared" si="5"/>
        <v>0</v>
      </c>
      <c r="AK20" s="694">
        <f t="shared" si="5"/>
        <v>0</v>
      </c>
      <c r="AL20" s="462"/>
      <c r="AM20" s="463"/>
      <c r="AN20" s="463"/>
      <c r="AO20" s="692">
        <v>20</v>
      </c>
      <c r="AP20" s="462">
        <v>15</v>
      </c>
      <c r="AQ20" s="463">
        <v>15</v>
      </c>
      <c r="AR20" s="463"/>
      <c r="AS20" s="692"/>
      <c r="AT20" s="462"/>
      <c r="AU20" s="463"/>
      <c r="AV20" s="463"/>
      <c r="AW20" s="692"/>
      <c r="AX20" s="462"/>
      <c r="AY20" s="463"/>
      <c r="AZ20" s="463"/>
      <c r="BA20" s="692"/>
      <c r="BB20" s="128">
        <f t="shared" si="6"/>
        <v>15</v>
      </c>
      <c r="BC20" s="273">
        <f t="shared" si="6"/>
        <v>15</v>
      </c>
      <c r="BD20" s="273">
        <f t="shared" si="6"/>
        <v>0</v>
      </c>
      <c r="BE20" s="273">
        <f t="shared" si="6"/>
        <v>20</v>
      </c>
      <c r="BF20" s="276">
        <f t="shared" si="4"/>
        <v>27</v>
      </c>
      <c r="BG20" s="277">
        <f t="shared" si="4"/>
        <v>27</v>
      </c>
      <c r="BH20" s="277">
        <f t="shared" si="4"/>
        <v>0</v>
      </c>
      <c r="BI20" s="704">
        <f t="shared" si="4"/>
        <v>20</v>
      </c>
    </row>
    <row r="21" spans="3:61" s="28" customFormat="1" ht="20.100000000000001" customHeight="1">
      <c r="C21" s="1885"/>
      <c r="D21" s="1017"/>
      <c r="E21" s="1017"/>
      <c r="F21" s="1018"/>
      <c r="H21" s="1889"/>
      <c r="I21" s="33" t="s">
        <v>21</v>
      </c>
      <c r="J21" s="462"/>
      <c r="K21" s="463"/>
      <c r="L21" s="463"/>
      <c r="M21" s="692"/>
      <c r="N21" s="462"/>
      <c r="O21" s="463"/>
      <c r="P21" s="463"/>
      <c r="Q21" s="692"/>
      <c r="R21" s="462"/>
      <c r="S21" s="463"/>
      <c r="T21" s="463"/>
      <c r="U21" s="692"/>
      <c r="V21" s="462"/>
      <c r="W21" s="463"/>
      <c r="X21" s="463"/>
      <c r="Y21" s="692"/>
      <c r="Z21" s="462"/>
      <c r="AA21" s="463"/>
      <c r="AB21" s="463"/>
      <c r="AC21" s="692"/>
      <c r="AD21" s="462"/>
      <c r="AE21" s="463"/>
      <c r="AF21" s="463"/>
      <c r="AG21" s="692"/>
      <c r="AH21" s="128">
        <f t="shared" si="5"/>
        <v>0</v>
      </c>
      <c r="AI21" s="273">
        <f t="shared" si="5"/>
        <v>0</v>
      </c>
      <c r="AJ21" s="273">
        <f t="shared" si="5"/>
        <v>0</v>
      </c>
      <c r="AK21" s="694">
        <f t="shared" si="5"/>
        <v>0</v>
      </c>
      <c r="AL21" s="462"/>
      <c r="AM21" s="463"/>
      <c r="AN21" s="463"/>
      <c r="AO21" s="692"/>
      <c r="AP21" s="462"/>
      <c r="AQ21" s="463"/>
      <c r="AR21" s="463"/>
      <c r="AS21" s="692"/>
      <c r="AT21" s="462"/>
      <c r="AU21" s="463"/>
      <c r="AV21" s="463"/>
      <c r="AW21" s="692"/>
      <c r="AX21" s="462"/>
      <c r="AY21" s="463"/>
      <c r="AZ21" s="463"/>
      <c r="BA21" s="692"/>
      <c r="BB21" s="128">
        <f t="shared" si="6"/>
        <v>0</v>
      </c>
      <c r="BC21" s="273">
        <f t="shared" si="6"/>
        <v>0</v>
      </c>
      <c r="BD21" s="273">
        <f t="shared" si="6"/>
        <v>0</v>
      </c>
      <c r="BE21" s="273">
        <f t="shared" si="6"/>
        <v>0</v>
      </c>
      <c r="BF21" s="276">
        <f t="shared" si="4"/>
        <v>0</v>
      </c>
      <c r="BG21" s="277">
        <f t="shared" si="4"/>
        <v>0</v>
      </c>
      <c r="BH21" s="277">
        <f t="shared" si="4"/>
        <v>0</v>
      </c>
      <c r="BI21" s="704">
        <f t="shared" si="4"/>
        <v>0</v>
      </c>
    </row>
    <row r="22" spans="3:61" s="28" customFormat="1" ht="20.100000000000001" customHeight="1">
      <c r="C22" s="1885"/>
      <c r="D22" s="1017"/>
      <c r="E22" s="1017"/>
      <c r="F22" s="1018"/>
      <c r="H22" s="1889"/>
      <c r="I22" s="33" t="s">
        <v>20</v>
      </c>
      <c r="J22" s="462"/>
      <c r="K22" s="463"/>
      <c r="L22" s="463"/>
      <c r="M22" s="692"/>
      <c r="N22" s="462"/>
      <c r="O22" s="463"/>
      <c r="P22" s="463"/>
      <c r="Q22" s="692"/>
      <c r="R22" s="462"/>
      <c r="S22" s="463"/>
      <c r="T22" s="463"/>
      <c r="U22" s="692"/>
      <c r="V22" s="462"/>
      <c r="W22" s="463"/>
      <c r="X22" s="463"/>
      <c r="Y22" s="692"/>
      <c r="Z22" s="462"/>
      <c r="AA22" s="463"/>
      <c r="AB22" s="463"/>
      <c r="AC22" s="692"/>
      <c r="AD22" s="462"/>
      <c r="AE22" s="463"/>
      <c r="AF22" s="463"/>
      <c r="AG22" s="692"/>
      <c r="AH22" s="128">
        <f t="shared" si="5"/>
        <v>0</v>
      </c>
      <c r="AI22" s="273">
        <f t="shared" si="5"/>
        <v>0</v>
      </c>
      <c r="AJ22" s="273">
        <f t="shared" si="5"/>
        <v>0</v>
      </c>
      <c r="AK22" s="694">
        <f t="shared" si="5"/>
        <v>0</v>
      </c>
      <c r="AL22" s="462"/>
      <c r="AM22" s="463"/>
      <c r="AN22" s="463"/>
      <c r="AO22" s="692"/>
      <c r="AP22" s="462"/>
      <c r="AQ22" s="463"/>
      <c r="AR22" s="463"/>
      <c r="AS22" s="692"/>
      <c r="AT22" s="462"/>
      <c r="AU22" s="463"/>
      <c r="AV22" s="463"/>
      <c r="AW22" s="692"/>
      <c r="AX22" s="462"/>
      <c r="AY22" s="463"/>
      <c r="AZ22" s="463"/>
      <c r="BA22" s="692"/>
      <c r="BB22" s="128">
        <f t="shared" si="6"/>
        <v>0</v>
      </c>
      <c r="BC22" s="273">
        <f t="shared" si="6"/>
        <v>0</v>
      </c>
      <c r="BD22" s="273">
        <f t="shared" si="6"/>
        <v>0</v>
      </c>
      <c r="BE22" s="273">
        <f t="shared" si="6"/>
        <v>0</v>
      </c>
      <c r="BF22" s="276">
        <f t="shared" si="4"/>
        <v>0</v>
      </c>
      <c r="BG22" s="277">
        <f t="shared" si="4"/>
        <v>0</v>
      </c>
      <c r="BH22" s="277">
        <f t="shared" si="4"/>
        <v>0</v>
      </c>
      <c r="BI22" s="704">
        <f t="shared" si="4"/>
        <v>0</v>
      </c>
    </row>
    <row r="23" spans="3:61" s="28" customFormat="1" ht="20.100000000000001" customHeight="1">
      <c r="C23" s="1885"/>
      <c r="D23" s="1017"/>
      <c r="E23" s="1017"/>
      <c r="F23" s="1018"/>
      <c r="H23" s="1889"/>
      <c r="I23" s="33" t="s">
        <v>19</v>
      </c>
      <c r="J23" s="462"/>
      <c r="K23" s="463"/>
      <c r="L23" s="463"/>
      <c r="M23" s="692"/>
      <c r="N23" s="462"/>
      <c r="O23" s="463"/>
      <c r="P23" s="463"/>
      <c r="Q23" s="692"/>
      <c r="R23" s="462"/>
      <c r="S23" s="463"/>
      <c r="T23" s="463"/>
      <c r="U23" s="692"/>
      <c r="V23" s="462"/>
      <c r="W23" s="463"/>
      <c r="X23" s="463"/>
      <c r="Y23" s="692"/>
      <c r="Z23" s="462"/>
      <c r="AA23" s="463"/>
      <c r="AB23" s="463"/>
      <c r="AC23" s="692"/>
      <c r="AD23" s="462"/>
      <c r="AE23" s="463"/>
      <c r="AF23" s="463"/>
      <c r="AG23" s="692"/>
      <c r="AH23" s="128">
        <f t="shared" si="5"/>
        <v>0</v>
      </c>
      <c r="AI23" s="273">
        <f t="shared" si="5"/>
        <v>0</v>
      </c>
      <c r="AJ23" s="273">
        <f t="shared" si="5"/>
        <v>0</v>
      </c>
      <c r="AK23" s="694">
        <f t="shared" si="5"/>
        <v>0</v>
      </c>
      <c r="AL23" s="462"/>
      <c r="AM23" s="463"/>
      <c r="AN23" s="463"/>
      <c r="AO23" s="692"/>
      <c r="AP23" s="462"/>
      <c r="AQ23" s="463"/>
      <c r="AR23" s="463"/>
      <c r="AS23" s="692"/>
      <c r="AT23" s="462"/>
      <c r="AU23" s="463"/>
      <c r="AV23" s="463"/>
      <c r="AW23" s="692"/>
      <c r="AX23" s="462"/>
      <c r="AY23" s="463"/>
      <c r="AZ23" s="463"/>
      <c r="BA23" s="692"/>
      <c r="BB23" s="128">
        <f t="shared" si="6"/>
        <v>0</v>
      </c>
      <c r="BC23" s="273">
        <f t="shared" si="6"/>
        <v>0</v>
      </c>
      <c r="BD23" s="273">
        <f t="shared" si="6"/>
        <v>0</v>
      </c>
      <c r="BE23" s="273">
        <f t="shared" si="6"/>
        <v>0</v>
      </c>
      <c r="BF23" s="276">
        <f t="shared" si="4"/>
        <v>0</v>
      </c>
      <c r="BG23" s="277">
        <f t="shared" si="4"/>
        <v>0</v>
      </c>
      <c r="BH23" s="277">
        <f t="shared" si="4"/>
        <v>0</v>
      </c>
      <c r="BI23" s="704">
        <f t="shared" si="4"/>
        <v>0</v>
      </c>
    </row>
    <row r="24" spans="3:61" s="28" customFormat="1" ht="20.100000000000001" customHeight="1" thickBot="1">
      <c r="C24" s="1885"/>
      <c r="D24" s="1017"/>
      <c r="E24" s="1017"/>
      <c r="F24" s="1018"/>
      <c r="H24" s="1865" t="s">
        <v>116</v>
      </c>
      <c r="I24" s="1866"/>
      <c r="J24" s="118">
        <f t="shared" ref="J24:BI24" si="7">SUM(J15:J23)</f>
        <v>0</v>
      </c>
      <c r="K24" s="272">
        <f t="shared" si="7"/>
        <v>0</v>
      </c>
      <c r="L24" s="272">
        <f>SUM(L15:L23)</f>
        <v>0</v>
      </c>
      <c r="M24" s="272">
        <f>SUM(M15:M23)</f>
        <v>0</v>
      </c>
      <c r="N24" s="118">
        <f t="shared" ref="N24:AI24" si="8">SUM(N15:N23)</f>
        <v>18</v>
      </c>
      <c r="O24" s="272">
        <f t="shared" si="8"/>
        <v>0</v>
      </c>
      <c r="P24" s="272">
        <f t="shared" si="8"/>
        <v>0</v>
      </c>
      <c r="Q24" s="272">
        <f t="shared" si="8"/>
        <v>0</v>
      </c>
      <c r="R24" s="118">
        <f t="shared" si="8"/>
        <v>8</v>
      </c>
      <c r="S24" s="272">
        <f t="shared" si="8"/>
        <v>0</v>
      </c>
      <c r="T24" s="272">
        <f t="shared" si="8"/>
        <v>0</v>
      </c>
      <c r="U24" s="272">
        <f t="shared" si="8"/>
        <v>0</v>
      </c>
      <c r="V24" s="118">
        <f t="shared" si="8"/>
        <v>12</v>
      </c>
      <c r="W24" s="272">
        <f t="shared" si="8"/>
        <v>12</v>
      </c>
      <c r="X24" s="272">
        <f t="shared" si="8"/>
        <v>0</v>
      </c>
      <c r="Y24" s="272">
        <f t="shared" si="8"/>
        <v>6</v>
      </c>
      <c r="Z24" s="118">
        <f t="shared" si="8"/>
        <v>0</v>
      </c>
      <c r="AA24" s="272">
        <f t="shared" si="8"/>
        <v>0</v>
      </c>
      <c r="AB24" s="272">
        <f t="shared" si="8"/>
        <v>0</v>
      </c>
      <c r="AC24" s="272">
        <f t="shared" si="8"/>
        <v>0</v>
      </c>
      <c r="AD24" s="118">
        <f t="shared" si="8"/>
        <v>30</v>
      </c>
      <c r="AE24" s="272">
        <f t="shared" si="8"/>
        <v>30</v>
      </c>
      <c r="AF24" s="272">
        <f t="shared" si="8"/>
        <v>0</v>
      </c>
      <c r="AG24" s="272">
        <f t="shared" si="8"/>
        <v>0</v>
      </c>
      <c r="AH24" s="118">
        <f t="shared" si="8"/>
        <v>68</v>
      </c>
      <c r="AI24" s="272">
        <f t="shared" si="8"/>
        <v>42</v>
      </c>
      <c r="AJ24" s="272">
        <f>SUM(AJ15:AJ23)</f>
        <v>0</v>
      </c>
      <c r="AK24" s="695">
        <f>SUM(AK15:AK23)</f>
        <v>6</v>
      </c>
      <c r="AL24" s="118">
        <f t="shared" ref="AL24:BC24" si="9">SUM(AL15:AL23)</f>
        <v>0</v>
      </c>
      <c r="AM24" s="272">
        <f t="shared" si="9"/>
        <v>0</v>
      </c>
      <c r="AN24" s="272">
        <f t="shared" si="9"/>
        <v>0</v>
      </c>
      <c r="AO24" s="272">
        <f t="shared" si="9"/>
        <v>20</v>
      </c>
      <c r="AP24" s="118">
        <f t="shared" si="9"/>
        <v>15</v>
      </c>
      <c r="AQ24" s="272">
        <f t="shared" si="9"/>
        <v>15</v>
      </c>
      <c r="AR24" s="272">
        <f t="shared" si="9"/>
        <v>0</v>
      </c>
      <c r="AS24" s="272">
        <f t="shared" si="9"/>
        <v>0</v>
      </c>
      <c r="AT24" s="118">
        <f t="shared" si="9"/>
        <v>40</v>
      </c>
      <c r="AU24" s="272">
        <f t="shared" si="9"/>
        <v>0</v>
      </c>
      <c r="AV24" s="272">
        <f t="shared" si="9"/>
        <v>0</v>
      </c>
      <c r="AW24" s="272">
        <f t="shared" si="9"/>
        <v>0</v>
      </c>
      <c r="AX24" s="118">
        <f t="shared" si="9"/>
        <v>0</v>
      </c>
      <c r="AY24" s="272">
        <f t="shared" si="9"/>
        <v>0</v>
      </c>
      <c r="AZ24" s="272">
        <f t="shared" si="9"/>
        <v>0</v>
      </c>
      <c r="BA24" s="272">
        <f t="shared" si="9"/>
        <v>0</v>
      </c>
      <c r="BB24" s="118">
        <f t="shared" si="9"/>
        <v>55</v>
      </c>
      <c r="BC24" s="272">
        <f t="shared" si="9"/>
        <v>15</v>
      </c>
      <c r="BD24" s="272">
        <f>SUM(BD15:BD23)</f>
        <v>0</v>
      </c>
      <c r="BE24" s="272">
        <f>SUM(BE15:BE23)</f>
        <v>20</v>
      </c>
      <c r="BF24" s="278">
        <f t="shared" si="7"/>
        <v>123</v>
      </c>
      <c r="BG24" s="279">
        <f t="shared" si="7"/>
        <v>57</v>
      </c>
      <c r="BH24" s="279">
        <f t="shared" si="7"/>
        <v>0</v>
      </c>
      <c r="BI24" s="705">
        <f t="shared" si="7"/>
        <v>26</v>
      </c>
    </row>
    <row r="25" spans="3:61" s="119" customFormat="1" ht="9" customHeight="1" thickBot="1">
      <c r="C25" s="121"/>
      <c r="D25" s="121"/>
      <c r="E25" s="121"/>
      <c r="F25" s="121"/>
      <c r="H25" s="122"/>
      <c r="I25" s="122"/>
      <c r="J25" s="125"/>
      <c r="K25" s="126"/>
      <c r="L25" s="126"/>
      <c r="M25" s="126"/>
      <c r="N25" s="125"/>
      <c r="O25" s="126"/>
      <c r="P25" s="126"/>
      <c r="Q25" s="126"/>
      <c r="R25" s="125"/>
      <c r="S25" s="126"/>
      <c r="T25" s="126"/>
      <c r="U25" s="126"/>
      <c r="V25" s="125"/>
      <c r="W25" s="126"/>
      <c r="X25" s="126"/>
      <c r="Y25" s="126"/>
      <c r="Z25" s="125"/>
      <c r="AA25" s="126"/>
      <c r="AB25" s="126"/>
      <c r="AC25" s="126"/>
      <c r="AD25" s="125"/>
      <c r="AE25" s="126"/>
      <c r="AF25" s="126"/>
      <c r="AG25" s="126"/>
      <c r="AH25" s="125"/>
      <c r="AI25" s="126"/>
      <c r="AJ25" s="126"/>
      <c r="AK25" s="126"/>
      <c r="AL25" s="125"/>
      <c r="AM25" s="126"/>
      <c r="AN25" s="126"/>
      <c r="AO25" s="126"/>
      <c r="AP25" s="125"/>
      <c r="AQ25" s="126"/>
      <c r="AR25" s="126"/>
      <c r="AS25" s="126"/>
      <c r="AT25" s="125"/>
      <c r="AU25" s="126"/>
      <c r="AV25" s="126"/>
      <c r="AW25" s="126"/>
      <c r="AX25" s="125"/>
      <c r="AY25" s="126"/>
      <c r="AZ25" s="126"/>
      <c r="BA25" s="126"/>
      <c r="BB25" s="125"/>
      <c r="BC25" s="126"/>
      <c r="BD25" s="126"/>
      <c r="BE25" s="126"/>
      <c r="BF25" s="125"/>
      <c r="BG25" s="126"/>
    </row>
    <row r="26" spans="3:61" s="28" customFormat="1" ht="26.25" customHeight="1" thickBot="1">
      <c r="D26" s="29"/>
      <c r="E26" s="29"/>
      <c r="F26" s="29"/>
      <c r="H26" s="1893" t="s">
        <v>49</v>
      </c>
      <c r="I26" s="1894"/>
      <c r="J26" s="123">
        <f t="shared" ref="J26:BI26" si="10">J10+J24</f>
        <v>76</v>
      </c>
      <c r="K26" s="280">
        <f t="shared" si="10"/>
        <v>63.16</v>
      </c>
      <c r="L26" s="280">
        <f>L10+L24</f>
        <v>52.16</v>
      </c>
      <c r="M26" s="280">
        <f>M10+M24</f>
        <v>42</v>
      </c>
      <c r="N26" s="123">
        <f t="shared" ref="N26:O26" si="11">N10+N24</f>
        <v>30</v>
      </c>
      <c r="O26" s="280">
        <f t="shared" si="11"/>
        <v>9.9600000000000009</v>
      </c>
      <c r="P26" s="280">
        <f>P10+P24</f>
        <v>2</v>
      </c>
      <c r="Q26" s="280">
        <f>Q10+Q24</f>
        <v>17.399999999999999</v>
      </c>
      <c r="R26" s="123">
        <f t="shared" ref="R26:S26" si="12">R10+R24</f>
        <v>15</v>
      </c>
      <c r="S26" s="280">
        <f t="shared" si="12"/>
        <v>7.2</v>
      </c>
      <c r="T26" s="280">
        <f>T10+T24</f>
        <v>2.2000000000000002</v>
      </c>
      <c r="U26" s="280">
        <f>U10+U24</f>
        <v>0</v>
      </c>
      <c r="V26" s="123">
        <f t="shared" ref="V26:W26" si="13">V10+V24</f>
        <v>17</v>
      </c>
      <c r="W26" s="280">
        <f t="shared" si="13"/>
        <v>13.5</v>
      </c>
      <c r="X26" s="280">
        <f>X10+X24</f>
        <v>1.5</v>
      </c>
      <c r="Y26" s="280">
        <f>Y10+Y24</f>
        <v>6</v>
      </c>
      <c r="Z26" s="123">
        <f t="shared" ref="Z26:AA26" si="14">Z10+Z24</f>
        <v>2</v>
      </c>
      <c r="AA26" s="280">
        <f t="shared" si="14"/>
        <v>0</v>
      </c>
      <c r="AB26" s="280">
        <f>AB10+AB24</f>
        <v>0</v>
      </c>
      <c r="AC26" s="280">
        <f>AC10+AC24</f>
        <v>0</v>
      </c>
      <c r="AD26" s="123">
        <f t="shared" ref="AD26:AE26" si="15">AD10+AD24</f>
        <v>40</v>
      </c>
      <c r="AE26" s="280">
        <f t="shared" si="15"/>
        <v>30</v>
      </c>
      <c r="AF26" s="280">
        <f>AF10+AF24</f>
        <v>0</v>
      </c>
      <c r="AG26" s="280">
        <f>AG10+AG24</f>
        <v>0</v>
      </c>
      <c r="AH26" s="127">
        <f t="shared" ref="AH26:AI26" si="16">AH10+AH24</f>
        <v>180</v>
      </c>
      <c r="AI26" s="280">
        <f t="shared" si="16"/>
        <v>123.82000000000001</v>
      </c>
      <c r="AJ26" s="697">
        <f>AJ10+AJ24</f>
        <v>57.86</v>
      </c>
      <c r="AK26" s="696">
        <f>AK10+AK24</f>
        <v>65.400000000000006</v>
      </c>
      <c r="AL26" s="123">
        <f t="shared" ref="AL26:AM26" si="17">AL10+AL24</f>
        <v>6</v>
      </c>
      <c r="AM26" s="280">
        <f t="shared" si="17"/>
        <v>9</v>
      </c>
      <c r="AN26" s="280">
        <f>AN10+AN24</f>
        <v>0</v>
      </c>
      <c r="AO26" s="280">
        <f>AO10+AO24</f>
        <v>20</v>
      </c>
      <c r="AP26" s="123">
        <f t="shared" ref="AP26:AQ26" si="18">AP10+AP24</f>
        <v>16</v>
      </c>
      <c r="AQ26" s="280">
        <f t="shared" si="18"/>
        <v>16</v>
      </c>
      <c r="AR26" s="280">
        <f>AR10+AR24</f>
        <v>1</v>
      </c>
      <c r="AS26" s="280">
        <f>AS10+AS24</f>
        <v>0</v>
      </c>
      <c r="AT26" s="123">
        <f t="shared" ref="AT26:AU26" si="19">AT10+AT24</f>
        <v>60</v>
      </c>
      <c r="AU26" s="280">
        <f t="shared" si="19"/>
        <v>14.5</v>
      </c>
      <c r="AV26" s="280">
        <f>AV10+AV24</f>
        <v>13.5</v>
      </c>
      <c r="AW26" s="280">
        <f>AW10+AW24</f>
        <v>0</v>
      </c>
      <c r="AX26" s="123">
        <f t="shared" ref="AX26:AY26" si="20">AX10+AX24</f>
        <v>17</v>
      </c>
      <c r="AY26" s="280">
        <f t="shared" si="20"/>
        <v>6</v>
      </c>
      <c r="AZ26" s="280">
        <f>AZ10+AZ24</f>
        <v>6</v>
      </c>
      <c r="BA26" s="280">
        <f>BA10+BA24</f>
        <v>0</v>
      </c>
      <c r="BB26" s="127">
        <f t="shared" ref="BB26:BC26" si="21">BB10+BB24</f>
        <v>99</v>
      </c>
      <c r="BC26" s="280">
        <f t="shared" si="21"/>
        <v>45.5</v>
      </c>
      <c r="BD26" s="697">
        <f>BD10+BD24</f>
        <v>20.5</v>
      </c>
      <c r="BE26" s="697">
        <f>BE10+BE24</f>
        <v>20</v>
      </c>
      <c r="BF26" s="124">
        <f>BF10+BF24</f>
        <v>279</v>
      </c>
      <c r="BG26" s="707">
        <f t="shared" si="10"/>
        <v>169.32</v>
      </c>
      <c r="BH26" s="706">
        <f t="shared" si="10"/>
        <v>78.36</v>
      </c>
      <c r="BI26" s="284">
        <f t="shared" si="10"/>
        <v>85.4</v>
      </c>
    </row>
    <row r="27" spans="3:61" ht="21" customHeight="1">
      <c r="H27" s="320"/>
      <c r="I27" s="320"/>
      <c r="J27" s="321"/>
      <c r="K27" s="321"/>
      <c r="L27" s="321">
        <v>42</v>
      </c>
      <c r="M27" s="321" t="s">
        <v>23</v>
      </c>
      <c r="N27" s="321"/>
      <c r="O27" s="321"/>
      <c r="P27" s="321">
        <v>8</v>
      </c>
      <c r="Q27" s="321" t="s">
        <v>24</v>
      </c>
      <c r="R27" s="321"/>
      <c r="S27" s="321"/>
      <c r="T27" s="321"/>
      <c r="U27" s="321"/>
      <c r="V27" s="321"/>
      <c r="W27" s="321"/>
      <c r="X27" s="323">
        <v>6</v>
      </c>
      <c r="Y27" s="323" t="s">
        <v>25</v>
      </c>
      <c r="Z27" s="321"/>
      <c r="AA27" s="321"/>
      <c r="AB27" s="323"/>
      <c r="AC27" s="323"/>
      <c r="AD27" s="321"/>
      <c r="AE27" s="321"/>
      <c r="AF27" s="321"/>
      <c r="AG27" s="321"/>
      <c r="AH27" s="321"/>
      <c r="AI27" s="321"/>
      <c r="AJ27" s="321"/>
      <c r="AK27" s="321"/>
      <c r="AL27" s="321"/>
      <c r="AM27" s="321"/>
      <c r="AN27" s="321">
        <v>20</v>
      </c>
      <c r="AO27" s="321" t="s">
        <v>22</v>
      </c>
      <c r="AP27" s="321"/>
      <c r="AQ27" s="321"/>
      <c r="AR27" s="321"/>
      <c r="AS27" s="321"/>
      <c r="AT27" s="321"/>
      <c r="AU27" s="321"/>
      <c r="AV27" s="321"/>
      <c r="AW27" s="321"/>
      <c r="AX27" s="321"/>
      <c r="AY27" s="321"/>
      <c r="AZ27" s="321"/>
      <c r="BA27" s="321"/>
      <c r="BB27" s="335"/>
      <c r="BC27" s="1918">
        <f>SUM(I27:AZ29)</f>
        <v>85.4</v>
      </c>
      <c r="BD27" s="335"/>
      <c r="BE27" s="335"/>
      <c r="BF27" s="335"/>
      <c r="BG27" s="335"/>
      <c r="BH27" s="1917">
        <f>BH26+BI26</f>
        <v>163.76</v>
      </c>
      <c r="BI27" s="1917"/>
    </row>
    <row r="28" spans="3:61" ht="21" customHeight="1">
      <c r="H28" s="320"/>
      <c r="I28" s="320"/>
      <c r="J28" s="322"/>
      <c r="K28" s="323"/>
      <c r="L28" s="323"/>
      <c r="M28" s="323"/>
      <c r="N28" s="322"/>
      <c r="O28" s="323"/>
      <c r="P28" s="323">
        <v>9.4</v>
      </c>
      <c r="Q28" s="323" t="s">
        <v>26</v>
      </c>
      <c r="R28" s="322"/>
      <c r="S28" s="323"/>
      <c r="T28" s="323"/>
      <c r="U28" s="323"/>
      <c r="V28" s="321"/>
      <c r="W28" s="323"/>
      <c r="X28" s="323"/>
      <c r="Y28" s="323"/>
      <c r="Z28" s="322"/>
      <c r="AA28" s="323"/>
      <c r="AB28" s="323"/>
      <c r="AC28" s="323"/>
      <c r="AD28" s="322"/>
      <c r="AE28" s="323"/>
      <c r="AF28" s="323"/>
      <c r="AG28" s="322"/>
      <c r="AH28" s="322"/>
      <c r="AI28" s="323"/>
      <c r="AJ28" s="323"/>
      <c r="AK28" s="323"/>
      <c r="AL28" s="321"/>
      <c r="AM28" s="323"/>
      <c r="AN28" s="622"/>
      <c r="AO28" s="622"/>
      <c r="AP28" s="321"/>
      <c r="AQ28" s="323"/>
      <c r="AR28" s="323"/>
      <c r="AS28" s="323"/>
      <c r="AT28" s="322"/>
      <c r="AU28" s="323"/>
      <c r="AV28" s="323"/>
      <c r="AW28" s="323"/>
      <c r="AX28" s="322"/>
      <c r="AY28" s="468"/>
      <c r="AZ28" s="468"/>
      <c r="BA28" s="468"/>
      <c r="BB28" s="392"/>
      <c r="BC28" s="1919"/>
      <c r="BD28" s="434"/>
      <c r="BE28" s="434"/>
      <c r="BF28" s="435"/>
      <c r="BG28" s="434"/>
      <c r="BH28" s="726"/>
      <c r="BI28" s="434"/>
    </row>
    <row r="29" spans="3:61" ht="23.25">
      <c r="H29" s="320"/>
      <c r="I29" s="320"/>
      <c r="J29" s="322"/>
      <c r="K29" s="323"/>
      <c r="L29" s="323"/>
      <c r="M29" s="323"/>
      <c r="N29" s="322"/>
      <c r="O29" s="323"/>
      <c r="P29" s="323"/>
      <c r="Q29" s="323"/>
      <c r="R29" s="322"/>
      <c r="S29" s="323"/>
      <c r="T29" s="323"/>
      <c r="U29" s="323"/>
      <c r="V29" s="322"/>
      <c r="W29" s="323"/>
      <c r="X29" s="323"/>
      <c r="Y29" s="323"/>
      <c r="Z29" s="322"/>
      <c r="AA29" s="323"/>
      <c r="AB29" s="323"/>
      <c r="AC29" s="323"/>
      <c r="AD29" s="322"/>
      <c r="AE29" s="323"/>
      <c r="AF29" s="688"/>
      <c r="AG29" s="688"/>
      <c r="AH29" s="322"/>
      <c r="AI29" s="322"/>
      <c r="AJ29" s="323"/>
      <c r="AK29" s="323"/>
      <c r="AL29" s="321"/>
      <c r="AM29" s="323"/>
      <c r="AN29" s="321"/>
      <c r="AO29" s="321"/>
      <c r="AP29" s="322"/>
      <c r="AQ29" s="323"/>
      <c r="AR29" s="323"/>
      <c r="AS29" s="323"/>
      <c r="AT29" s="322"/>
      <c r="AU29" s="323"/>
      <c r="AV29" s="323"/>
      <c r="AW29" s="323"/>
      <c r="AX29" s="322"/>
      <c r="AY29" s="468"/>
      <c r="AZ29" s="468"/>
      <c r="BA29" s="468"/>
      <c r="BB29" s="392"/>
      <c r="BC29" s="434"/>
      <c r="BD29" s="434"/>
      <c r="BE29" s="434"/>
      <c r="BF29" s="435"/>
      <c r="BG29" s="434"/>
      <c r="BH29" s="682"/>
      <c r="BI29" s="434"/>
    </row>
    <row r="30" spans="3:61" s="464" customFormat="1" ht="21.75" thickBot="1">
      <c r="D30" s="576"/>
      <c r="E30" s="576"/>
      <c r="F30" s="576"/>
      <c r="I30" s="577"/>
      <c r="J30" s="578"/>
      <c r="K30" s="579"/>
      <c r="L30" s="579"/>
      <c r="M30" s="579"/>
      <c r="N30" s="578"/>
      <c r="O30" s="579"/>
      <c r="P30" s="579"/>
      <c r="Q30" s="579"/>
      <c r="R30" s="578"/>
      <c r="S30" s="579"/>
      <c r="T30" s="579"/>
      <c r="U30" s="579"/>
      <c r="V30" s="322"/>
      <c r="W30" s="578"/>
      <c r="X30" s="579"/>
      <c r="Y30" s="579"/>
      <c r="Z30" s="579"/>
      <c r="AA30" s="578"/>
      <c r="AB30" s="579"/>
      <c r="AC30" s="579"/>
      <c r="AD30" s="579"/>
      <c r="AE30" s="578"/>
      <c r="AF30" s="579"/>
      <c r="AG30" s="579"/>
      <c r="AH30" s="621"/>
      <c r="AI30" s="578"/>
      <c r="AJ30" s="579"/>
      <c r="AK30" s="579"/>
      <c r="AM30" s="580"/>
      <c r="AN30" s="579"/>
      <c r="AO30" s="579"/>
      <c r="AP30" s="579"/>
      <c r="AQ30" s="578"/>
      <c r="AR30" s="579"/>
      <c r="AS30" s="579"/>
      <c r="AT30" s="579"/>
      <c r="AU30" s="578"/>
      <c r="AV30" s="579"/>
      <c r="AW30" s="579"/>
      <c r="AZ30" s="581"/>
      <c r="BA30" s="581"/>
      <c r="BB30" s="581"/>
      <c r="BC30" s="582"/>
      <c r="BD30" s="583"/>
      <c r="BE30" s="583"/>
      <c r="BF30" s="583"/>
      <c r="BG30" s="584"/>
      <c r="BH30" s="583"/>
      <c r="BI30" s="585"/>
    </row>
    <row r="31" spans="3:61" ht="35.25" customHeight="1" thickBot="1">
      <c r="L31" s="1929" t="s">
        <v>404</v>
      </c>
      <c r="M31" s="1930"/>
      <c r="N31" s="1930"/>
      <c r="O31" s="1930"/>
      <c r="P31" s="1930"/>
      <c r="Q31" s="1930"/>
      <c r="R31" s="1930"/>
      <c r="S31" s="1931"/>
      <c r="T31" s="579"/>
      <c r="U31" s="579"/>
      <c r="V31" s="1929" t="s">
        <v>204</v>
      </c>
      <c r="W31" s="1930"/>
      <c r="X31" s="1930"/>
      <c r="Y31" s="1930"/>
      <c r="Z31" s="1930"/>
      <c r="AA31" s="1930"/>
      <c r="AB31" s="1930"/>
      <c r="AC31" s="1935"/>
      <c r="AD31" s="1936"/>
      <c r="AE31" s="579"/>
      <c r="AF31" s="579"/>
      <c r="AG31" s="26"/>
      <c r="AH31" s="24"/>
      <c r="AJ31" s="685"/>
      <c r="AL31" s="24"/>
      <c r="AM31" s="599"/>
      <c r="AN31" s="1014"/>
      <c r="AP31" s="24"/>
      <c r="AS31" s="26"/>
      <c r="AT31" s="24"/>
      <c r="AX31" s="24"/>
      <c r="AY31" s="25"/>
      <c r="AZ31" s="25"/>
      <c r="BA31" s="24"/>
      <c r="BB31" s="24"/>
      <c r="BE31" s="23"/>
      <c r="BF31" s="23"/>
      <c r="BG31" s="23"/>
    </row>
    <row r="32" spans="3:61" s="24" customFormat="1" ht="28.5" customHeight="1" thickBot="1">
      <c r="C32" s="23"/>
      <c r="D32" s="27"/>
      <c r="E32" s="27"/>
      <c r="F32" s="27"/>
      <c r="G32" s="23"/>
      <c r="H32" s="23"/>
      <c r="I32" s="27"/>
      <c r="L32" s="450" t="s">
        <v>0</v>
      </c>
      <c r="M32" s="439" t="s">
        <v>200</v>
      </c>
      <c r="N32" s="454" t="s">
        <v>205</v>
      </c>
      <c r="O32" s="439" t="s">
        <v>31</v>
      </c>
      <c r="P32" s="448" t="s">
        <v>201</v>
      </c>
      <c r="Q32" s="455" t="s">
        <v>206</v>
      </c>
      <c r="R32" s="436" t="s">
        <v>22</v>
      </c>
      <c r="S32" s="438" t="s">
        <v>191</v>
      </c>
      <c r="T32" s="579"/>
      <c r="U32" s="579"/>
      <c r="V32" s="571" t="s">
        <v>0</v>
      </c>
      <c r="W32" s="572" t="s">
        <v>200</v>
      </c>
      <c r="X32" s="623" t="s">
        <v>205</v>
      </c>
      <c r="Y32" s="572" t="s">
        <v>31</v>
      </c>
      <c r="Z32" s="573" t="s">
        <v>201</v>
      </c>
      <c r="AA32" s="574" t="s">
        <v>206</v>
      </c>
      <c r="AB32" s="717" t="s">
        <v>22</v>
      </c>
      <c r="AC32" s="721" t="s">
        <v>191</v>
      </c>
      <c r="AD32" s="722" t="s">
        <v>226</v>
      </c>
      <c r="AE32" s="579"/>
      <c r="AF32" s="579"/>
      <c r="AG32" s="599"/>
      <c r="AH32" s="599"/>
      <c r="AI32" s="599"/>
      <c r="AN32" s="26"/>
      <c r="AT32" s="25"/>
      <c r="AU32" s="25"/>
      <c r="AW32" s="23"/>
      <c r="AX32" s="23"/>
    </row>
    <row r="33" spans="1:59" ht="23.25">
      <c r="L33" s="441" t="s">
        <v>189</v>
      </c>
      <c r="M33" s="470">
        <f>$J$6</f>
        <v>61</v>
      </c>
      <c r="N33" s="430">
        <f>$J9</f>
        <v>0</v>
      </c>
      <c r="O33" s="430">
        <f>$J7</f>
        <v>0</v>
      </c>
      <c r="P33" s="430">
        <f>$J8</f>
        <v>15</v>
      </c>
      <c r="Q33" s="430">
        <f>J15+J16+J17+J18+J19+J21+J22+J23</f>
        <v>0</v>
      </c>
      <c r="R33" s="430">
        <f>$J20</f>
        <v>0</v>
      </c>
      <c r="S33" s="446">
        <f t="shared" ref="S33:S42" si="22">SUM(M33:R33)</f>
        <v>76</v>
      </c>
      <c r="T33" s="579"/>
      <c r="U33" s="579"/>
      <c r="V33" s="447" t="s">
        <v>189</v>
      </c>
      <c r="W33" s="569">
        <f>L$6</f>
        <v>52.16</v>
      </c>
      <c r="X33" s="570">
        <f>$L9</f>
        <v>0</v>
      </c>
      <c r="Y33" s="570">
        <f>$L7</f>
        <v>0</v>
      </c>
      <c r="Z33" s="570">
        <f>$L8</f>
        <v>0</v>
      </c>
      <c r="AA33" s="570">
        <f>L$15+L$16+L$17+L$18+L$19+L$21+L$22+L$23</f>
        <v>0</v>
      </c>
      <c r="AB33" s="718">
        <f>$L20</f>
        <v>0</v>
      </c>
      <c r="AC33" s="723">
        <f t="shared" ref="AC33:AC42" si="23">SUM(W33:AB33)</f>
        <v>52.16</v>
      </c>
      <c r="AD33" s="587">
        <f>M6+M7+M8++M9+M15+M16+M17+M18+M19+M21+M20+M22+M23</f>
        <v>42</v>
      </c>
      <c r="AE33" s="579">
        <f>AC33+AD33</f>
        <v>94.16</v>
      </c>
      <c r="AF33" s="579"/>
      <c r="AG33" s="599"/>
      <c r="AH33" s="599"/>
      <c r="AI33" s="599"/>
      <c r="AL33" s="24"/>
      <c r="AN33" s="26"/>
      <c r="AP33" s="24"/>
      <c r="AT33" s="25"/>
      <c r="AU33" s="25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</row>
    <row r="34" spans="1:59" s="24" customFormat="1" ht="23.25">
      <c r="A34" s="23"/>
      <c r="B34" s="23"/>
      <c r="C34" s="23"/>
      <c r="D34" s="27"/>
      <c r="E34" s="27"/>
      <c r="F34" s="27"/>
      <c r="G34" s="23"/>
      <c r="H34" s="23"/>
      <c r="I34" s="27"/>
      <c r="L34" s="441" t="s">
        <v>183</v>
      </c>
      <c r="M34" s="470">
        <f>$N$6</f>
        <v>12</v>
      </c>
      <c r="N34" s="430">
        <f>$N9</f>
        <v>0</v>
      </c>
      <c r="O34" s="430">
        <f>$N7</f>
        <v>0</v>
      </c>
      <c r="P34" s="430">
        <f>$N8</f>
        <v>0</v>
      </c>
      <c r="Q34" s="430">
        <f>N15+N16+N17+N18+N19+N21+N22+N23</f>
        <v>18</v>
      </c>
      <c r="R34" s="430">
        <f>$N20</f>
        <v>0</v>
      </c>
      <c r="S34" s="446">
        <f t="shared" si="22"/>
        <v>30</v>
      </c>
      <c r="T34" s="686"/>
      <c r="U34" s="26"/>
      <c r="V34" s="441" t="s">
        <v>183</v>
      </c>
      <c r="W34" s="440">
        <f>P$6</f>
        <v>2</v>
      </c>
      <c r="X34" s="430">
        <f>$P9</f>
        <v>0</v>
      </c>
      <c r="Y34" s="430">
        <f>$P7</f>
        <v>0</v>
      </c>
      <c r="Z34" s="430">
        <f>$P8</f>
        <v>0</v>
      </c>
      <c r="AA34" s="430">
        <f>P$15+P$16+P$17+P$18+P$19+P$21+P$22+P$23</f>
        <v>0</v>
      </c>
      <c r="AB34" s="719">
        <f>$P20</f>
        <v>0</v>
      </c>
      <c r="AC34" s="723">
        <f t="shared" si="23"/>
        <v>2</v>
      </c>
      <c r="AD34" s="587">
        <f>Q6+Q7+Q8+Q9+Q15+Q16+Q17+Q18+Q19+Q20+Q21+Q22+Q23</f>
        <v>17.399999999999999</v>
      </c>
      <c r="AE34" s="579">
        <f t="shared" ref="AE34:AE43" si="24">AC34+AD34</f>
        <v>19.399999999999999</v>
      </c>
      <c r="AG34" s="599"/>
      <c r="AH34" s="599"/>
      <c r="AI34" s="599"/>
      <c r="AN34" s="26"/>
      <c r="AT34" s="25"/>
      <c r="AU34" s="25"/>
    </row>
    <row r="35" spans="1:59" ht="23.25">
      <c r="L35" s="441" t="s">
        <v>184</v>
      </c>
      <c r="M35" s="470">
        <f>$R$6</f>
        <v>5</v>
      </c>
      <c r="N35" s="430">
        <f>$R9</f>
        <v>2</v>
      </c>
      <c r="O35" s="430">
        <f>$R7</f>
        <v>0</v>
      </c>
      <c r="P35" s="430">
        <f>$R8</f>
        <v>0</v>
      </c>
      <c r="Q35" s="430">
        <f>R15+R16+R17+R18+R19+R21+R22+R23</f>
        <v>8</v>
      </c>
      <c r="R35" s="430">
        <f>$R20</f>
        <v>0</v>
      </c>
      <c r="S35" s="446">
        <f t="shared" si="22"/>
        <v>15</v>
      </c>
      <c r="T35" s="686"/>
      <c r="U35" s="26"/>
      <c r="V35" s="441" t="s">
        <v>184</v>
      </c>
      <c r="W35" s="440">
        <f>T$6</f>
        <v>0</v>
      </c>
      <c r="X35" s="430">
        <f>$T9</f>
        <v>2.2000000000000002</v>
      </c>
      <c r="Y35" s="430">
        <f>$T7</f>
        <v>0</v>
      </c>
      <c r="Z35" s="430">
        <f>$T8</f>
        <v>0</v>
      </c>
      <c r="AA35" s="430">
        <f>T$15+T$16+T$17+T$18+T$19+T$21+T$22+T$23</f>
        <v>0</v>
      </c>
      <c r="AB35" s="719">
        <f>$T20</f>
        <v>0</v>
      </c>
      <c r="AC35" s="723">
        <f t="shared" si="23"/>
        <v>2.2000000000000002</v>
      </c>
      <c r="AD35" s="587">
        <f>U6+U7+U8+U9+U15+U16+U17+U18+U19+U20+U21+U22+U23</f>
        <v>0</v>
      </c>
      <c r="AE35" s="579">
        <f t="shared" si="24"/>
        <v>2.2000000000000002</v>
      </c>
      <c r="AF35" s="26"/>
      <c r="AG35" s="599"/>
      <c r="AH35" s="599"/>
      <c r="AI35" s="599"/>
      <c r="AL35" s="24"/>
      <c r="AN35" s="26"/>
      <c r="AP35" s="24"/>
      <c r="AT35" s="25"/>
      <c r="AU35" s="25"/>
      <c r="AX35" s="23"/>
      <c r="AY35" s="23"/>
      <c r="AZ35" s="23"/>
      <c r="BA35" s="23"/>
      <c r="BB35" s="23"/>
      <c r="BC35" s="23"/>
      <c r="BD35" s="23"/>
      <c r="BE35" s="23"/>
      <c r="BF35" s="23"/>
      <c r="BG35" s="23"/>
    </row>
    <row r="36" spans="1:59" ht="23.25">
      <c r="L36" s="441" t="s">
        <v>170</v>
      </c>
      <c r="M36" s="470">
        <f>$V$6</f>
        <v>0</v>
      </c>
      <c r="N36" s="430">
        <f>$V9</f>
        <v>5</v>
      </c>
      <c r="O36" s="430">
        <f>$V7</f>
        <v>0</v>
      </c>
      <c r="P36" s="430">
        <f>$V8</f>
        <v>0</v>
      </c>
      <c r="Q36" s="430">
        <f>V15+V16+V17+V18+V19+V21++V22+V23</f>
        <v>0</v>
      </c>
      <c r="R36" s="430">
        <f>$V20</f>
        <v>12</v>
      </c>
      <c r="S36" s="446">
        <f t="shared" si="22"/>
        <v>17</v>
      </c>
      <c r="T36" s="686"/>
      <c r="U36" s="26"/>
      <c r="V36" s="441" t="s">
        <v>170</v>
      </c>
      <c r="W36" s="440">
        <f>X$6</f>
        <v>0</v>
      </c>
      <c r="X36" s="430">
        <f>$X9</f>
        <v>1.5</v>
      </c>
      <c r="Y36" s="430">
        <f>$X7</f>
        <v>0</v>
      </c>
      <c r="Z36" s="430">
        <f>$X8</f>
        <v>0</v>
      </c>
      <c r="AA36" s="430">
        <f>X$15+X$16+X$17+X$18+X$19+X$21+X$22+X$23</f>
        <v>0</v>
      </c>
      <c r="AB36" s="719">
        <f>$X20</f>
        <v>0</v>
      </c>
      <c r="AC36" s="723">
        <f t="shared" si="23"/>
        <v>1.5</v>
      </c>
      <c r="AD36" s="587">
        <f>Y6+Y7+Y8+Y9+Y15+Y16+Y17+Y18+Y19+Y20+Y21+Y22+Y23</f>
        <v>6</v>
      </c>
      <c r="AE36" s="579">
        <f t="shared" si="24"/>
        <v>7.5</v>
      </c>
      <c r="AF36" s="26"/>
      <c r="AG36" s="599"/>
      <c r="AH36" s="599"/>
      <c r="AI36" s="599"/>
      <c r="AL36" s="24"/>
      <c r="AN36" s="26"/>
      <c r="AP36" s="24"/>
      <c r="AT36" s="25"/>
      <c r="AU36" s="25"/>
      <c r="AX36" s="23"/>
      <c r="AY36" s="23"/>
      <c r="AZ36" s="23"/>
      <c r="BA36" s="23"/>
      <c r="BB36" s="23"/>
      <c r="BC36" s="23"/>
      <c r="BD36" s="23"/>
      <c r="BE36" s="23"/>
      <c r="BF36" s="23"/>
      <c r="BG36" s="23"/>
    </row>
    <row r="37" spans="1:59" ht="23.25">
      <c r="L37" s="441" t="s">
        <v>171</v>
      </c>
      <c r="M37" s="470">
        <f>$Z$6</f>
        <v>0</v>
      </c>
      <c r="N37" s="430">
        <f>$Z9</f>
        <v>2</v>
      </c>
      <c r="O37" s="430">
        <f>$Z7</f>
        <v>0</v>
      </c>
      <c r="P37" s="430">
        <f>$Z8</f>
        <v>0</v>
      </c>
      <c r="Q37" s="430">
        <f>Z15+Z16+Z17+Z18+Z19+Z21+Z22+Z23</f>
        <v>0</v>
      </c>
      <c r="R37" s="430">
        <f>$Z20</f>
        <v>0</v>
      </c>
      <c r="S37" s="446">
        <f t="shared" si="22"/>
        <v>2</v>
      </c>
      <c r="T37" s="686"/>
      <c r="U37" s="26"/>
      <c r="V37" s="441" t="s">
        <v>171</v>
      </c>
      <c r="W37" s="440">
        <f>AB$6</f>
        <v>0</v>
      </c>
      <c r="X37" s="430">
        <f>$AB9</f>
        <v>0</v>
      </c>
      <c r="Y37" s="430">
        <f>$AB7</f>
        <v>0</v>
      </c>
      <c r="Z37" s="430">
        <f>$AB8</f>
        <v>0</v>
      </c>
      <c r="AA37" s="430">
        <f>AB$15+AB$16+AB$17+AB$18+AB$19+AB$21+AB$22+AB$23</f>
        <v>0</v>
      </c>
      <c r="AB37" s="719">
        <f>$AB20</f>
        <v>0</v>
      </c>
      <c r="AC37" s="723">
        <f t="shared" si="23"/>
        <v>0</v>
      </c>
      <c r="AD37" s="587">
        <f>AC6+AC7+AC8+AC9+AC15+AC17+AC16+AC18+AC19+AC20+AC21+AC22+AC23</f>
        <v>0</v>
      </c>
      <c r="AE37" s="579">
        <f t="shared" si="24"/>
        <v>0</v>
      </c>
      <c r="AF37" s="26"/>
      <c r="AG37" s="26"/>
      <c r="AI37" s="26"/>
      <c r="AJ37" s="26"/>
      <c r="AK37" s="26"/>
      <c r="AL37" s="24"/>
      <c r="AN37" s="26"/>
      <c r="AP37" s="24"/>
      <c r="AT37" s="24"/>
      <c r="AX37" s="23"/>
      <c r="AY37" s="23"/>
      <c r="AZ37" s="23"/>
      <c r="BA37" s="23"/>
      <c r="BB37" s="23"/>
      <c r="BC37" s="23"/>
      <c r="BD37" s="23"/>
      <c r="BE37" s="23"/>
      <c r="BF37" s="23"/>
      <c r="BG37" s="23"/>
    </row>
    <row r="38" spans="1:59" ht="23.25">
      <c r="L38" s="441" t="s">
        <v>190</v>
      </c>
      <c r="M38" s="492">
        <f>$AD$6</f>
        <v>10</v>
      </c>
      <c r="N38" s="471">
        <f>$AD9</f>
        <v>0</v>
      </c>
      <c r="O38" s="471">
        <f>$AD7</f>
        <v>0</v>
      </c>
      <c r="P38" s="471">
        <f>$AD8</f>
        <v>0</v>
      </c>
      <c r="Q38" s="430">
        <f>AD15+AD16+AD17+AD18+AD19+AD21+AD22+AD23</f>
        <v>30</v>
      </c>
      <c r="R38" s="471">
        <f>$AD20</f>
        <v>0</v>
      </c>
      <c r="S38" s="446">
        <f t="shared" si="22"/>
        <v>40</v>
      </c>
      <c r="T38" s="686"/>
      <c r="U38" s="26"/>
      <c r="V38" s="441" t="s">
        <v>190</v>
      </c>
      <c r="W38" s="440">
        <f>AF$6</f>
        <v>0</v>
      </c>
      <c r="X38" s="430">
        <f>$AF9</f>
        <v>0</v>
      </c>
      <c r="Y38" s="430">
        <f>$AF7</f>
        <v>0</v>
      </c>
      <c r="Z38" s="430">
        <f>$AF8</f>
        <v>0</v>
      </c>
      <c r="AA38" s="430">
        <f>AF$15+AF$16+AF$17+AF$18+AF$19+AF$21+AF$22+AF$23</f>
        <v>0</v>
      </c>
      <c r="AB38" s="719">
        <f>$AF20</f>
        <v>0</v>
      </c>
      <c r="AC38" s="723">
        <f t="shared" si="23"/>
        <v>0</v>
      </c>
      <c r="AD38" s="587">
        <f>AG6+AG7+AG8+AG9+AG15+AG16+AG17+AG18+AG19+AG20+AG21+AG22+AG23</f>
        <v>0</v>
      </c>
      <c r="AE38" s="579">
        <f t="shared" si="24"/>
        <v>0</v>
      </c>
      <c r="AF38" s="26"/>
      <c r="AG38" s="26"/>
      <c r="AI38" s="26"/>
      <c r="AJ38" s="26"/>
      <c r="AK38" s="26"/>
      <c r="AL38" s="24"/>
      <c r="AN38" s="26"/>
      <c r="AP38" s="24"/>
      <c r="AT38" s="24"/>
      <c r="AX38" s="23"/>
      <c r="AY38" s="23"/>
      <c r="AZ38" s="23"/>
      <c r="BA38" s="23"/>
      <c r="BB38" s="23"/>
      <c r="BC38" s="23"/>
      <c r="BD38" s="23"/>
      <c r="BE38" s="23"/>
      <c r="BF38" s="23"/>
      <c r="BG38" s="23"/>
    </row>
    <row r="39" spans="1:59" ht="23.25">
      <c r="L39" s="441" t="s">
        <v>185</v>
      </c>
      <c r="M39" s="470">
        <f>$AL$6</f>
        <v>0</v>
      </c>
      <c r="N39" s="430">
        <f>$AL9</f>
        <v>0</v>
      </c>
      <c r="O39" s="430">
        <f>$AL7</f>
        <v>0</v>
      </c>
      <c r="P39" s="430">
        <f>$AL8</f>
        <v>6</v>
      </c>
      <c r="Q39" s="430">
        <f>AL15+AL16+AL17+AL18+AL19+AL21+AL22+AL23</f>
        <v>0</v>
      </c>
      <c r="R39" s="430">
        <f>$AL20</f>
        <v>0</v>
      </c>
      <c r="S39" s="446">
        <f t="shared" si="22"/>
        <v>6</v>
      </c>
      <c r="T39" s="686"/>
      <c r="U39" s="26"/>
      <c r="V39" s="441" t="s">
        <v>185</v>
      </c>
      <c r="W39" s="469">
        <f>AN$6</f>
        <v>0</v>
      </c>
      <c r="X39" s="430">
        <f>$AN9</f>
        <v>0</v>
      </c>
      <c r="Y39" s="430">
        <f>$AN7</f>
        <v>0</v>
      </c>
      <c r="Z39" s="430">
        <f>$AN8</f>
        <v>0</v>
      </c>
      <c r="AA39" s="430">
        <f>AN$15+AN$16+AN$17+AN$18+AN$19+AN$21+AN$22+AN$23</f>
        <v>0</v>
      </c>
      <c r="AB39" s="719">
        <f>$AN20</f>
        <v>0</v>
      </c>
      <c r="AC39" s="723">
        <f t="shared" si="23"/>
        <v>0</v>
      </c>
      <c r="AD39" s="587">
        <f>AO6+AO7+AO8+AO9+AO15+AO16+AO17+AO18+AO19+AO20+AO21+AO22+AO23</f>
        <v>20</v>
      </c>
      <c r="AE39" s="579">
        <f t="shared" si="24"/>
        <v>20</v>
      </c>
      <c r="AF39" s="23"/>
      <c r="AG39" s="26"/>
      <c r="AI39" s="26"/>
      <c r="AJ39" s="26"/>
      <c r="AK39" s="26"/>
      <c r="AL39" s="24"/>
      <c r="AN39" s="26"/>
      <c r="AP39" s="24"/>
      <c r="AT39" s="24"/>
      <c r="AX39" s="23"/>
      <c r="AY39" s="23"/>
      <c r="AZ39" s="23"/>
      <c r="BA39" s="23"/>
      <c r="BB39" s="23"/>
      <c r="BC39" s="23"/>
      <c r="BD39" s="23"/>
      <c r="BE39" s="23"/>
      <c r="BF39" s="23"/>
      <c r="BG39" s="23"/>
    </row>
    <row r="40" spans="1:59" ht="23.25">
      <c r="L40" s="441" t="s">
        <v>202</v>
      </c>
      <c r="M40" s="470">
        <f>$AP$6</f>
        <v>0</v>
      </c>
      <c r="N40" s="430">
        <f>$AP9</f>
        <v>1</v>
      </c>
      <c r="O40" s="430">
        <f>$AP7</f>
        <v>0</v>
      </c>
      <c r="P40" s="430">
        <f>$AP8</f>
        <v>0</v>
      </c>
      <c r="Q40" s="430">
        <f>AP15+AP16+AP17+AP18+AP19+AP21+AP22+AP23</f>
        <v>0</v>
      </c>
      <c r="R40" s="430">
        <f>$AP20</f>
        <v>15</v>
      </c>
      <c r="S40" s="446">
        <f t="shared" si="22"/>
        <v>16</v>
      </c>
      <c r="T40" s="686"/>
      <c r="U40" s="26"/>
      <c r="V40" s="441" t="s">
        <v>202</v>
      </c>
      <c r="W40" s="440">
        <f>AR$6</f>
        <v>0</v>
      </c>
      <c r="X40" s="430">
        <f>$AR9</f>
        <v>1</v>
      </c>
      <c r="Y40" s="430">
        <f>$AR7</f>
        <v>0</v>
      </c>
      <c r="Z40" s="430">
        <f>$AR8</f>
        <v>0</v>
      </c>
      <c r="AA40" s="430">
        <f>AR$15+AR$16+AR$17+AR$18+AR$19+AR$21+AR$22+AR$23</f>
        <v>0</v>
      </c>
      <c r="AB40" s="719">
        <f>$AR20</f>
        <v>0</v>
      </c>
      <c r="AC40" s="723">
        <f t="shared" si="23"/>
        <v>1</v>
      </c>
      <c r="AD40" s="587">
        <f>AS6+AS7+AS8+AS9+AS15+AS16+AS17+AS18+AS19+AS20+AS21+AS22+AS23</f>
        <v>0</v>
      </c>
      <c r="AE40" s="579">
        <f t="shared" si="24"/>
        <v>1</v>
      </c>
      <c r="AF40" s="28"/>
      <c r="AG40" s="26"/>
      <c r="AI40" s="26"/>
      <c r="AJ40" s="26"/>
      <c r="AK40" s="26"/>
      <c r="AL40" s="24"/>
      <c r="AN40" s="26"/>
      <c r="AP40" s="24"/>
      <c r="AS40" s="23"/>
      <c r="AT40" s="24"/>
      <c r="AX40" s="23"/>
      <c r="AY40" s="23"/>
      <c r="AZ40" s="23"/>
      <c r="BA40" s="23"/>
      <c r="BB40" s="23"/>
      <c r="BC40" s="23"/>
      <c r="BD40" s="23"/>
      <c r="BE40" s="23"/>
      <c r="BF40" s="23"/>
      <c r="BG40" s="23"/>
    </row>
    <row r="41" spans="1:59" ht="23.25">
      <c r="L41" s="441" t="s">
        <v>186</v>
      </c>
      <c r="M41" s="470">
        <f>$AT$6</f>
        <v>20</v>
      </c>
      <c r="N41" s="430">
        <f>$AT9</f>
        <v>0</v>
      </c>
      <c r="O41" s="430">
        <f>$AT7</f>
        <v>0</v>
      </c>
      <c r="P41" s="430">
        <f>$AT8</f>
        <v>0</v>
      </c>
      <c r="Q41" s="430">
        <f>AT15+AT16+AT17+AT18+AT19+AT21+AT22+AT23</f>
        <v>40</v>
      </c>
      <c r="R41" s="430">
        <f>$AT20</f>
        <v>0</v>
      </c>
      <c r="S41" s="446">
        <f t="shared" si="22"/>
        <v>60</v>
      </c>
      <c r="T41" s="686"/>
      <c r="U41" s="26"/>
      <c r="V41" s="441" t="s">
        <v>186</v>
      </c>
      <c r="W41" s="440">
        <f>AV$6</f>
        <v>2</v>
      </c>
      <c r="X41" s="430">
        <f>$AV9</f>
        <v>3</v>
      </c>
      <c r="Y41" s="430">
        <f>$AV7</f>
        <v>0</v>
      </c>
      <c r="Z41" s="430">
        <f>$AV8</f>
        <v>8.5</v>
      </c>
      <c r="AA41" s="430">
        <f>AV$15+AV$16+AV$17+AV$18+AV$19+AV$21+AV$22+AV$23</f>
        <v>0</v>
      </c>
      <c r="AB41" s="719">
        <f>$AV20</f>
        <v>0</v>
      </c>
      <c r="AC41" s="723">
        <f t="shared" si="23"/>
        <v>13.5</v>
      </c>
      <c r="AD41" s="587">
        <f>AW6+AW7+AW8+AW9+AW15+AW16+AW17+AW18+AW20+AW19+AW21+AW22+AW23</f>
        <v>0</v>
      </c>
      <c r="AE41" s="579">
        <f t="shared" si="24"/>
        <v>13.5</v>
      </c>
      <c r="AH41" s="24"/>
      <c r="AJ41" s="25"/>
      <c r="AL41" s="24"/>
      <c r="AN41" s="25"/>
      <c r="AP41" s="24"/>
      <c r="AR41" s="25"/>
      <c r="AT41" s="24"/>
      <c r="AX41" s="23"/>
      <c r="AY41" s="23"/>
      <c r="AZ41" s="23"/>
      <c r="BA41" s="23"/>
      <c r="BB41" s="23"/>
      <c r="BC41" s="23"/>
      <c r="BD41" s="23"/>
      <c r="BE41" s="23"/>
      <c r="BF41" s="23"/>
      <c r="BG41" s="23"/>
    </row>
    <row r="42" spans="1:59" ht="23.25">
      <c r="L42" s="441" t="s">
        <v>203</v>
      </c>
      <c r="M42" s="470">
        <f>$AX$6</f>
        <v>0</v>
      </c>
      <c r="N42" s="430">
        <f>$AX9</f>
        <v>0</v>
      </c>
      <c r="O42" s="430">
        <f>$AX7</f>
        <v>0</v>
      </c>
      <c r="P42" s="430">
        <f>$AX8</f>
        <v>17</v>
      </c>
      <c r="Q42" s="430">
        <f>AX15+AX16+AX17+AX18+AX19+AX21+AX22+AX23</f>
        <v>0</v>
      </c>
      <c r="R42" s="430">
        <f>$AX20</f>
        <v>0</v>
      </c>
      <c r="S42" s="446">
        <f t="shared" si="22"/>
        <v>17</v>
      </c>
      <c r="T42" s="686"/>
      <c r="U42" s="26"/>
      <c r="V42" s="441" t="s">
        <v>203</v>
      </c>
      <c r="W42" s="440">
        <f>AZ$6</f>
        <v>4</v>
      </c>
      <c r="X42" s="430">
        <f>$AZ9</f>
        <v>0</v>
      </c>
      <c r="Y42" s="430">
        <f>$AZ7</f>
        <v>0</v>
      </c>
      <c r="Z42" s="430">
        <f>$AZ8</f>
        <v>2</v>
      </c>
      <c r="AA42" s="430">
        <f>AZ$15+AZ$16+AZ$17+AZ$18+AZ$19+AZ$21+AZ$22+AZ$23</f>
        <v>0</v>
      </c>
      <c r="AB42" s="719">
        <f>$AZ20</f>
        <v>0</v>
      </c>
      <c r="AC42" s="723">
        <f t="shared" si="23"/>
        <v>6</v>
      </c>
      <c r="AD42" s="587">
        <f>BA6+BA7+BA8+BA9+BA15+BA16+BA17+BA18+BA19+BA20+BA21+BA22+BA23</f>
        <v>0</v>
      </c>
      <c r="AE42" s="579">
        <f t="shared" si="24"/>
        <v>6</v>
      </c>
      <c r="AH42" s="24">
        <f>125-31</f>
        <v>94</v>
      </c>
      <c r="AJ42" s="25"/>
      <c r="AL42" s="24"/>
      <c r="AN42" s="25"/>
      <c r="AP42" s="24"/>
      <c r="AR42" s="25"/>
      <c r="AT42" s="24"/>
      <c r="AV42" s="25"/>
      <c r="AX42" s="23"/>
      <c r="AY42" s="23"/>
      <c r="AZ42" s="23"/>
      <c r="BA42" s="23"/>
      <c r="BB42" s="23"/>
      <c r="BC42" s="23"/>
      <c r="BD42" s="23"/>
      <c r="BE42" s="23"/>
      <c r="BF42" s="23"/>
      <c r="BG42" s="23"/>
    </row>
    <row r="43" spans="1:59" ht="24" thickBot="1">
      <c r="L43" s="442" t="s">
        <v>191</v>
      </c>
      <c r="M43" s="443">
        <f t="shared" ref="M43" si="25">SUM(M33:M42)</f>
        <v>108</v>
      </c>
      <c r="N43" s="444">
        <f>SUM(N33:N42)</f>
        <v>10</v>
      </c>
      <c r="O43" s="443">
        <f t="shared" ref="O43" si="26">SUM(O33:O42)</f>
        <v>0</v>
      </c>
      <c r="P43" s="444">
        <f>SUM(P33:P42)</f>
        <v>38</v>
      </c>
      <c r="Q43" s="444">
        <f>SUM(Q33:Q42)</f>
        <v>96</v>
      </c>
      <c r="R43" s="445">
        <f>SUM(R33:R42)</f>
        <v>27</v>
      </c>
      <c r="S43" s="451">
        <f>SUM(S33:S42)</f>
        <v>279</v>
      </c>
      <c r="T43" s="687"/>
      <c r="U43" s="26"/>
      <c r="V43" s="442" t="s">
        <v>191</v>
      </c>
      <c r="W43" s="443">
        <f t="shared" ref="W43:Y43" si="27">SUM(W33:W42)</f>
        <v>60.16</v>
      </c>
      <c r="X43" s="444">
        <f>SUM(X33:X42)</f>
        <v>7.7</v>
      </c>
      <c r="Y43" s="443">
        <f t="shared" si="27"/>
        <v>0</v>
      </c>
      <c r="Z43" s="444">
        <f>SUM(Z33:Z42)</f>
        <v>10.5</v>
      </c>
      <c r="AA43" s="444">
        <f>SUM(AA33:AA42)</f>
        <v>0</v>
      </c>
      <c r="AB43" s="720">
        <f>SUM(AB33:AB42)</f>
        <v>0</v>
      </c>
      <c r="AC43" s="724">
        <f>SUM(AC33:AC42)</f>
        <v>78.36</v>
      </c>
      <c r="AD43" s="725">
        <f>SUM(AD33:AD42)</f>
        <v>85.4</v>
      </c>
      <c r="AE43" s="579">
        <f t="shared" si="24"/>
        <v>163.76</v>
      </c>
      <c r="AH43" s="24">
        <f>200-37</f>
        <v>163</v>
      </c>
      <c r="AJ43" s="25"/>
      <c r="AL43" s="24"/>
      <c r="AN43" s="25"/>
      <c r="AP43" s="24"/>
      <c r="AR43" s="25"/>
      <c r="AT43" s="24"/>
      <c r="AV43" s="25"/>
      <c r="AX43" s="23"/>
      <c r="AY43" s="23"/>
      <c r="AZ43" s="23"/>
      <c r="BA43" s="23"/>
      <c r="BB43" s="23"/>
      <c r="BC43" s="23"/>
      <c r="BD43" s="23"/>
      <c r="BE43" s="23"/>
      <c r="BF43" s="23"/>
      <c r="BG43" s="23"/>
    </row>
    <row r="44" spans="1:59" ht="15" customHeight="1" thickBot="1">
      <c r="L44" s="26"/>
      <c r="M44" s="26"/>
      <c r="N44" s="24"/>
      <c r="P44" s="26"/>
      <c r="Q44" s="26"/>
      <c r="R44" s="24"/>
      <c r="T44" s="26"/>
      <c r="U44" s="26"/>
      <c r="V44" s="24"/>
      <c r="Z44" s="24"/>
      <c r="AD44" s="24"/>
      <c r="AE44" s="26"/>
      <c r="AF44" s="466"/>
      <c r="AG44" s="466"/>
      <c r="AH44" s="466"/>
      <c r="AI44" s="467"/>
      <c r="AL44" s="24"/>
      <c r="AM44" s="25"/>
      <c r="AP44" s="24"/>
      <c r="AQ44" s="25"/>
      <c r="AT44" s="24"/>
      <c r="AU44" s="25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</row>
    <row r="45" spans="1:59" ht="30" customHeight="1" thickBot="1">
      <c r="L45" s="1929" t="str">
        <f>L31</f>
        <v>Mode wise Collection Plan-27-01-2022</v>
      </c>
      <c r="M45" s="1930"/>
      <c r="N45" s="1930"/>
      <c r="O45" s="1930"/>
      <c r="P45" s="1930"/>
      <c r="Q45" s="1930"/>
      <c r="R45" s="1930"/>
      <c r="S45" s="1930"/>
      <c r="T45" s="1931"/>
      <c r="U45" s="26"/>
      <c r="V45" s="1923" t="s">
        <v>279</v>
      </c>
      <c r="W45" s="1937"/>
      <c r="X45" s="1937"/>
      <c r="Y45" s="1937"/>
      <c r="Z45" s="1937"/>
      <c r="AA45" s="1937"/>
      <c r="AB45" s="1937"/>
      <c r="AC45" s="1937"/>
      <c r="AD45" s="1937"/>
      <c r="AE45" s="1938"/>
      <c r="AF45" s="466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</row>
    <row r="46" spans="1:59" s="28" customFormat="1" ht="31.5">
      <c r="D46" s="29"/>
      <c r="E46" s="29"/>
      <c r="F46" s="29"/>
      <c r="I46" s="29"/>
      <c r="J46" s="1011" t="s">
        <v>270</v>
      </c>
      <c r="K46" s="1011" t="s">
        <v>196</v>
      </c>
      <c r="L46" s="450" t="s">
        <v>0</v>
      </c>
      <c r="M46" s="439" t="s">
        <v>200</v>
      </c>
      <c r="N46" s="454" t="s">
        <v>205</v>
      </c>
      <c r="O46" s="439" t="s">
        <v>31</v>
      </c>
      <c r="P46" s="448" t="s">
        <v>201</v>
      </c>
      <c r="Q46" s="455" t="s">
        <v>206</v>
      </c>
      <c r="R46" s="436" t="s">
        <v>22</v>
      </c>
      <c r="S46" s="438" t="s">
        <v>191</v>
      </c>
      <c r="T46" s="438" t="s">
        <v>244</v>
      </c>
      <c r="U46" s="26"/>
      <c r="V46" s="596" t="s">
        <v>0</v>
      </c>
      <c r="W46" s="436" t="s">
        <v>200</v>
      </c>
      <c r="X46" s="454" t="s">
        <v>205</v>
      </c>
      <c r="Y46" s="436" t="s">
        <v>31</v>
      </c>
      <c r="Z46" s="448" t="s">
        <v>201</v>
      </c>
      <c r="AA46" s="453" t="s">
        <v>206</v>
      </c>
      <c r="AB46" s="453" t="s">
        <v>210</v>
      </c>
      <c r="AC46" s="436" t="s">
        <v>22</v>
      </c>
      <c r="AD46" s="437" t="s">
        <v>191</v>
      </c>
      <c r="AE46" s="438" t="s">
        <v>244</v>
      </c>
      <c r="AF46" s="952" t="s">
        <v>32</v>
      </c>
      <c r="AG46" s="1022" t="s">
        <v>25</v>
      </c>
      <c r="AH46" s="1022" t="s">
        <v>23</v>
      </c>
      <c r="AI46" s="1022" t="s">
        <v>271</v>
      </c>
      <c r="AJ46" s="23"/>
      <c r="AK46" s="23"/>
      <c r="AL46" s="23"/>
      <c r="AM46" s="23"/>
      <c r="AN46" s="23"/>
      <c r="AO46" s="23"/>
      <c r="AP46" s="23"/>
      <c r="AQ46" s="23"/>
      <c r="AR46" s="23"/>
    </row>
    <row r="47" spans="1:59" ht="26.25" customHeight="1">
      <c r="J47" s="441"/>
      <c r="K47" s="441"/>
      <c r="L47" s="441" t="s">
        <v>189</v>
      </c>
      <c r="M47" s="470">
        <v>61</v>
      </c>
      <c r="N47" s="430">
        <v>0</v>
      </c>
      <c r="O47" s="430">
        <v>0</v>
      </c>
      <c r="P47" s="430">
        <v>15</v>
      </c>
      <c r="Q47" s="430">
        <v>0</v>
      </c>
      <c r="R47" s="430">
        <v>0</v>
      </c>
      <c r="S47" s="446">
        <f t="shared" ref="S47:S56" si="28">SUM(M47:R47)</f>
        <v>76</v>
      </c>
      <c r="T47" s="446">
        <v>40</v>
      </c>
      <c r="U47" s="26"/>
      <c r="V47" s="586" t="s">
        <v>189</v>
      </c>
      <c r="W47" s="430"/>
      <c r="X47" s="430"/>
      <c r="Y47" s="430"/>
      <c r="Z47" s="430"/>
      <c r="AA47" s="430"/>
      <c r="AB47" s="655"/>
      <c r="AC47" s="430"/>
      <c r="AD47" s="568">
        <f t="shared" ref="AD47:AD56" si="29">SUM(W47:AC47)</f>
        <v>0</v>
      </c>
      <c r="AE47" s="587">
        <f>L27+L28+L29</f>
        <v>42</v>
      </c>
      <c r="AF47" s="953"/>
      <c r="AG47" s="1017"/>
      <c r="AH47" s="1017"/>
      <c r="AI47" s="1017"/>
      <c r="AJ47" s="28"/>
      <c r="AK47" s="28"/>
      <c r="AL47" s="28"/>
      <c r="AM47" s="28"/>
      <c r="AN47" s="28"/>
      <c r="AO47" s="28"/>
      <c r="AP47" s="28"/>
      <c r="AQ47" s="28"/>
      <c r="AR47" s="28"/>
      <c r="AT47" s="24"/>
      <c r="AU47" s="25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</row>
    <row r="48" spans="1:59" ht="26.25" customHeight="1">
      <c r="J48" s="441"/>
      <c r="K48" s="441"/>
      <c r="L48" s="441" t="s">
        <v>183</v>
      </c>
      <c r="M48" s="470">
        <v>12</v>
      </c>
      <c r="N48" s="430">
        <v>0</v>
      </c>
      <c r="O48" s="430">
        <v>0</v>
      </c>
      <c r="P48" s="430">
        <v>0</v>
      </c>
      <c r="Q48" s="430">
        <v>18</v>
      </c>
      <c r="R48" s="430">
        <v>0</v>
      </c>
      <c r="S48" s="446">
        <f t="shared" si="28"/>
        <v>30</v>
      </c>
      <c r="T48" s="446">
        <v>17</v>
      </c>
      <c r="U48" s="466"/>
      <c r="V48" s="586" t="s">
        <v>183</v>
      </c>
      <c r="W48" s="430">
        <v>2.75</v>
      </c>
      <c r="X48" s="430"/>
      <c r="Y48" s="430"/>
      <c r="Z48" s="430"/>
      <c r="AA48" s="430"/>
      <c r="AB48" s="655"/>
      <c r="AC48" s="430"/>
      <c r="AD48" s="568">
        <f t="shared" si="29"/>
        <v>2.75</v>
      </c>
      <c r="AE48" s="587">
        <f>P27+P28+P29</f>
        <v>17.399999999999999</v>
      </c>
      <c r="AF48" s="953"/>
      <c r="AG48" s="951"/>
      <c r="AH48" s="951"/>
      <c r="AI48" s="655"/>
      <c r="AL48" s="24"/>
      <c r="AM48" s="25"/>
      <c r="AP48" s="24"/>
      <c r="AQ48" s="25"/>
      <c r="AT48" s="24"/>
      <c r="AU48" s="25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</row>
    <row r="49" spans="4:59" ht="26.25" customHeight="1">
      <c r="J49" s="441"/>
      <c r="K49" s="441"/>
      <c r="L49" s="441" t="s">
        <v>184</v>
      </c>
      <c r="M49" s="470">
        <v>5</v>
      </c>
      <c r="N49" s="430">
        <v>2</v>
      </c>
      <c r="O49" s="430">
        <v>0</v>
      </c>
      <c r="P49" s="430">
        <v>0</v>
      </c>
      <c r="Q49" s="430">
        <v>8</v>
      </c>
      <c r="R49" s="430">
        <v>0</v>
      </c>
      <c r="S49" s="446">
        <f t="shared" si="28"/>
        <v>15</v>
      </c>
      <c r="T49" s="446">
        <v>5</v>
      </c>
      <c r="U49" s="466"/>
      <c r="V49" s="586" t="s">
        <v>184</v>
      </c>
      <c r="W49" s="430">
        <v>2</v>
      </c>
      <c r="X49" s="430"/>
      <c r="Y49" s="430"/>
      <c r="Z49" s="430"/>
      <c r="AA49" s="430"/>
      <c r="AB49" s="655"/>
      <c r="AC49" s="430"/>
      <c r="AD49" s="568">
        <f t="shared" si="29"/>
        <v>2</v>
      </c>
      <c r="AE49" s="587">
        <f>T27+T28+T29</f>
        <v>0</v>
      </c>
      <c r="AF49" s="953"/>
      <c r="AG49" s="951"/>
      <c r="AH49" s="951"/>
      <c r="AI49" s="655"/>
      <c r="AL49" s="24"/>
      <c r="AM49" s="25"/>
      <c r="AP49" s="24"/>
      <c r="AQ49" s="25"/>
      <c r="AT49" s="24"/>
      <c r="AU49" s="25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</row>
    <row r="50" spans="4:59" ht="26.25" customHeight="1">
      <c r="J50" s="441"/>
      <c r="K50" s="441"/>
      <c r="L50" s="441" t="s">
        <v>170</v>
      </c>
      <c r="M50" s="470">
        <v>0</v>
      </c>
      <c r="N50" s="430">
        <v>5</v>
      </c>
      <c r="O50" s="430">
        <v>0</v>
      </c>
      <c r="P50" s="430">
        <v>0</v>
      </c>
      <c r="Q50" s="430">
        <v>0</v>
      </c>
      <c r="R50" s="430">
        <v>12</v>
      </c>
      <c r="S50" s="446">
        <f t="shared" si="28"/>
        <v>17</v>
      </c>
      <c r="T50" s="446">
        <v>6</v>
      </c>
      <c r="U50" s="466"/>
      <c r="V50" s="586" t="s">
        <v>170</v>
      </c>
      <c r="W50" s="430"/>
      <c r="X50" s="430"/>
      <c r="Y50" s="430"/>
      <c r="Z50" s="430"/>
      <c r="AA50" s="430"/>
      <c r="AB50" s="655"/>
      <c r="AC50" s="430"/>
      <c r="AD50" s="568">
        <f t="shared" si="29"/>
        <v>0</v>
      </c>
      <c r="AE50" s="587">
        <f>X27+X28+X29</f>
        <v>6</v>
      </c>
      <c r="AF50" s="953"/>
      <c r="AG50" s="951"/>
      <c r="AH50" s="951"/>
      <c r="AI50" s="655"/>
      <c r="AL50" s="24"/>
      <c r="AM50" s="25"/>
      <c r="AP50" s="24"/>
      <c r="AQ50" s="25"/>
      <c r="AT50" s="24"/>
      <c r="AU50" s="25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</row>
    <row r="51" spans="4:59" ht="26.25" customHeight="1">
      <c r="J51" s="441"/>
      <c r="K51" s="441"/>
      <c r="L51" s="441" t="s">
        <v>171</v>
      </c>
      <c r="M51" s="470">
        <v>0</v>
      </c>
      <c r="N51" s="430">
        <v>2</v>
      </c>
      <c r="O51" s="430">
        <v>0</v>
      </c>
      <c r="P51" s="430">
        <v>0</v>
      </c>
      <c r="Q51" s="430">
        <v>0</v>
      </c>
      <c r="R51" s="430">
        <v>0</v>
      </c>
      <c r="S51" s="446">
        <f t="shared" si="28"/>
        <v>2</v>
      </c>
      <c r="T51" s="446"/>
      <c r="U51" s="466"/>
      <c r="V51" s="586" t="s">
        <v>171</v>
      </c>
      <c r="W51" s="430">
        <v>5</v>
      </c>
      <c r="X51" s="430"/>
      <c r="Y51" s="430"/>
      <c r="Z51" s="430"/>
      <c r="AA51" s="430"/>
      <c r="AB51" s="655"/>
      <c r="AC51" s="430"/>
      <c r="AD51" s="568">
        <f t="shared" si="29"/>
        <v>5</v>
      </c>
      <c r="AE51" s="587">
        <f>AB27+AB28+AB29</f>
        <v>0</v>
      </c>
      <c r="AF51" s="953"/>
      <c r="AG51" s="951"/>
      <c r="AH51" s="951"/>
      <c r="AI51" s="655"/>
      <c r="AL51" s="24"/>
      <c r="AM51" s="25"/>
      <c r="AP51" s="24"/>
      <c r="AQ51" s="25"/>
      <c r="AT51" s="24"/>
      <c r="AU51" s="25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</row>
    <row r="52" spans="4:59" ht="26.25" customHeight="1">
      <c r="J52" s="441"/>
      <c r="K52" s="441"/>
      <c r="L52" s="441" t="s">
        <v>190</v>
      </c>
      <c r="M52" s="492">
        <v>10</v>
      </c>
      <c r="N52" s="471">
        <v>0</v>
      </c>
      <c r="O52" s="471">
        <v>0</v>
      </c>
      <c r="P52" s="471">
        <v>0</v>
      </c>
      <c r="Q52" s="430">
        <v>30</v>
      </c>
      <c r="R52" s="471">
        <v>0</v>
      </c>
      <c r="S52" s="446">
        <f t="shared" si="28"/>
        <v>40</v>
      </c>
      <c r="T52" s="446"/>
      <c r="U52" s="466"/>
      <c r="V52" s="586" t="s">
        <v>190</v>
      </c>
      <c r="W52" s="430"/>
      <c r="X52" s="430"/>
      <c r="Y52" s="430"/>
      <c r="Z52" s="430">
        <v>9.31</v>
      </c>
      <c r="AA52" s="430"/>
      <c r="AB52" s="655"/>
      <c r="AC52" s="430"/>
      <c r="AD52" s="568">
        <f t="shared" si="29"/>
        <v>9.31</v>
      </c>
      <c r="AE52" s="587">
        <f>AF27+AF28+AF29</f>
        <v>0</v>
      </c>
      <c r="AF52" s="954"/>
      <c r="AG52" s="951"/>
      <c r="AH52" s="951"/>
      <c r="AI52" s="655"/>
      <c r="AL52" s="24"/>
      <c r="AM52" s="25"/>
      <c r="AP52" s="24"/>
      <c r="AQ52" s="25"/>
      <c r="AT52" s="24"/>
      <c r="AU52" s="25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</row>
    <row r="53" spans="4:59" ht="26.25" customHeight="1">
      <c r="J53" s="441"/>
      <c r="K53" s="441"/>
      <c r="L53" s="441" t="s">
        <v>185</v>
      </c>
      <c r="M53" s="470">
        <v>0</v>
      </c>
      <c r="N53" s="430">
        <v>0</v>
      </c>
      <c r="O53" s="430">
        <v>0</v>
      </c>
      <c r="P53" s="430">
        <v>6</v>
      </c>
      <c r="Q53" s="430">
        <v>0</v>
      </c>
      <c r="R53" s="430">
        <v>0</v>
      </c>
      <c r="S53" s="446">
        <f t="shared" si="28"/>
        <v>6</v>
      </c>
      <c r="T53" s="446"/>
      <c r="U53" s="466"/>
      <c r="V53" s="586" t="s">
        <v>185</v>
      </c>
      <c r="W53" s="430">
        <v>29</v>
      </c>
      <c r="X53" s="430"/>
      <c r="Y53" s="430"/>
      <c r="Z53" s="430"/>
      <c r="AA53" s="430"/>
      <c r="AB53" s="655"/>
      <c r="AC53" s="430"/>
      <c r="AD53" s="568">
        <f t="shared" si="29"/>
        <v>29</v>
      </c>
      <c r="AE53" s="587">
        <f>AN27+AN28+AN29</f>
        <v>20</v>
      </c>
      <c r="AF53" s="954"/>
      <c r="AG53" s="951"/>
      <c r="AH53" s="951"/>
      <c r="AI53" s="655"/>
      <c r="AL53" s="24"/>
      <c r="AM53" s="25"/>
      <c r="AP53" s="24"/>
      <c r="AQ53" s="25"/>
      <c r="AT53" s="24"/>
      <c r="AU53" s="25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</row>
    <row r="54" spans="4:59" ht="26.25" customHeight="1">
      <c r="J54" s="441"/>
      <c r="K54" s="441"/>
      <c r="L54" s="441" t="s">
        <v>202</v>
      </c>
      <c r="M54" s="470">
        <v>0</v>
      </c>
      <c r="N54" s="430">
        <v>1</v>
      </c>
      <c r="O54" s="430">
        <v>0</v>
      </c>
      <c r="P54" s="430">
        <v>0</v>
      </c>
      <c r="Q54" s="430">
        <v>0</v>
      </c>
      <c r="R54" s="430">
        <v>15</v>
      </c>
      <c r="S54" s="446">
        <f t="shared" si="28"/>
        <v>16</v>
      </c>
      <c r="T54" s="446"/>
      <c r="U54" s="466"/>
      <c r="V54" s="586" t="s">
        <v>202</v>
      </c>
      <c r="W54" s="430"/>
      <c r="X54" s="430"/>
      <c r="Y54" s="430"/>
      <c r="Z54" s="430"/>
      <c r="AA54" s="430"/>
      <c r="AB54" s="655"/>
      <c r="AC54" s="430"/>
      <c r="AD54" s="568">
        <f t="shared" si="29"/>
        <v>0</v>
      </c>
      <c r="AE54" s="587">
        <f>AR27+AR28+AR29</f>
        <v>0</v>
      </c>
      <c r="AF54" s="952"/>
      <c r="AG54" s="951"/>
      <c r="AH54" s="951"/>
      <c r="AI54" s="655"/>
      <c r="AL54" s="24"/>
      <c r="AM54" s="25"/>
      <c r="AP54" s="24"/>
      <c r="AQ54" s="25"/>
      <c r="AT54" s="24"/>
      <c r="AU54" s="25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</row>
    <row r="55" spans="4:59" ht="26.25" customHeight="1">
      <c r="J55" s="441"/>
      <c r="K55" s="441"/>
      <c r="L55" s="441" t="s">
        <v>186</v>
      </c>
      <c r="M55" s="470">
        <v>20</v>
      </c>
      <c r="N55" s="430">
        <v>0</v>
      </c>
      <c r="O55" s="430">
        <v>0</v>
      </c>
      <c r="P55" s="430">
        <v>0</v>
      </c>
      <c r="Q55" s="430">
        <v>40</v>
      </c>
      <c r="R55" s="430">
        <v>0</v>
      </c>
      <c r="S55" s="446">
        <f t="shared" si="28"/>
        <v>60</v>
      </c>
      <c r="T55" s="446"/>
      <c r="U55" s="466"/>
      <c r="V55" s="586" t="s">
        <v>186</v>
      </c>
      <c r="W55" s="430">
        <v>38.94</v>
      </c>
      <c r="X55" s="430"/>
      <c r="Y55" s="430"/>
      <c r="Z55" s="430"/>
      <c r="AA55" s="430"/>
      <c r="AB55" s="655"/>
      <c r="AC55" s="430"/>
      <c r="AD55" s="568">
        <f t="shared" si="29"/>
        <v>38.94</v>
      </c>
      <c r="AE55" s="587">
        <f>AV27+AV28+AV29</f>
        <v>0</v>
      </c>
      <c r="AF55" s="952"/>
      <c r="AG55" s="951"/>
      <c r="AH55" s="951"/>
      <c r="AI55" s="655"/>
      <c r="AL55" s="24"/>
      <c r="AM55" s="25"/>
      <c r="AP55" s="24"/>
      <c r="AQ55" s="25"/>
      <c r="AT55" s="24"/>
      <c r="AU55" s="25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</row>
    <row r="56" spans="4:59" ht="26.25" customHeight="1">
      <c r="J56" s="441"/>
      <c r="K56" s="441"/>
      <c r="L56" s="441" t="s">
        <v>203</v>
      </c>
      <c r="M56" s="470">
        <v>0</v>
      </c>
      <c r="N56" s="430">
        <v>0</v>
      </c>
      <c r="O56" s="430">
        <v>0</v>
      </c>
      <c r="P56" s="430">
        <v>17</v>
      </c>
      <c r="Q56" s="430">
        <v>0</v>
      </c>
      <c r="R56" s="430">
        <v>0</v>
      </c>
      <c r="S56" s="446">
        <f t="shared" si="28"/>
        <v>17</v>
      </c>
      <c r="T56" s="446"/>
      <c r="U56" s="466"/>
      <c r="V56" s="586" t="s">
        <v>203</v>
      </c>
      <c r="W56" s="430"/>
      <c r="X56" s="430"/>
      <c r="Y56" s="430"/>
      <c r="Z56" s="430"/>
      <c r="AA56" s="430"/>
      <c r="AB56" s="655"/>
      <c r="AC56" s="430"/>
      <c r="AD56" s="568">
        <f t="shared" si="29"/>
        <v>0</v>
      </c>
      <c r="AE56" s="587">
        <f>AZ27+AZ28+AZ29</f>
        <v>0</v>
      </c>
      <c r="AF56" s="952"/>
      <c r="AG56" s="951"/>
      <c r="AH56" s="951"/>
      <c r="AI56" s="655"/>
      <c r="AL56" s="24"/>
      <c r="AM56" s="25"/>
      <c r="AP56" s="24"/>
      <c r="AQ56" s="25"/>
      <c r="AT56" s="24"/>
      <c r="AU56" s="25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</row>
    <row r="57" spans="4:59" ht="29.25" customHeight="1" thickBot="1">
      <c r="J57" s="442">
        <f t="shared" ref="J57:K57" si="30">SUM(J47:J56)</f>
        <v>0</v>
      </c>
      <c r="K57" s="442">
        <f t="shared" si="30"/>
        <v>0</v>
      </c>
      <c r="L57" s="442" t="s">
        <v>191</v>
      </c>
      <c r="M57" s="443">
        <f t="shared" ref="M57" si="31">SUM(M47:M56)</f>
        <v>108</v>
      </c>
      <c r="N57" s="444">
        <f>SUM(N47:N56)</f>
        <v>10</v>
      </c>
      <c r="O57" s="443">
        <f t="shared" ref="O57" si="32">SUM(O47:O56)</f>
        <v>0</v>
      </c>
      <c r="P57" s="444">
        <f>SUM(P47:P56)</f>
        <v>38</v>
      </c>
      <c r="Q57" s="444">
        <f>SUM(Q47:Q56)</f>
        <v>96</v>
      </c>
      <c r="R57" s="445">
        <f>SUM(R47:R56)</f>
        <v>27</v>
      </c>
      <c r="S57" s="451">
        <f>SUM(S47:S56)</f>
        <v>279</v>
      </c>
      <c r="T57" s="451">
        <f>SUM(T47:T56)</f>
        <v>68</v>
      </c>
      <c r="U57" s="466"/>
      <c r="V57" s="588" t="s">
        <v>191</v>
      </c>
      <c r="W57" s="589">
        <f t="shared" ref="W57" si="33">SUM(W47:W56)</f>
        <v>77.69</v>
      </c>
      <c r="X57" s="444">
        <f>SUM(X47:X56)</f>
        <v>0</v>
      </c>
      <c r="Y57" s="444">
        <f t="shared" ref="Y57" si="34">SUM(Y47:Y56)</f>
        <v>0</v>
      </c>
      <c r="Z57" s="444">
        <f>SUM(Z47:Z56)</f>
        <v>9.31</v>
      </c>
      <c r="AA57" s="444">
        <f>SUM(AA47:AA56)</f>
        <v>0</v>
      </c>
      <c r="AB57" s="444"/>
      <c r="AC57" s="444">
        <f t="shared" ref="AC57" si="35">SUM(AC47:AC56)</f>
        <v>0</v>
      </c>
      <c r="AD57" s="630">
        <f>SUM(AD47:AD56)</f>
        <v>87</v>
      </c>
      <c r="AE57" s="631">
        <f>SUM(AE47:AE56)</f>
        <v>85.4</v>
      </c>
      <c r="AF57" s="1016">
        <f t="shared" ref="AF57:AI57" si="36">SUM(AF47:AF56)</f>
        <v>0</v>
      </c>
      <c r="AG57" s="1015">
        <f t="shared" si="36"/>
        <v>0</v>
      </c>
      <c r="AH57" s="1015">
        <f t="shared" si="36"/>
        <v>0</v>
      </c>
      <c r="AI57" s="1015">
        <f t="shared" si="36"/>
        <v>0</v>
      </c>
      <c r="AL57" s="24"/>
      <c r="AM57" s="25"/>
      <c r="AP57" s="24"/>
      <c r="AQ57" s="25"/>
      <c r="AT57" s="24"/>
      <c r="AU57" s="25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</row>
    <row r="58" spans="4:59" ht="32.25" customHeight="1" thickBot="1">
      <c r="N58" s="24"/>
      <c r="O58" s="1924" t="s">
        <v>254</v>
      </c>
      <c r="P58" s="1925"/>
      <c r="Q58" s="1925"/>
      <c r="R58" s="1926"/>
      <c r="S58" s="1927">
        <f>S57+T57</f>
        <v>347</v>
      </c>
      <c r="T58" s="1928"/>
      <c r="U58" s="466"/>
      <c r="V58" s="1932" t="s">
        <v>221</v>
      </c>
      <c r="W58" s="1932"/>
      <c r="X58" s="1932"/>
      <c r="Y58" s="1932"/>
      <c r="Z58" s="1932"/>
      <c r="AA58" s="1932"/>
      <c r="AB58" s="1932"/>
      <c r="AC58" s="1932"/>
      <c r="AD58" s="1933">
        <f>AD57+AE57</f>
        <v>172.4</v>
      </c>
      <c r="AE58" s="1934"/>
      <c r="AF58" s="466"/>
      <c r="AH58" s="24"/>
      <c r="AI58" s="25"/>
      <c r="AL58" s="24"/>
      <c r="AM58" s="25"/>
      <c r="AP58" s="24"/>
      <c r="AQ58" s="25"/>
      <c r="AT58" s="24"/>
      <c r="AU58" s="25"/>
      <c r="AX58" s="24"/>
      <c r="AY58" s="24"/>
      <c r="AZ58" s="25"/>
      <c r="BA58" s="24"/>
      <c r="BB58" s="24"/>
      <c r="BC58" s="23"/>
      <c r="BD58" s="23"/>
      <c r="BE58" s="23"/>
      <c r="BF58" s="23"/>
      <c r="BG58" s="23"/>
    </row>
    <row r="59" spans="4:59" ht="13.15" customHeight="1" thickBot="1">
      <c r="J59" s="24"/>
      <c r="N59" s="24"/>
      <c r="R59" s="24"/>
      <c r="T59" s="26"/>
      <c r="U59" s="26"/>
      <c r="V59" s="966"/>
      <c r="W59" s="966"/>
      <c r="X59" s="966"/>
      <c r="Y59" s="1922" t="s">
        <v>235</v>
      </c>
      <c r="Z59" s="1922"/>
      <c r="AA59" s="1922"/>
      <c r="AB59" s="1922"/>
      <c r="AC59" s="1922"/>
      <c r="AD59" s="1920">
        <f>BH6+BI6+BD20+BE20</f>
        <v>139.56</v>
      </c>
      <c r="AE59" s="1921"/>
      <c r="AF59" s="466"/>
      <c r="AH59" s="24"/>
      <c r="AI59" s="25"/>
      <c r="AL59" s="24"/>
      <c r="AP59" s="25"/>
      <c r="AT59" s="25"/>
      <c r="AX59" s="25"/>
      <c r="AY59" s="24"/>
      <c r="AZ59" s="24"/>
      <c r="BA59" s="24"/>
      <c r="BB59" s="25"/>
      <c r="BE59" s="23"/>
      <c r="BF59" s="23"/>
      <c r="BG59" s="23"/>
    </row>
    <row r="60" spans="4:59" s="28" customFormat="1" ht="41.45" customHeight="1" thickBot="1">
      <c r="D60" s="29"/>
      <c r="E60" s="29"/>
      <c r="F60" s="29"/>
      <c r="I60" s="29"/>
      <c r="J60" s="24"/>
      <c r="K60" s="24"/>
      <c r="L60" s="1923" t="s">
        <v>319</v>
      </c>
      <c r="M60" s="1937"/>
      <c r="N60" s="1937"/>
      <c r="O60" s="1937"/>
      <c r="P60" s="1937"/>
      <c r="Q60" s="1937"/>
      <c r="R60" s="1937"/>
      <c r="S60" s="1937"/>
      <c r="T60" s="1937"/>
      <c r="U60" s="1938"/>
      <c r="V60" s="966"/>
      <c r="W60" s="966"/>
      <c r="X60" s="966"/>
      <c r="Y60" s="1013"/>
      <c r="Z60" s="966"/>
      <c r="AA60" s="966"/>
      <c r="AB60" s="966"/>
      <c r="AC60" s="1013"/>
      <c r="AD60" s="966"/>
      <c r="AE60" s="964"/>
      <c r="AF60" s="966"/>
      <c r="AG60" s="964"/>
      <c r="AH60" s="964"/>
      <c r="AI60" s="967"/>
      <c r="AJ60" s="964"/>
      <c r="AK60" s="964"/>
      <c r="AL60" s="964"/>
      <c r="AM60" s="964"/>
      <c r="AN60" s="964"/>
      <c r="AO60" s="964"/>
      <c r="AP60" s="967"/>
      <c r="AQ60" s="964"/>
      <c r="AR60" s="964"/>
      <c r="AS60" s="964"/>
      <c r="AT60" s="967"/>
      <c r="AU60" s="964"/>
      <c r="AV60" s="964"/>
      <c r="AW60" s="964"/>
      <c r="AX60" s="967"/>
      <c r="AY60" s="965"/>
      <c r="AZ60" s="965"/>
      <c r="BA60" s="964"/>
      <c r="BB60" s="964"/>
      <c r="BC60" s="967"/>
      <c r="BD60" s="967"/>
      <c r="BE60" s="964"/>
    </row>
    <row r="61" spans="4:59" ht="31.5">
      <c r="J61" s="24"/>
      <c r="L61" s="596" t="s">
        <v>0</v>
      </c>
      <c r="M61" s="436" t="s">
        <v>200</v>
      </c>
      <c r="N61" s="454" t="s">
        <v>205</v>
      </c>
      <c r="O61" s="436" t="s">
        <v>31</v>
      </c>
      <c r="P61" s="448" t="s">
        <v>201</v>
      </c>
      <c r="Q61" s="453" t="s">
        <v>206</v>
      </c>
      <c r="R61" s="453" t="s">
        <v>210</v>
      </c>
      <c r="S61" s="436" t="s">
        <v>22</v>
      </c>
      <c r="T61" s="437" t="s">
        <v>191</v>
      </c>
      <c r="U61" s="438" t="s">
        <v>244</v>
      </c>
      <c r="V61" s="466"/>
      <c r="W61" s="466"/>
      <c r="X61" s="466"/>
      <c r="Y61" s="465"/>
      <c r="Z61" s="466"/>
      <c r="AA61" s="466"/>
      <c r="AB61" s="466"/>
      <c r="AC61" s="465"/>
      <c r="AD61" s="466"/>
      <c r="AF61" s="466"/>
      <c r="AH61" s="24"/>
      <c r="AI61" s="25"/>
      <c r="AL61" s="24"/>
      <c r="AM61" s="26"/>
      <c r="AN61" s="26"/>
      <c r="AP61" s="24"/>
      <c r="AQ61" s="26"/>
      <c r="AR61" s="26"/>
      <c r="AT61" s="24"/>
      <c r="AU61" s="26"/>
      <c r="AV61" s="26"/>
      <c r="AX61" s="24"/>
      <c r="AY61" s="26"/>
      <c r="AZ61" s="26"/>
      <c r="BA61" s="24"/>
      <c r="BB61" s="24"/>
      <c r="BC61" s="25"/>
      <c r="BD61" s="25"/>
      <c r="BF61" s="23"/>
      <c r="BG61" s="23"/>
    </row>
    <row r="62" spans="4:59" ht="22.5" customHeight="1">
      <c r="J62" s="24"/>
      <c r="L62" s="586" t="s">
        <v>189</v>
      </c>
      <c r="M62" s="430">
        <v>52.16</v>
      </c>
      <c r="N62" s="430">
        <v>0</v>
      </c>
      <c r="O62" s="430">
        <v>0</v>
      </c>
      <c r="P62" s="430">
        <v>0</v>
      </c>
      <c r="Q62" s="430">
        <v>0</v>
      </c>
      <c r="R62" s="655">
        <v>0</v>
      </c>
      <c r="S62" s="430"/>
      <c r="T62" s="568">
        <f t="shared" ref="T62:T71" si="37">SUM(M62:S62)</f>
        <v>52.16</v>
      </c>
      <c r="U62" s="587">
        <v>42</v>
      </c>
      <c r="V62" s="466"/>
      <c r="W62" s="466"/>
      <c r="X62" s="466"/>
      <c r="Y62" s="465"/>
      <c r="Z62" s="466"/>
      <c r="AA62" s="466"/>
      <c r="AB62" s="466"/>
      <c r="AC62" s="465"/>
      <c r="AD62" s="466"/>
      <c r="AF62" s="466"/>
      <c r="AH62" s="24"/>
      <c r="AI62" s="25"/>
      <c r="AL62" s="24"/>
      <c r="AM62" s="26"/>
      <c r="AN62" s="26"/>
      <c r="AP62" s="24"/>
      <c r="AQ62" s="26"/>
      <c r="AR62" s="26"/>
      <c r="AT62" s="24"/>
      <c r="AU62" s="26"/>
      <c r="AV62" s="26"/>
      <c r="AX62" s="24"/>
      <c r="AY62" s="26"/>
      <c r="AZ62" s="26"/>
      <c r="BA62" s="24"/>
      <c r="BB62" s="24"/>
      <c r="BC62" s="25"/>
      <c r="BD62" s="25"/>
      <c r="BF62" s="23"/>
      <c r="BG62" s="23"/>
    </row>
    <row r="63" spans="4:59" ht="23.25">
      <c r="J63" s="24"/>
      <c r="L63" s="586" t="s">
        <v>183</v>
      </c>
      <c r="M63" s="430">
        <v>2</v>
      </c>
      <c r="N63" s="430">
        <v>0</v>
      </c>
      <c r="O63" s="430">
        <v>0</v>
      </c>
      <c r="P63" s="430">
        <v>0</v>
      </c>
      <c r="Q63" s="430">
        <v>0</v>
      </c>
      <c r="R63" s="655">
        <v>0</v>
      </c>
      <c r="S63" s="430"/>
      <c r="T63" s="568">
        <f t="shared" si="37"/>
        <v>2</v>
      </c>
      <c r="U63" s="587">
        <v>17.399999999999999</v>
      </c>
      <c r="V63" s="466"/>
      <c r="W63" s="466"/>
      <c r="X63" s="466"/>
      <c r="Y63" s="465"/>
      <c r="Z63" s="466"/>
      <c r="AA63" s="466"/>
      <c r="AB63" s="466"/>
      <c r="AC63" s="465"/>
      <c r="AD63" s="466"/>
      <c r="AG63" s="26"/>
      <c r="AH63" s="24"/>
      <c r="AK63" s="49"/>
      <c r="AL63" s="24"/>
      <c r="AM63" s="26"/>
      <c r="AN63" s="26"/>
      <c r="AP63" s="24"/>
      <c r="AQ63" s="26"/>
      <c r="AR63" s="26"/>
      <c r="AT63" s="24"/>
      <c r="AU63" s="26"/>
      <c r="AV63" s="26"/>
      <c r="AX63" s="24"/>
      <c r="AY63" s="26"/>
      <c r="AZ63" s="26"/>
      <c r="BA63" s="24"/>
      <c r="BB63" s="24"/>
      <c r="BC63" s="25"/>
      <c r="BD63" s="25"/>
      <c r="BF63" s="23"/>
      <c r="BG63" s="23"/>
    </row>
    <row r="64" spans="4:59" ht="23.25">
      <c r="J64" s="24"/>
      <c r="L64" s="586" t="s">
        <v>184</v>
      </c>
      <c r="M64" s="430">
        <v>0</v>
      </c>
      <c r="N64" s="430">
        <v>2.2000000000000002</v>
      </c>
      <c r="O64" s="430">
        <v>0</v>
      </c>
      <c r="P64" s="430">
        <v>0</v>
      </c>
      <c r="Q64" s="430">
        <v>0</v>
      </c>
      <c r="R64" s="655"/>
      <c r="S64" s="430"/>
      <c r="T64" s="568">
        <f t="shared" si="37"/>
        <v>2.2000000000000002</v>
      </c>
      <c r="U64" s="587">
        <v>0</v>
      </c>
      <c r="V64" s="466"/>
      <c r="W64" s="466"/>
      <c r="X64" s="466"/>
      <c r="Y64" s="465"/>
      <c r="Z64" s="466"/>
      <c r="AA64" s="466"/>
      <c r="AB64" s="466"/>
      <c r="AC64" s="465"/>
      <c r="AD64" s="466"/>
      <c r="AG64" s="26"/>
      <c r="AH64" s="24"/>
      <c r="AK64" s="49"/>
      <c r="AL64" s="24"/>
      <c r="AO64" s="26"/>
      <c r="AP64" s="24"/>
      <c r="AQ64" s="26"/>
      <c r="AR64" s="26"/>
      <c r="AT64" s="24"/>
      <c r="AU64" s="26"/>
      <c r="AV64" s="26"/>
      <c r="AX64" s="24"/>
      <c r="AY64" s="26"/>
      <c r="AZ64" s="26"/>
      <c r="BA64" s="24"/>
      <c r="BB64" s="24"/>
      <c r="BE64" s="25"/>
      <c r="BF64" s="24"/>
      <c r="BG64" s="23"/>
    </row>
    <row r="65" spans="10:59" ht="23.25">
      <c r="J65" s="24"/>
      <c r="L65" s="586" t="s">
        <v>170</v>
      </c>
      <c r="M65" s="430">
        <v>0</v>
      </c>
      <c r="N65" s="430">
        <v>1.5</v>
      </c>
      <c r="O65" s="430">
        <v>0</v>
      </c>
      <c r="P65" s="430">
        <v>0</v>
      </c>
      <c r="Q65" s="430">
        <v>0</v>
      </c>
      <c r="R65" s="655"/>
      <c r="S65" s="430"/>
      <c r="T65" s="568">
        <f t="shared" si="37"/>
        <v>1.5</v>
      </c>
      <c r="U65" s="587">
        <v>6</v>
      </c>
      <c r="V65" s="466"/>
      <c r="W65" s="466"/>
      <c r="X65" s="466"/>
      <c r="Y65" s="465"/>
      <c r="Z65" s="466"/>
      <c r="AA65" s="466"/>
      <c r="AB65" s="466"/>
      <c r="AC65" s="465"/>
      <c r="AD65" s="466"/>
      <c r="AG65" s="26"/>
      <c r="AH65" s="24"/>
      <c r="AK65" s="49"/>
      <c r="AL65" s="24"/>
      <c r="AO65" s="26"/>
      <c r="AP65" s="24"/>
      <c r="AQ65" s="26"/>
      <c r="AR65" s="26"/>
      <c r="AT65" s="24"/>
      <c r="AU65" s="26"/>
      <c r="AV65" s="26"/>
      <c r="AX65" s="24"/>
      <c r="AY65" s="26"/>
      <c r="AZ65" s="26"/>
      <c r="BA65" s="24"/>
      <c r="BB65" s="24"/>
      <c r="BE65" s="25"/>
      <c r="BF65" s="24"/>
      <c r="BG65" s="23"/>
    </row>
    <row r="66" spans="10:59" ht="23.25">
      <c r="J66" s="24"/>
      <c r="L66" s="586" t="s">
        <v>171</v>
      </c>
      <c r="M66" s="430">
        <v>0</v>
      </c>
      <c r="N66" s="430">
        <v>0</v>
      </c>
      <c r="O66" s="430">
        <v>0</v>
      </c>
      <c r="P66" s="430">
        <v>0</v>
      </c>
      <c r="Q66" s="430">
        <v>0</v>
      </c>
      <c r="R66" s="655"/>
      <c r="S66" s="430"/>
      <c r="T66" s="568">
        <f t="shared" si="37"/>
        <v>0</v>
      </c>
      <c r="U66" s="587"/>
      <c r="V66" s="466"/>
      <c r="W66" s="466"/>
      <c r="X66" s="466"/>
      <c r="Y66" s="465"/>
      <c r="Z66" s="466"/>
      <c r="AA66" s="466"/>
      <c r="AB66" s="466"/>
      <c r="AC66" s="465"/>
      <c r="AD66" s="466"/>
      <c r="AG66" s="26"/>
      <c r="AH66" s="24"/>
      <c r="AK66" s="49"/>
      <c r="AL66" s="24"/>
      <c r="AO66" s="26"/>
      <c r="AP66" s="24"/>
      <c r="AQ66" s="26"/>
      <c r="AR66" s="26"/>
      <c r="AT66" s="24"/>
      <c r="AU66" s="26"/>
      <c r="AV66" s="26"/>
      <c r="AX66" s="24"/>
      <c r="AY66" s="26"/>
      <c r="AZ66" s="26"/>
      <c r="BA66" s="24"/>
      <c r="BB66" s="24"/>
      <c r="BE66" s="25"/>
      <c r="BF66" s="24"/>
      <c r="BG66" s="23"/>
    </row>
    <row r="67" spans="10:59" ht="23.25">
      <c r="J67" s="24"/>
      <c r="L67" s="586" t="s">
        <v>190</v>
      </c>
      <c r="M67" s="430">
        <v>0</v>
      </c>
      <c r="N67" s="430">
        <v>0</v>
      </c>
      <c r="O67" s="430">
        <v>0</v>
      </c>
      <c r="P67" s="430">
        <v>0</v>
      </c>
      <c r="Q67" s="430">
        <v>0</v>
      </c>
      <c r="R67" s="655"/>
      <c r="S67" s="430"/>
      <c r="T67" s="568">
        <f t="shared" si="37"/>
        <v>0</v>
      </c>
      <c r="U67" s="587"/>
      <c r="V67" s="466"/>
      <c r="W67" s="466"/>
      <c r="X67" s="466"/>
      <c r="Y67" s="465"/>
      <c r="Z67" s="466"/>
      <c r="AA67" s="466"/>
      <c r="AB67" s="466"/>
      <c r="AC67" s="465"/>
      <c r="AD67" s="466"/>
      <c r="AG67" s="26"/>
      <c r="AH67" s="24"/>
      <c r="AK67" s="49"/>
      <c r="AL67" s="24"/>
      <c r="AO67" s="26"/>
      <c r="AP67" s="24"/>
      <c r="AQ67" s="26"/>
      <c r="AR67" s="26"/>
      <c r="AT67" s="24"/>
      <c r="AU67" s="26"/>
      <c r="AV67" s="26"/>
      <c r="AX67" s="24"/>
      <c r="AY67" s="26"/>
      <c r="AZ67" s="26"/>
      <c r="BA67" s="24"/>
      <c r="BB67" s="24"/>
      <c r="BE67" s="25"/>
      <c r="BF67" s="24"/>
      <c r="BG67" s="23"/>
    </row>
    <row r="68" spans="10:59" ht="23.25">
      <c r="J68" s="24"/>
      <c r="L68" s="586" t="s">
        <v>185</v>
      </c>
      <c r="M68" s="430">
        <v>0</v>
      </c>
      <c r="N68" s="430">
        <v>0</v>
      </c>
      <c r="O68" s="430">
        <v>0</v>
      </c>
      <c r="P68" s="430">
        <v>0</v>
      </c>
      <c r="Q68" s="430">
        <v>0</v>
      </c>
      <c r="R68" s="655"/>
      <c r="S68" s="430"/>
      <c r="T68" s="568">
        <f t="shared" si="37"/>
        <v>0</v>
      </c>
      <c r="U68" s="587"/>
      <c r="V68" s="466"/>
      <c r="W68" s="466"/>
      <c r="X68" s="466"/>
      <c r="Y68" s="465"/>
      <c r="Z68" s="466"/>
      <c r="AA68" s="466"/>
      <c r="AB68" s="466"/>
      <c r="AC68" s="465"/>
      <c r="AD68" s="466"/>
      <c r="AG68" s="26"/>
      <c r="AH68" s="24"/>
      <c r="AK68" s="49"/>
      <c r="AL68" s="24"/>
      <c r="AO68" s="26"/>
      <c r="AP68" s="24"/>
      <c r="AQ68" s="26"/>
      <c r="AR68" s="26"/>
      <c r="AT68" s="24"/>
      <c r="AU68" s="26"/>
      <c r="AV68" s="26"/>
      <c r="AX68" s="24"/>
      <c r="AY68" s="26"/>
      <c r="AZ68" s="26"/>
      <c r="BA68" s="24"/>
      <c r="BB68" s="24"/>
      <c r="BE68" s="25"/>
      <c r="BF68" s="24"/>
      <c r="BG68" s="23"/>
    </row>
    <row r="69" spans="10:59" ht="23.25">
      <c r="L69" s="586" t="s">
        <v>202</v>
      </c>
      <c r="M69" s="430">
        <v>0</v>
      </c>
      <c r="N69" s="430">
        <v>1</v>
      </c>
      <c r="O69" s="430">
        <v>0</v>
      </c>
      <c r="P69" s="430">
        <v>0</v>
      </c>
      <c r="Q69" s="430">
        <v>0</v>
      </c>
      <c r="R69" s="655"/>
      <c r="S69" s="430"/>
      <c r="T69" s="568">
        <f t="shared" si="37"/>
        <v>1</v>
      </c>
      <c r="U69" s="587"/>
      <c r="V69" s="466"/>
      <c r="W69" s="466"/>
      <c r="X69" s="466"/>
      <c r="Y69" s="465"/>
      <c r="Z69" s="466"/>
      <c r="AA69" s="466"/>
      <c r="AB69" s="466"/>
      <c r="AC69" s="465"/>
      <c r="AD69" s="466"/>
      <c r="AG69" s="26"/>
      <c r="AH69" s="24"/>
      <c r="AK69" s="49"/>
      <c r="AL69" s="24"/>
      <c r="AO69" s="26"/>
      <c r="AP69" s="24"/>
      <c r="AQ69" s="26"/>
      <c r="AR69" s="26"/>
      <c r="AT69" s="24"/>
      <c r="AU69" s="26"/>
      <c r="AV69" s="26"/>
      <c r="AX69" s="24"/>
      <c r="AY69" s="26"/>
      <c r="AZ69" s="26"/>
      <c r="BA69" s="24"/>
      <c r="BB69" s="24"/>
      <c r="BE69" s="25"/>
      <c r="BF69" s="24"/>
      <c r="BG69" s="23"/>
    </row>
    <row r="70" spans="10:59" ht="23.25">
      <c r="L70" s="586" t="s">
        <v>186</v>
      </c>
      <c r="M70" s="430">
        <v>2</v>
      </c>
      <c r="N70" s="430">
        <v>3</v>
      </c>
      <c r="O70" s="430">
        <v>0</v>
      </c>
      <c r="P70" s="430">
        <v>8.5</v>
      </c>
      <c r="Q70" s="430">
        <v>0</v>
      </c>
      <c r="R70" s="655"/>
      <c r="S70" s="430"/>
      <c r="T70" s="568">
        <f t="shared" si="37"/>
        <v>13.5</v>
      </c>
      <c r="U70" s="587"/>
      <c r="V70" s="466"/>
      <c r="W70" s="466"/>
      <c r="X70" s="466"/>
      <c r="Y70" s="465"/>
      <c r="Z70" s="466"/>
      <c r="AA70" s="466"/>
      <c r="AB70" s="466"/>
      <c r="AC70" s="465"/>
      <c r="AD70" s="466"/>
      <c r="AG70" s="26"/>
      <c r="AH70" s="24"/>
      <c r="AK70" s="49"/>
      <c r="AL70" s="24"/>
      <c r="AM70" s="26"/>
      <c r="AN70" s="26"/>
      <c r="AY70" s="24"/>
      <c r="AZ70" s="24"/>
      <c r="BA70" s="24"/>
      <c r="BB70" s="24"/>
      <c r="BC70" s="25"/>
      <c r="BD70" s="25"/>
      <c r="BF70" s="23"/>
      <c r="BG70" s="23"/>
    </row>
    <row r="71" spans="10:59" ht="23.25">
      <c r="L71" s="586" t="s">
        <v>203</v>
      </c>
      <c r="M71" s="430">
        <v>4</v>
      </c>
      <c r="N71" s="430">
        <v>0</v>
      </c>
      <c r="O71" s="430">
        <v>0</v>
      </c>
      <c r="P71" s="430">
        <v>2</v>
      </c>
      <c r="Q71" s="430">
        <v>0</v>
      </c>
      <c r="R71" s="655">
        <v>0</v>
      </c>
      <c r="S71" s="430"/>
      <c r="T71" s="568">
        <f t="shared" si="37"/>
        <v>6</v>
      </c>
      <c r="U71" s="587"/>
      <c r="V71" s="466"/>
      <c r="W71" s="466"/>
      <c r="X71" s="466"/>
      <c r="Y71" s="465"/>
      <c r="Z71" s="466"/>
      <c r="AA71" s="466"/>
      <c r="AB71" s="466"/>
      <c r="AC71" s="465"/>
      <c r="AD71" s="466"/>
      <c r="AG71" s="26"/>
      <c r="AH71" s="24"/>
      <c r="AK71" s="49"/>
      <c r="AL71" s="24"/>
      <c r="AM71" s="26"/>
      <c r="AN71" s="26"/>
      <c r="AY71" s="24"/>
      <c r="AZ71" s="24"/>
      <c r="BA71" s="24"/>
      <c r="BB71" s="24"/>
      <c r="BC71" s="25"/>
      <c r="BD71" s="25"/>
      <c r="BF71" s="23"/>
      <c r="BG71" s="23"/>
    </row>
    <row r="72" spans="10:59" ht="24" thickBot="1">
      <c r="L72" s="588" t="s">
        <v>191</v>
      </c>
      <c r="M72" s="589">
        <f t="shared" ref="M72" si="38">SUM(M62:M71)</f>
        <v>60.16</v>
      </c>
      <c r="N72" s="444">
        <f>SUM(N62:N71)</f>
        <v>7.7</v>
      </c>
      <c r="O72" s="444">
        <f t="shared" ref="O72" si="39">SUM(O62:O71)</f>
        <v>0</v>
      </c>
      <c r="P72" s="444">
        <f>SUM(P62:P71)</f>
        <v>10.5</v>
      </c>
      <c r="Q72" s="444">
        <f>SUM(Q62:Q71)</f>
        <v>0</v>
      </c>
      <c r="R72" s="444"/>
      <c r="S72" s="444">
        <f t="shared" ref="S72" si="40">SUM(S62:S71)</f>
        <v>0</v>
      </c>
      <c r="T72" s="630">
        <f>SUM(T62:T71)</f>
        <v>78.36</v>
      </c>
      <c r="U72" s="631">
        <f>SUM(U62:U71)</f>
        <v>65.400000000000006</v>
      </c>
      <c r="V72" s="466"/>
      <c r="W72" s="466"/>
      <c r="X72" s="466"/>
      <c r="Y72" s="465"/>
      <c r="Z72" s="466"/>
      <c r="AA72" s="466"/>
      <c r="AB72" s="466"/>
      <c r="AC72" s="465"/>
      <c r="AD72" s="466"/>
      <c r="AG72" s="26"/>
      <c r="AH72" s="24"/>
      <c r="AK72" s="49"/>
      <c r="AL72" s="24"/>
      <c r="AM72" s="26"/>
      <c r="AN72" s="26"/>
      <c r="AY72" s="24"/>
      <c r="AZ72" s="24"/>
      <c r="BA72" s="24"/>
      <c r="BB72" s="24"/>
      <c r="BC72" s="25"/>
      <c r="BD72" s="25"/>
      <c r="BF72" s="23"/>
      <c r="BG72" s="23"/>
    </row>
    <row r="73" spans="10:59" ht="27" thickBot="1">
      <c r="L73" s="1932" t="s">
        <v>221</v>
      </c>
      <c r="M73" s="1932"/>
      <c r="N73" s="1932"/>
      <c r="O73" s="1932"/>
      <c r="P73" s="1932"/>
      <c r="Q73" s="1932"/>
      <c r="R73" s="1932"/>
      <c r="S73" s="1932"/>
      <c r="T73" s="1933">
        <f>T72+U72</f>
        <v>143.76</v>
      </c>
      <c r="U73" s="1934"/>
      <c r="V73" s="466"/>
      <c r="W73" s="466"/>
      <c r="X73" s="466"/>
      <c r="Y73" s="465"/>
      <c r="Z73" s="466"/>
      <c r="AA73" s="466"/>
      <c r="AB73" s="466"/>
      <c r="AC73" s="465"/>
      <c r="AD73" s="466"/>
      <c r="AG73" s="26"/>
      <c r="AH73" s="24"/>
      <c r="AK73" s="49"/>
      <c r="AL73" s="24"/>
      <c r="AM73" s="26"/>
      <c r="AN73" s="26"/>
      <c r="AY73" s="24"/>
      <c r="AZ73" s="24"/>
      <c r="BA73" s="24"/>
      <c r="BB73" s="24"/>
      <c r="BC73" s="25"/>
      <c r="BD73" s="25"/>
      <c r="BF73" s="23"/>
      <c r="BG73" s="23"/>
    </row>
    <row r="74" spans="10:59" ht="31.15" customHeight="1">
      <c r="L74" s="966"/>
      <c r="M74" s="966"/>
      <c r="N74" s="966"/>
      <c r="O74" s="1922" t="s">
        <v>235</v>
      </c>
      <c r="P74" s="1922"/>
      <c r="Q74" s="1922"/>
      <c r="R74" s="1922"/>
      <c r="S74" s="1922"/>
      <c r="T74" s="1939">
        <f>M72+42+17.4</f>
        <v>119.56</v>
      </c>
      <c r="U74" s="1939"/>
      <c r="V74" s="466"/>
      <c r="W74" s="466"/>
      <c r="X74" s="466"/>
      <c r="Y74" s="465"/>
      <c r="Z74" s="466"/>
      <c r="AA74" s="466"/>
      <c r="AB74" s="466"/>
      <c r="AC74" s="465"/>
      <c r="AD74" s="466"/>
      <c r="AG74" s="26"/>
      <c r="AH74" s="24"/>
      <c r="AK74" s="49"/>
      <c r="AL74" s="24"/>
      <c r="AM74" s="26"/>
      <c r="AN74" s="26"/>
      <c r="AP74" s="24"/>
      <c r="AQ74" s="26"/>
      <c r="AR74" s="26"/>
      <c r="AT74" s="24"/>
      <c r="AU74" s="26"/>
      <c r="AV74" s="26"/>
      <c r="AW74" s="50"/>
      <c r="AX74" s="50"/>
      <c r="AY74" s="26"/>
      <c r="AZ74" s="26"/>
      <c r="BA74" s="24"/>
      <c r="BB74" s="24"/>
      <c r="BC74" s="25"/>
      <c r="BD74" s="25"/>
      <c r="BF74" s="23"/>
      <c r="BG74" s="23"/>
    </row>
    <row r="75" spans="10:59" ht="15.75" customHeight="1">
      <c r="L75" s="26"/>
      <c r="M75" s="26"/>
      <c r="N75" s="24"/>
      <c r="P75" s="26"/>
      <c r="Q75" s="26"/>
      <c r="R75" s="24"/>
      <c r="T75" s="26"/>
      <c r="U75" s="26"/>
      <c r="V75" s="24"/>
      <c r="W75" s="466"/>
      <c r="X75" s="466"/>
      <c r="Y75" s="466"/>
      <c r="Z75" s="465"/>
      <c r="AA75" s="466"/>
      <c r="AB75" s="466"/>
      <c r="AC75" s="466"/>
      <c r="AD75" s="465"/>
      <c r="AE75" s="466"/>
      <c r="AN75" s="26"/>
      <c r="AO75" s="26"/>
      <c r="AP75" s="24"/>
      <c r="AR75" s="26"/>
      <c r="AS75" s="26"/>
      <c r="AT75" s="24"/>
      <c r="AV75" s="26"/>
      <c r="AW75" s="26"/>
      <c r="AX75" s="50"/>
      <c r="AZ75" s="26"/>
      <c r="BA75" s="26"/>
      <c r="BB75" s="24"/>
      <c r="BD75" s="25"/>
      <c r="BE75" s="25"/>
      <c r="BF75" s="24"/>
      <c r="BG75" s="23"/>
    </row>
    <row r="76" spans="10:59">
      <c r="L76" s="26"/>
      <c r="M76" s="26"/>
      <c r="N76" s="24"/>
      <c r="P76" s="26"/>
      <c r="Q76" s="26"/>
      <c r="R76" s="24"/>
      <c r="T76" s="26"/>
      <c r="U76" s="26"/>
      <c r="V76" s="24"/>
      <c r="W76" s="466"/>
      <c r="X76" s="466"/>
      <c r="Y76" s="466"/>
      <c r="Z76" s="465"/>
      <c r="AA76" s="466"/>
      <c r="AB76" s="466"/>
      <c r="AC76" s="466"/>
      <c r="AD76" s="465"/>
      <c r="AE76" s="466"/>
      <c r="AN76" s="26"/>
      <c r="AO76" s="26"/>
      <c r="AP76" s="24"/>
      <c r="AR76" s="26"/>
      <c r="AS76" s="26"/>
      <c r="AT76" s="24"/>
      <c r="AV76" s="26"/>
      <c r="AW76" s="26"/>
      <c r="AX76" s="50"/>
      <c r="AZ76" s="26"/>
      <c r="BA76" s="26"/>
      <c r="BB76" s="24"/>
      <c r="BD76" s="25"/>
      <c r="BE76" s="25"/>
      <c r="BF76" s="24"/>
      <c r="BG76" s="23"/>
    </row>
    <row r="77" spans="10:59">
      <c r="L77" s="26"/>
      <c r="M77" s="26"/>
      <c r="N77" s="24"/>
      <c r="P77" s="26"/>
      <c r="Q77" s="26"/>
      <c r="R77" s="24"/>
      <c r="T77" s="26"/>
      <c r="U77" s="26"/>
      <c r="V77" s="24"/>
      <c r="W77" s="466"/>
      <c r="X77" s="466"/>
      <c r="Y77" s="466"/>
      <c r="Z77" s="465"/>
      <c r="AA77" s="466"/>
      <c r="AB77" s="466"/>
      <c r="AC77" s="466"/>
      <c r="AD77" s="465"/>
      <c r="AE77" s="466"/>
      <c r="AN77" s="26"/>
      <c r="AO77" s="26"/>
      <c r="AP77" s="24"/>
      <c r="AR77" s="26"/>
      <c r="AS77" s="26"/>
      <c r="AT77" s="24"/>
      <c r="AV77" s="26"/>
      <c r="AW77" s="26"/>
      <c r="AX77" s="50"/>
      <c r="AZ77" s="26"/>
      <c r="BA77" s="26"/>
      <c r="BB77" s="24"/>
      <c r="BD77" s="25"/>
      <c r="BE77" s="25"/>
      <c r="BF77" s="24"/>
      <c r="BG77" s="23"/>
    </row>
    <row r="78" spans="10:59">
      <c r="L78" s="26"/>
      <c r="M78" s="26"/>
      <c r="N78" s="24"/>
      <c r="P78" s="26"/>
      <c r="Q78" s="26"/>
      <c r="R78" s="24"/>
      <c r="T78" s="26"/>
      <c r="U78" s="26"/>
      <c r="V78" s="24"/>
      <c r="W78" s="466"/>
      <c r="X78" s="466"/>
      <c r="Y78" s="466"/>
      <c r="Z78" s="465"/>
      <c r="AA78" s="466"/>
      <c r="AB78" s="466"/>
      <c r="AC78" s="466"/>
      <c r="AD78" s="465"/>
      <c r="AE78" s="466"/>
      <c r="AN78" s="26"/>
      <c r="AO78" s="26"/>
      <c r="AP78" s="24"/>
      <c r="AR78" s="26"/>
      <c r="AS78" s="26"/>
      <c r="AT78" s="24"/>
      <c r="AV78" s="26"/>
      <c r="AW78" s="26"/>
      <c r="AX78" s="50"/>
      <c r="AZ78" s="26"/>
      <c r="BA78" s="26"/>
      <c r="BB78" s="24"/>
      <c r="BD78" s="25"/>
      <c r="BE78" s="25"/>
      <c r="BF78" s="24"/>
      <c r="BG78" s="23"/>
    </row>
    <row r="79" spans="10:59">
      <c r="L79" s="26"/>
      <c r="M79" s="26"/>
      <c r="N79" s="24"/>
      <c r="P79" s="26"/>
      <c r="Q79" s="26"/>
      <c r="R79" s="24"/>
      <c r="T79" s="26"/>
      <c r="U79" s="26"/>
      <c r="V79" s="24"/>
      <c r="X79" s="26"/>
      <c r="Y79" s="26"/>
      <c r="Z79" s="24"/>
      <c r="AB79" s="26"/>
      <c r="AC79" s="26"/>
      <c r="AD79" s="24"/>
      <c r="AF79" s="26"/>
      <c r="AG79" s="26"/>
      <c r="AH79" s="24"/>
      <c r="AJ79" s="49"/>
      <c r="AK79" s="49"/>
      <c r="AL79" s="24"/>
      <c r="AN79" s="26"/>
      <c r="AO79" s="26"/>
      <c r="AP79" s="24"/>
      <c r="AR79" s="26"/>
      <c r="AS79" s="26"/>
      <c r="AT79" s="24"/>
      <c r="AV79" s="26"/>
      <c r="AW79" s="26"/>
      <c r="AX79" s="50"/>
      <c r="AZ79" s="26"/>
      <c r="BA79" s="26"/>
      <c r="BB79" s="24"/>
      <c r="BD79" s="25"/>
      <c r="BE79" s="25"/>
      <c r="BF79" s="24"/>
      <c r="BG79" s="23"/>
    </row>
    <row r="80" spans="10:59">
      <c r="L80" s="26"/>
      <c r="M80" s="26"/>
      <c r="N80" s="24"/>
      <c r="P80" s="26"/>
      <c r="Q80" s="26"/>
      <c r="R80" s="24"/>
      <c r="T80" s="26"/>
      <c r="U80" s="26"/>
      <c r="V80" s="24"/>
      <c r="X80" s="26"/>
      <c r="Y80" s="26"/>
      <c r="Z80" s="24"/>
      <c r="AB80" s="26"/>
      <c r="AC80" s="26"/>
      <c r="AD80" s="24"/>
      <c r="AF80" s="26"/>
      <c r="AG80" s="26"/>
      <c r="AH80" s="24"/>
      <c r="AJ80" s="49"/>
      <c r="AK80" s="49"/>
      <c r="AL80" s="24"/>
      <c r="AN80" s="26"/>
      <c r="AO80" s="26"/>
      <c r="AP80" s="24"/>
      <c r="AR80" s="26"/>
      <c r="AS80" s="26"/>
      <c r="AT80" s="24"/>
      <c r="AV80" s="26"/>
      <c r="AW80" s="26"/>
      <c r="AX80" s="50"/>
      <c r="AZ80" s="26"/>
      <c r="BA80" s="26"/>
      <c r="BB80" s="24"/>
      <c r="BD80" s="25"/>
      <c r="BE80" s="25"/>
      <c r="BF80" s="24"/>
      <c r="BG80" s="23"/>
    </row>
  </sheetData>
  <mergeCells count="62">
    <mergeCell ref="L60:U60"/>
    <mergeCell ref="L73:S73"/>
    <mergeCell ref="T73:U73"/>
    <mergeCell ref="O74:S74"/>
    <mergeCell ref="T74:U74"/>
    <mergeCell ref="O58:R58"/>
    <mergeCell ref="S58:T58"/>
    <mergeCell ref="C15:C24"/>
    <mergeCell ref="H15:H23"/>
    <mergeCell ref="H24:I24"/>
    <mergeCell ref="H26:I26"/>
    <mergeCell ref="L31:S31"/>
    <mergeCell ref="L45:T45"/>
    <mergeCell ref="C6:C9"/>
    <mergeCell ref="H6:H9"/>
    <mergeCell ref="H10:I10"/>
    <mergeCell ref="D13:F13"/>
    <mergeCell ref="H13:I14"/>
    <mergeCell ref="C14:D14"/>
    <mergeCell ref="H12:BI12"/>
    <mergeCell ref="N13:Q13"/>
    <mergeCell ref="R13:U13"/>
    <mergeCell ref="J13:M13"/>
    <mergeCell ref="AD13:AG13"/>
    <mergeCell ref="AH13:AK13"/>
    <mergeCell ref="BF4:BI4"/>
    <mergeCell ref="C2:F2"/>
    <mergeCell ref="H2:K2"/>
    <mergeCell ref="N2:AZ2"/>
    <mergeCell ref="C5:D5"/>
    <mergeCell ref="D4:F4"/>
    <mergeCell ref="H4:I5"/>
    <mergeCell ref="BB2:BI2"/>
    <mergeCell ref="H3:BI3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V58:AC58"/>
    <mergeCell ref="AD58:AE58"/>
    <mergeCell ref="Y59:AC59"/>
    <mergeCell ref="BF13:BI13"/>
    <mergeCell ref="BC27:BC28"/>
    <mergeCell ref="BH27:BI27"/>
    <mergeCell ref="AT13:AW13"/>
    <mergeCell ref="AX13:BA13"/>
    <mergeCell ref="BB13:BE13"/>
    <mergeCell ref="AD59:AE59"/>
    <mergeCell ref="V45:AE45"/>
    <mergeCell ref="AL13:AO13"/>
    <mergeCell ref="AP13:AS13"/>
    <mergeCell ref="V31:AD31"/>
    <mergeCell ref="V13:Y13"/>
    <mergeCell ref="Z13:AC13"/>
  </mergeCells>
  <conditionalFormatting sqref="M47:R56">
    <cfRule type="cellIs" dxfId="17" priority="2" operator="equal">
      <formula>0</formula>
    </cfRule>
  </conditionalFormatting>
  <conditionalFormatting sqref="M62:R71">
    <cfRule type="cellIs" dxfId="16" priority="1" operator="equal">
      <formula>0</formula>
    </cfRule>
  </conditionalFormatting>
  <pageMargins left="0.18" right="0.21" top="0.75" bottom="0.75" header="0.3" footer="0.3"/>
  <pageSetup paperSize="9" scale="23" orientation="landscape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BT80"/>
  <sheetViews>
    <sheetView topLeftCell="I1" zoomScale="55" zoomScaleNormal="55" workbookViewId="0">
      <pane xSplit="1" topLeftCell="J1" activePane="topRight" state="frozen"/>
      <selection activeCell="I1" sqref="I1"/>
      <selection pane="topRight" activeCell="T17" sqref="T17"/>
    </sheetView>
  </sheetViews>
  <sheetFormatPr defaultColWidth="9.140625" defaultRowHeight="15"/>
  <cols>
    <col min="1" max="2" width="9.140625" style="23" hidden="1" customWidth="1"/>
    <col min="3" max="3" width="14.5703125" style="23" hidden="1" customWidth="1"/>
    <col min="4" max="4" width="11.42578125" style="27" hidden="1" customWidth="1"/>
    <col min="5" max="5" width="6.85546875" style="27" hidden="1" customWidth="1"/>
    <col min="6" max="6" width="9.140625" style="27" hidden="1" customWidth="1"/>
    <col min="7" max="7" width="3.42578125" style="23" hidden="1" customWidth="1"/>
    <col min="8" max="8" width="6.140625" style="23" customWidth="1"/>
    <col min="9" max="9" width="20.140625" style="27" bestFit="1" customWidth="1"/>
    <col min="10" max="10" width="11.5703125" style="26" customWidth="1"/>
    <col min="11" max="11" width="10.7109375" style="24" bestFit="1" customWidth="1"/>
    <col min="12" max="12" width="15.28515625" style="24" bestFit="1" customWidth="1"/>
    <col min="13" max="13" width="12.85546875" style="24" customWidth="1"/>
    <col min="14" max="14" width="10.5703125" style="26" customWidth="1"/>
    <col min="15" max="15" width="10.28515625" style="24" customWidth="1"/>
    <col min="16" max="17" width="10.5703125" style="24" customWidth="1"/>
    <col min="18" max="18" width="8.5703125" style="26" customWidth="1"/>
    <col min="19" max="19" width="11.5703125" style="24" customWidth="1"/>
    <col min="20" max="20" width="14" style="24" bestFit="1" customWidth="1"/>
    <col min="21" max="21" width="13.85546875" style="24" bestFit="1" customWidth="1"/>
    <col min="22" max="22" width="13.85546875" style="26" bestFit="1" customWidth="1"/>
    <col min="23" max="23" width="11.5703125" style="24" bestFit="1" customWidth="1"/>
    <col min="24" max="25" width="9.7109375" style="24" customWidth="1"/>
    <col min="26" max="26" width="11" style="26" customWidth="1"/>
    <col min="27" max="27" width="12.42578125" style="24" customWidth="1"/>
    <col min="28" max="29" width="11.85546875" style="24" customWidth="1"/>
    <col min="30" max="30" width="11.5703125" style="26" bestFit="1" customWidth="1"/>
    <col min="31" max="31" width="11.7109375" style="24" bestFit="1" customWidth="1"/>
    <col min="32" max="32" width="10.5703125" style="24" bestFit="1" customWidth="1"/>
    <col min="33" max="33" width="10.5703125" style="24" customWidth="1"/>
    <col min="34" max="34" width="11.5703125" style="26" bestFit="1" customWidth="1"/>
    <col min="35" max="35" width="13.5703125" style="24" customWidth="1"/>
    <col min="36" max="37" width="11.5703125" style="24" customWidth="1"/>
    <col min="38" max="38" width="10.5703125" style="49" customWidth="1"/>
    <col min="39" max="39" width="9" style="24" customWidth="1"/>
    <col min="40" max="40" width="12" style="24" bestFit="1" customWidth="1"/>
    <col min="41" max="41" width="12" style="24" customWidth="1"/>
    <col min="42" max="42" width="8.42578125" style="26" customWidth="1"/>
    <col min="43" max="43" width="10" style="24" bestFit="1" customWidth="1"/>
    <col min="44" max="44" width="13.85546875" style="24" bestFit="1" customWidth="1"/>
    <col min="45" max="45" width="13.85546875" style="24" customWidth="1"/>
    <col min="46" max="46" width="11.7109375" style="26" customWidth="1"/>
    <col min="47" max="47" width="11.7109375" style="24" customWidth="1"/>
    <col min="48" max="48" width="10.5703125" style="24" bestFit="1" customWidth="1"/>
    <col min="49" max="49" width="10.5703125" style="24" customWidth="1"/>
    <col min="50" max="50" width="9.140625" style="26" bestFit="1" customWidth="1"/>
    <col min="51" max="51" width="9.140625" style="50" bestFit="1" customWidth="1"/>
    <col min="52" max="52" width="10.5703125" style="50" bestFit="1" customWidth="1"/>
    <col min="53" max="53" width="10.5703125" style="50" customWidth="1"/>
    <col min="54" max="54" width="10.7109375" style="26" bestFit="1" customWidth="1"/>
    <col min="55" max="55" width="12.85546875" style="24" bestFit="1" customWidth="1"/>
    <col min="56" max="56" width="10.5703125" style="24" bestFit="1" customWidth="1"/>
    <col min="57" max="57" width="10.5703125" style="24" customWidth="1"/>
    <col min="58" max="58" width="16" style="25" bestFit="1" customWidth="1"/>
    <col min="59" max="59" width="10.7109375" style="24" bestFit="1" customWidth="1"/>
    <col min="60" max="60" width="13" style="23" bestFit="1" customWidth="1"/>
    <col min="61" max="61" width="13" style="23" customWidth="1"/>
    <col min="62" max="16384" width="9.140625" style="23"/>
  </cols>
  <sheetData>
    <row r="1" spans="3:72" ht="15" customHeight="1" thickBot="1"/>
    <row r="2" spans="3:72" ht="21.75" thickBot="1">
      <c r="C2" s="1899" t="s">
        <v>45</v>
      </c>
      <c r="D2" s="1900"/>
      <c r="E2" s="1900"/>
      <c r="F2" s="1901"/>
      <c r="H2" s="1915"/>
      <c r="I2" s="1567"/>
      <c r="J2" s="1567"/>
      <c r="K2" s="1567"/>
      <c r="L2" s="1020"/>
      <c r="M2" s="1020"/>
      <c r="N2" s="1916" t="s">
        <v>249</v>
      </c>
      <c r="O2" s="1916"/>
      <c r="P2" s="1916"/>
      <c r="Q2" s="1916"/>
      <c r="R2" s="1916"/>
      <c r="S2" s="1916"/>
      <c r="T2" s="1916"/>
      <c r="U2" s="1916"/>
      <c r="V2" s="1916"/>
      <c r="W2" s="1916"/>
      <c r="X2" s="1916"/>
      <c r="Y2" s="1916"/>
      <c r="Z2" s="1916"/>
      <c r="AA2" s="1916"/>
      <c r="AB2" s="1916"/>
      <c r="AC2" s="1916"/>
      <c r="AD2" s="1916"/>
      <c r="AE2" s="1916"/>
      <c r="AF2" s="1916"/>
      <c r="AG2" s="1916"/>
      <c r="AH2" s="1916"/>
      <c r="AI2" s="1916"/>
      <c r="AJ2" s="1916"/>
      <c r="AK2" s="1916"/>
      <c r="AL2" s="1916"/>
      <c r="AM2" s="1916"/>
      <c r="AN2" s="1916"/>
      <c r="AO2" s="1916"/>
      <c r="AP2" s="1916"/>
      <c r="AQ2" s="1916"/>
      <c r="AR2" s="1916"/>
      <c r="AS2" s="1916"/>
      <c r="AT2" s="1916"/>
      <c r="AU2" s="1916"/>
      <c r="AV2" s="1916"/>
      <c r="AW2" s="1916"/>
      <c r="AX2" s="1916"/>
      <c r="AY2" s="1916"/>
      <c r="AZ2" s="1916"/>
      <c r="BA2" s="1020"/>
      <c r="BB2" s="1902" t="s">
        <v>118</v>
      </c>
      <c r="BC2" s="1903"/>
      <c r="BD2" s="1903"/>
      <c r="BE2" s="1903"/>
      <c r="BF2" s="1903"/>
      <c r="BG2" s="1903"/>
      <c r="BH2" s="1903"/>
      <c r="BI2" s="1904"/>
    </row>
    <row r="3" spans="3:72" ht="19.5" thickBot="1">
      <c r="C3" s="1019"/>
      <c r="D3" s="1017"/>
      <c r="E3" s="1017"/>
      <c r="F3" s="1023"/>
      <c r="H3" s="1905" t="s">
        <v>115</v>
      </c>
      <c r="I3" s="1906"/>
      <c r="J3" s="1906"/>
      <c r="K3" s="1906"/>
      <c r="L3" s="1906"/>
      <c r="M3" s="1906"/>
      <c r="N3" s="1906"/>
      <c r="O3" s="1906"/>
      <c r="P3" s="1906"/>
      <c r="Q3" s="1906"/>
      <c r="R3" s="1906"/>
      <c r="S3" s="1906"/>
      <c r="T3" s="1906"/>
      <c r="U3" s="1906"/>
      <c r="V3" s="1906"/>
      <c r="W3" s="1906"/>
      <c r="X3" s="1906"/>
      <c r="Y3" s="1906"/>
      <c r="Z3" s="1906"/>
      <c r="AA3" s="1906"/>
      <c r="AB3" s="1906"/>
      <c r="AC3" s="1906"/>
      <c r="AD3" s="1906"/>
      <c r="AE3" s="1906"/>
      <c r="AF3" s="1906"/>
      <c r="AG3" s="1906"/>
      <c r="AH3" s="1906"/>
      <c r="AI3" s="1906"/>
      <c r="AJ3" s="1906"/>
      <c r="AK3" s="1906"/>
      <c r="AL3" s="1906"/>
      <c r="AM3" s="1906"/>
      <c r="AN3" s="1906"/>
      <c r="AO3" s="1906"/>
      <c r="AP3" s="1906"/>
      <c r="AQ3" s="1906"/>
      <c r="AR3" s="1906"/>
      <c r="AS3" s="1906"/>
      <c r="AT3" s="1906"/>
      <c r="AU3" s="1906"/>
      <c r="AV3" s="1906"/>
      <c r="AW3" s="1906"/>
      <c r="AX3" s="1906"/>
      <c r="AY3" s="1906"/>
      <c r="AZ3" s="1906"/>
      <c r="BA3" s="1906"/>
      <c r="BB3" s="1906"/>
      <c r="BC3" s="1906"/>
      <c r="BD3" s="1906"/>
      <c r="BE3" s="1906"/>
      <c r="BF3" s="1906"/>
      <c r="BG3" s="1906"/>
      <c r="BH3" s="1906"/>
      <c r="BI3" s="1907"/>
    </row>
    <row r="4" spans="3:72" ht="18.75">
      <c r="C4" s="37" t="s">
        <v>44</v>
      </c>
      <c r="D4" s="1869"/>
      <c r="E4" s="1869"/>
      <c r="F4" s="1870"/>
      <c r="H4" s="1908" t="s">
        <v>33</v>
      </c>
      <c r="I4" s="1909"/>
      <c r="J4" s="1871" t="s">
        <v>43</v>
      </c>
      <c r="K4" s="1872"/>
      <c r="L4" s="1872"/>
      <c r="M4" s="1873"/>
      <c r="N4" s="1871" t="s">
        <v>42</v>
      </c>
      <c r="O4" s="1872"/>
      <c r="P4" s="1872"/>
      <c r="Q4" s="1873"/>
      <c r="R4" s="1871" t="s">
        <v>41</v>
      </c>
      <c r="S4" s="1872"/>
      <c r="T4" s="1872"/>
      <c r="U4" s="1873"/>
      <c r="V4" s="1871" t="s">
        <v>40</v>
      </c>
      <c r="W4" s="1872"/>
      <c r="X4" s="1872"/>
      <c r="Y4" s="1873"/>
      <c r="Z4" s="1871" t="s">
        <v>39</v>
      </c>
      <c r="AA4" s="1872"/>
      <c r="AB4" s="1872"/>
      <c r="AC4" s="1873"/>
      <c r="AD4" s="1871" t="s">
        <v>38</v>
      </c>
      <c r="AE4" s="1872"/>
      <c r="AF4" s="1872"/>
      <c r="AG4" s="1873"/>
      <c r="AH4" s="1874" t="s">
        <v>122</v>
      </c>
      <c r="AI4" s="1875"/>
      <c r="AJ4" s="1875"/>
      <c r="AK4" s="1876"/>
      <c r="AL4" s="1871" t="s">
        <v>37</v>
      </c>
      <c r="AM4" s="1872"/>
      <c r="AN4" s="1872"/>
      <c r="AO4" s="1873"/>
      <c r="AP4" s="1871" t="s">
        <v>36</v>
      </c>
      <c r="AQ4" s="1872"/>
      <c r="AR4" s="1872"/>
      <c r="AS4" s="1873"/>
      <c r="AT4" s="1871" t="s">
        <v>35</v>
      </c>
      <c r="AU4" s="1872"/>
      <c r="AV4" s="1872"/>
      <c r="AW4" s="1873"/>
      <c r="AX4" s="1871" t="s">
        <v>34</v>
      </c>
      <c r="AY4" s="1872"/>
      <c r="AZ4" s="1872"/>
      <c r="BA4" s="1873"/>
      <c r="BB4" s="1874" t="s">
        <v>123</v>
      </c>
      <c r="BC4" s="1875"/>
      <c r="BD4" s="1875"/>
      <c r="BE4" s="1876"/>
      <c r="BF4" s="1877" t="s">
        <v>17</v>
      </c>
      <c r="BG4" s="1878"/>
      <c r="BH4" s="1878"/>
      <c r="BI4" s="1878"/>
    </row>
    <row r="5" spans="3:72" ht="15.75" customHeight="1">
      <c r="C5" s="1879" t="s">
        <v>33</v>
      </c>
      <c r="D5" s="1869"/>
      <c r="E5" s="1017" t="s">
        <v>1</v>
      </c>
      <c r="F5" s="1023" t="s">
        <v>2</v>
      </c>
      <c r="H5" s="1910"/>
      <c r="I5" s="1911"/>
      <c r="J5" s="36" t="s">
        <v>1</v>
      </c>
      <c r="K5" s="271" t="s">
        <v>2</v>
      </c>
      <c r="L5" s="693" t="s">
        <v>182</v>
      </c>
      <c r="M5" s="35" t="s">
        <v>247</v>
      </c>
      <c r="N5" s="36" t="s">
        <v>1</v>
      </c>
      <c r="O5" s="271" t="s">
        <v>2</v>
      </c>
      <c r="P5" s="693" t="s">
        <v>182</v>
      </c>
      <c r="Q5" s="35" t="s">
        <v>247</v>
      </c>
      <c r="R5" s="36" t="s">
        <v>1</v>
      </c>
      <c r="S5" s="271" t="s">
        <v>2</v>
      </c>
      <c r="T5" s="693" t="s">
        <v>182</v>
      </c>
      <c r="U5" s="35" t="s">
        <v>247</v>
      </c>
      <c r="V5" s="36" t="s">
        <v>1</v>
      </c>
      <c r="W5" s="271" t="s">
        <v>2</v>
      </c>
      <c r="X5" s="693" t="s">
        <v>182</v>
      </c>
      <c r="Y5" s="35" t="s">
        <v>247</v>
      </c>
      <c r="Z5" s="36" t="s">
        <v>1</v>
      </c>
      <c r="AA5" s="271" t="s">
        <v>2</v>
      </c>
      <c r="AB5" s="693" t="s">
        <v>182</v>
      </c>
      <c r="AC5" s="35" t="s">
        <v>247</v>
      </c>
      <c r="AD5" s="36" t="s">
        <v>1</v>
      </c>
      <c r="AE5" s="271" t="s">
        <v>2</v>
      </c>
      <c r="AF5" s="693" t="s">
        <v>182</v>
      </c>
      <c r="AG5" s="35" t="s">
        <v>247</v>
      </c>
      <c r="AH5" s="36" t="s">
        <v>1</v>
      </c>
      <c r="AI5" s="271" t="s">
        <v>2</v>
      </c>
      <c r="AJ5" s="271" t="s">
        <v>182</v>
      </c>
      <c r="AK5" s="690" t="s">
        <v>196</v>
      </c>
      <c r="AL5" s="36" t="s">
        <v>1</v>
      </c>
      <c r="AM5" s="271" t="s">
        <v>2</v>
      </c>
      <c r="AN5" s="693" t="s">
        <v>182</v>
      </c>
      <c r="AO5" s="35" t="s">
        <v>247</v>
      </c>
      <c r="AP5" s="36" t="s">
        <v>1</v>
      </c>
      <c r="AQ5" s="271" t="s">
        <v>2</v>
      </c>
      <c r="AR5" s="693" t="s">
        <v>182</v>
      </c>
      <c r="AS5" s="35" t="s">
        <v>247</v>
      </c>
      <c r="AT5" s="36" t="s">
        <v>1</v>
      </c>
      <c r="AU5" s="271" t="s">
        <v>2</v>
      </c>
      <c r="AV5" s="693" t="s">
        <v>182</v>
      </c>
      <c r="AW5" s="35" t="s">
        <v>247</v>
      </c>
      <c r="AX5" s="36" t="s">
        <v>1</v>
      </c>
      <c r="AY5" s="271" t="s">
        <v>2</v>
      </c>
      <c r="AZ5" s="693" t="s">
        <v>182</v>
      </c>
      <c r="BA5" s="35" t="s">
        <v>247</v>
      </c>
      <c r="BB5" s="36" t="s">
        <v>1</v>
      </c>
      <c r="BC5" s="271" t="s">
        <v>2</v>
      </c>
      <c r="BD5" s="271" t="s">
        <v>182</v>
      </c>
      <c r="BE5" s="690" t="s">
        <v>196</v>
      </c>
      <c r="BF5" s="274" t="s">
        <v>1</v>
      </c>
      <c r="BG5" s="275" t="s">
        <v>2</v>
      </c>
      <c r="BH5" s="275" t="s">
        <v>182</v>
      </c>
      <c r="BI5" s="698" t="s">
        <v>196</v>
      </c>
    </row>
    <row r="6" spans="3:72" s="28" customFormat="1" ht="20.100000000000001" customHeight="1">
      <c r="C6" s="1879" t="s">
        <v>19</v>
      </c>
      <c r="D6" s="1017" t="s">
        <v>32</v>
      </c>
      <c r="E6" s="1017"/>
      <c r="F6" s="1018"/>
      <c r="H6" s="1886" t="s">
        <v>32</v>
      </c>
      <c r="I6" s="33" t="s">
        <v>32</v>
      </c>
      <c r="J6" s="462">
        <v>85</v>
      </c>
      <c r="K6" s="463">
        <f>5.2+47+18.5+10</f>
        <v>80.7</v>
      </c>
      <c r="L6" s="463">
        <v>5.2</v>
      </c>
      <c r="M6" s="691"/>
      <c r="N6" s="462">
        <v>25</v>
      </c>
      <c r="O6" s="463">
        <v>27</v>
      </c>
      <c r="P6" s="463">
        <v>27</v>
      </c>
      <c r="Q6" s="691"/>
      <c r="R6" s="462"/>
      <c r="S6" s="463"/>
      <c r="T6" s="463"/>
      <c r="U6" s="691">
        <v>5</v>
      </c>
      <c r="V6" s="462">
        <v>5</v>
      </c>
      <c r="W6" s="463">
        <v>8</v>
      </c>
      <c r="X6" s="463">
        <v>8</v>
      </c>
      <c r="Y6" s="691"/>
      <c r="Z6" s="462"/>
      <c r="AA6" s="463"/>
      <c r="AB6" s="463"/>
      <c r="AC6" s="691"/>
      <c r="AD6" s="462">
        <v>20</v>
      </c>
      <c r="AE6" s="463">
        <v>25</v>
      </c>
      <c r="AF6" s="463">
        <v>25</v>
      </c>
      <c r="AG6" s="691"/>
      <c r="AH6" s="128">
        <f>J6+N6+R6+V6+Z6+AD6</f>
        <v>135</v>
      </c>
      <c r="AI6" s="273">
        <f>K6+O6+S6+W6+AA6+AE6</f>
        <v>140.69999999999999</v>
      </c>
      <c r="AJ6" s="273">
        <f>L6+P6+T6+X6+AB6+AF6</f>
        <v>65.2</v>
      </c>
      <c r="AK6" s="694">
        <f>M6+Q6+U6+Y6+AC6+AG6</f>
        <v>5</v>
      </c>
      <c r="AL6" s="462">
        <v>172</v>
      </c>
      <c r="AM6" s="463">
        <v>3.5</v>
      </c>
      <c r="AN6" s="463">
        <v>3.5</v>
      </c>
      <c r="AO6" s="691">
        <v>8</v>
      </c>
      <c r="AP6" s="462"/>
      <c r="AQ6" s="463"/>
      <c r="AR6" s="463"/>
      <c r="AS6" s="691"/>
      <c r="AT6" s="462"/>
      <c r="AU6" s="463">
        <v>9.5</v>
      </c>
      <c r="AV6" s="463"/>
      <c r="AW6" s="691"/>
      <c r="AX6" s="462">
        <v>7</v>
      </c>
      <c r="AY6" s="463">
        <v>7</v>
      </c>
      <c r="AZ6" s="463"/>
      <c r="BA6" s="691"/>
      <c r="BB6" s="128">
        <f>AL6+AP6+AT6+AX6</f>
        <v>179</v>
      </c>
      <c r="BC6" s="273">
        <f>AM6+AQ6+AU6+AY6</f>
        <v>20</v>
      </c>
      <c r="BD6" s="273">
        <f>AN6+AR6+AV6+AZ6</f>
        <v>3.5</v>
      </c>
      <c r="BE6" s="273">
        <f>AO6+AS6+AW6+BA6</f>
        <v>8</v>
      </c>
      <c r="BF6" s="276">
        <f>AH6+BB6</f>
        <v>314</v>
      </c>
      <c r="BG6" s="277">
        <f>AI6+BC6</f>
        <v>160.69999999999999</v>
      </c>
      <c r="BH6" s="277">
        <f t="shared" ref="BH6:BI6" si="0">AJ6+BD6</f>
        <v>68.7</v>
      </c>
      <c r="BI6" s="277">
        <f t="shared" si="0"/>
        <v>13</v>
      </c>
    </row>
    <row r="7" spans="3:72" s="28" customFormat="1" ht="20.100000000000001" customHeight="1">
      <c r="C7" s="1879"/>
      <c r="D7" s="1017" t="s">
        <v>31</v>
      </c>
      <c r="E7" s="1017"/>
      <c r="F7" s="1018"/>
      <c r="H7" s="1887"/>
      <c r="I7" s="33" t="s">
        <v>31</v>
      </c>
      <c r="J7" s="462"/>
      <c r="K7" s="463"/>
      <c r="L7" s="463"/>
      <c r="M7" s="691"/>
      <c r="N7" s="462"/>
      <c r="O7" s="463"/>
      <c r="P7" s="463"/>
      <c r="Q7" s="691"/>
      <c r="R7" s="462"/>
      <c r="S7" s="463"/>
      <c r="T7" s="463"/>
      <c r="U7" s="691"/>
      <c r="V7" s="462"/>
      <c r="W7" s="463"/>
      <c r="X7" s="463"/>
      <c r="Y7" s="691"/>
      <c r="Z7" s="462"/>
      <c r="AA7" s="463"/>
      <c r="AB7" s="463"/>
      <c r="AC7" s="691"/>
      <c r="AD7" s="462"/>
      <c r="AE7" s="463"/>
      <c r="AF7" s="463"/>
      <c r="AG7" s="691"/>
      <c r="AH7" s="128">
        <f t="shared" ref="AH7:AK9" si="1">J7+N7+R7+V7+Z7+AD7</f>
        <v>0</v>
      </c>
      <c r="AI7" s="273">
        <f t="shared" si="1"/>
        <v>0</v>
      </c>
      <c r="AJ7" s="273">
        <f t="shared" si="1"/>
        <v>0</v>
      </c>
      <c r="AK7" s="694">
        <f t="shared" si="1"/>
        <v>0</v>
      </c>
      <c r="AL7" s="462"/>
      <c r="AM7" s="463"/>
      <c r="AN7" s="463"/>
      <c r="AO7" s="691"/>
      <c r="AP7" s="462"/>
      <c r="AQ7" s="463"/>
      <c r="AR7" s="463"/>
      <c r="AS7" s="691"/>
      <c r="AT7" s="462"/>
      <c r="AU7" s="463"/>
      <c r="AV7" s="463"/>
      <c r="AW7" s="691"/>
      <c r="AX7" s="462"/>
      <c r="AY7" s="463"/>
      <c r="AZ7" s="463"/>
      <c r="BA7" s="691"/>
      <c r="BB7" s="128">
        <f t="shared" ref="BB7:BE9" si="2">AL7+AP7+AT7+AX7</f>
        <v>0</v>
      </c>
      <c r="BC7" s="273">
        <f t="shared" si="2"/>
        <v>0</v>
      </c>
      <c r="BD7" s="273">
        <f t="shared" si="2"/>
        <v>0</v>
      </c>
      <c r="BE7" s="273">
        <f t="shared" si="2"/>
        <v>0</v>
      </c>
      <c r="BF7" s="276">
        <f t="shared" ref="BF7:BI9" si="3">AH7+BB7</f>
        <v>0</v>
      </c>
      <c r="BG7" s="277">
        <f t="shared" si="3"/>
        <v>0</v>
      </c>
      <c r="BH7" s="277">
        <f t="shared" si="3"/>
        <v>0</v>
      </c>
      <c r="BI7" s="699">
        <f t="shared" si="3"/>
        <v>0</v>
      </c>
    </row>
    <row r="8" spans="3:72" s="28" customFormat="1" ht="20.100000000000001" customHeight="1">
      <c r="C8" s="1879"/>
      <c r="D8" s="1017" t="s">
        <v>30</v>
      </c>
      <c r="E8" s="1017"/>
      <c r="F8" s="1018"/>
      <c r="H8" s="1887"/>
      <c r="I8" s="33" t="s">
        <v>30</v>
      </c>
      <c r="J8" s="462">
        <v>15</v>
      </c>
      <c r="K8" s="463"/>
      <c r="L8" s="463"/>
      <c r="M8" s="691"/>
      <c r="N8" s="462"/>
      <c r="O8" s="463"/>
      <c r="P8" s="463"/>
      <c r="Q8" s="691"/>
      <c r="R8" s="462"/>
      <c r="S8" s="463"/>
      <c r="T8" s="463"/>
      <c r="U8" s="691"/>
      <c r="V8" s="462"/>
      <c r="W8" s="463"/>
      <c r="X8" s="463"/>
      <c r="Y8" s="691"/>
      <c r="Z8" s="462"/>
      <c r="AA8" s="463"/>
      <c r="AB8" s="463"/>
      <c r="AC8" s="691"/>
      <c r="AD8" s="462"/>
      <c r="AE8" s="463"/>
      <c r="AF8" s="463"/>
      <c r="AG8" s="691"/>
      <c r="AH8" s="128">
        <f t="shared" si="1"/>
        <v>15</v>
      </c>
      <c r="AI8" s="273">
        <f t="shared" si="1"/>
        <v>0</v>
      </c>
      <c r="AJ8" s="273">
        <f t="shared" si="1"/>
        <v>0</v>
      </c>
      <c r="AK8" s="694">
        <f t="shared" si="1"/>
        <v>0</v>
      </c>
      <c r="AL8" s="462"/>
      <c r="AM8" s="463"/>
      <c r="AN8" s="463"/>
      <c r="AO8" s="691"/>
      <c r="AP8" s="462"/>
      <c r="AQ8" s="463"/>
      <c r="AR8" s="463"/>
      <c r="AS8" s="691"/>
      <c r="AT8" s="462"/>
      <c r="AU8" s="463"/>
      <c r="AV8" s="463"/>
      <c r="AW8" s="691"/>
      <c r="AX8" s="462"/>
      <c r="AY8" s="463">
        <v>10</v>
      </c>
      <c r="AZ8" s="463">
        <v>10</v>
      </c>
      <c r="BA8" s="691"/>
      <c r="BB8" s="128">
        <f t="shared" si="2"/>
        <v>0</v>
      </c>
      <c r="BC8" s="273">
        <f t="shared" si="2"/>
        <v>10</v>
      </c>
      <c r="BD8" s="273">
        <f t="shared" si="2"/>
        <v>10</v>
      </c>
      <c r="BE8" s="273">
        <f t="shared" si="2"/>
        <v>0</v>
      </c>
      <c r="BF8" s="276">
        <f t="shared" si="3"/>
        <v>15</v>
      </c>
      <c r="BG8" s="277">
        <f t="shared" si="3"/>
        <v>10</v>
      </c>
      <c r="BH8" s="277">
        <f t="shared" si="3"/>
        <v>10</v>
      </c>
      <c r="BI8" s="699">
        <f t="shared" si="3"/>
        <v>0</v>
      </c>
    </row>
    <row r="9" spans="3:72" s="28" customFormat="1" ht="20.100000000000001" customHeight="1">
      <c r="C9" s="1885"/>
      <c r="D9" s="1017" t="s">
        <v>29</v>
      </c>
      <c r="E9" s="1017"/>
      <c r="F9" s="1018"/>
      <c r="H9" s="1887"/>
      <c r="I9" s="33" t="s">
        <v>109</v>
      </c>
      <c r="J9" s="462"/>
      <c r="K9" s="463"/>
      <c r="L9" s="463"/>
      <c r="M9" s="691"/>
      <c r="N9" s="462">
        <v>5</v>
      </c>
      <c r="O9" s="463"/>
      <c r="P9" s="463"/>
      <c r="Q9" s="691"/>
      <c r="R9" s="462"/>
      <c r="S9" s="463">
        <v>1.5</v>
      </c>
      <c r="T9" s="463">
        <v>1.5</v>
      </c>
      <c r="U9" s="691"/>
      <c r="V9" s="462">
        <v>5</v>
      </c>
      <c r="W9" s="463">
        <v>1</v>
      </c>
      <c r="X9" s="463">
        <v>1</v>
      </c>
      <c r="Y9" s="691"/>
      <c r="Z9" s="462"/>
      <c r="AA9" s="463"/>
      <c r="AB9" s="463"/>
      <c r="AC9" s="691"/>
      <c r="AD9" s="462"/>
      <c r="AE9" s="463"/>
      <c r="AF9" s="463"/>
      <c r="AG9" s="691"/>
      <c r="AH9" s="128">
        <f t="shared" si="1"/>
        <v>10</v>
      </c>
      <c r="AI9" s="273">
        <f t="shared" si="1"/>
        <v>2.5</v>
      </c>
      <c r="AJ9" s="273">
        <f t="shared" si="1"/>
        <v>2.5</v>
      </c>
      <c r="AK9" s="694">
        <f t="shared" si="1"/>
        <v>0</v>
      </c>
      <c r="AL9" s="462"/>
      <c r="AM9" s="463">
        <v>1</v>
      </c>
      <c r="AN9" s="463">
        <v>1</v>
      </c>
      <c r="AO9" s="691"/>
      <c r="AP9" s="462">
        <v>2</v>
      </c>
      <c r="AQ9" s="463"/>
      <c r="AR9" s="463"/>
      <c r="AS9" s="691"/>
      <c r="AT9" s="462"/>
      <c r="AU9" s="463">
        <v>3</v>
      </c>
      <c r="AV9" s="463"/>
      <c r="AW9" s="691"/>
      <c r="AX9" s="462"/>
      <c r="AY9" s="463"/>
      <c r="AZ9" s="463"/>
      <c r="BA9" s="691"/>
      <c r="BB9" s="128">
        <f t="shared" si="2"/>
        <v>2</v>
      </c>
      <c r="BC9" s="273">
        <f t="shared" si="2"/>
        <v>4</v>
      </c>
      <c r="BD9" s="273">
        <f t="shared" si="2"/>
        <v>1</v>
      </c>
      <c r="BE9" s="273">
        <f t="shared" si="2"/>
        <v>0</v>
      </c>
      <c r="BF9" s="276">
        <f t="shared" si="3"/>
        <v>12</v>
      </c>
      <c r="BG9" s="277">
        <f t="shared" si="3"/>
        <v>6.5</v>
      </c>
      <c r="BH9" s="277">
        <f t="shared" si="3"/>
        <v>3.5</v>
      </c>
      <c r="BI9" s="699">
        <f t="shared" si="3"/>
        <v>0</v>
      </c>
    </row>
    <row r="10" spans="3:72" s="28" customFormat="1" ht="19.5" customHeight="1" thickBot="1">
      <c r="C10" s="32"/>
      <c r="D10" s="31" t="s">
        <v>18</v>
      </c>
      <c r="E10" s="31"/>
      <c r="F10" s="30"/>
      <c r="H10" s="1865" t="s">
        <v>47</v>
      </c>
      <c r="I10" s="1866"/>
      <c r="J10" s="118">
        <f t="shared" ref="J10:BG10" si="4">SUM(J6:J9)</f>
        <v>100</v>
      </c>
      <c r="K10" s="272">
        <f t="shared" si="4"/>
        <v>80.7</v>
      </c>
      <c r="L10" s="272">
        <f t="shared" si="4"/>
        <v>5.2</v>
      </c>
      <c r="M10" s="272">
        <f t="shared" si="4"/>
        <v>0</v>
      </c>
      <c r="N10" s="118">
        <f t="shared" si="4"/>
        <v>30</v>
      </c>
      <c r="O10" s="272">
        <f t="shared" si="4"/>
        <v>27</v>
      </c>
      <c r="P10" s="272">
        <f t="shared" si="4"/>
        <v>27</v>
      </c>
      <c r="Q10" s="272">
        <f t="shared" si="4"/>
        <v>0</v>
      </c>
      <c r="R10" s="118">
        <f t="shared" si="4"/>
        <v>0</v>
      </c>
      <c r="S10" s="272">
        <f t="shared" si="4"/>
        <v>1.5</v>
      </c>
      <c r="T10" s="272">
        <f t="shared" si="4"/>
        <v>1.5</v>
      </c>
      <c r="U10" s="272">
        <f t="shared" si="4"/>
        <v>5</v>
      </c>
      <c r="V10" s="118">
        <f t="shared" si="4"/>
        <v>10</v>
      </c>
      <c r="W10" s="272">
        <f t="shared" si="4"/>
        <v>9</v>
      </c>
      <c r="X10" s="272">
        <f t="shared" si="4"/>
        <v>9</v>
      </c>
      <c r="Y10" s="272">
        <f t="shared" si="4"/>
        <v>0</v>
      </c>
      <c r="Z10" s="118">
        <f t="shared" si="4"/>
        <v>0</v>
      </c>
      <c r="AA10" s="272">
        <f t="shared" si="4"/>
        <v>0</v>
      </c>
      <c r="AB10" s="272">
        <f t="shared" si="4"/>
        <v>0</v>
      </c>
      <c r="AC10" s="272">
        <f t="shared" si="4"/>
        <v>0</v>
      </c>
      <c r="AD10" s="118">
        <f t="shared" si="4"/>
        <v>20</v>
      </c>
      <c r="AE10" s="272">
        <f t="shared" si="4"/>
        <v>25</v>
      </c>
      <c r="AF10" s="272">
        <f t="shared" si="4"/>
        <v>25</v>
      </c>
      <c r="AG10" s="272">
        <f t="shared" si="4"/>
        <v>0</v>
      </c>
      <c r="AH10" s="118">
        <f t="shared" si="4"/>
        <v>160</v>
      </c>
      <c r="AI10" s="272">
        <f t="shared" si="4"/>
        <v>143.19999999999999</v>
      </c>
      <c r="AJ10" s="272">
        <f>SUM(AJ6:AJ9)</f>
        <v>67.7</v>
      </c>
      <c r="AK10" s="695">
        <f>SUM(AK6:AK9)</f>
        <v>5</v>
      </c>
      <c r="AL10" s="118">
        <f t="shared" si="4"/>
        <v>172</v>
      </c>
      <c r="AM10" s="272">
        <f t="shared" si="4"/>
        <v>4.5</v>
      </c>
      <c r="AN10" s="272">
        <f t="shared" si="4"/>
        <v>4.5</v>
      </c>
      <c r="AO10" s="272">
        <f t="shared" si="4"/>
        <v>8</v>
      </c>
      <c r="AP10" s="118">
        <f t="shared" si="4"/>
        <v>2</v>
      </c>
      <c r="AQ10" s="272">
        <f t="shared" si="4"/>
        <v>0</v>
      </c>
      <c r="AR10" s="272">
        <f t="shared" si="4"/>
        <v>0</v>
      </c>
      <c r="AS10" s="272">
        <f t="shared" si="4"/>
        <v>0</v>
      </c>
      <c r="AT10" s="118">
        <f t="shared" si="4"/>
        <v>0</v>
      </c>
      <c r="AU10" s="272">
        <f t="shared" si="4"/>
        <v>12.5</v>
      </c>
      <c r="AV10" s="272">
        <f t="shared" si="4"/>
        <v>0</v>
      </c>
      <c r="AW10" s="272">
        <f t="shared" si="4"/>
        <v>0</v>
      </c>
      <c r="AX10" s="118">
        <f t="shared" si="4"/>
        <v>7</v>
      </c>
      <c r="AY10" s="272">
        <f t="shared" si="4"/>
        <v>17</v>
      </c>
      <c r="AZ10" s="272">
        <f t="shared" si="4"/>
        <v>10</v>
      </c>
      <c r="BA10" s="272">
        <f t="shared" si="4"/>
        <v>0</v>
      </c>
      <c r="BB10" s="118">
        <f t="shared" si="4"/>
        <v>181</v>
      </c>
      <c r="BC10" s="272">
        <f t="shared" si="4"/>
        <v>34</v>
      </c>
      <c r="BD10" s="272">
        <f t="shared" si="4"/>
        <v>14.5</v>
      </c>
      <c r="BE10" s="272">
        <f t="shared" si="4"/>
        <v>8</v>
      </c>
      <c r="BF10" s="278">
        <f t="shared" si="4"/>
        <v>341</v>
      </c>
      <c r="BG10" s="279">
        <f t="shared" si="4"/>
        <v>177.2</v>
      </c>
      <c r="BH10" s="702">
        <f>AJ10+BD10</f>
        <v>82.2</v>
      </c>
      <c r="BI10" s="700">
        <f>AK10+BE10</f>
        <v>13</v>
      </c>
    </row>
    <row r="11" spans="3:72" s="119" customFormat="1" ht="5.25" customHeight="1">
      <c r="D11" s="120"/>
      <c r="E11" s="120"/>
      <c r="F11" s="120"/>
      <c r="H11" s="122"/>
      <c r="I11" s="122"/>
      <c r="J11" s="125"/>
      <c r="K11" s="126"/>
      <c r="L11" s="126"/>
      <c r="M11" s="126"/>
      <c r="N11" s="125"/>
      <c r="O11" s="126"/>
      <c r="P11" s="126"/>
      <c r="Q11" s="126"/>
      <c r="R11" s="125"/>
      <c r="S11" s="126"/>
      <c r="T11" s="126"/>
      <c r="U11" s="126"/>
      <c r="V11" s="125"/>
      <c r="W11" s="126"/>
      <c r="X11" s="126"/>
      <c r="Y11" s="126"/>
      <c r="Z11" s="125"/>
      <c r="AA11" s="126"/>
      <c r="AB11" s="126"/>
      <c r="AC11" s="126"/>
      <c r="AD11" s="125"/>
      <c r="AE11" s="126"/>
      <c r="AF11" s="126"/>
      <c r="AG11" s="126"/>
      <c r="AH11" s="125"/>
      <c r="AI11" s="126"/>
      <c r="AJ11" s="126"/>
      <c r="AK11" s="126"/>
      <c r="AL11" s="125"/>
      <c r="AM11" s="126"/>
      <c r="AN11" s="126"/>
      <c r="AO11" s="126"/>
      <c r="AP11" s="125"/>
      <c r="AQ11" s="126"/>
      <c r="AR11" s="126"/>
      <c r="AS11" s="126"/>
      <c r="AT11" s="125"/>
      <c r="AU11" s="126"/>
      <c r="AV11" s="126"/>
      <c r="AW11" s="126"/>
      <c r="AX11" s="125"/>
      <c r="AY11" s="126"/>
      <c r="AZ11" s="126"/>
      <c r="BA11" s="126"/>
      <c r="BB11" s="125"/>
      <c r="BC11" s="126"/>
      <c r="BD11" s="126"/>
      <c r="BE11" s="126"/>
      <c r="BF11" s="125"/>
      <c r="BG11" s="126"/>
    </row>
    <row r="12" spans="3:72" ht="19.5" thickBot="1">
      <c r="C12" s="1019"/>
      <c r="D12" s="1017"/>
      <c r="E12" s="1017"/>
      <c r="F12" s="1023"/>
      <c r="H12" s="1867" t="s">
        <v>114</v>
      </c>
      <c r="I12" s="1868"/>
      <c r="J12" s="1868"/>
      <c r="K12" s="1868"/>
      <c r="L12" s="1868"/>
      <c r="M12" s="1868"/>
      <c r="N12" s="1868"/>
      <c r="O12" s="1868"/>
      <c r="P12" s="1868"/>
      <c r="Q12" s="1868"/>
      <c r="R12" s="1868"/>
      <c r="S12" s="1868"/>
      <c r="T12" s="1868"/>
      <c r="U12" s="1868"/>
      <c r="V12" s="1868"/>
      <c r="W12" s="1868"/>
      <c r="X12" s="1868"/>
      <c r="Y12" s="1868"/>
      <c r="Z12" s="1868"/>
      <c r="AA12" s="1868"/>
      <c r="AB12" s="1868"/>
      <c r="AC12" s="1868"/>
      <c r="AD12" s="1868"/>
      <c r="AE12" s="1868"/>
      <c r="AF12" s="1868"/>
      <c r="AG12" s="1868"/>
      <c r="AH12" s="1868"/>
      <c r="AI12" s="1868"/>
      <c r="AJ12" s="1868"/>
      <c r="AK12" s="1868"/>
      <c r="AL12" s="1868"/>
      <c r="AM12" s="1868"/>
      <c r="AN12" s="1868"/>
      <c r="AO12" s="1868"/>
      <c r="AP12" s="1868"/>
      <c r="AQ12" s="1868"/>
      <c r="AR12" s="1868"/>
      <c r="AS12" s="1868"/>
      <c r="AT12" s="1868"/>
      <c r="AU12" s="1868"/>
      <c r="AV12" s="1868"/>
      <c r="AW12" s="1868"/>
      <c r="AX12" s="1868"/>
      <c r="AY12" s="1868"/>
      <c r="AZ12" s="1868"/>
      <c r="BA12" s="1868"/>
      <c r="BB12" s="1868"/>
      <c r="BC12" s="1868"/>
      <c r="BD12" s="1868"/>
      <c r="BE12" s="1868"/>
      <c r="BF12" s="1868"/>
      <c r="BG12" s="1868"/>
      <c r="BH12" s="1868"/>
      <c r="BI12" s="1868"/>
    </row>
    <row r="13" spans="3:72" ht="18.75" customHeight="1">
      <c r="C13" s="37" t="s">
        <v>44</v>
      </c>
      <c r="D13" s="1869"/>
      <c r="E13" s="1869"/>
      <c r="F13" s="1870"/>
      <c r="H13" s="1895" t="s">
        <v>117</v>
      </c>
      <c r="I13" s="1896"/>
      <c r="J13" s="1890" t="s">
        <v>43</v>
      </c>
      <c r="K13" s="1891"/>
      <c r="L13" s="1891"/>
      <c r="M13" s="1892"/>
      <c r="N13" s="1890" t="s">
        <v>42</v>
      </c>
      <c r="O13" s="1891"/>
      <c r="P13" s="1891"/>
      <c r="Q13" s="1892"/>
      <c r="R13" s="1890" t="s">
        <v>41</v>
      </c>
      <c r="S13" s="1891"/>
      <c r="T13" s="1891"/>
      <c r="U13" s="1892"/>
      <c r="V13" s="1890" t="s">
        <v>40</v>
      </c>
      <c r="W13" s="1891"/>
      <c r="X13" s="1891"/>
      <c r="Y13" s="1892"/>
      <c r="Z13" s="1890" t="s">
        <v>39</v>
      </c>
      <c r="AA13" s="1891"/>
      <c r="AB13" s="1891"/>
      <c r="AC13" s="1892"/>
      <c r="AD13" s="1890" t="s">
        <v>38</v>
      </c>
      <c r="AE13" s="1891"/>
      <c r="AF13" s="1891"/>
      <c r="AG13" s="1892"/>
      <c r="AH13" s="1882" t="s">
        <v>122</v>
      </c>
      <c r="AI13" s="1883"/>
      <c r="AJ13" s="1883"/>
      <c r="AK13" s="1884"/>
      <c r="AL13" s="1890" t="s">
        <v>37</v>
      </c>
      <c r="AM13" s="1891"/>
      <c r="AN13" s="1891"/>
      <c r="AO13" s="1892"/>
      <c r="AP13" s="1890" t="s">
        <v>36</v>
      </c>
      <c r="AQ13" s="1891"/>
      <c r="AR13" s="1891"/>
      <c r="AS13" s="1892"/>
      <c r="AT13" s="1890" t="s">
        <v>35</v>
      </c>
      <c r="AU13" s="1891"/>
      <c r="AV13" s="1891"/>
      <c r="AW13" s="1892"/>
      <c r="AX13" s="1890" t="s">
        <v>34</v>
      </c>
      <c r="AY13" s="1891"/>
      <c r="AZ13" s="1891"/>
      <c r="BA13" s="1892"/>
      <c r="BB13" s="1882" t="s">
        <v>123</v>
      </c>
      <c r="BC13" s="1883"/>
      <c r="BD13" s="1883"/>
      <c r="BE13" s="1884"/>
      <c r="BF13" s="1880" t="s">
        <v>17</v>
      </c>
      <c r="BG13" s="1881"/>
      <c r="BH13" s="1881"/>
      <c r="BI13" s="1881"/>
      <c r="BS13" s="701">
        <f>AJ6+BD6</f>
        <v>68.7</v>
      </c>
      <c r="BT13" s="699">
        <f>AK6+BE6</f>
        <v>13</v>
      </c>
    </row>
    <row r="14" spans="3:72" ht="27" customHeight="1">
      <c r="C14" s="1879" t="s">
        <v>33</v>
      </c>
      <c r="D14" s="1869"/>
      <c r="E14" s="1017" t="s">
        <v>1</v>
      </c>
      <c r="F14" s="1023" t="s">
        <v>2</v>
      </c>
      <c r="H14" s="1897"/>
      <c r="I14" s="1898"/>
      <c r="J14" s="36" t="s">
        <v>1</v>
      </c>
      <c r="K14" s="271" t="s">
        <v>2</v>
      </c>
      <c r="L14" s="271" t="s">
        <v>182</v>
      </c>
      <c r="M14" s="35" t="s">
        <v>247</v>
      </c>
      <c r="N14" s="36" t="s">
        <v>1</v>
      </c>
      <c r="O14" s="271" t="s">
        <v>2</v>
      </c>
      <c r="P14" s="271" t="s">
        <v>182</v>
      </c>
      <c r="Q14" s="35" t="s">
        <v>247</v>
      </c>
      <c r="R14" s="36" t="s">
        <v>1</v>
      </c>
      <c r="S14" s="271" t="s">
        <v>2</v>
      </c>
      <c r="T14" s="271" t="s">
        <v>182</v>
      </c>
      <c r="U14" s="35" t="s">
        <v>247</v>
      </c>
      <c r="V14" s="36" t="s">
        <v>1</v>
      </c>
      <c r="W14" s="271" t="s">
        <v>2</v>
      </c>
      <c r="X14" s="271" t="s">
        <v>182</v>
      </c>
      <c r="Y14" s="35" t="s">
        <v>247</v>
      </c>
      <c r="Z14" s="36" t="s">
        <v>1</v>
      </c>
      <c r="AA14" s="271" t="s">
        <v>2</v>
      </c>
      <c r="AB14" s="271" t="s">
        <v>182</v>
      </c>
      <c r="AC14" s="35" t="s">
        <v>247</v>
      </c>
      <c r="AD14" s="36" t="s">
        <v>1</v>
      </c>
      <c r="AE14" s="271" t="s">
        <v>2</v>
      </c>
      <c r="AF14" s="271" t="s">
        <v>182</v>
      </c>
      <c r="AG14" s="35" t="s">
        <v>247</v>
      </c>
      <c r="AH14" s="36" t="s">
        <v>1</v>
      </c>
      <c r="AI14" s="271" t="s">
        <v>2</v>
      </c>
      <c r="AJ14" s="271" t="s">
        <v>182</v>
      </c>
      <c r="AK14" s="690" t="s">
        <v>196</v>
      </c>
      <c r="AL14" s="36" t="s">
        <v>1</v>
      </c>
      <c r="AM14" s="271" t="s">
        <v>2</v>
      </c>
      <c r="AN14" s="271" t="s">
        <v>182</v>
      </c>
      <c r="AO14" s="35" t="s">
        <v>247</v>
      </c>
      <c r="AP14" s="36" t="s">
        <v>1</v>
      </c>
      <c r="AQ14" s="271" t="s">
        <v>2</v>
      </c>
      <c r="AR14" s="271" t="s">
        <v>182</v>
      </c>
      <c r="AS14" s="35" t="s">
        <v>247</v>
      </c>
      <c r="AT14" s="36" t="s">
        <v>1</v>
      </c>
      <c r="AU14" s="271" t="s">
        <v>2</v>
      </c>
      <c r="AV14" s="271" t="s">
        <v>182</v>
      </c>
      <c r="AW14" s="35" t="s">
        <v>247</v>
      </c>
      <c r="AX14" s="36" t="s">
        <v>1</v>
      </c>
      <c r="AY14" s="271" t="s">
        <v>2</v>
      </c>
      <c r="AZ14" s="271" t="s">
        <v>182</v>
      </c>
      <c r="BA14" s="35" t="s">
        <v>247</v>
      </c>
      <c r="BB14" s="36" t="s">
        <v>1</v>
      </c>
      <c r="BC14" s="271" t="s">
        <v>2</v>
      </c>
      <c r="BD14" s="271" t="s">
        <v>182</v>
      </c>
      <c r="BE14" s="690" t="s">
        <v>196</v>
      </c>
      <c r="BF14" s="274" t="s">
        <v>1</v>
      </c>
      <c r="BG14" s="275" t="s">
        <v>2</v>
      </c>
      <c r="BH14" s="275" t="s">
        <v>182</v>
      </c>
      <c r="BI14" s="703" t="s">
        <v>196</v>
      </c>
    </row>
    <row r="15" spans="3:72" s="28" customFormat="1" ht="20.100000000000001" customHeight="1">
      <c r="C15" s="1879" t="s">
        <v>28</v>
      </c>
      <c r="D15" s="1017" t="s">
        <v>27</v>
      </c>
      <c r="E15" s="1021"/>
      <c r="F15" s="34"/>
      <c r="H15" s="1888" t="s">
        <v>112</v>
      </c>
      <c r="I15" s="33" t="s">
        <v>27</v>
      </c>
      <c r="J15" s="462"/>
      <c r="K15" s="463"/>
      <c r="L15" s="463"/>
      <c r="M15" s="692"/>
      <c r="N15" s="462"/>
      <c r="O15" s="463"/>
      <c r="P15" s="463"/>
      <c r="Q15" s="692"/>
      <c r="R15" s="462"/>
      <c r="S15" s="463"/>
      <c r="T15" s="463"/>
      <c r="U15" s="692"/>
      <c r="V15" s="462"/>
      <c r="W15" s="463"/>
      <c r="X15" s="463"/>
      <c r="Y15" s="692"/>
      <c r="Z15" s="462"/>
      <c r="AA15" s="463"/>
      <c r="AB15" s="463"/>
      <c r="AC15" s="692"/>
      <c r="AD15" s="462"/>
      <c r="AE15" s="463"/>
      <c r="AF15" s="463"/>
      <c r="AG15" s="692"/>
      <c r="AH15" s="128">
        <f>J15+N15+R15+V15+Z15+AD15</f>
        <v>0</v>
      </c>
      <c r="AI15" s="273">
        <f>K15+O15+S15+W15+AA15+AE15</f>
        <v>0</v>
      </c>
      <c r="AJ15" s="273">
        <f>L15+P15+T15+X15+AB15+AF15</f>
        <v>0</v>
      </c>
      <c r="AK15" s="694">
        <f>M15+Q15+U15+Y15+AC15+AG15</f>
        <v>0</v>
      </c>
      <c r="AL15" s="462"/>
      <c r="AM15" s="463"/>
      <c r="AN15" s="463"/>
      <c r="AO15" s="692"/>
      <c r="AP15" s="462"/>
      <c r="AQ15" s="463"/>
      <c r="AR15" s="463"/>
      <c r="AS15" s="692"/>
      <c r="AT15" s="462"/>
      <c r="AU15" s="463"/>
      <c r="AV15" s="463"/>
      <c r="AW15" s="692"/>
      <c r="AX15" s="462"/>
      <c r="AY15" s="463"/>
      <c r="AZ15" s="463"/>
      <c r="BA15" s="692"/>
      <c r="BB15" s="128">
        <f>AL15+AP15+AT15+AX15</f>
        <v>0</v>
      </c>
      <c r="BC15" s="273">
        <f>AM15+AQ15+AU15+AY15</f>
        <v>0</v>
      </c>
      <c r="BD15" s="273">
        <f>AN15+AR15+AV15+AZ15</f>
        <v>0</v>
      </c>
      <c r="BE15" s="273">
        <f>AO15+AS15+AW15+BA15</f>
        <v>0</v>
      </c>
      <c r="BF15" s="276">
        <f t="shared" ref="BF15:BI23" si="5">AH15+BB15</f>
        <v>0</v>
      </c>
      <c r="BG15" s="277">
        <f t="shared" si="5"/>
        <v>0</v>
      </c>
      <c r="BH15" s="277">
        <f t="shared" si="5"/>
        <v>0</v>
      </c>
      <c r="BI15" s="704">
        <f t="shared" si="5"/>
        <v>0</v>
      </c>
    </row>
    <row r="16" spans="3:72" s="28" customFormat="1" ht="20.100000000000001" customHeight="1">
      <c r="C16" s="1879"/>
      <c r="D16" s="1017" t="s">
        <v>26</v>
      </c>
      <c r="E16" s="1017"/>
      <c r="F16" s="1018"/>
      <c r="H16" s="1889"/>
      <c r="I16" s="33" t="s">
        <v>26</v>
      </c>
      <c r="J16" s="462"/>
      <c r="K16" s="463"/>
      <c r="L16" s="463"/>
      <c r="M16" s="692"/>
      <c r="N16" s="462"/>
      <c r="O16" s="463"/>
      <c r="P16" s="463"/>
      <c r="Q16" s="692"/>
      <c r="R16" s="462"/>
      <c r="S16" s="463"/>
      <c r="T16" s="463"/>
      <c r="U16" s="692"/>
      <c r="V16" s="462"/>
      <c r="W16" s="463"/>
      <c r="X16" s="463"/>
      <c r="Y16" s="692"/>
      <c r="Z16" s="462"/>
      <c r="AA16" s="463"/>
      <c r="AB16" s="463"/>
      <c r="AC16" s="692"/>
      <c r="AD16" s="462"/>
      <c r="AE16" s="463"/>
      <c r="AF16" s="463"/>
      <c r="AG16" s="692"/>
      <c r="AH16" s="128">
        <f t="shared" ref="AH16:AK23" si="6">J16+N16+R16+V16+Z16+AD16</f>
        <v>0</v>
      </c>
      <c r="AI16" s="273">
        <f t="shared" si="6"/>
        <v>0</v>
      </c>
      <c r="AJ16" s="273">
        <f t="shared" si="6"/>
        <v>0</v>
      </c>
      <c r="AK16" s="694">
        <f t="shared" si="6"/>
        <v>0</v>
      </c>
      <c r="AL16" s="462"/>
      <c r="AM16" s="463"/>
      <c r="AN16" s="463"/>
      <c r="AO16" s="692"/>
      <c r="AP16" s="462"/>
      <c r="AQ16" s="463"/>
      <c r="AR16" s="463"/>
      <c r="AS16" s="692"/>
      <c r="AT16" s="462"/>
      <c r="AU16" s="463"/>
      <c r="AV16" s="463"/>
      <c r="AW16" s="692"/>
      <c r="AX16" s="462"/>
      <c r="AY16" s="463"/>
      <c r="AZ16" s="463"/>
      <c r="BA16" s="692"/>
      <c r="BB16" s="128">
        <f t="shared" ref="BB16:BE23" si="7">AL16+AP16+AT16+AX16</f>
        <v>0</v>
      </c>
      <c r="BC16" s="273">
        <f t="shared" si="7"/>
        <v>0</v>
      </c>
      <c r="BD16" s="273">
        <f t="shared" si="7"/>
        <v>0</v>
      </c>
      <c r="BE16" s="273">
        <f t="shared" si="7"/>
        <v>0</v>
      </c>
      <c r="BF16" s="276">
        <f t="shared" si="5"/>
        <v>0</v>
      </c>
      <c r="BG16" s="277">
        <f t="shared" si="5"/>
        <v>0</v>
      </c>
      <c r="BH16" s="277">
        <f t="shared" si="5"/>
        <v>0</v>
      </c>
      <c r="BI16" s="704">
        <f t="shared" si="5"/>
        <v>0</v>
      </c>
    </row>
    <row r="17" spans="3:61" s="28" customFormat="1" ht="23.25" customHeight="1">
      <c r="C17" s="1879"/>
      <c r="D17" s="1017" t="s">
        <v>25</v>
      </c>
      <c r="E17" s="1017"/>
      <c r="F17" s="1018"/>
      <c r="H17" s="1889"/>
      <c r="I17" s="33" t="s">
        <v>25</v>
      </c>
      <c r="J17" s="462"/>
      <c r="K17" s="463"/>
      <c r="L17" s="463"/>
      <c r="M17" s="692"/>
      <c r="N17" s="462"/>
      <c r="O17" s="463"/>
      <c r="P17" s="463"/>
      <c r="Q17" s="692"/>
      <c r="R17" s="462"/>
      <c r="S17" s="463"/>
      <c r="T17" s="463"/>
      <c r="U17" s="692"/>
      <c r="V17" s="462"/>
      <c r="W17" s="463"/>
      <c r="X17" s="463"/>
      <c r="Y17" s="692"/>
      <c r="Z17" s="462"/>
      <c r="AA17" s="463"/>
      <c r="AB17" s="463"/>
      <c r="AC17" s="692"/>
      <c r="AD17" s="462"/>
      <c r="AE17" s="463"/>
      <c r="AF17" s="463"/>
      <c r="AG17" s="692"/>
      <c r="AH17" s="128">
        <f t="shared" si="6"/>
        <v>0</v>
      </c>
      <c r="AI17" s="273">
        <f t="shared" si="6"/>
        <v>0</v>
      </c>
      <c r="AJ17" s="273">
        <f t="shared" si="6"/>
        <v>0</v>
      </c>
      <c r="AK17" s="694">
        <f t="shared" si="6"/>
        <v>0</v>
      </c>
      <c r="AL17" s="462"/>
      <c r="AM17" s="463"/>
      <c r="AN17" s="463"/>
      <c r="AO17" s="692"/>
      <c r="AP17" s="462"/>
      <c r="AQ17" s="463"/>
      <c r="AR17" s="463"/>
      <c r="AS17" s="692"/>
      <c r="AT17" s="462">
        <v>9.5</v>
      </c>
      <c r="AU17" s="463"/>
      <c r="AV17" s="463"/>
      <c r="AW17" s="692"/>
      <c r="AX17" s="462"/>
      <c r="AY17" s="463"/>
      <c r="AZ17" s="463"/>
      <c r="BA17" s="692"/>
      <c r="BB17" s="128">
        <f t="shared" si="7"/>
        <v>9.5</v>
      </c>
      <c r="BC17" s="273">
        <f t="shared" si="7"/>
        <v>0</v>
      </c>
      <c r="BD17" s="273">
        <f t="shared" si="7"/>
        <v>0</v>
      </c>
      <c r="BE17" s="273">
        <f t="shared" si="7"/>
        <v>0</v>
      </c>
      <c r="BF17" s="276">
        <f t="shared" si="5"/>
        <v>9.5</v>
      </c>
      <c r="BG17" s="277">
        <f t="shared" si="5"/>
        <v>0</v>
      </c>
      <c r="BH17" s="277">
        <f t="shared" si="5"/>
        <v>0</v>
      </c>
      <c r="BI17" s="704">
        <f t="shared" si="5"/>
        <v>0</v>
      </c>
    </row>
    <row r="18" spans="3:61" s="28" customFormat="1" ht="21">
      <c r="C18" s="1879"/>
      <c r="D18" s="1017" t="s">
        <v>24</v>
      </c>
      <c r="E18" s="1017"/>
      <c r="F18" s="1018"/>
      <c r="H18" s="1889"/>
      <c r="I18" s="33" t="s">
        <v>24</v>
      </c>
      <c r="J18" s="462"/>
      <c r="K18" s="463"/>
      <c r="L18" s="463"/>
      <c r="M18" s="692"/>
      <c r="N18" s="462"/>
      <c r="O18" s="463"/>
      <c r="P18" s="463"/>
      <c r="Q18" s="692"/>
      <c r="R18" s="462"/>
      <c r="S18" s="463"/>
      <c r="T18" s="463"/>
      <c r="U18" s="692"/>
      <c r="V18" s="462"/>
      <c r="W18" s="463"/>
      <c r="X18" s="463"/>
      <c r="Y18" s="692"/>
      <c r="Z18" s="462"/>
      <c r="AA18" s="463"/>
      <c r="AB18" s="463"/>
      <c r="AC18" s="692"/>
      <c r="AD18" s="462"/>
      <c r="AE18" s="463"/>
      <c r="AF18" s="463"/>
      <c r="AG18" s="692"/>
      <c r="AH18" s="128">
        <f t="shared" si="6"/>
        <v>0</v>
      </c>
      <c r="AI18" s="273">
        <f t="shared" si="6"/>
        <v>0</v>
      </c>
      <c r="AJ18" s="273">
        <f t="shared" si="6"/>
        <v>0</v>
      </c>
      <c r="AK18" s="694">
        <f t="shared" si="6"/>
        <v>0</v>
      </c>
      <c r="AL18" s="462"/>
      <c r="AM18" s="463"/>
      <c r="AN18" s="463"/>
      <c r="AO18" s="692"/>
      <c r="AP18" s="462"/>
      <c r="AQ18" s="463"/>
      <c r="AR18" s="463"/>
      <c r="AS18" s="692"/>
      <c r="AT18" s="462">
        <v>18</v>
      </c>
      <c r="AU18" s="463"/>
      <c r="AV18" s="463"/>
      <c r="AW18" s="692"/>
      <c r="AX18" s="462"/>
      <c r="AY18" s="463"/>
      <c r="AZ18" s="463"/>
      <c r="BA18" s="692"/>
      <c r="BB18" s="128">
        <f t="shared" si="7"/>
        <v>18</v>
      </c>
      <c r="BC18" s="273">
        <f t="shared" si="7"/>
        <v>0</v>
      </c>
      <c r="BD18" s="273">
        <f t="shared" si="7"/>
        <v>0</v>
      </c>
      <c r="BE18" s="273">
        <f t="shared" si="7"/>
        <v>0</v>
      </c>
      <c r="BF18" s="276">
        <f t="shared" si="5"/>
        <v>18</v>
      </c>
      <c r="BG18" s="277">
        <f t="shared" si="5"/>
        <v>0</v>
      </c>
      <c r="BH18" s="277">
        <f t="shared" si="5"/>
        <v>0</v>
      </c>
      <c r="BI18" s="704">
        <f t="shared" si="5"/>
        <v>0</v>
      </c>
    </row>
    <row r="19" spans="3:61" s="28" customFormat="1" ht="20.100000000000001" customHeight="1">
      <c r="C19" s="1879"/>
      <c r="D19" s="1017" t="s">
        <v>23</v>
      </c>
      <c r="E19" s="1017"/>
      <c r="F19" s="1018"/>
      <c r="H19" s="1889"/>
      <c r="I19" s="33" t="s">
        <v>23</v>
      </c>
      <c r="J19" s="462"/>
      <c r="K19" s="463"/>
      <c r="L19" s="463"/>
      <c r="M19" s="692"/>
      <c r="N19" s="462"/>
      <c r="O19" s="463"/>
      <c r="P19" s="463"/>
      <c r="Q19" s="692"/>
      <c r="R19" s="462"/>
      <c r="S19" s="463"/>
      <c r="T19" s="463"/>
      <c r="U19" s="692"/>
      <c r="V19" s="462"/>
      <c r="W19" s="463"/>
      <c r="X19" s="463"/>
      <c r="Y19" s="692"/>
      <c r="Z19" s="462"/>
      <c r="AA19" s="463"/>
      <c r="AB19" s="463"/>
      <c r="AC19" s="692"/>
      <c r="AD19" s="462"/>
      <c r="AE19" s="463"/>
      <c r="AF19" s="463"/>
      <c r="AG19" s="692"/>
      <c r="AH19" s="128">
        <f t="shared" si="6"/>
        <v>0</v>
      </c>
      <c r="AI19" s="273">
        <f t="shared" si="6"/>
        <v>0</v>
      </c>
      <c r="AJ19" s="273">
        <f t="shared" si="6"/>
        <v>0</v>
      </c>
      <c r="AK19" s="694">
        <f t="shared" si="6"/>
        <v>0</v>
      </c>
      <c r="AL19" s="1012"/>
      <c r="AM19" s="463"/>
      <c r="AN19" s="463"/>
      <c r="AO19" s="692"/>
      <c r="AP19" s="462">
        <v>8</v>
      </c>
      <c r="AQ19" s="463">
        <v>8</v>
      </c>
      <c r="AR19" s="463"/>
      <c r="AS19" s="692"/>
      <c r="AT19" s="462"/>
      <c r="AU19" s="463"/>
      <c r="AV19" s="463"/>
      <c r="AW19" s="692"/>
      <c r="AX19" s="462"/>
      <c r="AY19" s="463"/>
      <c r="AZ19" s="463"/>
      <c r="BA19" s="692"/>
      <c r="BB19" s="128">
        <f t="shared" si="7"/>
        <v>8</v>
      </c>
      <c r="BC19" s="273">
        <f t="shared" si="7"/>
        <v>8</v>
      </c>
      <c r="BD19" s="273">
        <f t="shared" si="7"/>
        <v>0</v>
      </c>
      <c r="BE19" s="273">
        <f t="shared" si="7"/>
        <v>0</v>
      </c>
      <c r="BF19" s="276">
        <f t="shared" si="5"/>
        <v>8</v>
      </c>
      <c r="BG19" s="277">
        <f t="shared" si="5"/>
        <v>8</v>
      </c>
      <c r="BH19" s="277">
        <f t="shared" si="5"/>
        <v>0</v>
      </c>
      <c r="BI19" s="704">
        <f t="shared" si="5"/>
        <v>0</v>
      </c>
    </row>
    <row r="20" spans="3:61" s="28" customFormat="1" ht="20.100000000000001" customHeight="1">
      <c r="C20" s="1879"/>
      <c r="D20" s="1017" t="s">
        <v>22</v>
      </c>
      <c r="E20" s="1017"/>
      <c r="F20" s="1018"/>
      <c r="H20" s="1889"/>
      <c r="I20" s="33" t="s">
        <v>22</v>
      </c>
      <c r="J20" s="462"/>
      <c r="K20" s="463"/>
      <c r="L20" s="463"/>
      <c r="M20" s="692"/>
      <c r="N20" s="462"/>
      <c r="O20" s="463"/>
      <c r="P20" s="463"/>
      <c r="Q20" s="692"/>
      <c r="R20" s="462"/>
      <c r="S20" s="463"/>
      <c r="T20" s="463"/>
      <c r="U20" s="692"/>
      <c r="V20" s="462"/>
      <c r="W20" s="463"/>
      <c r="X20" s="463"/>
      <c r="Y20" s="692"/>
      <c r="Z20" s="462"/>
      <c r="AA20" s="463"/>
      <c r="AB20" s="463"/>
      <c r="AC20" s="692"/>
      <c r="AD20" s="462"/>
      <c r="AE20" s="463"/>
      <c r="AF20" s="463"/>
      <c r="AG20" s="692"/>
      <c r="AH20" s="128">
        <f t="shared" si="6"/>
        <v>0</v>
      </c>
      <c r="AI20" s="273">
        <f t="shared" si="6"/>
        <v>0</v>
      </c>
      <c r="AJ20" s="273">
        <f t="shared" si="6"/>
        <v>0</v>
      </c>
      <c r="AK20" s="694">
        <f t="shared" si="6"/>
        <v>0</v>
      </c>
      <c r="AL20" s="462"/>
      <c r="AM20" s="463"/>
      <c r="AN20" s="463"/>
      <c r="AO20" s="692"/>
      <c r="AP20" s="462"/>
      <c r="AQ20" s="463"/>
      <c r="AR20" s="463"/>
      <c r="AS20" s="692"/>
      <c r="AT20" s="462">
        <v>7.5</v>
      </c>
      <c r="AU20" s="463">
        <v>7.5</v>
      </c>
      <c r="AV20" s="463"/>
      <c r="AW20" s="692"/>
      <c r="AX20" s="462"/>
      <c r="AY20" s="463"/>
      <c r="AZ20" s="463"/>
      <c r="BA20" s="692"/>
      <c r="BB20" s="128">
        <f t="shared" si="7"/>
        <v>7.5</v>
      </c>
      <c r="BC20" s="273">
        <f t="shared" si="7"/>
        <v>7.5</v>
      </c>
      <c r="BD20" s="273">
        <f t="shared" si="7"/>
        <v>0</v>
      </c>
      <c r="BE20" s="273">
        <f t="shared" si="7"/>
        <v>0</v>
      </c>
      <c r="BF20" s="276">
        <f t="shared" si="5"/>
        <v>7.5</v>
      </c>
      <c r="BG20" s="277">
        <f t="shared" si="5"/>
        <v>7.5</v>
      </c>
      <c r="BH20" s="277">
        <f t="shared" si="5"/>
        <v>0</v>
      </c>
      <c r="BI20" s="704">
        <f t="shared" si="5"/>
        <v>0</v>
      </c>
    </row>
    <row r="21" spans="3:61" s="28" customFormat="1" ht="20.100000000000001" customHeight="1">
      <c r="C21" s="1885"/>
      <c r="D21" s="1017"/>
      <c r="E21" s="1017"/>
      <c r="F21" s="1018"/>
      <c r="H21" s="1889"/>
      <c r="I21" s="33" t="s">
        <v>21</v>
      </c>
      <c r="J21" s="462"/>
      <c r="K21" s="463"/>
      <c r="L21" s="463"/>
      <c r="M21" s="692"/>
      <c r="N21" s="462"/>
      <c r="O21" s="463"/>
      <c r="P21" s="463"/>
      <c r="Q21" s="692"/>
      <c r="R21" s="462"/>
      <c r="S21" s="463"/>
      <c r="T21" s="463"/>
      <c r="U21" s="692"/>
      <c r="V21" s="462"/>
      <c r="W21" s="463"/>
      <c r="X21" s="463"/>
      <c r="Y21" s="692"/>
      <c r="Z21" s="462"/>
      <c r="AA21" s="463"/>
      <c r="AB21" s="463"/>
      <c r="AC21" s="692"/>
      <c r="AD21" s="462"/>
      <c r="AE21" s="463"/>
      <c r="AF21" s="463"/>
      <c r="AG21" s="692"/>
      <c r="AH21" s="128">
        <f t="shared" si="6"/>
        <v>0</v>
      </c>
      <c r="AI21" s="273">
        <f t="shared" si="6"/>
        <v>0</v>
      </c>
      <c r="AJ21" s="273">
        <f t="shared" si="6"/>
        <v>0</v>
      </c>
      <c r="AK21" s="694">
        <f t="shared" si="6"/>
        <v>0</v>
      </c>
      <c r="AL21" s="462"/>
      <c r="AM21" s="463"/>
      <c r="AN21" s="463"/>
      <c r="AO21" s="692"/>
      <c r="AP21" s="462"/>
      <c r="AQ21" s="463"/>
      <c r="AR21" s="463"/>
      <c r="AS21" s="692"/>
      <c r="AT21" s="462"/>
      <c r="AU21" s="463"/>
      <c r="AV21" s="463"/>
      <c r="AW21" s="692"/>
      <c r="AX21" s="462"/>
      <c r="AY21" s="463"/>
      <c r="AZ21" s="463"/>
      <c r="BA21" s="692"/>
      <c r="BB21" s="128">
        <f t="shared" si="7"/>
        <v>0</v>
      </c>
      <c r="BC21" s="273">
        <f t="shared" si="7"/>
        <v>0</v>
      </c>
      <c r="BD21" s="273">
        <f t="shared" si="7"/>
        <v>0</v>
      </c>
      <c r="BE21" s="273">
        <f t="shared" si="7"/>
        <v>0</v>
      </c>
      <c r="BF21" s="276">
        <f t="shared" si="5"/>
        <v>0</v>
      </c>
      <c r="BG21" s="277">
        <f t="shared" si="5"/>
        <v>0</v>
      </c>
      <c r="BH21" s="277">
        <f t="shared" si="5"/>
        <v>0</v>
      </c>
      <c r="BI21" s="704">
        <f t="shared" si="5"/>
        <v>0</v>
      </c>
    </row>
    <row r="22" spans="3:61" s="28" customFormat="1" ht="20.100000000000001" customHeight="1">
      <c r="C22" s="1885"/>
      <c r="D22" s="1017"/>
      <c r="E22" s="1017"/>
      <c r="F22" s="1018"/>
      <c r="H22" s="1889"/>
      <c r="I22" s="33" t="s">
        <v>20</v>
      </c>
      <c r="J22" s="462"/>
      <c r="K22" s="463"/>
      <c r="L22" s="463"/>
      <c r="M22" s="692"/>
      <c r="N22" s="462"/>
      <c r="O22" s="463"/>
      <c r="P22" s="463"/>
      <c r="Q22" s="692"/>
      <c r="R22" s="462"/>
      <c r="S22" s="463"/>
      <c r="T22" s="463"/>
      <c r="U22" s="692"/>
      <c r="V22" s="462"/>
      <c r="W22" s="463"/>
      <c r="X22" s="463"/>
      <c r="Y22" s="692"/>
      <c r="Z22" s="462"/>
      <c r="AA22" s="463"/>
      <c r="AB22" s="463"/>
      <c r="AC22" s="692"/>
      <c r="AD22" s="462"/>
      <c r="AE22" s="463"/>
      <c r="AF22" s="463"/>
      <c r="AG22" s="692"/>
      <c r="AH22" s="128">
        <f t="shared" si="6"/>
        <v>0</v>
      </c>
      <c r="AI22" s="273">
        <f t="shared" si="6"/>
        <v>0</v>
      </c>
      <c r="AJ22" s="273">
        <f t="shared" si="6"/>
        <v>0</v>
      </c>
      <c r="AK22" s="694">
        <f t="shared" si="6"/>
        <v>0</v>
      </c>
      <c r="AL22" s="462"/>
      <c r="AM22" s="463"/>
      <c r="AN22" s="463"/>
      <c r="AO22" s="692"/>
      <c r="AP22" s="462"/>
      <c r="AQ22" s="463"/>
      <c r="AR22" s="463"/>
      <c r="AS22" s="692"/>
      <c r="AT22" s="462"/>
      <c r="AU22" s="463"/>
      <c r="AV22" s="463"/>
      <c r="AW22" s="692"/>
      <c r="AX22" s="462"/>
      <c r="AY22" s="463"/>
      <c r="AZ22" s="463"/>
      <c r="BA22" s="692"/>
      <c r="BB22" s="128">
        <f t="shared" si="7"/>
        <v>0</v>
      </c>
      <c r="BC22" s="273">
        <f t="shared" si="7"/>
        <v>0</v>
      </c>
      <c r="BD22" s="273">
        <f t="shared" si="7"/>
        <v>0</v>
      </c>
      <c r="BE22" s="273">
        <f t="shared" si="7"/>
        <v>0</v>
      </c>
      <c r="BF22" s="276">
        <f t="shared" si="5"/>
        <v>0</v>
      </c>
      <c r="BG22" s="277">
        <f t="shared" si="5"/>
        <v>0</v>
      </c>
      <c r="BH22" s="277">
        <f t="shared" si="5"/>
        <v>0</v>
      </c>
      <c r="BI22" s="704">
        <f t="shared" si="5"/>
        <v>0</v>
      </c>
    </row>
    <row r="23" spans="3:61" s="28" customFormat="1" ht="20.100000000000001" customHeight="1">
      <c r="C23" s="1885"/>
      <c r="D23" s="1017"/>
      <c r="E23" s="1017"/>
      <c r="F23" s="1018"/>
      <c r="H23" s="1889"/>
      <c r="I23" s="33" t="s">
        <v>19</v>
      </c>
      <c r="J23" s="462"/>
      <c r="K23" s="463"/>
      <c r="L23" s="463"/>
      <c r="M23" s="692"/>
      <c r="N23" s="462"/>
      <c r="O23" s="463"/>
      <c r="P23" s="463"/>
      <c r="Q23" s="692"/>
      <c r="R23" s="462">
        <v>25</v>
      </c>
      <c r="S23" s="463"/>
      <c r="T23" s="463"/>
      <c r="U23" s="692"/>
      <c r="V23" s="462"/>
      <c r="W23" s="463"/>
      <c r="X23" s="463"/>
      <c r="Y23" s="692"/>
      <c r="Z23" s="462"/>
      <c r="AA23" s="463"/>
      <c r="AB23" s="463"/>
      <c r="AC23" s="692"/>
      <c r="AD23" s="462">
        <v>40</v>
      </c>
      <c r="AE23" s="463"/>
      <c r="AF23" s="463"/>
      <c r="AG23" s="692"/>
      <c r="AH23" s="128">
        <f t="shared" si="6"/>
        <v>65</v>
      </c>
      <c r="AI23" s="273">
        <f t="shared" si="6"/>
        <v>0</v>
      </c>
      <c r="AJ23" s="273">
        <f t="shared" si="6"/>
        <v>0</v>
      </c>
      <c r="AK23" s="694">
        <f t="shared" si="6"/>
        <v>0</v>
      </c>
      <c r="AL23" s="462"/>
      <c r="AM23" s="463">
        <v>170</v>
      </c>
      <c r="AN23" s="463"/>
      <c r="AO23" s="692"/>
      <c r="AP23" s="462"/>
      <c r="AQ23" s="463"/>
      <c r="AR23" s="463"/>
      <c r="AS23" s="692"/>
      <c r="AT23" s="462"/>
      <c r="AU23" s="463"/>
      <c r="AV23" s="463"/>
      <c r="AW23" s="692"/>
      <c r="AX23" s="462"/>
      <c r="AY23" s="463"/>
      <c r="AZ23" s="463"/>
      <c r="BA23" s="692"/>
      <c r="BB23" s="128">
        <f t="shared" si="7"/>
        <v>0</v>
      </c>
      <c r="BC23" s="273">
        <f t="shared" si="7"/>
        <v>170</v>
      </c>
      <c r="BD23" s="273">
        <f t="shared" si="7"/>
        <v>0</v>
      </c>
      <c r="BE23" s="273">
        <f t="shared" si="7"/>
        <v>0</v>
      </c>
      <c r="BF23" s="276">
        <f t="shared" si="5"/>
        <v>65</v>
      </c>
      <c r="BG23" s="277">
        <f t="shared" si="5"/>
        <v>170</v>
      </c>
      <c r="BH23" s="277">
        <f t="shared" si="5"/>
        <v>0</v>
      </c>
      <c r="BI23" s="704">
        <f t="shared" si="5"/>
        <v>0</v>
      </c>
    </row>
    <row r="24" spans="3:61" s="28" customFormat="1" ht="20.100000000000001" customHeight="1" thickBot="1">
      <c r="C24" s="1885"/>
      <c r="D24" s="1017"/>
      <c r="E24" s="1017"/>
      <c r="F24" s="1018"/>
      <c r="H24" s="1865" t="s">
        <v>116</v>
      </c>
      <c r="I24" s="1866"/>
      <c r="J24" s="118">
        <f t="shared" ref="J24:BI24" si="8">SUM(J15:J23)</f>
        <v>0</v>
      </c>
      <c r="K24" s="272">
        <f t="shared" si="8"/>
        <v>0</v>
      </c>
      <c r="L24" s="272">
        <f>SUM(L15:L23)</f>
        <v>0</v>
      </c>
      <c r="M24" s="272">
        <f>SUM(M15:M23)</f>
        <v>0</v>
      </c>
      <c r="N24" s="118">
        <f t="shared" ref="N24:AI24" si="9">SUM(N15:N23)</f>
        <v>0</v>
      </c>
      <c r="O24" s="272">
        <f t="shared" si="9"/>
        <v>0</v>
      </c>
      <c r="P24" s="272">
        <f t="shared" si="9"/>
        <v>0</v>
      </c>
      <c r="Q24" s="272">
        <f t="shared" si="9"/>
        <v>0</v>
      </c>
      <c r="R24" s="118">
        <f t="shared" si="9"/>
        <v>25</v>
      </c>
      <c r="S24" s="272">
        <f t="shared" si="9"/>
        <v>0</v>
      </c>
      <c r="T24" s="272">
        <f t="shared" si="9"/>
        <v>0</v>
      </c>
      <c r="U24" s="272">
        <f t="shared" si="9"/>
        <v>0</v>
      </c>
      <c r="V24" s="118">
        <f t="shared" si="9"/>
        <v>0</v>
      </c>
      <c r="W24" s="272">
        <f t="shared" si="9"/>
        <v>0</v>
      </c>
      <c r="X24" s="272">
        <f t="shared" si="9"/>
        <v>0</v>
      </c>
      <c r="Y24" s="272">
        <f t="shared" si="9"/>
        <v>0</v>
      </c>
      <c r="Z24" s="118">
        <f t="shared" si="9"/>
        <v>0</v>
      </c>
      <c r="AA24" s="272">
        <f t="shared" si="9"/>
        <v>0</v>
      </c>
      <c r="AB24" s="272">
        <f t="shared" si="9"/>
        <v>0</v>
      </c>
      <c r="AC24" s="272">
        <f t="shared" si="9"/>
        <v>0</v>
      </c>
      <c r="AD24" s="118">
        <f t="shared" si="9"/>
        <v>40</v>
      </c>
      <c r="AE24" s="272">
        <f t="shared" si="9"/>
        <v>0</v>
      </c>
      <c r="AF24" s="272">
        <f t="shared" si="9"/>
        <v>0</v>
      </c>
      <c r="AG24" s="272">
        <f t="shared" si="9"/>
        <v>0</v>
      </c>
      <c r="AH24" s="118">
        <f t="shared" si="9"/>
        <v>65</v>
      </c>
      <c r="AI24" s="272">
        <f t="shared" si="9"/>
        <v>0</v>
      </c>
      <c r="AJ24" s="272">
        <f>SUM(AJ15:AJ23)</f>
        <v>0</v>
      </c>
      <c r="AK24" s="695">
        <f>SUM(AK15:AK23)</f>
        <v>0</v>
      </c>
      <c r="AL24" s="118">
        <f t="shared" ref="AL24:BC24" si="10">SUM(AL15:AL23)</f>
        <v>0</v>
      </c>
      <c r="AM24" s="272">
        <f t="shared" si="10"/>
        <v>170</v>
      </c>
      <c r="AN24" s="272">
        <f t="shared" si="10"/>
        <v>0</v>
      </c>
      <c r="AO24" s="272">
        <f t="shared" si="10"/>
        <v>0</v>
      </c>
      <c r="AP24" s="118">
        <f t="shared" si="10"/>
        <v>8</v>
      </c>
      <c r="AQ24" s="272">
        <f t="shared" si="10"/>
        <v>8</v>
      </c>
      <c r="AR24" s="272">
        <f t="shared" si="10"/>
        <v>0</v>
      </c>
      <c r="AS24" s="272">
        <f t="shared" si="10"/>
        <v>0</v>
      </c>
      <c r="AT24" s="118">
        <f t="shared" si="10"/>
        <v>35</v>
      </c>
      <c r="AU24" s="272">
        <f t="shared" si="10"/>
        <v>7.5</v>
      </c>
      <c r="AV24" s="272">
        <f t="shared" si="10"/>
        <v>0</v>
      </c>
      <c r="AW24" s="272">
        <f t="shared" si="10"/>
        <v>0</v>
      </c>
      <c r="AX24" s="118">
        <f t="shared" si="10"/>
        <v>0</v>
      </c>
      <c r="AY24" s="272">
        <f t="shared" si="10"/>
        <v>0</v>
      </c>
      <c r="AZ24" s="272">
        <f t="shared" si="10"/>
        <v>0</v>
      </c>
      <c r="BA24" s="272">
        <f t="shared" si="10"/>
        <v>0</v>
      </c>
      <c r="BB24" s="118">
        <f t="shared" si="10"/>
        <v>43</v>
      </c>
      <c r="BC24" s="272">
        <f t="shared" si="10"/>
        <v>185.5</v>
      </c>
      <c r="BD24" s="272">
        <f>SUM(BD15:BD23)</f>
        <v>0</v>
      </c>
      <c r="BE24" s="272">
        <f>SUM(BE15:BE23)</f>
        <v>0</v>
      </c>
      <c r="BF24" s="278">
        <f t="shared" si="8"/>
        <v>108</v>
      </c>
      <c r="BG24" s="279">
        <f t="shared" si="8"/>
        <v>185.5</v>
      </c>
      <c r="BH24" s="279">
        <f t="shared" si="8"/>
        <v>0</v>
      </c>
      <c r="BI24" s="705">
        <f t="shared" si="8"/>
        <v>0</v>
      </c>
    </row>
    <row r="25" spans="3:61" s="119" customFormat="1" ht="9" customHeight="1" thickBot="1">
      <c r="C25" s="121"/>
      <c r="D25" s="121"/>
      <c r="E25" s="121"/>
      <c r="F25" s="121"/>
      <c r="H25" s="122"/>
      <c r="I25" s="122"/>
      <c r="J25" s="125"/>
      <c r="K25" s="126"/>
      <c r="L25" s="126"/>
      <c r="M25" s="126"/>
      <c r="N25" s="125"/>
      <c r="O25" s="126"/>
      <c r="P25" s="126"/>
      <c r="Q25" s="126"/>
      <c r="R25" s="125"/>
      <c r="S25" s="126"/>
      <c r="T25" s="126"/>
      <c r="U25" s="126"/>
      <c r="V25" s="125"/>
      <c r="W25" s="126"/>
      <c r="X25" s="126"/>
      <c r="Y25" s="126"/>
      <c r="Z25" s="125"/>
      <c r="AA25" s="126"/>
      <c r="AB25" s="126"/>
      <c r="AC25" s="126"/>
      <c r="AD25" s="125"/>
      <c r="AE25" s="126"/>
      <c r="AF25" s="126"/>
      <c r="AG25" s="126"/>
      <c r="AH25" s="125"/>
      <c r="AI25" s="126"/>
      <c r="AJ25" s="126"/>
      <c r="AK25" s="126"/>
      <c r="AL25" s="125"/>
      <c r="AM25" s="126"/>
      <c r="AN25" s="126"/>
      <c r="AO25" s="126"/>
      <c r="AP25" s="125"/>
      <c r="AQ25" s="126"/>
      <c r="AR25" s="126"/>
      <c r="AS25" s="126"/>
      <c r="AT25" s="125"/>
      <c r="AU25" s="126"/>
      <c r="AV25" s="126"/>
      <c r="AW25" s="126"/>
      <c r="AX25" s="125"/>
      <c r="AY25" s="126"/>
      <c r="AZ25" s="126"/>
      <c r="BA25" s="126"/>
      <c r="BB25" s="125"/>
      <c r="BC25" s="126"/>
      <c r="BD25" s="126"/>
      <c r="BE25" s="126"/>
      <c r="BF25" s="125"/>
      <c r="BG25" s="126"/>
    </row>
    <row r="26" spans="3:61" s="28" customFormat="1" ht="26.25" customHeight="1" thickBot="1">
      <c r="D26" s="29"/>
      <c r="E26" s="29"/>
      <c r="F26" s="29"/>
      <c r="H26" s="1893" t="s">
        <v>49</v>
      </c>
      <c r="I26" s="1894"/>
      <c r="J26" s="123">
        <f t="shared" ref="J26:BI26" si="11">J10+J24</f>
        <v>100</v>
      </c>
      <c r="K26" s="280">
        <f t="shared" si="11"/>
        <v>80.7</v>
      </c>
      <c r="L26" s="280">
        <f>L10+L24</f>
        <v>5.2</v>
      </c>
      <c r="M26" s="280">
        <f>M10+M24</f>
        <v>0</v>
      </c>
      <c r="N26" s="123">
        <f t="shared" ref="N26:O26" si="12">N10+N24</f>
        <v>30</v>
      </c>
      <c r="O26" s="280">
        <f t="shared" si="12"/>
        <v>27</v>
      </c>
      <c r="P26" s="280">
        <f>P10+P24</f>
        <v>27</v>
      </c>
      <c r="Q26" s="280">
        <f>Q10+Q24</f>
        <v>0</v>
      </c>
      <c r="R26" s="123">
        <f t="shared" ref="R26:S26" si="13">R10+R24</f>
        <v>25</v>
      </c>
      <c r="S26" s="280">
        <f t="shared" si="13"/>
        <v>1.5</v>
      </c>
      <c r="T26" s="280">
        <f>T10+T24</f>
        <v>1.5</v>
      </c>
      <c r="U26" s="280">
        <f>U10+U24</f>
        <v>5</v>
      </c>
      <c r="V26" s="123">
        <f t="shared" ref="V26:W26" si="14">V10+V24</f>
        <v>10</v>
      </c>
      <c r="W26" s="280">
        <f t="shared" si="14"/>
        <v>9</v>
      </c>
      <c r="X26" s="280">
        <f>X10+X24</f>
        <v>9</v>
      </c>
      <c r="Y26" s="280">
        <f>Y10+Y24</f>
        <v>0</v>
      </c>
      <c r="Z26" s="123">
        <f t="shared" ref="Z26:AA26" si="15">Z10+Z24</f>
        <v>0</v>
      </c>
      <c r="AA26" s="280">
        <f t="shared" si="15"/>
        <v>0</v>
      </c>
      <c r="AB26" s="280">
        <f>AB10+AB24</f>
        <v>0</v>
      </c>
      <c r="AC26" s="280">
        <f>AC10+AC24</f>
        <v>0</v>
      </c>
      <c r="AD26" s="123">
        <f t="shared" ref="AD26:AE26" si="16">AD10+AD24</f>
        <v>60</v>
      </c>
      <c r="AE26" s="280">
        <f t="shared" si="16"/>
        <v>25</v>
      </c>
      <c r="AF26" s="280">
        <f>AF10+AF24</f>
        <v>25</v>
      </c>
      <c r="AG26" s="280">
        <f>AG10+AG24</f>
        <v>0</v>
      </c>
      <c r="AH26" s="127">
        <f t="shared" ref="AH26:AI26" si="17">AH10+AH24</f>
        <v>225</v>
      </c>
      <c r="AI26" s="280">
        <f t="shared" si="17"/>
        <v>143.19999999999999</v>
      </c>
      <c r="AJ26" s="697">
        <f>AJ10+AJ24</f>
        <v>67.7</v>
      </c>
      <c r="AK26" s="696">
        <f>AK10+AK24</f>
        <v>5</v>
      </c>
      <c r="AL26" s="123">
        <f t="shared" ref="AL26:AM26" si="18">AL10+AL24</f>
        <v>172</v>
      </c>
      <c r="AM26" s="280">
        <f t="shared" si="18"/>
        <v>174.5</v>
      </c>
      <c r="AN26" s="280">
        <f>AN10+AN24</f>
        <v>4.5</v>
      </c>
      <c r="AO26" s="280">
        <f>AO10+AO24</f>
        <v>8</v>
      </c>
      <c r="AP26" s="123">
        <f t="shared" ref="AP26:AQ26" si="19">AP10+AP24</f>
        <v>10</v>
      </c>
      <c r="AQ26" s="280">
        <f t="shared" si="19"/>
        <v>8</v>
      </c>
      <c r="AR26" s="280">
        <f>AR10+AR24</f>
        <v>0</v>
      </c>
      <c r="AS26" s="280">
        <f>AS10+AS24</f>
        <v>0</v>
      </c>
      <c r="AT26" s="123">
        <f t="shared" ref="AT26:AU26" si="20">AT10+AT24</f>
        <v>35</v>
      </c>
      <c r="AU26" s="280">
        <f t="shared" si="20"/>
        <v>20</v>
      </c>
      <c r="AV26" s="280">
        <f>AV10+AV24</f>
        <v>0</v>
      </c>
      <c r="AW26" s="280">
        <f>AW10+AW24</f>
        <v>0</v>
      </c>
      <c r="AX26" s="123">
        <f t="shared" ref="AX26:AY26" si="21">AX10+AX24</f>
        <v>7</v>
      </c>
      <c r="AY26" s="280">
        <f t="shared" si="21"/>
        <v>17</v>
      </c>
      <c r="AZ26" s="280">
        <f>AZ10+AZ24</f>
        <v>10</v>
      </c>
      <c r="BA26" s="280">
        <f>BA10+BA24</f>
        <v>0</v>
      </c>
      <c r="BB26" s="127">
        <f t="shared" ref="BB26:BC26" si="22">BB10+BB24</f>
        <v>224</v>
      </c>
      <c r="BC26" s="280">
        <f t="shared" si="22"/>
        <v>219.5</v>
      </c>
      <c r="BD26" s="697">
        <f>BD10+BD24</f>
        <v>14.5</v>
      </c>
      <c r="BE26" s="697">
        <f>BE10+BE24</f>
        <v>8</v>
      </c>
      <c r="BF26" s="124">
        <f>BF10+BF24</f>
        <v>449</v>
      </c>
      <c r="BG26" s="707">
        <f t="shared" si="11"/>
        <v>362.7</v>
      </c>
      <c r="BH26" s="706">
        <f t="shared" si="11"/>
        <v>82.2</v>
      </c>
      <c r="BI26" s="284">
        <f t="shared" si="11"/>
        <v>13</v>
      </c>
    </row>
    <row r="27" spans="3:61" ht="21" customHeight="1">
      <c r="H27" s="320"/>
      <c r="I27" s="320"/>
      <c r="J27" s="321"/>
      <c r="K27" s="321"/>
      <c r="L27" s="321"/>
      <c r="M27" s="321"/>
      <c r="N27" s="321"/>
      <c r="O27" s="321"/>
      <c r="P27" s="321"/>
      <c r="Q27" s="321"/>
      <c r="R27" s="321"/>
      <c r="S27" s="321"/>
      <c r="T27" s="321">
        <v>5</v>
      </c>
      <c r="U27" s="321" t="s">
        <v>32</v>
      </c>
      <c r="V27" s="321"/>
      <c r="W27" s="321"/>
      <c r="X27" s="323"/>
      <c r="Y27" s="323"/>
      <c r="Z27" s="321"/>
      <c r="AA27" s="321"/>
      <c r="AB27" s="323"/>
      <c r="AC27" s="323"/>
      <c r="AD27" s="321"/>
      <c r="AE27" s="321"/>
      <c r="AF27" s="321"/>
      <c r="AG27" s="321"/>
      <c r="AH27" s="321"/>
      <c r="AI27" s="321"/>
      <c r="AJ27" s="321"/>
      <c r="AK27" s="321"/>
      <c r="AL27" s="321"/>
      <c r="AM27" s="321"/>
      <c r="AN27" s="321">
        <v>8</v>
      </c>
      <c r="AO27" s="321" t="s">
        <v>32</v>
      </c>
      <c r="AP27" s="321"/>
      <c r="AQ27" s="321"/>
      <c r="AR27" s="321"/>
      <c r="AS27" s="321"/>
      <c r="AT27" s="321"/>
      <c r="AU27" s="321"/>
      <c r="AV27" s="321"/>
      <c r="AW27" s="321"/>
      <c r="AX27" s="321"/>
      <c r="AY27" s="321"/>
      <c r="AZ27" s="321"/>
      <c r="BA27" s="321"/>
      <c r="BB27" s="335"/>
      <c r="BC27" s="1918">
        <f>SUM(I27:AZ29)</f>
        <v>13</v>
      </c>
      <c r="BD27" s="335"/>
      <c r="BE27" s="335"/>
      <c r="BF27" s="335"/>
      <c r="BG27" s="335"/>
      <c r="BH27" s="1917">
        <f>BH26+BI26</f>
        <v>95.2</v>
      </c>
      <c r="BI27" s="1917"/>
    </row>
    <row r="28" spans="3:61" ht="21" customHeight="1">
      <c r="H28" s="320"/>
      <c r="I28" s="320"/>
      <c r="J28" s="322"/>
      <c r="K28" s="323"/>
      <c r="L28" s="323"/>
      <c r="M28" s="323"/>
      <c r="N28" s="322"/>
      <c r="O28" s="323"/>
      <c r="P28" s="323"/>
      <c r="Q28" s="323"/>
      <c r="R28" s="322"/>
      <c r="S28" s="323"/>
      <c r="T28" s="323"/>
      <c r="U28" s="323"/>
      <c r="V28" s="321"/>
      <c r="W28" s="323"/>
      <c r="X28" s="323"/>
      <c r="Y28" s="323"/>
      <c r="Z28" s="322"/>
      <c r="AA28" s="323"/>
      <c r="AB28" s="323"/>
      <c r="AC28" s="323"/>
      <c r="AD28" s="322"/>
      <c r="AE28" s="323"/>
      <c r="AF28" s="323"/>
      <c r="AG28" s="322"/>
      <c r="AH28" s="322"/>
      <c r="AI28" s="323"/>
      <c r="AJ28" s="323"/>
      <c r="AK28" s="323"/>
      <c r="AL28" s="321"/>
      <c r="AM28" s="323"/>
      <c r="AN28" s="622"/>
      <c r="AO28" s="622"/>
      <c r="AP28" s="321"/>
      <c r="AQ28" s="323"/>
      <c r="AR28" s="323"/>
      <c r="AS28" s="323"/>
      <c r="AT28" s="322"/>
      <c r="AU28" s="323"/>
      <c r="AV28" s="323"/>
      <c r="AW28" s="323"/>
      <c r="AX28" s="322"/>
      <c r="AY28" s="468"/>
      <c r="AZ28" s="468"/>
      <c r="BA28" s="468"/>
      <c r="BB28" s="392"/>
      <c r="BC28" s="1919"/>
      <c r="BD28" s="434"/>
      <c r="BE28" s="434"/>
      <c r="BF28" s="435"/>
      <c r="BG28" s="434"/>
      <c r="BH28" s="726"/>
      <c r="BI28" s="434"/>
    </row>
    <row r="29" spans="3:61" ht="23.25">
      <c r="H29" s="320"/>
      <c r="I29" s="320"/>
      <c r="J29" s="322"/>
      <c r="K29" s="323"/>
      <c r="L29" s="323"/>
      <c r="M29" s="323"/>
      <c r="N29" s="322"/>
      <c r="O29" s="323"/>
      <c r="P29" s="323"/>
      <c r="Q29" s="323"/>
      <c r="R29" s="322"/>
      <c r="S29" s="323"/>
      <c r="T29" s="323"/>
      <c r="U29" s="323"/>
      <c r="V29" s="322"/>
      <c r="W29" s="323"/>
      <c r="X29" s="323"/>
      <c r="Y29" s="323"/>
      <c r="Z29" s="322"/>
      <c r="AA29" s="323"/>
      <c r="AB29" s="323"/>
      <c r="AC29" s="323"/>
      <c r="AD29" s="322"/>
      <c r="AE29" s="323"/>
      <c r="AF29" s="688"/>
      <c r="AG29" s="688"/>
      <c r="AH29" s="322"/>
      <c r="AI29" s="322"/>
      <c r="AJ29" s="323"/>
      <c r="AK29" s="323"/>
      <c r="AL29" s="321"/>
      <c r="AM29" s="323"/>
      <c r="AN29" s="321"/>
      <c r="AO29" s="321"/>
      <c r="AP29" s="322"/>
      <c r="AQ29" s="323"/>
      <c r="AR29" s="323"/>
      <c r="AS29" s="323"/>
      <c r="AT29" s="322"/>
      <c r="AU29" s="323"/>
      <c r="AV29" s="323"/>
      <c r="AW29" s="323"/>
      <c r="AX29" s="322"/>
      <c r="AY29" s="468"/>
      <c r="AZ29" s="468"/>
      <c r="BA29" s="468"/>
      <c r="BB29" s="392"/>
      <c r="BC29" s="434"/>
      <c r="BD29" s="434"/>
      <c r="BE29" s="434"/>
      <c r="BF29" s="435"/>
      <c r="BG29" s="434"/>
      <c r="BH29" s="682"/>
      <c r="BI29" s="434"/>
    </row>
    <row r="30" spans="3:61" s="464" customFormat="1" ht="21.75" thickBot="1">
      <c r="D30" s="576"/>
      <c r="E30" s="576"/>
      <c r="F30" s="576"/>
      <c r="I30" s="577"/>
      <c r="J30" s="578"/>
      <c r="K30" s="579"/>
      <c r="L30" s="579"/>
      <c r="M30" s="579"/>
      <c r="N30" s="578"/>
      <c r="O30" s="579"/>
      <c r="P30" s="579"/>
      <c r="Q30" s="579"/>
      <c r="R30" s="578"/>
      <c r="S30" s="579"/>
      <c r="T30" s="579"/>
      <c r="U30" s="579"/>
      <c r="V30" s="578"/>
      <c r="W30" s="578"/>
      <c r="X30" s="579"/>
      <c r="Y30" s="579"/>
      <c r="Z30" s="579"/>
      <c r="AA30" s="578"/>
      <c r="AB30" s="579"/>
      <c r="AC30" s="579"/>
      <c r="AD30" s="579"/>
      <c r="AE30" s="578"/>
      <c r="AF30" s="579"/>
      <c r="AG30" s="579"/>
      <c r="AH30" s="621"/>
      <c r="AI30" s="578"/>
      <c r="AJ30" s="579"/>
      <c r="AK30" s="579"/>
      <c r="AM30" s="580"/>
      <c r="AN30" s="579"/>
      <c r="AO30" s="579"/>
      <c r="AP30" s="579"/>
      <c r="AQ30" s="578"/>
      <c r="AR30" s="579"/>
      <c r="AS30" s="579"/>
      <c r="AT30" s="579"/>
      <c r="AU30" s="578"/>
      <c r="AV30" s="579"/>
      <c r="AW30" s="579"/>
      <c r="AZ30" s="581"/>
      <c r="BA30" s="581"/>
      <c r="BB30" s="581"/>
      <c r="BC30" s="582"/>
      <c r="BD30" s="583"/>
      <c r="BE30" s="583"/>
      <c r="BF30" s="583"/>
      <c r="BG30" s="584"/>
      <c r="BH30" s="583"/>
      <c r="BI30" s="585"/>
    </row>
    <row r="31" spans="3:61" ht="35.25" customHeight="1" thickBot="1">
      <c r="L31" s="1929" t="s">
        <v>405</v>
      </c>
      <c r="M31" s="1930"/>
      <c r="N31" s="1930"/>
      <c r="O31" s="1930"/>
      <c r="P31" s="1930"/>
      <c r="Q31" s="1930"/>
      <c r="R31" s="1930"/>
      <c r="S31" s="1931"/>
      <c r="T31" s="579"/>
      <c r="U31" s="579"/>
      <c r="V31" s="1929" t="s">
        <v>204</v>
      </c>
      <c r="W31" s="1930"/>
      <c r="X31" s="1930"/>
      <c r="Y31" s="1930"/>
      <c r="Z31" s="1930"/>
      <c r="AA31" s="1930"/>
      <c r="AB31" s="1930"/>
      <c r="AC31" s="1935"/>
      <c r="AD31" s="1936"/>
      <c r="AE31" s="579"/>
      <c r="AF31" s="579"/>
      <c r="AG31" s="26"/>
      <c r="AH31" s="24"/>
      <c r="AJ31" s="685"/>
      <c r="AL31" s="24"/>
      <c r="AM31" s="599"/>
      <c r="AN31" s="1014"/>
      <c r="AP31" s="24"/>
      <c r="AS31" s="26"/>
      <c r="AT31" s="24"/>
      <c r="AX31" s="24"/>
      <c r="AY31" s="25"/>
      <c r="AZ31" s="25"/>
      <c r="BA31" s="24"/>
      <c r="BB31" s="24"/>
      <c r="BE31" s="23"/>
      <c r="BF31" s="23"/>
      <c r="BG31" s="23"/>
    </row>
    <row r="32" spans="3:61" s="24" customFormat="1" ht="28.5" customHeight="1" thickBot="1">
      <c r="C32" s="23"/>
      <c r="D32" s="27"/>
      <c r="E32" s="27"/>
      <c r="F32" s="27"/>
      <c r="G32" s="23"/>
      <c r="H32" s="23"/>
      <c r="I32" s="27"/>
      <c r="L32" s="450" t="s">
        <v>0</v>
      </c>
      <c r="M32" s="439" t="s">
        <v>200</v>
      </c>
      <c r="N32" s="454" t="s">
        <v>205</v>
      </c>
      <c r="O32" s="439" t="s">
        <v>31</v>
      </c>
      <c r="P32" s="448" t="s">
        <v>201</v>
      </c>
      <c r="Q32" s="455" t="s">
        <v>206</v>
      </c>
      <c r="R32" s="436" t="s">
        <v>22</v>
      </c>
      <c r="S32" s="438" t="s">
        <v>191</v>
      </c>
      <c r="T32" s="579"/>
      <c r="U32" s="579"/>
      <c r="V32" s="571" t="s">
        <v>0</v>
      </c>
      <c r="W32" s="572" t="s">
        <v>200</v>
      </c>
      <c r="X32" s="623" t="s">
        <v>205</v>
      </c>
      <c r="Y32" s="572" t="s">
        <v>31</v>
      </c>
      <c r="Z32" s="573" t="s">
        <v>201</v>
      </c>
      <c r="AA32" s="574" t="s">
        <v>206</v>
      </c>
      <c r="AB32" s="717" t="s">
        <v>22</v>
      </c>
      <c r="AC32" s="721" t="s">
        <v>191</v>
      </c>
      <c r="AD32" s="722" t="s">
        <v>226</v>
      </c>
      <c r="AE32" s="579"/>
      <c r="AF32" s="579"/>
      <c r="AG32" s="599"/>
      <c r="AH32" s="599"/>
      <c r="AI32" s="599"/>
      <c r="AN32" s="26"/>
      <c r="AT32" s="25"/>
      <c r="AU32" s="25"/>
      <c r="AW32" s="23"/>
      <c r="AX32" s="23"/>
      <c r="BE32" s="24">
        <v>81</v>
      </c>
    </row>
    <row r="33" spans="1:59" ht="23.25">
      <c r="L33" s="441" t="s">
        <v>189</v>
      </c>
      <c r="M33" s="470">
        <f>$J$6</f>
        <v>85</v>
      </c>
      <c r="N33" s="430">
        <f>$J9</f>
        <v>0</v>
      </c>
      <c r="O33" s="430">
        <f>$J7</f>
        <v>0</v>
      </c>
      <c r="P33" s="430">
        <f>$J8</f>
        <v>15</v>
      </c>
      <c r="Q33" s="430">
        <f>J15+J16+J17+J18+J19+J21+J22+J23</f>
        <v>0</v>
      </c>
      <c r="R33" s="430">
        <f>$J20</f>
        <v>0</v>
      </c>
      <c r="S33" s="446">
        <f t="shared" ref="S33:S42" si="23">SUM(M33:R33)</f>
        <v>100</v>
      </c>
      <c r="T33" s="579"/>
      <c r="U33" s="579"/>
      <c r="V33" s="447" t="s">
        <v>189</v>
      </c>
      <c r="W33" s="569">
        <f>L$6</f>
        <v>5.2</v>
      </c>
      <c r="X33" s="570">
        <f>$L9</f>
        <v>0</v>
      </c>
      <c r="Y33" s="570">
        <f>$L7</f>
        <v>0</v>
      </c>
      <c r="Z33" s="570">
        <f>$L8</f>
        <v>0</v>
      </c>
      <c r="AA33" s="570">
        <f>L$15+L$16+L$17+L$18+L$19+L$21+L$22+L$23</f>
        <v>0</v>
      </c>
      <c r="AB33" s="718">
        <f>$L20</f>
        <v>0</v>
      </c>
      <c r="AC33" s="723">
        <f t="shared" ref="AC33:AC42" si="24">SUM(W33:AB33)</f>
        <v>5.2</v>
      </c>
      <c r="AD33" s="587">
        <f>M6+M7+M8++M9+M15+M16+M17+M18+M19+M21+M20+M22+M23</f>
        <v>0</v>
      </c>
      <c r="AE33" s="579">
        <f>AC33+AD33</f>
        <v>5.2</v>
      </c>
      <c r="AF33" s="579"/>
      <c r="AG33" s="599"/>
      <c r="AH33" s="599"/>
      <c r="AI33" s="599"/>
      <c r="AL33" s="24"/>
      <c r="AN33" s="26"/>
      <c r="AP33" s="24"/>
      <c r="AT33" s="25"/>
      <c r="AU33" s="25"/>
      <c r="AW33" s="23"/>
      <c r="AX33" s="23"/>
      <c r="AY33" s="23"/>
      <c r="AZ33" s="23"/>
      <c r="BA33" s="23"/>
      <c r="BB33" s="23"/>
      <c r="BC33" s="23"/>
      <c r="BD33" s="23"/>
      <c r="BE33" s="23">
        <v>170</v>
      </c>
      <c r="BF33" s="23"/>
      <c r="BG33" s="23"/>
    </row>
    <row r="34" spans="1:59" s="24" customFormat="1" ht="23.25">
      <c r="A34" s="23"/>
      <c r="B34" s="23"/>
      <c r="C34" s="23"/>
      <c r="D34" s="27"/>
      <c r="E34" s="27"/>
      <c r="F34" s="27"/>
      <c r="G34" s="23"/>
      <c r="H34" s="23"/>
      <c r="I34" s="27"/>
      <c r="L34" s="441" t="s">
        <v>183</v>
      </c>
      <c r="M34" s="470">
        <f>$N$6</f>
        <v>25</v>
      </c>
      <c r="N34" s="430">
        <f>$N9</f>
        <v>5</v>
      </c>
      <c r="O34" s="430">
        <f>$N7</f>
        <v>0</v>
      </c>
      <c r="P34" s="430">
        <f>$N8</f>
        <v>0</v>
      </c>
      <c r="Q34" s="430">
        <f>N15+N16+N17+N18+N19+N21+N22+N23</f>
        <v>0</v>
      </c>
      <c r="R34" s="430">
        <f>$N20</f>
        <v>0</v>
      </c>
      <c r="S34" s="446">
        <f t="shared" si="23"/>
        <v>30</v>
      </c>
      <c r="T34" s="686"/>
      <c r="U34" s="26"/>
      <c r="V34" s="441" t="s">
        <v>183</v>
      </c>
      <c r="W34" s="440">
        <f>P$6</f>
        <v>27</v>
      </c>
      <c r="X34" s="430">
        <f>$P9</f>
        <v>0</v>
      </c>
      <c r="Y34" s="430">
        <f>$P7</f>
        <v>0</v>
      </c>
      <c r="Z34" s="430">
        <f>$P8</f>
        <v>0</v>
      </c>
      <c r="AA34" s="430">
        <f>P$15+P$16+P$17+P$18+P$19+P$21+P$22+P$23</f>
        <v>0</v>
      </c>
      <c r="AB34" s="719">
        <f>$P20</f>
        <v>0</v>
      </c>
      <c r="AC34" s="723">
        <f t="shared" si="24"/>
        <v>27</v>
      </c>
      <c r="AD34" s="587">
        <f>Q6+Q7+Q8+Q9+Q15+Q16+Q17+Q18+Q19+Q20+Q21+Q22+Q23</f>
        <v>0</v>
      </c>
      <c r="AE34" s="579">
        <f t="shared" ref="AE34:AE43" si="25">AC34+AD34</f>
        <v>27</v>
      </c>
      <c r="AG34" s="599"/>
      <c r="AH34" s="599"/>
      <c r="AI34" s="599"/>
      <c r="AJ34" s="1288"/>
      <c r="AN34" s="26"/>
      <c r="AT34" s="25"/>
      <c r="AU34" s="25"/>
      <c r="BE34" s="24">
        <v>9.5</v>
      </c>
    </row>
    <row r="35" spans="1:59" ht="23.25">
      <c r="L35" s="441" t="s">
        <v>184</v>
      </c>
      <c r="M35" s="470">
        <f>$R$6</f>
        <v>0</v>
      </c>
      <c r="N35" s="430">
        <f>$R9</f>
        <v>0</v>
      </c>
      <c r="O35" s="430">
        <f>$R7</f>
        <v>0</v>
      </c>
      <c r="P35" s="430">
        <f>$R8</f>
        <v>0</v>
      </c>
      <c r="Q35" s="430">
        <f>R15+R16+R17+R18+R19+R21+R22+R23</f>
        <v>25</v>
      </c>
      <c r="R35" s="430">
        <f>$R20</f>
        <v>0</v>
      </c>
      <c r="S35" s="446">
        <f t="shared" si="23"/>
        <v>25</v>
      </c>
      <c r="T35" s="686"/>
      <c r="U35" s="26"/>
      <c r="V35" s="441" t="s">
        <v>184</v>
      </c>
      <c r="W35" s="440">
        <f>T$6</f>
        <v>0</v>
      </c>
      <c r="X35" s="430">
        <f>$T9</f>
        <v>1.5</v>
      </c>
      <c r="Y35" s="430">
        <f>$T7</f>
        <v>0</v>
      </c>
      <c r="Z35" s="430">
        <f>$T8</f>
        <v>0</v>
      </c>
      <c r="AA35" s="430">
        <f>T$15+T$16+T$17+T$18+T$19+T$21+T$22+T$23</f>
        <v>0</v>
      </c>
      <c r="AB35" s="719">
        <f>$T20</f>
        <v>0</v>
      </c>
      <c r="AC35" s="723">
        <f t="shared" si="24"/>
        <v>1.5</v>
      </c>
      <c r="AD35" s="587">
        <f>U6+U7+U8+U9+U15+U16+U17+U18+U19+U20+U21+U22+U23</f>
        <v>5</v>
      </c>
      <c r="AE35" s="579">
        <f t="shared" si="25"/>
        <v>6.5</v>
      </c>
      <c r="AF35" s="26"/>
      <c r="AG35" s="599"/>
      <c r="AH35" s="599"/>
      <c r="AI35" s="599"/>
      <c r="AJ35" s="1288"/>
      <c r="AL35" s="24"/>
      <c r="AN35" s="26"/>
      <c r="AP35" s="24"/>
      <c r="AT35" s="25"/>
      <c r="AU35" s="25"/>
      <c r="AX35" s="23"/>
      <c r="AY35" s="23"/>
      <c r="AZ35" s="23"/>
      <c r="BA35" s="23"/>
      <c r="BB35" s="23"/>
      <c r="BC35" s="23"/>
      <c r="BD35" s="23"/>
      <c r="BE35" s="23">
        <v>7</v>
      </c>
      <c r="BF35" s="23"/>
      <c r="BG35" s="23"/>
    </row>
    <row r="36" spans="1:59" ht="23.25">
      <c r="L36" s="441" t="s">
        <v>170</v>
      </c>
      <c r="M36" s="470">
        <f>$V$6</f>
        <v>5</v>
      </c>
      <c r="N36" s="430">
        <f>$V9</f>
        <v>5</v>
      </c>
      <c r="O36" s="430">
        <f>$V7</f>
        <v>0</v>
      </c>
      <c r="P36" s="430">
        <f>$V8</f>
        <v>0</v>
      </c>
      <c r="Q36" s="430">
        <f>V15+V16+V17+V18+V19+V21++V22+V23</f>
        <v>0</v>
      </c>
      <c r="R36" s="430">
        <f>$V20</f>
        <v>0</v>
      </c>
      <c r="S36" s="446">
        <f t="shared" si="23"/>
        <v>10</v>
      </c>
      <c r="T36" s="686"/>
      <c r="U36" s="26"/>
      <c r="V36" s="441" t="s">
        <v>170</v>
      </c>
      <c r="W36" s="440">
        <f>X$6</f>
        <v>8</v>
      </c>
      <c r="X36" s="430">
        <f>$X9</f>
        <v>1</v>
      </c>
      <c r="Y36" s="430">
        <f>$X7</f>
        <v>0</v>
      </c>
      <c r="Z36" s="430">
        <f>$X8</f>
        <v>0</v>
      </c>
      <c r="AA36" s="430">
        <f>X$15+X$16+X$17+X$18+X$19+X$21+X$22+X$23</f>
        <v>0</v>
      </c>
      <c r="AB36" s="719">
        <f>$X20</f>
        <v>0</v>
      </c>
      <c r="AC36" s="723">
        <f t="shared" si="24"/>
        <v>9</v>
      </c>
      <c r="AD36" s="587">
        <f>Y6+Y7+Y8+Y9+Y15+Y16+Y17+Y18+Y19+Y20+Y21+Y22+Y23</f>
        <v>0</v>
      </c>
      <c r="AE36" s="579">
        <f t="shared" si="25"/>
        <v>9</v>
      </c>
      <c r="AF36" s="26"/>
      <c r="AG36" s="599"/>
      <c r="AH36" s="599"/>
      <c r="AI36" s="599"/>
      <c r="AL36" s="24"/>
      <c r="AN36" s="26"/>
      <c r="AP36" s="24"/>
      <c r="AT36" s="25"/>
      <c r="AU36" s="25"/>
      <c r="AX36" s="23"/>
      <c r="AY36" s="23"/>
      <c r="AZ36" s="23"/>
      <c r="BA36" s="23"/>
      <c r="BB36" s="23"/>
      <c r="BC36" s="23"/>
      <c r="BD36" s="23"/>
      <c r="BE36" s="23">
        <v>47</v>
      </c>
      <c r="BF36" s="23"/>
      <c r="BG36" s="23"/>
    </row>
    <row r="37" spans="1:59" ht="23.25">
      <c r="L37" s="441" t="s">
        <v>171</v>
      </c>
      <c r="M37" s="470">
        <f>$Z$6</f>
        <v>0</v>
      </c>
      <c r="N37" s="430">
        <f>$Z9</f>
        <v>0</v>
      </c>
      <c r="O37" s="430">
        <f>$Z7</f>
        <v>0</v>
      </c>
      <c r="P37" s="430">
        <f>$Z8</f>
        <v>0</v>
      </c>
      <c r="Q37" s="430">
        <f>Z15+Z16+Z17+Z18+Z19+Z21+Z22+Z23</f>
        <v>0</v>
      </c>
      <c r="R37" s="430">
        <f>$Z20</f>
        <v>0</v>
      </c>
      <c r="S37" s="446">
        <f t="shared" si="23"/>
        <v>0</v>
      </c>
      <c r="T37" s="686"/>
      <c r="U37" s="26"/>
      <c r="V37" s="441" t="s">
        <v>171</v>
      </c>
      <c r="W37" s="440">
        <f>AB$6</f>
        <v>0</v>
      </c>
      <c r="X37" s="430">
        <f>$AB9</f>
        <v>0</v>
      </c>
      <c r="Y37" s="430">
        <f>$AB7</f>
        <v>0</v>
      </c>
      <c r="Z37" s="430">
        <f>$AB8</f>
        <v>0</v>
      </c>
      <c r="AA37" s="430">
        <f>AB$15+AB$16+AB$17+AB$18+AB$19+AB$21+AB$22+AB$23</f>
        <v>0</v>
      </c>
      <c r="AB37" s="719">
        <f>$AB20</f>
        <v>0</v>
      </c>
      <c r="AC37" s="723">
        <f t="shared" si="24"/>
        <v>0</v>
      </c>
      <c r="AD37" s="587">
        <f>AC6+AC7+AC8+AC9+AC15+AC17+AC16+AC18+AC19+AC20+AC21+AC22+AC23</f>
        <v>0</v>
      </c>
      <c r="AE37" s="579">
        <f t="shared" si="25"/>
        <v>0</v>
      </c>
      <c r="AF37" s="26"/>
      <c r="AG37" s="26"/>
      <c r="AI37" s="26"/>
      <c r="AJ37" s="1289"/>
      <c r="AK37" s="26"/>
      <c r="AL37" s="24"/>
      <c r="AN37" s="26"/>
      <c r="AP37" s="24"/>
      <c r="AT37" s="24"/>
      <c r="AX37" s="23"/>
      <c r="AY37" s="23"/>
      <c r="AZ37" s="23"/>
      <c r="BA37" s="23"/>
      <c r="BB37" s="23"/>
      <c r="BC37" s="23"/>
      <c r="BD37" s="23"/>
      <c r="BE37" s="23">
        <v>18</v>
      </c>
      <c r="BF37" s="23"/>
      <c r="BG37" s="23"/>
    </row>
    <row r="38" spans="1:59" ht="23.25">
      <c r="L38" s="441" t="s">
        <v>190</v>
      </c>
      <c r="M38" s="492">
        <f>$AD$6</f>
        <v>20</v>
      </c>
      <c r="N38" s="471">
        <f>$AD9</f>
        <v>0</v>
      </c>
      <c r="O38" s="471">
        <f>$AD7</f>
        <v>0</v>
      </c>
      <c r="P38" s="471">
        <f>$AD8</f>
        <v>0</v>
      </c>
      <c r="Q38" s="430">
        <f>AD15+AD16+AD17+AD18+AD19+AD21+AD22+AD23</f>
        <v>40</v>
      </c>
      <c r="R38" s="471">
        <f>$AD20</f>
        <v>0</v>
      </c>
      <c r="S38" s="446">
        <f t="shared" si="23"/>
        <v>60</v>
      </c>
      <c r="T38" s="686"/>
      <c r="U38" s="26"/>
      <c r="V38" s="441" t="s">
        <v>190</v>
      </c>
      <c r="W38" s="440">
        <f>AF$6</f>
        <v>25</v>
      </c>
      <c r="X38" s="430">
        <f>$AF9</f>
        <v>0</v>
      </c>
      <c r="Y38" s="430">
        <f>$AF7</f>
        <v>0</v>
      </c>
      <c r="Z38" s="430">
        <f>$AF8</f>
        <v>0</v>
      </c>
      <c r="AA38" s="430">
        <f>AF$15+AF$16+AF$17+AF$18+AF$19+AF$21+AF$22+AF$23</f>
        <v>0</v>
      </c>
      <c r="AB38" s="719">
        <f>$AF20</f>
        <v>0</v>
      </c>
      <c r="AC38" s="723">
        <f t="shared" si="24"/>
        <v>25</v>
      </c>
      <c r="AD38" s="587">
        <f>AG6+AG7+AG8+AG9+AG15+AG16+AG17+AG18+AG19+AG20+AG21+AG22+AG23</f>
        <v>0</v>
      </c>
      <c r="AE38" s="579">
        <f t="shared" si="25"/>
        <v>25</v>
      </c>
      <c r="AF38" s="26"/>
      <c r="AG38" s="26"/>
      <c r="AI38" s="26"/>
      <c r="AJ38" s="26"/>
      <c r="AK38" s="26"/>
      <c r="AL38" s="24"/>
      <c r="AN38" s="26"/>
      <c r="AP38" s="24"/>
      <c r="AT38" s="24"/>
      <c r="AX38" s="23"/>
      <c r="AY38" s="23"/>
      <c r="AZ38" s="23"/>
      <c r="BA38" s="23"/>
      <c r="BB38" s="23"/>
      <c r="BC38" s="23"/>
      <c r="BD38" s="23"/>
      <c r="BE38" s="23">
        <v>10</v>
      </c>
      <c r="BF38" s="23"/>
      <c r="BG38" s="23"/>
    </row>
    <row r="39" spans="1:59" ht="23.25">
      <c r="L39" s="441" t="s">
        <v>185</v>
      </c>
      <c r="M39" s="470">
        <f>$AL$6</f>
        <v>172</v>
      </c>
      <c r="N39" s="430">
        <f>$AL9</f>
        <v>0</v>
      </c>
      <c r="O39" s="430">
        <f>$AL7</f>
        <v>0</v>
      </c>
      <c r="P39" s="430">
        <f>$AL8</f>
        <v>0</v>
      </c>
      <c r="Q39" s="430">
        <f>AL15+AL16+AL17+AL18+AL19+AL21+AL22+AL23</f>
        <v>0</v>
      </c>
      <c r="R39" s="430">
        <f>$AL20</f>
        <v>0</v>
      </c>
      <c r="S39" s="446">
        <f t="shared" si="23"/>
        <v>172</v>
      </c>
      <c r="T39" s="686"/>
      <c r="U39" s="26"/>
      <c r="V39" s="441" t="s">
        <v>185</v>
      </c>
      <c r="W39" s="469">
        <f>AN$6</f>
        <v>3.5</v>
      </c>
      <c r="X39" s="430">
        <f>$AN9</f>
        <v>1</v>
      </c>
      <c r="Y39" s="430">
        <f>$AN7</f>
        <v>0</v>
      </c>
      <c r="Z39" s="430">
        <f>$AN8</f>
        <v>0</v>
      </c>
      <c r="AA39" s="430">
        <f>AN$15+AN$16+AN$17+AN$18+AN$19+AN$21+AN$22+AN$23</f>
        <v>0</v>
      </c>
      <c r="AB39" s="719">
        <f>$AN20</f>
        <v>0</v>
      </c>
      <c r="AC39" s="723">
        <f t="shared" si="24"/>
        <v>4.5</v>
      </c>
      <c r="AD39" s="587">
        <f>AO6+AO7+AO8+AO9+AO15+AO16+AO17+AO18+AO19+AO20+AO21+AO22+AO23</f>
        <v>8</v>
      </c>
      <c r="AE39" s="579">
        <f t="shared" si="25"/>
        <v>12.5</v>
      </c>
      <c r="AF39" s="23"/>
      <c r="AG39" s="26"/>
      <c r="AI39" s="26"/>
      <c r="AJ39" s="26"/>
      <c r="AK39" s="26"/>
      <c r="AL39" s="24"/>
      <c r="AN39" s="26"/>
      <c r="AP39" s="24"/>
      <c r="AT39" s="24"/>
      <c r="AX39" s="23"/>
      <c r="AY39" s="23"/>
      <c r="AZ39" s="23"/>
      <c r="BA39" s="23"/>
      <c r="BB39" s="23"/>
      <c r="BC39" s="23"/>
      <c r="BD39" s="23"/>
      <c r="BE39" s="23">
        <v>15.5</v>
      </c>
      <c r="BF39" s="23"/>
      <c r="BG39" s="23"/>
    </row>
    <row r="40" spans="1:59" ht="23.25">
      <c r="L40" s="441" t="s">
        <v>202</v>
      </c>
      <c r="M40" s="470">
        <f>$AP$6</f>
        <v>0</v>
      </c>
      <c r="N40" s="430">
        <f>$AP9</f>
        <v>2</v>
      </c>
      <c r="O40" s="430">
        <f>$AP7</f>
        <v>0</v>
      </c>
      <c r="P40" s="430">
        <f>$AP8</f>
        <v>0</v>
      </c>
      <c r="Q40" s="430">
        <f>AP15+AP16+AP17+AP18+AP19+AP21+AP22+AP23</f>
        <v>8</v>
      </c>
      <c r="R40" s="430">
        <f>$AP20</f>
        <v>0</v>
      </c>
      <c r="S40" s="446">
        <f t="shared" si="23"/>
        <v>10</v>
      </c>
      <c r="T40" s="686"/>
      <c r="U40" s="26"/>
      <c r="V40" s="441" t="s">
        <v>202</v>
      </c>
      <c r="W40" s="440">
        <f>AR$6</f>
        <v>0</v>
      </c>
      <c r="X40" s="430">
        <f>$AR9</f>
        <v>0</v>
      </c>
      <c r="Y40" s="430">
        <f>$AR7</f>
        <v>0</v>
      </c>
      <c r="Z40" s="430">
        <f>$AR8</f>
        <v>0</v>
      </c>
      <c r="AA40" s="430">
        <f>AR$15+AR$16+AR$17+AR$18+AR$19+AR$21+AR$22+AR$23</f>
        <v>0</v>
      </c>
      <c r="AB40" s="719">
        <f>$AR20</f>
        <v>0</v>
      </c>
      <c r="AC40" s="723">
        <f t="shared" si="24"/>
        <v>0</v>
      </c>
      <c r="AD40" s="587">
        <f>AS6+AS7+AS8+AS9+AS15+AS16+AS17+AS18+AS19+AS20+AS21+AS22+AS23</f>
        <v>0</v>
      </c>
      <c r="AE40" s="579">
        <f t="shared" si="25"/>
        <v>0</v>
      </c>
      <c r="AF40" s="28"/>
      <c r="AG40" s="26"/>
      <c r="AI40" s="26"/>
      <c r="AJ40" s="26"/>
      <c r="AK40" s="26"/>
      <c r="AL40" s="24"/>
      <c r="AN40" s="26"/>
      <c r="AP40" s="24"/>
      <c r="AS40" s="23"/>
      <c r="AT40" s="24"/>
      <c r="AX40" s="23"/>
      <c r="AY40" s="23"/>
      <c r="AZ40" s="23"/>
      <c r="BA40" s="23"/>
      <c r="BB40" s="23"/>
      <c r="BC40" s="23"/>
      <c r="BD40" s="23"/>
      <c r="BE40" s="23"/>
      <c r="BF40" s="23"/>
      <c r="BG40" s="23"/>
    </row>
    <row r="41" spans="1:59" ht="23.25">
      <c r="L41" s="441" t="s">
        <v>186</v>
      </c>
      <c r="M41" s="470">
        <f>$AT$6</f>
        <v>0</v>
      </c>
      <c r="N41" s="430">
        <f>$AT9</f>
        <v>0</v>
      </c>
      <c r="O41" s="430">
        <f>$AT7</f>
        <v>0</v>
      </c>
      <c r="P41" s="430">
        <f>$AT8</f>
        <v>0</v>
      </c>
      <c r="Q41" s="430">
        <f>AT15+AT16+AT17+AT18+AT19+AT21+AT22+AT23</f>
        <v>27.5</v>
      </c>
      <c r="R41" s="430">
        <f>$AT20</f>
        <v>7.5</v>
      </c>
      <c r="S41" s="446">
        <f t="shared" si="23"/>
        <v>35</v>
      </c>
      <c r="T41" s="686"/>
      <c r="U41" s="26"/>
      <c r="V41" s="441" t="s">
        <v>186</v>
      </c>
      <c r="W41" s="440">
        <f>AV$6</f>
        <v>0</v>
      </c>
      <c r="X41" s="430">
        <f>$AV9</f>
        <v>0</v>
      </c>
      <c r="Y41" s="430">
        <f>$AV7</f>
        <v>0</v>
      </c>
      <c r="Z41" s="430">
        <f>$AV8</f>
        <v>0</v>
      </c>
      <c r="AA41" s="430">
        <f>AV$15+AV$16+AV$17+AV$18+AV$19+AV$21+AV$22+AV$23</f>
        <v>0</v>
      </c>
      <c r="AB41" s="719">
        <f>$AV20</f>
        <v>0</v>
      </c>
      <c r="AC41" s="723">
        <f t="shared" si="24"/>
        <v>0</v>
      </c>
      <c r="AD41" s="587">
        <f>AW6+AW7+AW8+AW9+AW15+AW16+AW17+AW18+AW20+AW19+AW21+AW22+AW23</f>
        <v>0</v>
      </c>
      <c r="AE41" s="579">
        <f t="shared" si="25"/>
        <v>0</v>
      </c>
      <c r="AH41" s="24"/>
      <c r="AJ41" s="25"/>
      <c r="AL41" s="24"/>
      <c r="AN41" s="25"/>
      <c r="AP41" s="24"/>
      <c r="AR41" s="25"/>
      <c r="AT41" s="24"/>
      <c r="AX41" s="23"/>
      <c r="AY41" s="23"/>
      <c r="AZ41" s="23"/>
      <c r="BA41" s="23"/>
      <c r="BB41" s="23"/>
      <c r="BC41" s="23"/>
      <c r="BD41" s="23"/>
      <c r="BE41" s="23"/>
      <c r="BF41" s="23"/>
      <c r="BG41" s="23"/>
    </row>
    <row r="42" spans="1:59" ht="23.25">
      <c r="L42" s="441" t="s">
        <v>203</v>
      </c>
      <c r="M42" s="470">
        <f>$AX$6</f>
        <v>7</v>
      </c>
      <c r="N42" s="430">
        <f>$AX9</f>
        <v>0</v>
      </c>
      <c r="O42" s="430">
        <f>$AX7</f>
        <v>0</v>
      </c>
      <c r="P42" s="430">
        <f>$AX8</f>
        <v>0</v>
      </c>
      <c r="Q42" s="430">
        <f>AX15+AX16+AX17+AX18+AX19+AX21+AX22+AX23</f>
        <v>0</v>
      </c>
      <c r="R42" s="430">
        <f>$AX20</f>
        <v>0</v>
      </c>
      <c r="S42" s="446">
        <f t="shared" si="23"/>
        <v>7</v>
      </c>
      <c r="T42" s="686"/>
      <c r="U42" s="26"/>
      <c r="V42" s="441" t="s">
        <v>203</v>
      </c>
      <c r="W42" s="440">
        <f>AZ$6</f>
        <v>0</v>
      </c>
      <c r="X42" s="430">
        <f>$AZ9</f>
        <v>0</v>
      </c>
      <c r="Y42" s="430">
        <f>$AZ7</f>
        <v>0</v>
      </c>
      <c r="Z42" s="430">
        <f>$AZ8</f>
        <v>10</v>
      </c>
      <c r="AA42" s="430">
        <f>AZ$15+AZ$16+AZ$17+AZ$18+AZ$19+AZ$21+AZ$22+AZ$23</f>
        <v>0</v>
      </c>
      <c r="AB42" s="719">
        <f>$AZ20</f>
        <v>0</v>
      </c>
      <c r="AC42" s="723">
        <f t="shared" si="24"/>
        <v>10</v>
      </c>
      <c r="AD42" s="587">
        <f>BA6+BA7+BA8+BA9+BA15+BA16+BA17+BA18+BA19+BA20+BA21+BA22+BA23</f>
        <v>0</v>
      </c>
      <c r="AE42" s="579">
        <f t="shared" si="25"/>
        <v>10</v>
      </c>
      <c r="AH42" s="24"/>
      <c r="AJ42" s="25"/>
      <c r="AL42" s="24"/>
      <c r="AN42" s="25"/>
      <c r="AP42" s="24"/>
      <c r="AR42" s="25"/>
      <c r="AT42" s="24"/>
      <c r="AV42" s="25"/>
      <c r="AX42" s="23"/>
      <c r="AY42" s="23"/>
      <c r="AZ42" s="23"/>
      <c r="BA42" s="23"/>
      <c r="BB42" s="23"/>
      <c r="BC42" s="23"/>
      <c r="BD42" s="23"/>
      <c r="BE42" s="23"/>
      <c r="BF42" s="23"/>
      <c r="BG42" s="23"/>
    </row>
    <row r="43" spans="1:59" ht="24" thickBot="1">
      <c r="L43" s="442" t="s">
        <v>191</v>
      </c>
      <c r="M43" s="443">
        <f t="shared" ref="M43" si="26">SUM(M33:M42)</f>
        <v>314</v>
      </c>
      <c r="N43" s="444">
        <f>SUM(N33:N42)</f>
        <v>12</v>
      </c>
      <c r="O43" s="443">
        <f t="shared" ref="O43" si="27">SUM(O33:O42)</f>
        <v>0</v>
      </c>
      <c r="P43" s="444">
        <f>SUM(P33:P42)</f>
        <v>15</v>
      </c>
      <c r="Q43" s="444">
        <f>SUM(Q33:Q42)</f>
        <v>100.5</v>
      </c>
      <c r="R43" s="445">
        <f>SUM(R33:R42)</f>
        <v>7.5</v>
      </c>
      <c r="S43" s="451">
        <f>SUM(S33:S42)</f>
        <v>449</v>
      </c>
      <c r="T43" s="687"/>
      <c r="U43" s="26"/>
      <c r="V43" s="442" t="s">
        <v>191</v>
      </c>
      <c r="W43" s="443">
        <f t="shared" ref="W43:Y43" si="28">SUM(W33:W42)</f>
        <v>68.7</v>
      </c>
      <c r="X43" s="444">
        <f>SUM(X33:X42)</f>
        <v>3.5</v>
      </c>
      <c r="Y43" s="443">
        <f t="shared" si="28"/>
        <v>0</v>
      </c>
      <c r="Z43" s="444">
        <f>SUM(Z33:Z42)</f>
        <v>10</v>
      </c>
      <c r="AA43" s="444">
        <f>SUM(AA33:AA42)</f>
        <v>0</v>
      </c>
      <c r="AB43" s="720">
        <f>SUM(AB33:AB42)</f>
        <v>0</v>
      </c>
      <c r="AC43" s="724">
        <f>SUM(AC33:AC42)</f>
        <v>82.2</v>
      </c>
      <c r="AD43" s="725">
        <f>SUM(AD33:AD42)</f>
        <v>13</v>
      </c>
      <c r="AE43" s="579">
        <f t="shared" si="25"/>
        <v>95.2</v>
      </c>
      <c r="AH43" s="24"/>
      <c r="AJ43" s="25"/>
      <c r="AL43" s="24"/>
      <c r="AN43" s="25"/>
      <c r="AP43" s="24"/>
      <c r="AR43" s="25"/>
      <c r="AT43" s="24"/>
      <c r="AV43" s="25"/>
      <c r="AX43" s="23"/>
      <c r="AY43" s="23"/>
      <c r="AZ43" s="23"/>
      <c r="BA43" s="23"/>
      <c r="BB43" s="23"/>
      <c r="BC43" s="23"/>
      <c r="BD43" s="23"/>
      <c r="BE43" s="23"/>
      <c r="BF43" s="23"/>
      <c r="BG43" s="23"/>
    </row>
    <row r="44" spans="1:59" ht="15" customHeight="1" thickBot="1">
      <c r="L44" s="26"/>
      <c r="M44" s="26"/>
      <c r="N44" s="24"/>
      <c r="P44" s="26"/>
      <c r="Q44" s="26"/>
      <c r="R44" s="24"/>
      <c r="T44" s="26"/>
      <c r="U44" s="26"/>
      <c r="V44" s="24"/>
      <c r="Z44" s="24"/>
      <c r="AD44" s="24"/>
      <c r="AE44" s="26"/>
      <c r="AF44" s="466"/>
      <c r="AG44" s="466"/>
      <c r="AH44" s="466"/>
      <c r="AI44" s="467"/>
      <c r="AL44" s="24"/>
      <c r="AM44" s="25"/>
      <c r="AP44" s="24"/>
      <c r="AQ44" s="25"/>
      <c r="AT44" s="24"/>
      <c r="AU44" s="25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</row>
    <row r="45" spans="1:59" ht="26.25" customHeight="1" thickBot="1">
      <c r="L45" s="1929" t="str">
        <f>L31</f>
        <v>Mode wise Collection Plan-28-01-2022</v>
      </c>
      <c r="M45" s="1930"/>
      <c r="N45" s="1930"/>
      <c r="O45" s="1930"/>
      <c r="P45" s="1930"/>
      <c r="Q45" s="1930"/>
      <c r="R45" s="1930"/>
      <c r="S45" s="1930"/>
      <c r="T45" s="1931"/>
      <c r="U45" s="26"/>
      <c r="V45" s="1923" t="s">
        <v>272</v>
      </c>
      <c r="W45" s="1937"/>
      <c r="X45" s="1937"/>
      <c r="Y45" s="1937"/>
      <c r="Z45" s="1937"/>
      <c r="AA45" s="1937"/>
      <c r="AB45" s="1937"/>
      <c r="AC45" s="1937"/>
      <c r="AD45" s="1937"/>
      <c r="AE45" s="1938"/>
      <c r="AF45" s="466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</row>
    <row r="46" spans="1:59" s="28" customFormat="1" ht="31.5">
      <c r="D46" s="29"/>
      <c r="E46" s="29"/>
      <c r="F46" s="29"/>
      <c r="I46" s="29"/>
      <c r="J46" s="1011" t="s">
        <v>270</v>
      </c>
      <c r="K46" s="1011" t="s">
        <v>196</v>
      </c>
      <c r="L46" s="450" t="s">
        <v>0</v>
      </c>
      <c r="M46" s="439" t="s">
        <v>200</v>
      </c>
      <c r="N46" s="454" t="s">
        <v>205</v>
      </c>
      <c r="O46" s="439" t="s">
        <v>31</v>
      </c>
      <c r="P46" s="448" t="s">
        <v>201</v>
      </c>
      <c r="Q46" s="455" t="s">
        <v>206</v>
      </c>
      <c r="R46" s="436" t="s">
        <v>22</v>
      </c>
      <c r="S46" s="438" t="s">
        <v>191</v>
      </c>
      <c r="T46" s="438" t="s">
        <v>244</v>
      </c>
      <c r="U46" s="26"/>
      <c r="V46" s="596" t="s">
        <v>0</v>
      </c>
      <c r="W46" s="436" t="s">
        <v>200</v>
      </c>
      <c r="X46" s="454" t="s">
        <v>205</v>
      </c>
      <c r="Y46" s="436" t="s">
        <v>31</v>
      </c>
      <c r="Z46" s="448" t="s">
        <v>201</v>
      </c>
      <c r="AA46" s="453" t="s">
        <v>206</v>
      </c>
      <c r="AB46" s="453" t="s">
        <v>210</v>
      </c>
      <c r="AC46" s="436" t="s">
        <v>22</v>
      </c>
      <c r="AD46" s="437" t="s">
        <v>191</v>
      </c>
      <c r="AE46" s="438" t="s">
        <v>244</v>
      </c>
      <c r="AF46" s="952" t="s">
        <v>32</v>
      </c>
      <c r="AG46" s="1022" t="s">
        <v>25</v>
      </c>
      <c r="AH46" s="1022" t="s">
        <v>23</v>
      </c>
      <c r="AI46" s="1022" t="s">
        <v>271</v>
      </c>
      <c r="AJ46" s="23"/>
      <c r="AK46" s="23"/>
      <c r="AL46" s="23"/>
      <c r="AM46" s="23"/>
      <c r="AN46" s="23"/>
      <c r="AO46" s="23"/>
      <c r="AP46" s="23"/>
      <c r="AQ46" s="23"/>
      <c r="AR46" s="23"/>
    </row>
    <row r="47" spans="1:59" ht="23.25">
      <c r="J47" s="441"/>
      <c r="K47" s="441"/>
      <c r="L47" s="441" t="s">
        <v>189</v>
      </c>
      <c r="M47" s="470">
        <v>85</v>
      </c>
      <c r="N47" s="430">
        <v>0</v>
      </c>
      <c r="O47" s="430">
        <v>0</v>
      </c>
      <c r="P47" s="430">
        <v>15</v>
      </c>
      <c r="Q47" s="430">
        <v>0</v>
      </c>
      <c r="R47" s="430">
        <v>0</v>
      </c>
      <c r="S47" s="446">
        <f t="shared" ref="S47:S56" si="29">SUM(M47:R47)</f>
        <v>100</v>
      </c>
      <c r="T47" s="446">
        <v>10</v>
      </c>
      <c r="U47" s="26"/>
      <c r="V47" s="586" t="s">
        <v>189</v>
      </c>
      <c r="W47" s="430">
        <v>68.099999999999994</v>
      </c>
      <c r="X47" s="430">
        <v>0</v>
      </c>
      <c r="Y47" s="430">
        <v>0</v>
      </c>
      <c r="Z47" s="430">
        <v>0</v>
      </c>
      <c r="AA47" s="430">
        <v>0</v>
      </c>
      <c r="AB47" s="655">
        <v>0</v>
      </c>
      <c r="AC47" s="430"/>
      <c r="AD47" s="568">
        <f t="shared" ref="AD47:AD56" si="30">SUM(W47:AC47)</f>
        <v>68.099999999999994</v>
      </c>
      <c r="AE47" s="587">
        <f>L27+L28+L29</f>
        <v>0</v>
      </c>
      <c r="AF47" s="953"/>
      <c r="AG47" s="1017"/>
      <c r="AH47" s="1017"/>
      <c r="AI47" s="1017"/>
      <c r="AJ47" s="28"/>
      <c r="AK47" s="28"/>
      <c r="AL47" s="28"/>
      <c r="AM47" s="28"/>
      <c r="AN47" s="28"/>
      <c r="AO47" s="28"/>
      <c r="AP47" s="28"/>
      <c r="AQ47" s="28"/>
      <c r="AR47" s="28"/>
      <c r="AT47" s="24"/>
      <c r="AU47" s="25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</row>
    <row r="48" spans="1:59" ht="23.25">
      <c r="J48" s="441"/>
      <c r="K48" s="441"/>
      <c r="L48" s="441" t="s">
        <v>183</v>
      </c>
      <c r="M48" s="470">
        <v>25</v>
      </c>
      <c r="N48" s="430">
        <v>5</v>
      </c>
      <c r="O48" s="430">
        <v>0</v>
      </c>
      <c r="P48" s="430">
        <v>0</v>
      </c>
      <c r="Q48" s="430">
        <v>0</v>
      </c>
      <c r="R48" s="430">
        <v>0</v>
      </c>
      <c r="S48" s="446">
        <f t="shared" si="29"/>
        <v>30</v>
      </c>
      <c r="T48" s="446">
        <v>8</v>
      </c>
      <c r="U48" s="466"/>
      <c r="V48" s="586" t="s">
        <v>183</v>
      </c>
      <c r="W48" s="430">
        <v>27</v>
      </c>
      <c r="X48" s="430">
        <v>0</v>
      </c>
      <c r="Y48" s="430">
        <v>0</v>
      </c>
      <c r="Z48" s="430">
        <v>0</v>
      </c>
      <c r="AA48" s="430">
        <v>0</v>
      </c>
      <c r="AB48" s="655">
        <v>0</v>
      </c>
      <c r="AC48" s="430"/>
      <c r="AD48" s="568">
        <f t="shared" si="30"/>
        <v>27</v>
      </c>
      <c r="AE48" s="587">
        <f>P27+P28+P29</f>
        <v>0</v>
      </c>
      <c r="AF48" s="953"/>
      <c r="AG48" s="951"/>
      <c r="AH48" s="951"/>
      <c r="AI48" s="655"/>
      <c r="AL48" s="24"/>
      <c r="AM48" s="25"/>
      <c r="AP48" s="24"/>
      <c r="AQ48" s="25"/>
      <c r="AT48" s="24"/>
      <c r="AU48" s="25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</row>
    <row r="49" spans="4:59" ht="23.25">
      <c r="J49" s="441"/>
      <c r="K49" s="441"/>
      <c r="L49" s="441" t="s">
        <v>184</v>
      </c>
      <c r="M49" s="470">
        <v>0</v>
      </c>
      <c r="N49" s="430">
        <v>0</v>
      </c>
      <c r="O49" s="430">
        <v>0</v>
      </c>
      <c r="P49" s="430">
        <v>0</v>
      </c>
      <c r="Q49" s="430">
        <v>25</v>
      </c>
      <c r="R49" s="430">
        <v>0</v>
      </c>
      <c r="S49" s="446">
        <f t="shared" si="29"/>
        <v>25</v>
      </c>
      <c r="T49" s="446">
        <v>10</v>
      </c>
      <c r="U49" s="466"/>
      <c r="V49" s="586" t="s">
        <v>184</v>
      </c>
      <c r="W49" s="430">
        <v>9.9499999999999993</v>
      </c>
      <c r="X49" s="430">
        <v>0</v>
      </c>
      <c r="Y49" s="430">
        <v>0</v>
      </c>
      <c r="Z49" s="430">
        <v>0</v>
      </c>
      <c r="AA49" s="430">
        <v>0</v>
      </c>
      <c r="AB49" s="655">
        <v>0</v>
      </c>
      <c r="AC49" s="430"/>
      <c r="AD49" s="568">
        <f t="shared" si="30"/>
        <v>9.9499999999999993</v>
      </c>
      <c r="AE49" s="587">
        <f>T27+T28+T29</f>
        <v>5</v>
      </c>
      <c r="AF49" s="953"/>
      <c r="AG49" s="951"/>
      <c r="AH49" s="951"/>
      <c r="AI49" s="655"/>
      <c r="AL49" s="24"/>
      <c r="AM49" s="25"/>
      <c r="AP49" s="24"/>
      <c r="AQ49" s="25"/>
      <c r="AT49" s="24"/>
      <c r="AU49" s="25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</row>
    <row r="50" spans="4:59" ht="23.25">
      <c r="J50" s="441"/>
      <c r="K50" s="441"/>
      <c r="L50" s="441" t="s">
        <v>170</v>
      </c>
      <c r="M50" s="470">
        <v>5</v>
      </c>
      <c r="N50" s="430">
        <v>5</v>
      </c>
      <c r="O50" s="430">
        <v>0</v>
      </c>
      <c r="P50" s="430">
        <v>0</v>
      </c>
      <c r="Q50" s="430">
        <v>0</v>
      </c>
      <c r="R50" s="430">
        <v>0</v>
      </c>
      <c r="S50" s="446">
        <f t="shared" si="29"/>
        <v>10</v>
      </c>
      <c r="T50" s="446"/>
      <c r="U50" s="466"/>
      <c r="V50" s="586" t="s">
        <v>170</v>
      </c>
      <c r="W50" s="430">
        <v>0</v>
      </c>
      <c r="X50" s="430">
        <v>0</v>
      </c>
      <c r="Y50" s="430">
        <v>0</v>
      </c>
      <c r="Z50" s="430">
        <v>0</v>
      </c>
      <c r="AA50" s="430">
        <v>0</v>
      </c>
      <c r="AB50" s="655">
        <v>0</v>
      </c>
      <c r="AC50" s="430"/>
      <c r="AD50" s="568">
        <f t="shared" si="30"/>
        <v>0</v>
      </c>
      <c r="AE50" s="587">
        <f>X27+X28+X29</f>
        <v>0</v>
      </c>
      <c r="AF50" s="953"/>
      <c r="AG50" s="951"/>
      <c r="AH50" s="951"/>
      <c r="AI50" s="655"/>
      <c r="AL50" s="24"/>
      <c r="AM50" s="25"/>
      <c r="AP50" s="24"/>
      <c r="AQ50" s="25"/>
      <c r="AT50" s="24"/>
      <c r="AU50" s="25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</row>
    <row r="51" spans="4:59" ht="23.25">
      <c r="J51" s="441"/>
      <c r="K51" s="441"/>
      <c r="L51" s="441" t="s">
        <v>171</v>
      </c>
      <c r="M51" s="470">
        <v>0</v>
      </c>
      <c r="N51" s="430">
        <v>0</v>
      </c>
      <c r="O51" s="430">
        <v>0</v>
      </c>
      <c r="P51" s="430">
        <v>0</v>
      </c>
      <c r="Q51" s="430">
        <v>0</v>
      </c>
      <c r="R51" s="430">
        <v>0</v>
      </c>
      <c r="S51" s="446">
        <f t="shared" si="29"/>
        <v>0</v>
      </c>
      <c r="T51" s="446"/>
      <c r="U51" s="466"/>
      <c r="V51" s="586" t="s">
        <v>171</v>
      </c>
      <c r="W51" s="430">
        <v>0</v>
      </c>
      <c r="X51" s="430">
        <v>0</v>
      </c>
      <c r="Y51" s="430">
        <v>0</v>
      </c>
      <c r="Z51" s="430">
        <v>0</v>
      </c>
      <c r="AA51" s="430">
        <v>0</v>
      </c>
      <c r="AB51" s="655">
        <v>0</v>
      </c>
      <c r="AC51" s="430"/>
      <c r="AD51" s="568">
        <f t="shared" si="30"/>
        <v>0</v>
      </c>
      <c r="AE51" s="587">
        <f>AB27+AB28+AB29</f>
        <v>0</v>
      </c>
      <c r="AF51" s="953"/>
      <c r="AG51" s="951"/>
      <c r="AH51" s="951"/>
      <c r="AI51" s="655"/>
      <c r="AL51" s="24"/>
      <c r="AM51" s="25"/>
      <c r="AP51" s="24"/>
      <c r="AQ51" s="25"/>
      <c r="AT51" s="24"/>
      <c r="AU51" s="25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</row>
    <row r="52" spans="4:59" ht="23.25">
      <c r="J52" s="441"/>
      <c r="K52" s="441"/>
      <c r="L52" s="441" t="s">
        <v>190</v>
      </c>
      <c r="M52" s="492">
        <v>20</v>
      </c>
      <c r="N52" s="471">
        <v>0</v>
      </c>
      <c r="O52" s="471">
        <v>0</v>
      </c>
      <c r="P52" s="471">
        <v>0</v>
      </c>
      <c r="Q52" s="430">
        <v>40</v>
      </c>
      <c r="R52" s="471">
        <v>0</v>
      </c>
      <c r="S52" s="446">
        <f t="shared" si="29"/>
        <v>60</v>
      </c>
      <c r="T52" s="446"/>
      <c r="U52" s="466"/>
      <c r="V52" s="586" t="s">
        <v>190</v>
      </c>
      <c r="W52" s="430">
        <v>5</v>
      </c>
      <c r="X52" s="430">
        <v>0</v>
      </c>
      <c r="Y52" s="430">
        <v>0</v>
      </c>
      <c r="Z52" s="430">
        <v>0</v>
      </c>
      <c r="AA52" s="430">
        <v>0</v>
      </c>
      <c r="AB52" s="655">
        <v>0</v>
      </c>
      <c r="AC52" s="430"/>
      <c r="AD52" s="568">
        <f t="shared" si="30"/>
        <v>5</v>
      </c>
      <c r="AE52" s="587">
        <f>AF27+AF28+AF29</f>
        <v>0</v>
      </c>
      <c r="AF52" s="954"/>
      <c r="AG52" s="951"/>
      <c r="AH52" s="951"/>
      <c r="AI52" s="655"/>
      <c r="AL52" s="24"/>
      <c r="AM52" s="25"/>
      <c r="AP52" s="24"/>
      <c r="AQ52" s="25"/>
      <c r="AT52" s="24"/>
      <c r="AU52" s="25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</row>
    <row r="53" spans="4:59" ht="23.25">
      <c r="J53" s="441"/>
      <c r="K53" s="441"/>
      <c r="L53" s="441" t="s">
        <v>185</v>
      </c>
      <c r="M53" s="470">
        <v>172</v>
      </c>
      <c r="N53" s="430">
        <v>0</v>
      </c>
      <c r="O53" s="430">
        <v>0</v>
      </c>
      <c r="P53" s="430">
        <v>0</v>
      </c>
      <c r="Q53" s="430">
        <v>0</v>
      </c>
      <c r="R53" s="430">
        <v>0</v>
      </c>
      <c r="S53" s="446">
        <f t="shared" si="29"/>
        <v>172</v>
      </c>
      <c r="T53" s="446">
        <v>8</v>
      </c>
      <c r="U53" s="466"/>
      <c r="V53" s="586" t="s">
        <v>185</v>
      </c>
      <c r="W53" s="430">
        <v>49</v>
      </c>
      <c r="X53" s="430">
        <v>0</v>
      </c>
      <c r="Y53" s="430">
        <v>0</v>
      </c>
      <c r="Z53" s="430">
        <v>35.200000000000003</v>
      </c>
      <c r="AA53" s="430">
        <v>0</v>
      </c>
      <c r="AB53" s="655">
        <v>0</v>
      </c>
      <c r="AC53" s="430"/>
      <c r="AD53" s="568">
        <f t="shared" si="30"/>
        <v>84.2</v>
      </c>
      <c r="AE53" s="587">
        <f>AN27+AN28+AN29</f>
        <v>8</v>
      </c>
      <c r="AF53" s="954"/>
      <c r="AG53" s="951"/>
      <c r="AH53" s="951"/>
      <c r="AI53" s="655"/>
      <c r="AL53" s="24"/>
      <c r="AM53" s="25"/>
      <c r="AP53" s="24"/>
      <c r="AQ53" s="25"/>
      <c r="AT53" s="24"/>
      <c r="AU53" s="25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</row>
    <row r="54" spans="4:59" ht="23.25">
      <c r="J54" s="441"/>
      <c r="K54" s="441"/>
      <c r="L54" s="441" t="s">
        <v>202</v>
      </c>
      <c r="M54" s="470">
        <v>0</v>
      </c>
      <c r="N54" s="430">
        <v>2</v>
      </c>
      <c r="O54" s="430">
        <v>0</v>
      </c>
      <c r="P54" s="430">
        <v>0</v>
      </c>
      <c r="Q54" s="430">
        <v>8</v>
      </c>
      <c r="R54" s="430">
        <v>0</v>
      </c>
      <c r="S54" s="446">
        <f t="shared" si="29"/>
        <v>10</v>
      </c>
      <c r="T54" s="446"/>
      <c r="U54" s="466"/>
      <c r="V54" s="586" t="s">
        <v>202</v>
      </c>
      <c r="W54" s="430">
        <v>0</v>
      </c>
      <c r="X54" s="430">
        <v>1</v>
      </c>
      <c r="Y54" s="430">
        <v>0</v>
      </c>
      <c r="Z54" s="430">
        <v>0</v>
      </c>
      <c r="AA54" s="430">
        <v>0</v>
      </c>
      <c r="AB54" s="655">
        <v>0</v>
      </c>
      <c r="AC54" s="430"/>
      <c r="AD54" s="568">
        <f t="shared" si="30"/>
        <v>1</v>
      </c>
      <c r="AE54" s="587">
        <f>AR27+AR28+AR29</f>
        <v>0</v>
      </c>
      <c r="AF54" s="952"/>
      <c r="AG54" s="951"/>
      <c r="AH54" s="951"/>
      <c r="AI54" s="655"/>
      <c r="AL54" s="24">
        <v>44</v>
      </c>
      <c r="AM54" s="25"/>
      <c r="AP54" s="24"/>
      <c r="AQ54" s="25"/>
      <c r="AT54" s="24"/>
      <c r="AU54" s="25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</row>
    <row r="55" spans="4:59" ht="23.25">
      <c r="J55" s="441"/>
      <c r="K55" s="441"/>
      <c r="L55" s="441" t="s">
        <v>186</v>
      </c>
      <c r="M55" s="470">
        <v>0</v>
      </c>
      <c r="N55" s="430">
        <v>0</v>
      </c>
      <c r="O55" s="430">
        <v>0</v>
      </c>
      <c r="P55" s="430">
        <v>0</v>
      </c>
      <c r="Q55" s="430">
        <v>27.5</v>
      </c>
      <c r="R55" s="430">
        <v>7.5</v>
      </c>
      <c r="S55" s="446">
        <f t="shared" si="29"/>
        <v>35</v>
      </c>
      <c r="T55" s="446"/>
      <c r="U55" s="466"/>
      <c r="V55" s="586" t="s">
        <v>186</v>
      </c>
      <c r="W55" s="430">
        <v>10.5</v>
      </c>
      <c r="X55" s="430">
        <v>0</v>
      </c>
      <c r="Y55" s="430">
        <v>0</v>
      </c>
      <c r="Z55" s="430">
        <v>0</v>
      </c>
      <c r="AA55" s="430">
        <v>0</v>
      </c>
      <c r="AB55" s="655">
        <v>0</v>
      </c>
      <c r="AC55" s="430"/>
      <c r="AD55" s="568">
        <f t="shared" si="30"/>
        <v>10.5</v>
      </c>
      <c r="AE55" s="587">
        <f>AV27+AV28+AV29</f>
        <v>0</v>
      </c>
      <c r="AF55" s="952"/>
      <c r="AG55" s="951"/>
      <c r="AH55" s="951"/>
      <c r="AI55" s="655"/>
      <c r="AL55" s="24">
        <v>18</v>
      </c>
      <c r="AM55" s="25"/>
      <c r="AP55" s="24"/>
      <c r="AQ55" s="25"/>
      <c r="AT55" s="24"/>
      <c r="AU55" s="25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</row>
    <row r="56" spans="4:59" ht="23.25">
      <c r="J56" s="441"/>
      <c r="K56" s="441"/>
      <c r="L56" s="441" t="s">
        <v>203</v>
      </c>
      <c r="M56" s="470">
        <v>7</v>
      </c>
      <c r="N56" s="430">
        <v>0</v>
      </c>
      <c r="O56" s="430">
        <v>0</v>
      </c>
      <c r="P56" s="430">
        <v>0</v>
      </c>
      <c r="Q56" s="430">
        <v>0</v>
      </c>
      <c r="R56" s="430">
        <v>0</v>
      </c>
      <c r="S56" s="446">
        <f t="shared" si="29"/>
        <v>7</v>
      </c>
      <c r="T56" s="446"/>
      <c r="U56" s="466"/>
      <c r="V56" s="586" t="s">
        <v>203</v>
      </c>
      <c r="W56" s="430">
        <v>0</v>
      </c>
      <c r="X56" s="430">
        <v>1.5</v>
      </c>
      <c r="Y56" s="430">
        <v>0</v>
      </c>
      <c r="Z56" s="430">
        <v>23.5</v>
      </c>
      <c r="AA56" s="430">
        <v>0</v>
      </c>
      <c r="AB56" s="655">
        <v>0</v>
      </c>
      <c r="AC56" s="430"/>
      <c r="AD56" s="568">
        <f t="shared" si="30"/>
        <v>25</v>
      </c>
      <c r="AE56" s="587">
        <f>AZ27+AZ28+AZ29</f>
        <v>0</v>
      </c>
      <c r="AF56" s="952"/>
      <c r="AG56" s="951"/>
      <c r="AH56" s="951"/>
      <c r="AI56" s="655"/>
      <c r="AL56" s="24">
        <v>17</v>
      </c>
      <c r="AM56" s="25"/>
      <c r="AP56" s="24"/>
      <c r="AQ56" s="25"/>
      <c r="AT56" s="24"/>
      <c r="AU56" s="25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</row>
    <row r="57" spans="4:59" ht="24" thickBot="1">
      <c r="J57" s="442">
        <f t="shared" ref="J57:K57" si="31">SUM(J47:J56)</f>
        <v>0</v>
      </c>
      <c r="K57" s="442">
        <f t="shared" si="31"/>
        <v>0</v>
      </c>
      <c r="L57" s="442" t="s">
        <v>191</v>
      </c>
      <c r="M57" s="443">
        <f t="shared" ref="M57" si="32">SUM(M47:M56)</f>
        <v>314</v>
      </c>
      <c r="N57" s="444">
        <f>SUM(N47:N56)</f>
        <v>12</v>
      </c>
      <c r="O57" s="443">
        <f t="shared" ref="O57" si="33">SUM(O47:O56)</f>
        <v>0</v>
      </c>
      <c r="P57" s="444">
        <f>SUM(P47:P56)</f>
        <v>15</v>
      </c>
      <c r="Q57" s="444">
        <f>SUM(Q47:Q56)</f>
        <v>100.5</v>
      </c>
      <c r="R57" s="445">
        <f>SUM(R47:R56)</f>
        <v>7.5</v>
      </c>
      <c r="S57" s="451">
        <f>SUM(S47:S56)</f>
        <v>449</v>
      </c>
      <c r="T57" s="451">
        <f>SUM(T47:T56)</f>
        <v>36</v>
      </c>
      <c r="U57" s="466"/>
      <c r="V57" s="588" t="s">
        <v>191</v>
      </c>
      <c r="W57" s="445">
        <f t="shared" ref="W57" si="34">SUM(W47:W56)</f>
        <v>169.55</v>
      </c>
      <c r="X57" s="444">
        <f>SUM(X47:X56)</f>
        <v>2.5</v>
      </c>
      <c r="Y57" s="444">
        <f t="shared" ref="Y57" si="35">SUM(Y47:Y56)</f>
        <v>0</v>
      </c>
      <c r="Z57" s="444">
        <f>SUM(Z47:Z56)</f>
        <v>58.7</v>
      </c>
      <c r="AA57" s="444">
        <f>SUM(AA47:AA56)</f>
        <v>0</v>
      </c>
      <c r="AB57" s="444"/>
      <c r="AC57" s="444">
        <f t="shared" ref="AC57" si="36">SUM(AC47:AC56)</f>
        <v>0</v>
      </c>
      <c r="AD57" s="1290">
        <f>SUM(AD47:AD56)</f>
        <v>230.75</v>
      </c>
      <c r="AE57" s="631">
        <f>SUM(AE47:AE56)</f>
        <v>13</v>
      </c>
      <c r="AF57" s="1016">
        <f t="shared" ref="AF57:AI57" si="37">SUM(AF47:AF56)</f>
        <v>0</v>
      </c>
      <c r="AG57" s="1015">
        <f t="shared" si="37"/>
        <v>0</v>
      </c>
      <c r="AH57" s="1015">
        <f t="shared" si="37"/>
        <v>0</v>
      </c>
      <c r="AI57" s="1015">
        <f t="shared" si="37"/>
        <v>0</v>
      </c>
      <c r="AL57" s="24">
        <v>43</v>
      </c>
      <c r="AM57" s="25"/>
      <c r="AP57" s="24"/>
      <c r="AQ57" s="25"/>
      <c r="AT57" s="24"/>
      <c r="AU57" s="25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</row>
    <row r="58" spans="4:59" ht="30.75" customHeight="1" thickBot="1">
      <c r="N58" s="24"/>
      <c r="O58" s="1924" t="s">
        <v>254</v>
      </c>
      <c r="P58" s="1925"/>
      <c r="Q58" s="1925"/>
      <c r="R58" s="1926"/>
      <c r="S58" s="1927">
        <f>S57+T57</f>
        <v>485</v>
      </c>
      <c r="T58" s="1928"/>
      <c r="U58" s="466"/>
      <c r="V58" s="1932" t="s">
        <v>221</v>
      </c>
      <c r="W58" s="1932"/>
      <c r="X58" s="1932"/>
      <c r="Y58" s="1932"/>
      <c r="Z58" s="1932"/>
      <c r="AA58" s="1932"/>
      <c r="AB58" s="1932"/>
      <c r="AC58" s="1932"/>
      <c r="AD58" s="1933">
        <f>AD57+AE57</f>
        <v>243.75</v>
      </c>
      <c r="AE58" s="1934"/>
      <c r="AF58" s="466"/>
      <c r="AH58" s="24"/>
      <c r="AI58" s="25"/>
      <c r="AL58" s="24"/>
      <c r="AM58" s="25"/>
      <c r="AP58" s="24"/>
      <c r="AQ58" s="25"/>
      <c r="AT58" s="24"/>
      <c r="AU58" s="25"/>
      <c r="AX58" s="24"/>
      <c r="AY58" s="24"/>
      <c r="AZ58" s="25"/>
      <c r="BA58" s="24"/>
      <c r="BB58" s="24"/>
      <c r="BC58" s="23"/>
      <c r="BD58" s="23"/>
      <c r="BE58" s="23"/>
      <c r="BF58" s="23"/>
      <c r="BG58" s="23"/>
    </row>
    <row r="59" spans="4:59" ht="26.25" customHeight="1" thickBot="1">
      <c r="J59" s="24"/>
      <c r="N59" s="24"/>
      <c r="R59" s="24"/>
      <c r="T59" s="26"/>
      <c r="U59" s="26"/>
      <c r="V59" s="966"/>
      <c r="W59" s="966"/>
      <c r="X59" s="966"/>
      <c r="Y59" s="1922" t="s">
        <v>235</v>
      </c>
      <c r="Z59" s="1922"/>
      <c r="AA59" s="1922"/>
      <c r="AB59" s="1922"/>
      <c r="AC59" s="1922"/>
      <c r="AD59" s="1920">
        <f>W57+AE56+AE54+AE50</f>
        <v>169.55</v>
      </c>
      <c r="AE59" s="1921"/>
      <c r="AF59" s="466"/>
      <c r="AH59" s="24"/>
      <c r="AI59" s="25"/>
      <c r="AL59" s="24"/>
      <c r="AP59" s="25"/>
      <c r="AT59" s="25"/>
      <c r="AX59" s="25"/>
      <c r="AY59" s="24"/>
      <c r="AZ59" s="24"/>
      <c r="BA59" s="24"/>
      <c r="BB59" s="25"/>
      <c r="BE59" s="23"/>
      <c r="BF59" s="23"/>
      <c r="BG59" s="23"/>
    </row>
    <row r="60" spans="4:59" s="28" customFormat="1" ht="30" customHeight="1" thickBot="1">
      <c r="D60" s="29"/>
      <c r="E60" s="29"/>
      <c r="F60" s="29"/>
      <c r="I60" s="29"/>
      <c r="J60" s="24"/>
      <c r="K60" s="24"/>
      <c r="L60" s="1923" t="s">
        <v>321</v>
      </c>
      <c r="M60" s="1937"/>
      <c r="N60" s="1937"/>
      <c r="O60" s="1937"/>
      <c r="P60" s="1937"/>
      <c r="Q60" s="1937"/>
      <c r="R60" s="1937"/>
      <c r="S60" s="1937"/>
      <c r="T60" s="1937"/>
      <c r="U60" s="1938"/>
      <c r="V60" s="966"/>
      <c r="W60" s="966"/>
      <c r="X60" s="966"/>
      <c r="Y60" s="1013"/>
      <c r="Z60" s="966"/>
      <c r="AA60" s="966"/>
      <c r="AB60" s="966"/>
      <c r="AC60" s="1013"/>
      <c r="AD60" s="966"/>
      <c r="AE60" s="964"/>
      <c r="AF60" s="966"/>
      <c r="AG60" s="964">
        <v>29</v>
      </c>
      <c r="AH60" s="964"/>
      <c r="AI60" s="967"/>
      <c r="AJ60" s="964"/>
      <c r="AK60" s="964"/>
      <c r="AL60" s="964"/>
      <c r="AM60" s="964"/>
      <c r="AN60" s="964"/>
      <c r="AO60" s="964"/>
      <c r="AP60" s="967"/>
      <c r="AQ60" s="964"/>
      <c r="AR60" s="964"/>
      <c r="AS60" s="964"/>
      <c r="AT60" s="967"/>
      <c r="AU60" s="964"/>
      <c r="AV60" s="964"/>
      <c r="AW60" s="964"/>
      <c r="AX60" s="967"/>
      <c r="AY60" s="965"/>
      <c r="AZ60" s="965"/>
      <c r="BA60" s="964"/>
      <c r="BB60" s="964"/>
      <c r="BC60" s="967"/>
      <c r="BD60" s="967"/>
      <c r="BE60" s="964"/>
    </row>
    <row r="61" spans="4:59" ht="39" customHeight="1">
      <c r="J61" s="24"/>
      <c r="L61" s="596" t="s">
        <v>0</v>
      </c>
      <c r="M61" s="436" t="s">
        <v>200</v>
      </c>
      <c r="N61" s="454" t="s">
        <v>205</v>
      </c>
      <c r="O61" s="436" t="s">
        <v>31</v>
      </c>
      <c r="P61" s="448" t="s">
        <v>201</v>
      </c>
      <c r="Q61" s="453" t="s">
        <v>206</v>
      </c>
      <c r="R61" s="453" t="s">
        <v>210</v>
      </c>
      <c r="S61" s="436" t="s">
        <v>22</v>
      </c>
      <c r="T61" s="437" t="s">
        <v>191</v>
      </c>
      <c r="U61" s="438" t="s">
        <v>244</v>
      </c>
      <c r="V61" s="466"/>
      <c r="W61" s="466"/>
      <c r="X61" s="466"/>
      <c r="Y61" s="465"/>
      <c r="Z61" s="466"/>
      <c r="AA61" s="466"/>
      <c r="AB61" s="466"/>
      <c r="AC61" s="465"/>
      <c r="AD61" s="466"/>
      <c r="AF61" s="466"/>
      <c r="AG61" s="24">
        <v>65</v>
      </c>
      <c r="AH61" s="24"/>
      <c r="AI61" s="25"/>
      <c r="AL61" s="24"/>
      <c r="AM61" s="26"/>
      <c r="AN61" s="26"/>
      <c r="AP61" s="24"/>
      <c r="AQ61" s="26"/>
      <c r="AR61" s="26"/>
      <c r="AT61" s="24"/>
      <c r="AU61" s="26"/>
      <c r="AV61" s="26"/>
      <c r="AX61" s="24"/>
      <c r="AY61" s="26"/>
      <c r="AZ61" s="26"/>
      <c r="BA61" s="24"/>
      <c r="BB61" s="24"/>
      <c r="BC61" s="25"/>
      <c r="BD61" s="25"/>
      <c r="BF61" s="23"/>
      <c r="BG61" s="23"/>
    </row>
    <row r="62" spans="4:59" ht="23.25">
      <c r="J62" s="24"/>
      <c r="L62" s="586" t="s">
        <v>189</v>
      </c>
      <c r="M62" s="430">
        <v>5.2</v>
      </c>
      <c r="N62" s="430">
        <v>0</v>
      </c>
      <c r="O62" s="430">
        <v>0</v>
      </c>
      <c r="P62" s="430">
        <v>0</v>
      </c>
      <c r="Q62" s="430"/>
      <c r="R62" s="430"/>
      <c r="S62" s="430"/>
      <c r="T62" s="568">
        <f t="shared" ref="T62:T71" si="38">SUM(M62:S62)</f>
        <v>5.2</v>
      </c>
      <c r="U62" s="587">
        <v>0</v>
      </c>
      <c r="V62" s="466"/>
      <c r="W62" s="466"/>
      <c r="X62" s="466"/>
      <c r="Y62" s="465"/>
      <c r="Z62" s="466"/>
      <c r="AA62" s="466"/>
      <c r="AB62" s="466"/>
      <c r="AC62" s="465"/>
      <c r="AD62" s="466"/>
      <c r="AF62" s="466"/>
      <c r="AH62" s="24"/>
      <c r="AI62" s="25"/>
      <c r="AL62" s="24"/>
      <c r="AM62" s="26"/>
      <c r="AN62" s="26"/>
      <c r="AP62" s="24"/>
      <c r="AQ62" s="26"/>
      <c r="AR62" s="26"/>
      <c r="AT62" s="24"/>
      <c r="AU62" s="26"/>
      <c r="AV62" s="26"/>
      <c r="AX62" s="24"/>
      <c r="AY62" s="26"/>
      <c r="AZ62" s="26"/>
      <c r="BA62" s="24"/>
      <c r="BB62" s="24"/>
      <c r="BC62" s="25"/>
      <c r="BD62" s="25"/>
      <c r="BF62" s="23"/>
      <c r="BG62" s="23"/>
    </row>
    <row r="63" spans="4:59" ht="23.25">
      <c r="J63" s="24"/>
      <c r="L63" s="586" t="s">
        <v>183</v>
      </c>
      <c r="M63" s="430">
        <v>27</v>
      </c>
      <c r="N63" s="430">
        <v>0</v>
      </c>
      <c r="O63" s="430">
        <v>0</v>
      </c>
      <c r="P63" s="430">
        <v>0</v>
      </c>
      <c r="Q63" s="430"/>
      <c r="R63" s="430"/>
      <c r="S63" s="430"/>
      <c r="T63" s="568">
        <f t="shared" si="38"/>
        <v>27</v>
      </c>
      <c r="U63" s="587">
        <v>0</v>
      </c>
      <c r="V63" s="466"/>
      <c r="W63" s="466"/>
      <c r="X63" s="466"/>
      <c r="Y63" s="465"/>
      <c r="Z63" s="466"/>
      <c r="AA63" s="466"/>
      <c r="AB63" s="466"/>
      <c r="AC63" s="465"/>
      <c r="AD63" s="466"/>
      <c r="AG63" s="26"/>
      <c r="AH63" s="24"/>
      <c r="AK63" s="49"/>
      <c r="AL63" s="24"/>
      <c r="AM63" s="26"/>
      <c r="AN63" s="26"/>
      <c r="AP63" s="24"/>
      <c r="AQ63" s="26"/>
      <c r="AR63" s="26"/>
      <c r="AT63" s="24"/>
      <c r="AU63" s="26"/>
      <c r="AV63" s="26"/>
      <c r="AX63" s="24"/>
      <c r="AY63" s="26"/>
      <c r="AZ63" s="26"/>
      <c r="BA63" s="24"/>
      <c r="BB63" s="24"/>
      <c r="BC63" s="25"/>
      <c r="BD63" s="25"/>
      <c r="BF63" s="23"/>
      <c r="BG63" s="23"/>
    </row>
    <row r="64" spans="4:59" ht="23.25">
      <c r="J64" s="24"/>
      <c r="L64" s="586" t="s">
        <v>184</v>
      </c>
      <c r="M64" s="430">
        <v>0</v>
      </c>
      <c r="N64" s="430">
        <v>0</v>
      </c>
      <c r="O64" s="430">
        <v>0</v>
      </c>
      <c r="P64" s="430">
        <v>0</v>
      </c>
      <c r="Q64" s="430"/>
      <c r="R64" s="430"/>
      <c r="S64" s="430"/>
      <c r="T64" s="568">
        <f t="shared" si="38"/>
        <v>0</v>
      </c>
      <c r="U64" s="587">
        <v>5</v>
      </c>
      <c r="V64" s="466"/>
      <c r="W64" s="466"/>
      <c r="X64" s="466"/>
      <c r="Y64" s="465"/>
      <c r="Z64" s="466"/>
      <c r="AA64" s="466"/>
      <c r="AB64" s="466"/>
      <c r="AC64" s="465"/>
      <c r="AD64" s="466"/>
      <c r="AG64" s="26"/>
      <c r="AH64" s="24"/>
      <c r="AK64" s="49"/>
      <c r="AL64" s="24"/>
      <c r="AO64" s="26"/>
      <c r="AP64" s="24"/>
      <c r="AQ64" s="26"/>
      <c r="AR64" s="26"/>
      <c r="AT64" s="24"/>
      <c r="AU64" s="26"/>
      <c r="AV64" s="26"/>
      <c r="AX64" s="24"/>
      <c r="AY64" s="26"/>
      <c r="AZ64" s="26"/>
      <c r="BA64" s="24"/>
      <c r="BB64" s="24"/>
      <c r="BE64" s="25"/>
      <c r="BF64" s="24"/>
      <c r="BG64" s="23"/>
    </row>
    <row r="65" spans="10:59" ht="23.25">
      <c r="J65" s="24"/>
      <c r="L65" s="586" t="s">
        <v>170</v>
      </c>
      <c r="M65" s="430">
        <v>8</v>
      </c>
      <c r="N65" s="430">
        <v>1</v>
      </c>
      <c r="O65" s="430">
        <v>0</v>
      </c>
      <c r="P65" s="430">
        <v>0</v>
      </c>
      <c r="Q65" s="430"/>
      <c r="R65" s="430"/>
      <c r="S65" s="430"/>
      <c r="T65" s="568">
        <f t="shared" si="38"/>
        <v>9</v>
      </c>
      <c r="U65" s="587">
        <v>0</v>
      </c>
      <c r="V65" s="466"/>
      <c r="W65" s="466"/>
      <c r="X65" s="466"/>
      <c r="Y65" s="465"/>
      <c r="Z65" s="466"/>
      <c r="AA65" s="466"/>
      <c r="AB65" s="466"/>
      <c r="AC65" s="465"/>
      <c r="AD65" s="466"/>
      <c r="AG65" s="26"/>
      <c r="AH65" s="24"/>
      <c r="AK65" s="49"/>
      <c r="AL65" s="24"/>
      <c r="AO65" s="26"/>
      <c r="AP65" s="24"/>
      <c r="AQ65" s="26"/>
      <c r="AR65" s="26"/>
      <c r="AT65" s="24"/>
      <c r="AU65" s="26"/>
      <c r="AV65" s="26"/>
      <c r="AX65" s="24"/>
      <c r="AY65" s="26"/>
      <c r="AZ65" s="26"/>
      <c r="BA65" s="24"/>
      <c r="BB65" s="24"/>
      <c r="BE65" s="25"/>
      <c r="BF65" s="24"/>
      <c r="BG65" s="23"/>
    </row>
    <row r="66" spans="10:59" ht="23.25">
      <c r="J66" s="24"/>
      <c r="L66" s="586" t="s">
        <v>171</v>
      </c>
      <c r="M66" s="430">
        <v>0</v>
      </c>
      <c r="N66" s="430">
        <v>0</v>
      </c>
      <c r="O66" s="430">
        <v>0</v>
      </c>
      <c r="P66" s="430">
        <v>0</v>
      </c>
      <c r="Q66" s="430"/>
      <c r="R66" s="430"/>
      <c r="S66" s="430"/>
      <c r="T66" s="568">
        <f t="shared" si="38"/>
        <v>0</v>
      </c>
      <c r="U66" s="587">
        <v>0</v>
      </c>
      <c r="V66" s="466"/>
      <c r="W66" s="466"/>
      <c r="X66" s="466"/>
      <c r="Y66" s="465"/>
      <c r="Z66" s="466"/>
      <c r="AA66" s="466"/>
      <c r="AB66" s="466"/>
      <c r="AC66" s="465"/>
      <c r="AD66" s="466"/>
      <c r="AG66" s="26"/>
      <c r="AH66" s="24"/>
      <c r="AK66" s="49"/>
      <c r="AL66" s="24"/>
      <c r="AO66" s="26"/>
      <c r="AP66" s="24"/>
      <c r="AQ66" s="26"/>
      <c r="AR66" s="26"/>
      <c r="AT66" s="24"/>
      <c r="AU66" s="26"/>
      <c r="AV66" s="26"/>
      <c r="AX66" s="24"/>
      <c r="AY66" s="26"/>
      <c r="AZ66" s="26"/>
      <c r="BA66" s="24"/>
      <c r="BB66" s="24"/>
      <c r="BE66" s="25"/>
      <c r="BF66" s="24"/>
      <c r="BG66" s="23"/>
    </row>
    <row r="67" spans="10:59" ht="23.25">
      <c r="J67" s="24"/>
      <c r="L67" s="586" t="s">
        <v>190</v>
      </c>
      <c r="M67" s="430">
        <v>25</v>
      </c>
      <c r="N67" s="430">
        <v>0</v>
      </c>
      <c r="O67" s="430">
        <v>0</v>
      </c>
      <c r="P67" s="430">
        <v>0</v>
      </c>
      <c r="Q67" s="430"/>
      <c r="R67" s="430"/>
      <c r="S67" s="430"/>
      <c r="T67" s="568">
        <f t="shared" si="38"/>
        <v>25</v>
      </c>
      <c r="U67" s="587">
        <v>0</v>
      </c>
      <c r="V67" s="466"/>
      <c r="W67" s="466"/>
      <c r="X67" s="466"/>
      <c r="Y67" s="465"/>
      <c r="Z67" s="466"/>
      <c r="AA67" s="466"/>
      <c r="AB67" s="466"/>
      <c r="AC67" s="465"/>
      <c r="AD67" s="466"/>
      <c r="AG67" s="26"/>
      <c r="AH67" s="24"/>
      <c r="AK67" s="49"/>
      <c r="AL67" s="24"/>
      <c r="AO67" s="26"/>
      <c r="AP67" s="24"/>
      <c r="AQ67" s="26"/>
      <c r="AR67" s="26"/>
      <c r="AT67" s="24"/>
      <c r="AU67" s="26"/>
      <c r="AV67" s="26"/>
      <c r="AX67" s="24"/>
      <c r="AY67" s="26"/>
      <c r="AZ67" s="26"/>
      <c r="BA67" s="24"/>
      <c r="BB67" s="24"/>
      <c r="BE67" s="25"/>
      <c r="BF67" s="24"/>
      <c r="BG67" s="23"/>
    </row>
    <row r="68" spans="10:59" ht="23.25">
      <c r="J68" s="24"/>
      <c r="L68" s="586" t="s">
        <v>185</v>
      </c>
      <c r="M68" s="430">
        <v>3.5</v>
      </c>
      <c r="N68" s="430">
        <v>1</v>
      </c>
      <c r="O68" s="430">
        <v>0</v>
      </c>
      <c r="P68" s="430">
        <v>0</v>
      </c>
      <c r="Q68" s="430"/>
      <c r="R68" s="430"/>
      <c r="S68" s="430"/>
      <c r="T68" s="568">
        <f t="shared" si="38"/>
        <v>4.5</v>
      </c>
      <c r="U68" s="587">
        <v>8</v>
      </c>
      <c r="V68" s="466"/>
      <c r="W68" s="466"/>
      <c r="X68" s="466"/>
      <c r="Y68" s="465"/>
      <c r="Z68" s="466"/>
      <c r="AA68" s="466"/>
      <c r="AB68" s="466"/>
      <c r="AC68" s="465"/>
      <c r="AD68" s="466"/>
      <c r="AG68" s="26"/>
      <c r="AH68" s="24"/>
      <c r="AK68" s="49"/>
      <c r="AL68" s="24"/>
      <c r="AO68" s="26"/>
      <c r="AP68" s="24"/>
      <c r="AQ68" s="26"/>
      <c r="AR68" s="26"/>
      <c r="AT68" s="24"/>
      <c r="AU68" s="26"/>
      <c r="AV68" s="26"/>
      <c r="AX68" s="24"/>
      <c r="AY68" s="26"/>
      <c r="AZ68" s="26"/>
      <c r="BA68" s="24"/>
      <c r="BB68" s="24"/>
      <c r="BE68" s="25"/>
      <c r="BF68" s="24"/>
      <c r="BG68" s="23"/>
    </row>
    <row r="69" spans="10:59" ht="23.25">
      <c r="L69" s="586" t="s">
        <v>202</v>
      </c>
      <c r="M69" s="430">
        <v>0</v>
      </c>
      <c r="N69" s="430">
        <v>0</v>
      </c>
      <c r="O69" s="430">
        <v>0</v>
      </c>
      <c r="P69" s="430">
        <v>0</v>
      </c>
      <c r="Q69" s="430"/>
      <c r="R69" s="430"/>
      <c r="S69" s="430"/>
      <c r="T69" s="568">
        <f t="shared" si="38"/>
        <v>0</v>
      </c>
      <c r="U69" s="587">
        <v>0</v>
      </c>
      <c r="V69" s="466"/>
      <c r="W69" s="466"/>
      <c r="X69" s="466"/>
      <c r="Y69" s="465"/>
      <c r="Z69" s="466"/>
      <c r="AA69" s="466"/>
      <c r="AB69" s="466"/>
      <c r="AC69" s="465"/>
      <c r="AD69" s="466"/>
      <c r="AG69" s="26"/>
      <c r="AH69" s="24"/>
      <c r="AK69" s="49"/>
      <c r="AL69" s="24"/>
      <c r="AO69" s="26"/>
      <c r="AP69" s="24"/>
      <c r="AQ69" s="26"/>
      <c r="AR69" s="26"/>
      <c r="AT69" s="24"/>
      <c r="AU69" s="26"/>
      <c r="AV69" s="26"/>
      <c r="AX69" s="24"/>
      <c r="AY69" s="26"/>
      <c r="AZ69" s="26"/>
      <c r="BA69" s="24"/>
      <c r="BB69" s="24"/>
      <c r="BE69" s="25"/>
      <c r="BF69" s="24"/>
      <c r="BG69" s="23"/>
    </row>
    <row r="70" spans="10:59" ht="23.25">
      <c r="L70" s="586" t="s">
        <v>186</v>
      </c>
      <c r="M70" s="430">
        <v>0</v>
      </c>
      <c r="N70" s="430">
        <v>0</v>
      </c>
      <c r="O70" s="430">
        <v>0</v>
      </c>
      <c r="P70" s="430">
        <v>0</v>
      </c>
      <c r="Q70" s="430"/>
      <c r="R70" s="430"/>
      <c r="S70" s="430"/>
      <c r="T70" s="568">
        <f t="shared" si="38"/>
        <v>0</v>
      </c>
      <c r="U70" s="587">
        <v>0</v>
      </c>
      <c r="V70" s="466"/>
      <c r="W70" s="466"/>
      <c r="X70" s="466"/>
      <c r="Y70" s="465"/>
      <c r="Z70" s="466"/>
      <c r="AA70" s="466"/>
      <c r="AB70" s="466"/>
      <c r="AC70" s="465"/>
      <c r="AD70" s="466"/>
      <c r="AG70" s="26"/>
      <c r="AH70" s="24"/>
      <c r="AK70" s="49"/>
      <c r="AL70" s="24"/>
      <c r="AM70" s="26"/>
      <c r="AN70" s="26"/>
      <c r="AY70" s="24"/>
      <c r="AZ70" s="24"/>
      <c r="BA70" s="24"/>
      <c r="BB70" s="24"/>
      <c r="BC70" s="25"/>
      <c r="BD70" s="25"/>
      <c r="BF70" s="23"/>
      <c r="BG70" s="23"/>
    </row>
    <row r="71" spans="10:59" ht="23.25">
      <c r="L71" s="586" t="s">
        <v>203</v>
      </c>
      <c r="M71" s="430">
        <v>0</v>
      </c>
      <c r="N71" s="430">
        <v>0</v>
      </c>
      <c r="O71" s="430">
        <v>0</v>
      </c>
      <c r="P71" s="430">
        <v>10</v>
      </c>
      <c r="Q71" s="430"/>
      <c r="R71" s="430"/>
      <c r="S71" s="430"/>
      <c r="T71" s="568">
        <f t="shared" si="38"/>
        <v>10</v>
      </c>
      <c r="U71" s="587">
        <v>0</v>
      </c>
      <c r="V71" s="466"/>
      <c r="W71" s="466"/>
      <c r="X71" s="466"/>
      <c r="Y71" s="465"/>
      <c r="Z71" s="466"/>
      <c r="AA71" s="466"/>
      <c r="AB71" s="466"/>
      <c r="AC71" s="465"/>
      <c r="AD71" s="466"/>
      <c r="AG71" s="26"/>
      <c r="AH71" s="24"/>
      <c r="AK71" s="49"/>
      <c r="AL71" s="24"/>
      <c r="AM71" s="26"/>
      <c r="AN71" s="26"/>
      <c r="AY71" s="24"/>
      <c r="AZ71" s="24"/>
      <c r="BA71" s="24"/>
      <c r="BB71" s="24"/>
      <c r="BC71" s="25"/>
      <c r="BD71" s="25"/>
      <c r="BF71" s="23"/>
      <c r="BG71" s="23"/>
    </row>
    <row r="72" spans="10:59" ht="24" thickBot="1">
      <c r="L72" s="588" t="s">
        <v>191</v>
      </c>
      <c r="M72" s="589">
        <f t="shared" ref="M72" si="39">SUM(M62:M71)</f>
        <v>68.7</v>
      </c>
      <c r="N72" s="444">
        <f>SUM(N62:N71)</f>
        <v>2</v>
      </c>
      <c r="O72" s="444">
        <f t="shared" ref="O72" si="40">SUM(O62:O71)</f>
        <v>0</v>
      </c>
      <c r="P72" s="444">
        <f>SUM(P62:P71)</f>
        <v>10</v>
      </c>
      <c r="Q72" s="444">
        <f>SUM(Q62:Q71)</f>
        <v>0</v>
      </c>
      <c r="R72" s="444">
        <f>SUM(R62:R71)</f>
        <v>0</v>
      </c>
      <c r="S72" s="444">
        <f t="shared" ref="S72" si="41">SUM(S62:S71)</f>
        <v>0</v>
      </c>
      <c r="T72" s="630">
        <f>SUM(T62:T71)</f>
        <v>80.7</v>
      </c>
      <c r="U72" s="631">
        <f>SUM(U62:U71)</f>
        <v>13</v>
      </c>
      <c r="V72" s="466"/>
      <c r="W72" s="466"/>
      <c r="X72" s="466"/>
      <c r="Y72" s="465"/>
      <c r="Z72" s="466"/>
      <c r="AA72" s="466"/>
      <c r="AB72" s="466"/>
      <c r="AC72" s="465"/>
      <c r="AD72" s="466"/>
      <c r="AG72" s="26"/>
      <c r="AH72" s="24"/>
      <c r="AK72" s="49"/>
      <c r="AL72" s="24"/>
      <c r="AM72" s="26"/>
      <c r="AN72" s="26"/>
      <c r="AY72" s="24"/>
      <c r="AZ72" s="24"/>
      <c r="BA72" s="24"/>
      <c r="BB72" s="24"/>
      <c r="BC72" s="25"/>
      <c r="BD72" s="25"/>
      <c r="BF72" s="23"/>
      <c r="BG72" s="23"/>
    </row>
    <row r="73" spans="10:59" ht="30" customHeight="1" thickBot="1">
      <c r="L73" s="1932" t="s">
        <v>221</v>
      </c>
      <c r="M73" s="1932"/>
      <c r="N73" s="1932"/>
      <c r="O73" s="1932"/>
      <c r="P73" s="1932"/>
      <c r="Q73" s="1932"/>
      <c r="R73" s="1932"/>
      <c r="S73" s="1932"/>
      <c r="T73" s="1991">
        <f>T72+U72</f>
        <v>93.7</v>
      </c>
      <c r="U73" s="1992"/>
      <c r="V73" s="466"/>
      <c r="W73" s="466"/>
      <c r="X73" s="466"/>
      <c r="Y73" s="465"/>
      <c r="Z73" s="466"/>
      <c r="AA73" s="466"/>
      <c r="AB73" s="466"/>
      <c r="AC73" s="465"/>
      <c r="AD73" s="466"/>
      <c r="AG73" s="26"/>
      <c r="AH73" s="24"/>
      <c r="AK73" s="49"/>
      <c r="AL73" s="24"/>
      <c r="AM73" s="26"/>
      <c r="AN73" s="26"/>
      <c r="AY73" s="24"/>
      <c r="AZ73" s="24"/>
      <c r="BA73" s="24"/>
      <c r="BB73" s="24"/>
      <c r="BC73" s="25"/>
      <c r="BD73" s="25"/>
      <c r="BF73" s="23"/>
      <c r="BG73" s="23"/>
    </row>
    <row r="74" spans="10:59" ht="30" customHeight="1">
      <c r="L74" s="966"/>
      <c r="M74" s="966"/>
      <c r="N74" s="966"/>
      <c r="O74" s="1922" t="s">
        <v>235</v>
      </c>
      <c r="P74" s="1922"/>
      <c r="Q74" s="1922"/>
      <c r="R74" s="1922"/>
      <c r="S74" s="1922"/>
      <c r="T74" s="1939">
        <f>M72+U72</f>
        <v>81.7</v>
      </c>
      <c r="U74" s="1939"/>
      <c r="V74" s="466"/>
      <c r="W74" s="466"/>
      <c r="X74" s="466"/>
      <c r="Y74" s="465"/>
      <c r="Z74" s="466"/>
      <c r="AA74" s="466"/>
      <c r="AB74" s="466"/>
      <c r="AC74" s="465"/>
      <c r="AD74" s="466"/>
      <c r="AG74" s="26"/>
      <c r="AH74" s="24"/>
      <c r="AK74" s="49"/>
      <c r="AL74" s="24"/>
      <c r="AM74" s="26"/>
      <c r="AN74" s="26"/>
      <c r="AP74" s="24"/>
      <c r="AQ74" s="26"/>
      <c r="AR74" s="26"/>
      <c r="AT74" s="24"/>
      <c r="AU74" s="26"/>
      <c r="AV74" s="26"/>
      <c r="AW74" s="50"/>
      <c r="AX74" s="50"/>
      <c r="AY74" s="26"/>
      <c r="AZ74" s="26"/>
      <c r="BA74" s="24"/>
      <c r="BB74" s="24"/>
      <c r="BC74" s="25"/>
      <c r="BD74" s="25"/>
      <c r="BF74" s="23"/>
      <c r="BG74" s="23"/>
    </row>
    <row r="75" spans="10:59" ht="27" customHeight="1">
      <c r="L75" s="26"/>
      <c r="M75" s="26"/>
      <c r="N75" s="24"/>
      <c r="P75" s="26"/>
      <c r="Q75" s="26"/>
      <c r="R75" s="24"/>
      <c r="T75" s="26"/>
      <c r="U75" s="26"/>
      <c r="V75" s="24"/>
      <c r="W75" s="466"/>
      <c r="X75" s="466"/>
      <c r="Y75" s="466"/>
      <c r="Z75" s="465"/>
      <c r="AA75" s="466"/>
      <c r="AB75" s="466"/>
      <c r="AC75" s="466"/>
      <c r="AD75" s="465"/>
      <c r="AE75" s="466"/>
      <c r="AN75" s="26"/>
      <c r="AO75" s="26"/>
      <c r="AP75" s="24"/>
      <c r="AR75" s="26"/>
      <c r="AS75" s="26"/>
      <c r="AT75" s="24"/>
      <c r="AV75" s="26"/>
      <c r="AW75" s="26"/>
      <c r="AX75" s="50"/>
      <c r="AZ75" s="26"/>
      <c r="BA75" s="26"/>
      <c r="BB75" s="24"/>
      <c r="BD75" s="25"/>
      <c r="BE75" s="25"/>
      <c r="BF75" s="24"/>
      <c r="BG75" s="23"/>
    </row>
    <row r="76" spans="10:59">
      <c r="L76" s="26"/>
      <c r="M76" s="26"/>
      <c r="N76" s="24"/>
      <c r="P76" s="26"/>
      <c r="Q76" s="26"/>
      <c r="R76" s="24"/>
      <c r="T76" s="26"/>
      <c r="U76" s="26"/>
      <c r="V76" s="24"/>
      <c r="W76" s="466"/>
      <c r="X76" s="466"/>
      <c r="Y76" s="466"/>
      <c r="Z76" s="465"/>
      <c r="AA76" s="466"/>
      <c r="AB76" s="466"/>
      <c r="AC76" s="466"/>
      <c r="AD76" s="465"/>
      <c r="AE76" s="466"/>
      <c r="AN76" s="26"/>
      <c r="AO76" s="26"/>
      <c r="AP76" s="24"/>
      <c r="AR76" s="26"/>
      <c r="AS76" s="26"/>
      <c r="AT76" s="24"/>
      <c r="AV76" s="26"/>
      <c r="AW76" s="26"/>
      <c r="AX76" s="50"/>
      <c r="AZ76" s="26"/>
      <c r="BA76" s="26"/>
      <c r="BB76" s="24"/>
      <c r="BD76" s="25"/>
      <c r="BE76" s="25"/>
      <c r="BF76" s="24"/>
      <c r="BG76" s="23"/>
    </row>
    <row r="77" spans="10:59">
      <c r="L77" s="26"/>
      <c r="M77" s="26"/>
      <c r="N77" s="24"/>
      <c r="P77" s="26"/>
      <c r="Q77" s="26"/>
      <c r="R77" s="24"/>
      <c r="T77" s="26"/>
      <c r="U77" s="26"/>
      <c r="V77" s="24"/>
      <c r="W77" s="466"/>
      <c r="X77" s="466"/>
      <c r="Y77" s="466"/>
      <c r="Z77" s="465"/>
      <c r="AA77" s="466"/>
      <c r="AB77" s="466"/>
      <c r="AC77" s="466"/>
      <c r="AD77" s="465"/>
      <c r="AE77" s="466"/>
      <c r="AN77" s="26"/>
      <c r="AO77" s="26"/>
      <c r="AP77" s="24"/>
      <c r="AR77" s="26"/>
      <c r="AS77" s="26"/>
      <c r="AT77" s="24"/>
      <c r="AV77" s="26"/>
      <c r="AW77" s="26"/>
      <c r="AX77" s="50"/>
      <c r="AZ77" s="26"/>
      <c r="BA77" s="26"/>
      <c r="BB77" s="24"/>
      <c r="BD77" s="25"/>
      <c r="BE77" s="25"/>
      <c r="BF77" s="24"/>
      <c r="BG77" s="23"/>
    </row>
    <row r="78" spans="10:59">
      <c r="L78" s="26"/>
      <c r="M78" s="26"/>
      <c r="N78" s="24"/>
      <c r="P78" s="26"/>
      <c r="Q78" s="26"/>
      <c r="R78" s="24"/>
      <c r="T78" s="26"/>
      <c r="U78" s="26"/>
      <c r="V78" s="24"/>
      <c r="W78" s="466"/>
      <c r="X78" s="466"/>
      <c r="Y78" s="466"/>
      <c r="Z78" s="465"/>
      <c r="AA78" s="466"/>
      <c r="AB78" s="466"/>
      <c r="AC78" s="466"/>
      <c r="AD78" s="465"/>
      <c r="AE78" s="466"/>
      <c r="AN78" s="26"/>
      <c r="AO78" s="26"/>
      <c r="AP78" s="24"/>
      <c r="AR78" s="26"/>
      <c r="AS78" s="26"/>
      <c r="AT78" s="24"/>
      <c r="AV78" s="26"/>
      <c r="AW78" s="26"/>
      <c r="AX78" s="50"/>
      <c r="AZ78" s="26"/>
      <c r="BA78" s="26"/>
      <c r="BB78" s="24"/>
      <c r="BD78" s="25"/>
      <c r="BE78" s="25"/>
      <c r="BF78" s="24"/>
      <c r="BG78" s="23"/>
    </row>
    <row r="79" spans="10:59">
      <c r="L79" s="26"/>
      <c r="M79" s="26"/>
      <c r="N79" s="24"/>
      <c r="P79" s="26"/>
      <c r="Q79" s="26"/>
      <c r="R79" s="24"/>
      <c r="T79" s="26"/>
      <c r="U79" s="26"/>
      <c r="V79" s="24"/>
      <c r="X79" s="26"/>
      <c r="Y79" s="26"/>
      <c r="Z79" s="24"/>
      <c r="AB79" s="26"/>
      <c r="AC79" s="26"/>
      <c r="AD79" s="24"/>
      <c r="AF79" s="26"/>
      <c r="AG79" s="26"/>
      <c r="AH79" s="24"/>
      <c r="AJ79" s="49"/>
      <c r="AK79" s="49"/>
      <c r="AL79" s="24"/>
      <c r="AN79" s="26"/>
      <c r="AO79" s="26"/>
      <c r="AP79" s="24"/>
      <c r="AR79" s="26"/>
      <c r="AS79" s="26"/>
      <c r="AT79" s="24"/>
      <c r="AV79" s="26"/>
      <c r="AW79" s="26"/>
      <c r="AX79" s="50"/>
      <c r="AZ79" s="26"/>
      <c r="BA79" s="26"/>
      <c r="BB79" s="24"/>
      <c r="BD79" s="25"/>
      <c r="BE79" s="25"/>
      <c r="BF79" s="24"/>
      <c r="BG79" s="23"/>
    </row>
    <row r="80" spans="10:59">
      <c r="L80" s="26"/>
      <c r="M80" s="26"/>
      <c r="N80" s="24"/>
      <c r="P80" s="26"/>
      <c r="Q80" s="26"/>
      <c r="R80" s="24"/>
      <c r="T80" s="26"/>
      <c r="U80" s="26"/>
      <c r="V80" s="24"/>
      <c r="X80" s="26"/>
      <c r="Y80" s="26"/>
      <c r="Z80" s="24"/>
      <c r="AB80" s="26"/>
      <c r="AC80" s="26"/>
      <c r="AD80" s="24"/>
      <c r="AF80" s="26"/>
      <c r="AG80" s="26"/>
      <c r="AH80" s="24"/>
      <c r="AJ80" s="49"/>
      <c r="AK80" s="49"/>
      <c r="AL80" s="24"/>
      <c r="AN80" s="26"/>
      <c r="AO80" s="26"/>
      <c r="AP80" s="24"/>
      <c r="AR80" s="26"/>
      <c r="AS80" s="26"/>
      <c r="AT80" s="24"/>
      <c r="AV80" s="26"/>
      <c r="AW80" s="26"/>
      <c r="AX80" s="50"/>
      <c r="AZ80" s="26"/>
      <c r="BA80" s="26"/>
      <c r="BB80" s="24"/>
      <c r="BD80" s="25"/>
      <c r="BE80" s="25"/>
      <c r="BF80" s="24"/>
      <c r="BG80" s="23"/>
    </row>
  </sheetData>
  <mergeCells count="62">
    <mergeCell ref="C15:C24"/>
    <mergeCell ref="H15:H23"/>
    <mergeCell ref="H24:I24"/>
    <mergeCell ref="H26:I26"/>
    <mergeCell ref="H10:I10"/>
    <mergeCell ref="D13:F13"/>
    <mergeCell ref="H13:I14"/>
    <mergeCell ref="C14:D14"/>
    <mergeCell ref="H12:BI12"/>
    <mergeCell ref="J13:M13"/>
    <mergeCell ref="N13:Q13"/>
    <mergeCell ref="R13:U13"/>
    <mergeCell ref="V13:Y13"/>
    <mergeCell ref="Z13:AC13"/>
    <mergeCell ref="AD13:AG13"/>
    <mergeCell ref="AH13:AK13"/>
    <mergeCell ref="C5:D5"/>
    <mergeCell ref="C2:F2"/>
    <mergeCell ref="H2:K2"/>
    <mergeCell ref="C6:C9"/>
    <mergeCell ref="H6:H9"/>
    <mergeCell ref="D4:F4"/>
    <mergeCell ref="H4:I5"/>
    <mergeCell ref="N2:AZ2"/>
    <mergeCell ref="BB2:BI2"/>
    <mergeCell ref="H3:BI3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F13:BI13"/>
    <mergeCell ref="AD58:AE58"/>
    <mergeCell ref="Y59:AC59"/>
    <mergeCell ref="BC27:BC28"/>
    <mergeCell ref="BH27:BI27"/>
    <mergeCell ref="AL13:AO13"/>
    <mergeCell ref="AP13:AS13"/>
    <mergeCell ref="AT13:AW13"/>
    <mergeCell ref="AX13:BA13"/>
    <mergeCell ref="BB13:BE13"/>
    <mergeCell ref="L31:S31"/>
    <mergeCell ref="L45:T45"/>
    <mergeCell ref="V45:AE45"/>
    <mergeCell ref="V31:AD31"/>
    <mergeCell ref="AD59:AE59"/>
    <mergeCell ref="V58:AC58"/>
    <mergeCell ref="O58:R58"/>
    <mergeCell ref="S58:T58"/>
    <mergeCell ref="L60:U60"/>
    <mergeCell ref="L73:S73"/>
    <mergeCell ref="T73:U73"/>
    <mergeCell ref="O74:S74"/>
    <mergeCell ref="T74:U74"/>
  </mergeCells>
  <conditionalFormatting sqref="M47:R56 M62:P71">
    <cfRule type="cellIs" dxfId="15" priority="2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I81"/>
  <sheetViews>
    <sheetView topLeftCell="G1" zoomScale="55" zoomScaleNormal="55" workbookViewId="0">
      <pane xSplit="3" topLeftCell="AC1" activePane="topRight" state="frozen"/>
      <selection activeCell="G1" sqref="G1"/>
      <selection pane="topRight" activeCell="AK39" sqref="AK39"/>
    </sheetView>
  </sheetViews>
  <sheetFormatPr defaultColWidth="9.140625" defaultRowHeight="15"/>
  <cols>
    <col min="1" max="2" width="9.140625" style="23" hidden="1" customWidth="1"/>
    <col min="3" max="3" width="14.5703125" style="23" hidden="1" customWidth="1"/>
    <col min="4" max="4" width="11.42578125" style="27" hidden="1" customWidth="1"/>
    <col min="5" max="5" width="6.85546875" style="27" hidden="1" customWidth="1"/>
    <col min="6" max="6" width="9.140625" style="27" hidden="1" customWidth="1"/>
    <col min="7" max="7" width="3.42578125" style="23" hidden="1" customWidth="1"/>
    <col min="8" max="8" width="6.140625" style="23" customWidth="1"/>
    <col min="9" max="9" width="15.28515625" style="27" bestFit="1" customWidth="1"/>
    <col min="10" max="10" width="11.5703125" style="26" customWidth="1"/>
    <col min="11" max="11" width="12.140625" style="24" bestFit="1" customWidth="1"/>
    <col min="12" max="13" width="12.85546875" style="24" customWidth="1"/>
    <col min="14" max="14" width="10.5703125" style="26" customWidth="1"/>
    <col min="15" max="15" width="10.28515625" style="24" customWidth="1"/>
    <col min="16" max="17" width="10.5703125" style="24" customWidth="1"/>
    <col min="18" max="18" width="8.5703125" style="26" customWidth="1"/>
    <col min="19" max="19" width="11.5703125" style="24" customWidth="1"/>
    <col min="20" max="20" width="14" style="24" bestFit="1" customWidth="1"/>
    <col min="21" max="21" width="13.7109375" style="24" customWidth="1"/>
    <col min="22" max="22" width="13.42578125" style="26" bestFit="1" customWidth="1"/>
    <col min="23" max="23" width="11" style="24" bestFit="1" customWidth="1"/>
    <col min="24" max="25" width="9.7109375" style="24" customWidth="1"/>
    <col min="26" max="26" width="11" style="26" customWidth="1"/>
    <col min="27" max="27" width="12.42578125" style="24" customWidth="1"/>
    <col min="28" max="29" width="11.85546875" style="24" customWidth="1"/>
    <col min="30" max="30" width="11" style="26" bestFit="1" customWidth="1"/>
    <col min="31" max="31" width="11.7109375" style="24" bestFit="1" customWidth="1"/>
    <col min="32" max="32" width="14.42578125" style="24" bestFit="1" customWidth="1"/>
    <col min="33" max="33" width="11.85546875" style="24" bestFit="1" customWidth="1"/>
    <col min="34" max="34" width="11.5703125" style="26" bestFit="1" customWidth="1"/>
    <col min="35" max="35" width="13.5703125" style="24" customWidth="1"/>
    <col min="36" max="37" width="11.5703125" style="24" customWidth="1"/>
    <col min="38" max="38" width="10.5703125" style="49" customWidth="1"/>
    <col min="39" max="39" width="9" style="24" customWidth="1"/>
    <col min="40" max="40" width="12" style="24" bestFit="1" customWidth="1"/>
    <col min="41" max="41" width="12" style="24" customWidth="1"/>
    <col min="42" max="42" width="8.42578125" style="26" customWidth="1"/>
    <col min="43" max="43" width="10" style="24" bestFit="1" customWidth="1"/>
    <col min="44" max="44" width="13.85546875" style="24" bestFit="1" customWidth="1"/>
    <col min="45" max="45" width="13.85546875" style="24" customWidth="1"/>
    <col min="46" max="46" width="11.7109375" style="26" customWidth="1"/>
    <col min="47" max="47" width="11.7109375" style="24" customWidth="1"/>
    <col min="48" max="48" width="10.5703125" style="24" bestFit="1" customWidth="1"/>
    <col min="49" max="49" width="10.5703125" style="24" customWidth="1"/>
    <col min="50" max="50" width="9.140625" style="26" bestFit="1" customWidth="1"/>
    <col min="51" max="51" width="9.140625" style="50" bestFit="1" customWidth="1"/>
    <col min="52" max="52" width="10.5703125" style="50" bestFit="1" customWidth="1"/>
    <col min="53" max="53" width="10.5703125" style="50" customWidth="1"/>
    <col min="54" max="54" width="10.7109375" style="26" bestFit="1" customWidth="1"/>
    <col min="55" max="55" width="12.85546875" style="24" bestFit="1" customWidth="1"/>
    <col min="56" max="56" width="10.5703125" style="24" bestFit="1" customWidth="1"/>
    <col min="57" max="57" width="10.5703125" style="24" customWidth="1"/>
    <col min="58" max="58" width="16" style="25" bestFit="1" customWidth="1"/>
    <col min="59" max="59" width="10.7109375" style="24" bestFit="1" customWidth="1"/>
    <col min="60" max="60" width="13" style="23" bestFit="1" customWidth="1"/>
    <col min="61" max="61" width="10.85546875" style="23" bestFit="1" customWidth="1"/>
    <col min="62" max="16384" width="9.140625" style="23"/>
  </cols>
  <sheetData>
    <row r="1" spans="3:61" ht="15" customHeight="1" thickBot="1"/>
    <row r="2" spans="3:61" ht="21.75" thickBot="1">
      <c r="C2" s="1899" t="s">
        <v>45</v>
      </c>
      <c r="D2" s="1900"/>
      <c r="E2" s="1900"/>
      <c r="F2" s="1901"/>
      <c r="H2" s="1915"/>
      <c r="I2" s="1567"/>
      <c r="J2" s="1567"/>
      <c r="K2" s="1567"/>
      <c r="L2" s="1020"/>
      <c r="M2" s="1020"/>
      <c r="N2" s="1916" t="s">
        <v>249</v>
      </c>
      <c r="O2" s="1916"/>
      <c r="P2" s="1916"/>
      <c r="Q2" s="1916"/>
      <c r="R2" s="1916"/>
      <c r="S2" s="1916"/>
      <c r="T2" s="1916"/>
      <c r="U2" s="1916"/>
      <c r="V2" s="1916"/>
      <c r="W2" s="1916"/>
      <c r="X2" s="1916"/>
      <c r="Y2" s="1916"/>
      <c r="Z2" s="1916"/>
      <c r="AA2" s="1916"/>
      <c r="AB2" s="1916"/>
      <c r="AC2" s="1916"/>
      <c r="AD2" s="1916"/>
      <c r="AE2" s="1916"/>
      <c r="AF2" s="1916"/>
      <c r="AG2" s="1916"/>
      <c r="AH2" s="1916"/>
      <c r="AI2" s="1916"/>
      <c r="AJ2" s="1916"/>
      <c r="AK2" s="1916"/>
      <c r="AL2" s="1916"/>
      <c r="AM2" s="1916"/>
      <c r="AN2" s="1916"/>
      <c r="AO2" s="1916"/>
      <c r="AP2" s="1916"/>
      <c r="AQ2" s="1916"/>
      <c r="AR2" s="1916"/>
      <c r="AS2" s="1916"/>
      <c r="AT2" s="1916"/>
      <c r="AU2" s="1916"/>
      <c r="AV2" s="1916"/>
      <c r="AW2" s="1916"/>
      <c r="AX2" s="1916"/>
      <c r="AY2" s="1916"/>
      <c r="AZ2" s="1916"/>
      <c r="BA2" s="1020"/>
      <c r="BB2" s="1902" t="s">
        <v>118</v>
      </c>
      <c r="BC2" s="1903"/>
      <c r="BD2" s="1903"/>
      <c r="BE2" s="1903"/>
      <c r="BF2" s="1903"/>
      <c r="BG2" s="1903"/>
      <c r="BH2" s="1903"/>
      <c r="BI2" s="1904"/>
    </row>
    <row r="3" spans="3:61" ht="19.5" thickBot="1">
      <c r="C3" s="1019"/>
      <c r="D3" s="1017"/>
      <c r="E3" s="1017"/>
      <c r="F3" s="1023"/>
      <c r="H3" s="1905" t="s">
        <v>115</v>
      </c>
      <c r="I3" s="1906"/>
      <c r="J3" s="1906"/>
      <c r="K3" s="1906"/>
      <c r="L3" s="1906"/>
      <c r="M3" s="1906"/>
      <c r="N3" s="1906"/>
      <c r="O3" s="1906"/>
      <c r="P3" s="1906"/>
      <c r="Q3" s="1906"/>
      <c r="R3" s="1906"/>
      <c r="S3" s="1906"/>
      <c r="T3" s="1906"/>
      <c r="U3" s="1906"/>
      <c r="V3" s="1906"/>
      <c r="W3" s="1906"/>
      <c r="X3" s="1906"/>
      <c r="Y3" s="1906"/>
      <c r="Z3" s="1906"/>
      <c r="AA3" s="1906"/>
      <c r="AB3" s="1906"/>
      <c r="AC3" s="1906"/>
      <c r="AD3" s="1906"/>
      <c r="AE3" s="1906"/>
      <c r="AF3" s="1906"/>
      <c r="AG3" s="1906"/>
      <c r="AH3" s="1906"/>
      <c r="AI3" s="1906"/>
      <c r="AJ3" s="1906"/>
      <c r="AK3" s="1906"/>
      <c r="AL3" s="1906"/>
      <c r="AM3" s="1906"/>
      <c r="AN3" s="1906"/>
      <c r="AO3" s="1906"/>
      <c r="AP3" s="1906"/>
      <c r="AQ3" s="1906"/>
      <c r="AR3" s="1906"/>
      <c r="AS3" s="1906"/>
      <c r="AT3" s="1906"/>
      <c r="AU3" s="1906"/>
      <c r="AV3" s="1906"/>
      <c r="AW3" s="1906"/>
      <c r="AX3" s="1906"/>
      <c r="AY3" s="1906"/>
      <c r="AZ3" s="1906"/>
      <c r="BA3" s="1906"/>
      <c r="BB3" s="1906"/>
      <c r="BC3" s="1906"/>
      <c r="BD3" s="1906"/>
      <c r="BE3" s="1906"/>
      <c r="BF3" s="1906"/>
      <c r="BG3" s="1906"/>
      <c r="BH3" s="1906"/>
      <c r="BI3" s="1907"/>
    </row>
    <row r="4" spans="3:61" ht="18.75">
      <c r="C4" s="37" t="s">
        <v>44</v>
      </c>
      <c r="D4" s="1869"/>
      <c r="E4" s="1869"/>
      <c r="F4" s="1870"/>
      <c r="H4" s="1908" t="s">
        <v>33</v>
      </c>
      <c r="I4" s="1909"/>
      <c r="J4" s="1871" t="s">
        <v>43</v>
      </c>
      <c r="K4" s="1872"/>
      <c r="L4" s="1872"/>
      <c r="M4" s="1873"/>
      <c r="N4" s="1871" t="s">
        <v>42</v>
      </c>
      <c r="O4" s="1872"/>
      <c r="P4" s="1872"/>
      <c r="Q4" s="1873"/>
      <c r="R4" s="1871" t="s">
        <v>41</v>
      </c>
      <c r="S4" s="1872"/>
      <c r="T4" s="1872"/>
      <c r="U4" s="1873"/>
      <c r="V4" s="1871" t="s">
        <v>40</v>
      </c>
      <c r="W4" s="1872"/>
      <c r="X4" s="1872"/>
      <c r="Y4" s="1873"/>
      <c r="Z4" s="1871" t="s">
        <v>39</v>
      </c>
      <c r="AA4" s="1872"/>
      <c r="AB4" s="1872"/>
      <c r="AC4" s="1873"/>
      <c r="AD4" s="1871" t="s">
        <v>38</v>
      </c>
      <c r="AE4" s="1872"/>
      <c r="AF4" s="1872"/>
      <c r="AG4" s="1873"/>
      <c r="AH4" s="1874" t="s">
        <v>122</v>
      </c>
      <c r="AI4" s="1875"/>
      <c r="AJ4" s="1875"/>
      <c r="AK4" s="1876"/>
      <c r="AL4" s="1871" t="s">
        <v>37</v>
      </c>
      <c r="AM4" s="1872"/>
      <c r="AN4" s="1872"/>
      <c r="AO4" s="1873"/>
      <c r="AP4" s="1871" t="s">
        <v>36</v>
      </c>
      <c r="AQ4" s="1872"/>
      <c r="AR4" s="1872"/>
      <c r="AS4" s="1873"/>
      <c r="AT4" s="1871" t="s">
        <v>35</v>
      </c>
      <c r="AU4" s="1872"/>
      <c r="AV4" s="1872"/>
      <c r="AW4" s="1873"/>
      <c r="AX4" s="1871" t="s">
        <v>34</v>
      </c>
      <c r="AY4" s="1872"/>
      <c r="AZ4" s="1872"/>
      <c r="BA4" s="1873"/>
      <c r="BB4" s="1874" t="s">
        <v>123</v>
      </c>
      <c r="BC4" s="1875"/>
      <c r="BD4" s="1875"/>
      <c r="BE4" s="1876"/>
      <c r="BF4" s="1877" t="s">
        <v>17</v>
      </c>
      <c r="BG4" s="1878"/>
      <c r="BH4" s="1878"/>
      <c r="BI4" s="1878"/>
    </row>
    <row r="5" spans="3:61" ht="15.75" customHeight="1">
      <c r="C5" s="1879" t="s">
        <v>33</v>
      </c>
      <c r="D5" s="1869"/>
      <c r="E5" s="1017" t="s">
        <v>1</v>
      </c>
      <c r="F5" s="1023" t="s">
        <v>2</v>
      </c>
      <c r="H5" s="1910"/>
      <c r="I5" s="1911"/>
      <c r="J5" s="36" t="s">
        <v>1</v>
      </c>
      <c r="K5" s="271" t="s">
        <v>2</v>
      </c>
      <c r="L5" s="693" t="s">
        <v>182</v>
      </c>
      <c r="M5" s="35" t="s">
        <v>247</v>
      </c>
      <c r="N5" s="36" t="s">
        <v>1</v>
      </c>
      <c r="O5" s="271" t="s">
        <v>2</v>
      </c>
      <c r="P5" s="693" t="s">
        <v>182</v>
      </c>
      <c r="Q5" s="35" t="s">
        <v>247</v>
      </c>
      <c r="R5" s="36" t="s">
        <v>1</v>
      </c>
      <c r="S5" s="271" t="s">
        <v>2</v>
      </c>
      <c r="T5" s="693" t="s">
        <v>182</v>
      </c>
      <c r="U5" s="35" t="s">
        <v>247</v>
      </c>
      <c r="V5" s="36" t="s">
        <v>1</v>
      </c>
      <c r="W5" s="271" t="s">
        <v>2</v>
      </c>
      <c r="X5" s="693" t="s">
        <v>182</v>
      </c>
      <c r="Y5" s="35" t="s">
        <v>247</v>
      </c>
      <c r="Z5" s="36" t="s">
        <v>1</v>
      </c>
      <c r="AA5" s="271" t="s">
        <v>2</v>
      </c>
      <c r="AB5" s="693" t="s">
        <v>182</v>
      </c>
      <c r="AC5" s="35" t="s">
        <v>247</v>
      </c>
      <c r="AD5" s="36" t="s">
        <v>1</v>
      </c>
      <c r="AE5" s="271" t="s">
        <v>2</v>
      </c>
      <c r="AF5" s="693" t="s">
        <v>182</v>
      </c>
      <c r="AG5" s="35" t="s">
        <v>247</v>
      </c>
      <c r="AH5" s="36" t="s">
        <v>1</v>
      </c>
      <c r="AI5" s="271" t="s">
        <v>2</v>
      </c>
      <c r="AJ5" s="271" t="s">
        <v>182</v>
      </c>
      <c r="AK5" s="690" t="s">
        <v>196</v>
      </c>
      <c r="AL5" s="36" t="s">
        <v>1</v>
      </c>
      <c r="AM5" s="271" t="s">
        <v>2</v>
      </c>
      <c r="AN5" s="693" t="s">
        <v>182</v>
      </c>
      <c r="AO5" s="35" t="s">
        <v>247</v>
      </c>
      <c r="AP5" s="36" t="s">
        <v>1</v>
      </c>
      <c r="AQ5" s="271" t="s">
        <v>2</v>
      </c>
      <c r="AR5" s="693" t="s">
        <v>182</v>
      </c>
      <c r="AS5" s="35" t="s">
        <v>247</v>
      </c>
      <c r="AT5" s="36" t="s">
        <v>1</v>
      </c>
      <c r="AU5" s="271" t="s">
        <v>2</v>
      </c>
      <c r="AV5" s="693" t="s">
        <v>182</v>
      </c>
      <c r="AW5" s="35" t="s">
        <v>247</v>
      </c>
      <c r="AX5" s="36" t="s">
        <v>1</v>
      </c>
      <c r="AY5" s="271" t="s">
        <v>2</v>
      </c>
      <c r="AZ5" s="693" t="s">
        <v>182</v>
      </c>
      <c r="BA5" s="35" t="s">
        <v>247</v>
      </c>
      <c r="BB5" s="36" t="s">
        <v>1</v>
      </c>
      <c r="BC5" s="271" t="s">
        <v>2</v>
      </c>
      <c r="BD5" s="271" t="s">
        <v>182</v>
      </c>
      <c r="BE5" s="690" t="s">
        <v>196</v>
      </c>
      <c r="BF5" s="274" t="s">
        <v>1</v>
      </c>
      <c r="BG5" s="275" t="s">
        <v>2</v>
      </c>
      <c r="BH5" s="275" t="s">
        <v>182</v>
      </c>
      <c r="BI5" s="698" t="s">
        <v>196</v>
      </c>
    </row>
    <row r="6" spans="3:61" s="28" customFormat="1" ht="20.100000000000001" customHeight="1">
      <c r="C6" s="1879" t="s">
        <v>19</v>
      </c>
      <c r="D6" s="1017" t="s">
        <v>32</v>
      </c>
      <c r="E6" s="1017"/>
      <c r="F6" s="1018"/>
      <c r="H6" s="1886" t="s">
        <v>32</v>
      </c>
      <c r="I6" s="33" t="s">
        <v>32</v>
      </c>
      <c r="J6" s="462">
        <v>23</v>
      </c>
      <c r="K6" s="463">
        <v>4</v>
      </c>
      <c r="L6" s="463">
        <v>4</v>
      </c>
      <c r="M6" s="691"/>
      <c r="N6" s="462">
        <v>12</v>
      </c>
      <c r="O6" s="463">
        <v>12</v>
      </c>
      <c r="P6" s="463"/>
      <c r="Q6" s="691"/>
      <c r="R6" s="462"/>
      <c r="S6" s="463"/>
      <c r="T6" s="463"/>
      <c r="U6" s="691"/>
      <c r="V6" s="462">
        <v>9</v>
      </c>
      <c r="W6" s="463">
        <v>9</v>
      </c>
      <c r="X6" s="463"/>
      <c r="Y6" s="691"/>
      <c r="Z6" s="462"/>
      <c r="AA6" s="463"/>
      <c r="AB6" s="463"/>
      <c r="AC6" s="691"/>
      <c r="AD6" s="462">
        <v>20</v>
      </c>
      <c r="AE6" s="463">
        <v>17</v>
      </c>
      <c r="AF6" s="463">
        <v>17</v>
      </c>
      <c r="AG6" s="691"/>
      <c r="AH6" s="128">
        <f>J6+N6+R6+V6+Z6+AD6</f>
        <v>64</v>
      </c>
      <c r="AI6" s="273">
        <f>K6+O6+S6+W6+AA6+AE6</f>
        <v>42</v>
      </c>
      <c r="AJ6" s="273">
        <f>L6+P6+T6+X6+AB6+AF6</f>
        <v>21</v>
      </c>
      <c r="AK6" s="694">
        <f>M6+Q6+U6+Y6+AC6+AG6</f>
        <v>0</v>
      </c>
      <c r="AL6" s="462">
        <v>35</v>
      </c>
      <c r="AM6" s="463">
        <v>29</v>
      </c>
      <c r="AN6" s="463">
        <v>29</v>
      </c>
      <c r="AO6" s="691"/>
      <c r="AP6" s="462"/>
      <c r="AQ6" s="463"/>
      <c r="AR6" s="463"/>
      <c r="AS6" s="691"/>
      <c r="AT6" s="462"/>
      <c r="AU6" s="463">
        <v>1</v>
      </c>
      <c r="AV6" s="463">
        <v>1</v>
      </c>
      <c r="AW6" s="691"/>
      <c r="AX6" s="462"/>
      <c r="AY6" s="463">
        <v>6.5</v>
      </c>
      <c r="AZ6" s="463"/>
      <c r="BA6" s="691"/>
      <c r="BB6" s="128">
        <f>AL6+AP6+AT6+AX6</f>
        <v>35</v>
      </c>
      <c r="BC6" s="273">
        <f>AM6+AQ6+AU6+AY6</f>
        <v>36.5</v>
      </c>
      <c r="BD6" s="273">
        <f>AN6+AR6+AV6+AZ6</f>
        <v>30</v>
      </c>
      <c r="BE6" s="273">
        <f>AO6+AS6+AW6+BA6</f>
        <v>0</v>
      </c>
      <c r="BF6" s="276">
        <f>AH6+BB6</f>
        <v>99</v>
      </c>
      <c r="BG6" s="277">
        <f>AI6+BC6</f>
        <v>78.5</v>
      </c>
      <c r="BH6" s="701">
        <f>AJ6+BD6</f>
        <v>51</v>
      </c>
      <c r="BI6" s="699">
        <f>AK6+BE6</f>
        <v>0</v>
      </c>
    </row>
    <row r="7" spans="3:61" s="28" customFormat="1" ht="20.100000000000001" customHeight="1">
      <c r="C7" s="1879"/>
      <c r="D7" s="1017" t="s">
        <v>31</v>
      </c>
      <c r="E7" s="1017"/>
      <c r="F7" s="1018"/>
      <c r="H7" s="1887"/>
      <c r="I7" s="33" t="s">
        <v>31</v>
      </c>
      <c r="J7" s="462"/>
      <c r="K7" s="463"/>
      <c r="L7" s="463"/>
      <c r="M7" s="691"/>
      <c r="N7" s="462"/>
      <c r="O7" s="463"/>
      <c r="P7" s="463"/>
      <c r="Q7" s="691"/>
      <c r="R7" s="462"/>
      <c r="S7" s="463"/>
      <c r="T7" s="463"/>
      <c r="U7" s="691"/>
      <c r="V7" s="462"/>
      <c r="W7" s="463"/>
      <c r="X7" s="463"/>
      <c r="Y7" s="691"/>
      <c r="Z7" s="462"/>
      <c r="AA7" s="463"/>
      <c r="AB7" s="463"/>
      <c r="AC7" s="691"/>
      <c r="AD7" s="462"/>
      <c r="AE7" s="463"/>
      <c r="AF7" s="463"/>
      <c r="AG7" s="691"/>
      <c r="AH7" s="128">
        <f t="shared" ref="AH7:AK9" si="0">J7+N7+R7+V7+Z7+AD7</f>
        <v>0</v>
      </c>
      <c r="AI7" s="273">
        <f t="shared" si="0"/>
        <v>0</v>
      </c>
      <c r="AJ7" s="273">
        <f t="shared" si="0"/>
        <v>0</v>
      </c>
      <c r="AK7" s="694">
        <f t="shared" si="0"/>
        <v>0</v>
      </c>
      <c r="AL7" s="462"/>
      <c r="AM7" s="463"/>
      <c r="AN7" s="463"/>
      <c r="AO7" s="691"/>
      <c r="AP7" s="462"/>
      <c r="AQ7" s="463"/>
      <c r="AR7" s="463"/>
      <c r="AS7" s="691"/>
      <c r="AT7" s="462"/>
      <c r="AU7" s="463"/>
      <c r="AV7" s="463"/>
      <c r="AW7" s="691"/>
      <c r="AX7" s="462"/>
      <c r="AY7" s="463"/>
      <c r="AZ7" s="463"/>
      <c r="BA7" s="691"/>
      <c r="BB7" s="128">
        <f t="shared" ref="BB7:BE9" si="1">AL7+AP7+AT7+AX7</f>
        <v>0</v>
      </c>
      <c r="BC7" s="273">
        <f t="shared" si="1"/>
        <v>0</v>
      </c>
      <c r="BD7" s="273">
        <f t="shared" si="1"/>
        <v>0</v>
      </c>
      <c r="BE7" s="273">
        <f t="shared" si="1"/>
        <v>0</v>
      </c>
      <c r="BF7" s="276">
        <f t="shared" ref="BF7:BI9" si="2">AH7+BB7</f>
        <v>0</v>
      </c>
      <c r="BG7" s="277">
        <f t="shared" si="2"/>
        <v>0</v>
      </c>
      <c r="BH7" s="277">
        <f t="shared" si="2"/>
        <v>0</v>
      </c>
      <c r="BI7" s="699">
        <f t="shared" si="2"/>
        <v>0</v>
      </c>
    </row>
    <row r="8" spans="3:61" s="28" customFormat="1" ht="20.100000000000001" customHeight="1">
      <c r="C8" s="1879"/>
      <c r="D8" s="1017" t="s">
        <v>30</v>
      </c>
      <c r="E8" s="1017"/>
      <c r="F8" s="1018"/>
      <c r="H8" s="1887"/>
      <c r="I8" s="33" t="s">
        <v>30</v>
      </c>
      <c r="J8" s="462"/>
      <c r="K8" s="463"/>
      <c r="L8" s="463"/>
      <c r="M8" s="691"/>
      <c r="N8" s="462"/>
      <c r="O8" s="463"/>
      <c r="P8" s="463"/>
      <c r="Q8" s="691"/>
      <c r="R8" s="462"/>
      <c r="S8" s="463"/>
      <c r="T8" s="463"/>
      <c r="U8" s="691"/>
      <c r="V8" s="462"/>
      <c r="W8" s="463"/>
      <c r="X8" s="463"/>
      <c r="Y8" s="691"/>
      <c r="Z8" s="462"/>
      <c r="AA8" s="463"/>
      <c r="AB8" s="463"/>
      <c r="AC8" s="691"/>
      <c r="AD8" s="462"/>
      <c r="AE8" s="463"/>
      <c r="AF8" s="463"/>
      <c r="AG8" s="691"/>
      <c r="AH8" s="128">
        <f t="shared" si="0"/>
        <v>0</v>
      </c>
      <c r="AI8" s="273">
        <f t="shared" si="0"/>
        <v>0</v>
      </c>
      <c r="AJ8" s="273">
        <f t="shared" si="0"/>
        <v>0</v>
      </c>
      <c r="AK8" s="694">
        <f t="shared" si="0"/>
        <v>0</v>
      </c>
      <c r="AL8" s="462">
        <v>7</v>
      </c>
      <c r="AM8" s="463"/>
      <c r="AN8" s="463"/>
      <c r="AO8" s="691"/>
      <c r="AP8" s="462"/>
      <c r="AQ8" s="463"/>
      <c r="AR8" s="463"/>
      <c r="AS8" s="691"/>
      <c r="AT8" s="462"/>
      <c r="AU8" s="463"/>
      <c r="AV8" s="463"/>
      <c r="AW8" s="691"/>
      <c r="AX8" s="462"/>
      <c r="AY8" s="463"/>
      <c r="AZ8" s="463"/>
      <c r="BA8" s="691"/>
      <c r="BB8" s="128">
        <f t="shared" si="1"/>
        <v>7</v>
      </c>
      <c r="BC8" s="273">
        <f t="shared" si="1"/>
        <v>0</v>
      </c>
      <c r="BD8" s="273">
        <f t="shared" si="1"/>
        <v>0</v>
      </c>
      <c r="BE8" s="273">
        <f t="shared" si="1"/>
        <v>0</v>
      </c>
      <c r="BF8" s="276">
        <f t="shared" si="2"/>
        <v>7</v>
      </c>
      <c r="BG8" s="277">
        <f t="shared" si="2"/>
        <v>0</v>
      </c>
      <c r="BH8" s="277">
        <f t="shared" si="2"/>
        <v>0</v>
      </c>
      <c r="BI8" s="699">
        <f t="shared" si="2"/>
        <v>0</v>
      </c>
    </row>
    <row r="9" spans="3:61" s="28" customFormat="1" ht="20.100000000000001" customHeight="1">
      <c r="C9" s="1885"/>
      <c r="D9" s="1017" t="s">
        <v>29</v>
      </c>
      <c r="E9" s="1017"/>
      <c r="F9" s="1018"/>
      <c r="H9" s="1887"/>
      <c r="I9" s="33" t="s">
        <v>109</v>
      </c>
      <c r="J9" s="462"/>
      <c r="K9" s="463"/>
      <c r="L9" s="463"/>
      <c r="M9" s="691"/>
      <c r="N9" s="462"/>
      <c r="O9" s="463"/>
      <c r="P9" s="463"/>
      <c r="Q9" s="691"/>
      <c r="R9" s="462"/>
      <c r="S9" s="463"/>
      <c r="T9" s="463"/>
      <c r="U9" s="691"/>
      <c r="V9" s="462">
        <v>1</v>
      </c>
      <c r="W9" s="463"/>
      <c r="X9" s="463"/>
      <c r="Y9" s="691"/>
      <c r="Z9" s="462"/>
      <c r="AA9" s="463"/>
      <c r="AB9" s="463"/>
      <c r="AC9" s="691"/>
      <c r="AD9" s="462"/>
      <c r="AE9" s="463"/>
      <c r="AF9" s="463"/>
      <c r="AG9" s="691"/>
      <c r="AH9" s="128">
        <f t="shared" si="0"/>
        <v>1</v>
      </c>
      <c r="AI9" s="273">
        <f t="shared" si="0"/>
        <v>0</v>
      </c>
      <c r="AJ9" s="273">
        <f t="shared" si="0"/>
        <v>0</v>
      </c>
      <c r="AK9" s="694">
        <f t="shared" si="0"/>
        <v>0</v>
      </c>
      <c r="AL9" s="462">
        <v>1</v>
      </c>
      <c r="AM9" s="463"/>
      <c r="AN9" s="463"/>
      <c r="AO9" s="691"/>
      <c r="AP9" s="462"/>
      <c r="AQ9" s="463"/>
      <c r="AR9" s="463"/>
      <c r="AS9" s="691"/>
      <c r="AT9" s="462"/>
      <c r="AU9" s="463"/>
      <c r="AV9" s="463"/>
      <c r="AW9" s="691"/>
      <c r="AX9" s="462"/>
      <c r="AY9" s="463"/>
      <c r="AZ9" s="463"/>
      <c r="BA9" s="691"/>
      <c r="BB9" s="128">
        <f t="shared" si="1"/>
        <v>1</v>
      </c>
      <c r="BC9" s="273">
        <f t="shared" si="1"/>
        <v>0</v>
      </c>
      <c r="BD9" s="273">
        <f t="shared" si="1"/>
        <v>0</v>
      </c>
      <c r="BE9" s="273">
        <f t="shared" si="1"/>
        <v>0</v>
      </c>
      <c r="BF9" s="276">
        <f t="shared" si="2"/>
        <v>2</v>
      </c>
      <c r="BG9" s="277">
        <f t="shared" si="2"/>
        <v>0</v>
      </c>
      <c r="BH9" s="277">
        <f t="shared" si="2"/>
        <v>0</v>
      </c>
      <c r="BI9" s="699">
        <f t="shared" si="2"/>
        <v>0</v>
      </c>
    </row>
    <row r="10" spans="3:61" s="28" customFormat="1" ht="19.5" customHeight="1" thickBot="1">
      <c r="C10" s="32"/>
      <c r="D10" s="31" t="s">
        <v>18</v>
      </c>
      <c r="E10" s="31"/>
      <c r="F10" s="30"/>
      <c r="H10" s="1865" t="s">
        <v>47</v>
      </c>
      <c r="I10" s="1866"/>
      <c r="J10" s="118">
        <f t="shared" ref="J10:BG10" si="3">SUM(J6:J9)</f>
        <v>23</v>
      </c>
      <c r="K10" s="272">
        <f t="shared" si="3"/>
        <v>4</v>
      </c>
      <c r="L10" s="272">
        <f t="shared" si="3"/>
        <v>4</v>
      </c>
      <c r="M10" s="272">
        <f t="shared" si="3"/>
        <v>0</v>
      </c>
      <c r="N10" s="118">
        <f t="shared" si="3"/>
        <v>12</v>
      </c>
      <c r="O10" s="272">
        <f t="shared" si="3"/>
        <v>12</v>
      </c>
      <c r="P10" s="272">
        <f t="shared" si="3"/>
        <v>0</v>
      </c>
      <c r="Q10" s="272">
        <f t="shared" si="3"/>
        <v>0</v>
      </c>
      <c r="R10" s="118">
        <f t="shared" si="3"/>
        <v>0</v>
      </c>
      <c r="S10" s="272">
        <f t="shared" si="3"/>
        <v>0</v>
      </c>
      <c r="T10" s="272">
        <f t="shared" si="3"/>
        <v>0</v>
      </c>
      <c r="U10" s="272">
        <f t="shared" si="3"/>
        <v>0</v>
      </c>
      <c r="V10" s="118">
        <f t="shared" si="3"/>
        <v>10</v>
      </c>
      <c r="W10" s="272">
        <f t="shared" si="3"/>
        <v>9</v>
      </c>
      <c r="X10" s="272">
        <f t="shared" si="3"/>
        <v>0</v>
      </c>
      <c r="Y10" s="272">
        <f t="shared" si="3"/>
        <v>0</v>
      </c>
      <c r="Z10" s="118">
        <f t="shared" si="3"/>
        <v>0</v>
      </c>
      <c r="AA10" s="272">
        <f t="shared" si="3"/>
        <v>0</v>
      </c>
      <c r="AB10" s="272">
        <f t="shared" si="3"/>
        <v>0</v>
      </c>
      <c r="AC10" s="272">
        <f t="shared" si="3"/>
        <v>0</v>
      </c>
      <c r="AD10" s="118">
        <f t="shared" si="3"/>
        <v>20</v>
      </c>
      <c r="AE10" s="272">
        <f t="shared" si="3"/>
        <v>17</v>
      </c>
      <c r="AF10" s="272">
        <f t="shared" si="3"/>
        <v>17</v>
      </c>
      <c r="AG10" s="272">
        <f t="shared" si="3"/>
        <v>0</v>
      </c>
      <c r="AH10" s="118">
        <f t="shared" si="3"/>
        <v>65</v>
      </c>
      <c r="AI10" s="272">
        <f t="shared" si="3"/>
        <v>42</v>
      </c>
      <c r="AJ10" s="272">
        <f>SUM(AJ6:AJ9)</f>
        <v>21</v>
      </c>
      <c r="AK10" s="695">
        <f>SUM(AK6:AK9)</f>
        <v>0</v>
      </c>
      <c r="AL10" s="118">
        <f t="shared" si="3"/>
        <v>43</v>
      </c>
      <c r="AM10" s="272">
        <f t="shared" si="3"/>
        <v>29</v>
      </c>
      <c r="AN10" s="272">
        <f t="shared" si="3"/>
        <v>29</v>
      </c>
      <c r="AO10" s="272">
        <f t="shared" si="3"/>
        <v>0</v>
      </c>
      <c r="AP10" s="118">
        <f t="shared" si="3"/>
        <v>0</v>
      </c>
      <c r="AQ10" s="272">
        <f t="shared" si="3"/>
        <v>0</v>
      </c>
      <c r="AR10" s="272">
        <f t="shared" si="3"/>
        <v>0</v>
      </c>
      <c r="AS10" s="272">
        <f t="shared" si="3"/>
        <v>0</v>
      </c>
      <c r="AT10" s="118">
        <f t="shared" si="3"/>
        <v>0</v>
      </c>
      <c r="AU10" s="272">
        <f t="shared" si="3"/>
        <v>1</v>
      </c>
      <c r="AV10" s="272">
        <f t="shared" si="3"/>
        <v>1</v>
      </c>
      <c r="AW10" s="272">
        <f t="shared" si="3"/>
        <v>0</v>
      </c>
      <c r="AX10" s="118">
        <f t="shared" si="3"/>
        <v>0</v>
      </c>
      <c r="AY10" s="272">
        <f t="shared" si="3"/>
        <v>6.5</v>
      </c>
      <c r="AZ10" s="272">
        <f t="shared" si="3"/>
        <v>0</v>
      </c>
      <c r="BA10" s="272">
        <f t="shared" si="3"/>
        <v>0</v>
      </c>
      <c r="BB10" s="118">
        <f t="shared" si="3"/>
        <v>43</v>
      </c>
      <c r="BC10" s="272">
        <f t="shared" si="3"/>
        <v>36.5</v>
      </c>
      <c r="BD10" s="272">
        <f t="shared" si="3"/>
        <v>30</v>
      </c>
      <c r="BE10" s="272">
        <f t="shared" si="3"/>
        <v>0</v>
      </c>
      <c r="BF10" s="278">
        <f t="shared" si="3"/>
        <v>108</v>
      </c>
      <c r="BG10" s="279">
        <f t="shared" si="3"/>
        <v>78.5</v>
      </c>
      <c r="BH10" s="702">
        <f>AJ10+BD10</f>
        <v>51</v>
      </c>
      <c r="BI10" s="700">
        <f>AK10+BE10</f>
        <v>0</v>
      </c>
    </row>
    <row r="11" spans="3:61" s="119" customFormat="1" ht="5.25" customHeight="1">
      <c r="D11" s="120"/>
      <c r="E11" s="120"/>
      <c r="F11" s="120"/>
      <c r="H11" s="122"/>
      <c r="I11" s="122"/>
      <c r="J11" s="125"/>
      <c r="K11" s="126"/>
      <c r="L11" s="126"/>
      <c r="M11" s="126"/>
      <c r="N11" s="125"/>
      <c r="O11" s="126"/>
      <c r="P11" s="126"/>
      <c r="Q11" s="126"/>
      <c r="R11" s="125"/>
      <c r="S11" s="126"/>
      <c r="T11" s="126"/>
      <c r="U11" s="126"/>
      <c r="V11" s="125"/>
      <c r="W11" s="126"/>
      <c r="X11" s="126"/>
      <c r="Y11" s="126"/>
      <c r="Z11" s="125"/>
      <c r="AA11" s="126"/>
      <c r="AB11" s="126"/>
      <c r="AC11" s="126"/>
      <c r="AD11" s="125"/>
      <c r="AE11" s="126"/>
      <c r="AF11" s="126"/>
      <c r="AG11" s="126"/>
      <c r="AH11" s="125"/>
      <c r="AI11" s="126"/>
      <c r="AJ11" s="126"/>
      <c r="AK11" s="126"/>
      <c r="AL11" s="125"/>
      <c r="AM11" s="126"/>
      <c r="AN11" s="126"/>
      <c r="AO11" s="126"/>
      <c r="AP11" s="125"/>
      <c r="AQ11" s="126"/>
      <c r="AR11" s="126"/>
      <c r="AS11" s="126"/>
      <c r="AT11" s="125"/>
      <c r="AU11" s="126"/>
      <c r="AV11" s="126"/>
      <c r="AW11" s="126"/>
      <c r="AX11" s="125"/>
      <c r="AY11" s="126"/>
      <c r="AZ11" s="126"/>
      <c r="BA11" s="126"/>
      <c r="BB11" s="125"/>
      <c r="BC11" s="126"/>
      <c r="BD11" s="126"/>
      <c r="BE11" s="126"/>
      <c r="BF11" s="125"/>
      <c r="BG11" s="126"/>
    </row>
    <row r="12" spans="3:61" ht="19.5" thickBot="1">
      <c r="C12" s="1019"/>
      <c r="D12" s="1017"/>
      <c r="E12" s="1017"/>
      <c r="F12" s="1023"/>
      <c r="H12" s="1867" t="s">
        <v>114</v>
      </c>
      <c r="I12" s="1868"/>
      <c r="J12" s="1868"/>
      <c r="K12" s="1868"/>
      <c r="L12" s="1868"/>
      <c r="M12" s="1868"/>
      <c r="N12" s="1868"/>
      <c r="O12" s="1868"/>
      <c r="P12" s="1868"/>
      <c r="Q12" s="1868"/>
      <c r="R12" s="1868"/>
      <c r="S12" s="1868"/>
      <c r="T12" s="1868"/>
      <c r="U12" s="1868"/>
      <c r="V12" s="1868"/>
      <c r="W12" s="1868"/>
      <c r="X12" s="1868"/>
      <c r="Y12" s="1868"/>
      <c r="Z12" s="1868"/>
      <c r="AA12" s="1868"/>
      <c r="AB12" s="1868"/>
      <c r="AC12" s="1868"/>
      <c r="AD12" s="1868"/>
      <c r="AE12" s="1868"/>
      <c r="AF12" s="1868"/>
      <c r="AG12" s="1868"/>
      <c r="AH12" s="1868"/>
      <c r="AI12" s="1868"/>
      <c r="AJ12" s="1868"/>
      <c r="AK12" s="1868"/>
      <c r="AL12" s="1868"/>
      <c r="AM12" s="1868"/>
      <c r="AN12" s="1868"/>
      <c r="AO12" s="1868"/>
      <c r="AP12" s="1868"/>
      <c r="AQ12" s="1868"/>
      <c r="AR12" s="1868"/>
      <c r="AS12" s="1868"/>
      <c r="AT12" s="1868"/>
      <c r="AU12" s="1868"/>
      <c r="AV12" s="1868"/>
      <c r="AW12" s="1868"/>
      <c r="AX12" s="1868"/>
      <c r="AY12" s="1868"/>
      <c r="AZ12" s="1868"/>
      <c r="BA12" s="1868"/>
      <c r="BB12" s="1868"/>
      <c r="BC12" s="1868"/>
      <c r="BD12" s="1868"/>
      <c r="BE12" s="1868"/>
      <c r="BF12" s="1868"/>
      <c r="BG12" s="1868"/>
      <c r="BH12" s="1868"/>
      <c r="BI12" s="1868"/>
    </row>
    <row r="13" spans="3:61" ht="18.75" customHeight="1">
      <c r="C13" s="37" t="s">
        <v>44</v>
      </c>
      <c r="D13" s="1869"/>
      <c r="E13" s="1869"/>
      <c r="F13" s="1870"/>
      <c r="H13" s="1895" t="s">
        <v>117</v>
      </c>
      <c r="I13" s="1896"/>
      <c r="J13" s="1890" t="s">
        <v>43</v>
      </c>
      <c r="K13" s="1891"/>
      <c r="L13" s="1891"/>
      <c r="M13" s="1892"/>
      <c r="N13" s="1890" t="s">
        <v>42</v>
      </c>
      <c r="O13" s="1891"/>
      <c r="P13" s="1891"/>
      <c r="Q13" s="1892"/>
      <c r="R13" s="1890" t="s">
        <v>41</v>
      </c>
      <c r="S13" s="1891"/>
      <c r="T13" s="1891"/>
      <c r="U13" s="1892"/>
      <c r="V13" s="1890" t="s">
        <v>40</v>
      </c>
      <c r="W13" s="1891"/>
      <c r="X13" s="1891"/>
      <c r="Y13" s="1892"/>
      <c r="Z13" s="1890" t="s">
        <v>39</v>
      </c>
      <c r="AA13" s="1891"/>
      <c r="AB13" s="1891"/>
      <c r="AC13" s="1892"/>
      <c r="AD13" s="1890" t="s">
        <v>38</v>
      </c>
      <c r="AE13" s="1891"/>
      <c r="AF13" s="1891"/>
      <c r="AG13" s="1892"/>
      <c r="AH13" s="1882" t="s">
        <v>122</v>
      </c>
      <c r="AI13" s="1883"/>
      <c r="AJ13" s="1883"/>
      <c r="AK13" s="1884"/>
      <c r="AL13" s="1890" t="s">
        <v>37</v>
      </c>
      <c r="AM13" s="1891"/>
      <c r="AN13" s="1891"/>
      <c r="AO13" s="1892"/>
      <c r="AP13" s="1890" t="s">
        <v>36</v>
      </c>
      <c r="AQ13" s="1891"/>
      <c r="AR13" s="1891"/>
      <c r="AS13" s="1892"/>
      <c r="AT13" s="1890" t="s">
        <v>35</v>
      </c>
      <c r="AU13" s="1891"/>
      <c r="AV13" s="1891"/>
      <c r="AW13" s="1892"/>
      <c r="AX13" s="1890" t="s">
        <v>34</v>
      </c>
      <c r="AY13" s="1891"/>
      <c r="AZ13" s="1891"/>
      <c r="BA13" s="1892"/>
      <c r="BB13" s="1882" t="s">
        <v>123</v>
      </c>
      <c r="BC13" s="1883"/>
      <c r="BD13" s="1883"/>
      <c r="BE13" s="1884"/>
      <c r="BF13" s="1880" t="s">
        <v>17</v>
      </c>
      <c r="BG13" s="1881"/>
      <c r="BH13" s="1881"/>
      <c r="BI13" s="1881"/>
    </row>
    <row r="14" spans="3:61" ht="27" customHeight="1">
      <c r="C14" s="1879" t="s">
        <v>33</v>
      </c>
      <c r="D14" s="1869"/>
      <c r="E14" s="1017" t="s">
        <v>1</v>
      </c>
      <c r="F14" s="1023" t="s">
        <v>2</v>
      </c>
      <c r="H14" s="1897"/>
      <c r="I14" s="1898"/>
      <c r="J14" s="36" t="s">
        <v>1</v>
      </c>
      <c r="K14" s="271" t="s">
        <v>2</v>
      </c>
      <c r="L14" s="271" t="s">
        <v>182</v>
      </c>
      <c r="M14" s="35" t="s">
        <v>247</v>
      </c>
      <c r="N14" s="36" t="s">
        <v>1</v>
      </c>
      <c r="O14" s="271" t="s">
        <v>2</v>
      </c>
      <c r="P14" s="271" t="s">
        <v>182</v>
      </c>
      <c r="Q14" s="35" t="s">
        <v>247</v>
      </c>
      <c r="R14" s="36" t="s">
        <v>1</v>
      </c>
      <c r="S14" s="271" t="s">
        <v>2</v>
      </c>
      <c r="T14" s="271" t="s">
        <v>182</v>
      </c>
      <c r="U14" s="35" t="s">
        <v>247</v>
      </c>
      <c r="V14" s="36" t="s">
        <v>1</v>
      </c>
      <c r="W14" s="271" t="s">
        <v>2</v>
      </c>
      <c r="X14" s="271" t="s">
        <v>182</v>
      </c>
      <c r="Y14" s="35" t="s">
        <v>247</v>
      </c>
      <c r="Z14" s="36" t="s">
        <v>1</v>
      </c>
      <c r="AA14" s="271" t="s">
        <v>2</v>
      </c>
      <c r="AB14" s="271" t="s">
        <v>182</v>
      </c>
      <c r="AC14" s="35" t="s">
        <v>247</v>
      </c>
      <c r="AD14" s="36" t="s">
        <v>1</v>
      </c>
      <c r="AE14" s="271" t="s">
        <v>2</v>
      </c>
      <c r="AF14" s="271" t="s">
        <v>182</v>
      </c>
      <c r="AG14" s="35" t="s">
        <v>247</v>
      </c>
      <c r="AH14" s="36" t="s">
        <v>1</v>
      </c>
      <c r="AI14" s="271" t="s">
        <v>2</v>
      </c>
      <c r="AJ14" s="271" t="s">
        <v>182</v>
      </c>
      <c r="AK14" s="690" t="s">
        <v>196</v>
      </c>
      <c r="AL14" s="36" t="s">
        <v>1</v>
      </c>
      <c r="AM14" s="271" t="s">
        <v>2</v>
      </c>
      <c r="AN14" s="271" t="s">
        <v>182</v>
      </c>
      <c r="AO14" s="35" t="s">
        <v>247</v>
      </c>
      <c r="AP14" s="36" t="s">
        <v>1</v>
      </c>
      <c r="AQ14" s="271" t="s">
        <v>2</v>
      </c>
      <c r="AR14" s="271" t="s">
        <v>182</v>
      </c>
      <c r="AS14" s="35" t="s">
        <v>247</v>
      </c>
      <c r="AT14" s="36" t="s">
        <v>1</v>
      </c>
      <c r="AU14" s="271" t="s">
        <v>2</v>
      </c>
      <c r="AV14" s="271" t="s">
        <v>182</v>
      </c>
      <c r="AW14" s="35" t="s">
        <v>247</v>
      </c>
      <c r="AX14" s="36" t="s">
        <v>1</v>
      </c>
      <c r="AY14" s="271" t="s">
        <v>2</v>
      </c>
      <c r="AZ14" s="271" t="s">
        <v>182</v>
      </c>
      <c r="BA14" s="35" t="s">
        <v>247</v>
      </c>
      <c r="BB14" s="36" t="s">
        <v>1</v>
      </c>
      <c r="BC14" s="271" t="s">
        <v>2</v>
      </c>
      <c r="BD14" s="271" t="s">
        <v>182</v>
      </c>
      <c r="BE14" s="690" t="s">
        <v>196</v>
      </c>
      <c r="BF14" s="274" t="s">
        <v>1</v>
      </c>
      <c r="BG14" s="275" t="s">
        <v>2</v>
      </c>
      <c r="BH14" s="275" t="s">
        <v>182</v>
      </c>
      <c r="BI14" s="703" t="s">
        <v>196</v>
      </c>
    </row>
    <row r="15" spans="3:61" s="28" customFormat="1" ht="20.100000000000001" customHeight="1">
      <c r="C15" s="1879" t="s">
        <v>28</v>
      </c>
      <c r="D15" s="1017" t="s">
        <v>27</v>
      </c>
      <c r="E15" s="1021"/>
      <c r="F15" s="34"/>
      <c r="H15" s="1888" t="s">
        <v>112</v>
      </c>
      <c r="I15" s="33" t="s">
        <v>27</v>
      </c>
      <c r="J15" s="462"/>
      <c r="K15" s="463"/>
      <c r="L15" s="463"/>
      <c r="M15" s="692"/>
      <c r="N15" s="462"/>
      <c r="O15" s="463"/>
      <c r="P15" s="463"/>
      <c r="Q15" s="692"/>
      <c r="R15" s="462"/>
      <c r="S15" s="463"/>
      <c r="T15" s="463"/>
      <c r="U15" s="692"/>
      <c r="V15" s="462"/>
      <c r="W15" s="463"/>
      <c r="X15" s="463"/>
      <c r="Y15" s="692"/>
      <c r="Z15" s="462"/>
      <c r="AA15" s="463"/>
      <c r="AB15" s="463"/>
      <c r="AC15" s="692"/>
      <c r="AD15" s="462"/>
      <c r="AE15" s="463"/>
      <c r="AF15" s="463"/>
      <c r="AG15" s="692"/>
      <c r="AH15" s="128">
        <f>J15+N15+R15+V15+Z15+AD15</f>
        <v>0</v>
      </c>
      <c r="AI15" s="273">
        <f>K15+O15+S15+W15+AA15+AE15</f>
        <v>0</v>
      </c>
      <c r="AJ15" s="273">
        <f>L15+P15+T15+X15+AB15+AF15</f>
        <v>0</v>
      </c>
      <c r="AK15" s="694">
        <f>M15+Q15+U15+Y15+AC15+AG15</f>
        <v>0</v>
      </c>
      <c r="AL15" s="462"/>
      <c r="AM15" s="463"/>
      <c r="AN15" s="463"/>
      <c r="AO15" s="692"/>
      <c r="AP15" s="462"/>
      <c r="AQ15" s="463"/>
      <c r="AR15" s="463"/>
      <c r="AS15" s="692"/>
      <c r="AT15" s="462"/>
      <c r="AU15" s="463"/>
      <c r="AV15" s="463"/>
      <c r="AW15" s="692"/>
      <c r="AX15" s="462"/>
      <c r="AY15" s="463"/>
      <c r="AZ15" s="463"/>
      <c r="BA15" s="692"/>
      <c r="BB15" s="128">
        <f>AL15+AP15+AT15+AX15</f>
        <v>0</v>
      </c>
      <c r="BC15" s="273">
        <f>AM15+AQ15+AU15+AY15</f>
        <v>0</v>
      </c>
      <c r="BD15" s="273">
        <f>AN15+AR15+AV15+AZ15</f>
        <v>0</v>
      </c>
      <c r="BE15" s="273">
        <f>AO15+AS15+AW15+BA15</f>
        <v>0</v>
      </c>
      <c r="BF15" s="276">
        <f t="shared" ref="BF15:BI23" si="4">AH15+BB15</f>
        <v>0</v>
      </c>
      <c r="BG15" s="277">
        <f t="shared" si="4"/>
        <v>0</v>
      </c>
      <c r="BH15" s="277">
        <f t="shared" si="4"/>
        <v>0</v>
      </c>
      <c r="BI15" s="704">
        <f t="shared" si="4"/>
        <v>0</v>
      </c>
    </row>
    <row r="16" spans="3:61" s="28" customFormat="1" ht="20.100000000000001" customHeight="1">
      <c r="C16" s="1879"/>
      <c r="D16" s="1017" t="s">
        <v>26</v>
      </c>
      <c r="E16" s="1017"/>
      <c r="F16" s="1018"/>
      <c r="H16" s="1889"/>
      <c r="I16" s="33" t="s">
        <v>26</v>
      </c>
      <c r="J16" s="462"/>
      <c r="K16" s="463"/>
      <c r="L16" s="463"/>
      <c r="M16" s="692"/>
      <c r="N16" s="462"/>
      <c r="O16" s="463"/>
      <c r="P16" s="463"/>
      <c r="Q16" s="692"/>
      <c r="R16" s="462"/>
      <c r="S16" s="463"/>
      <c r="T16" s="463"/>
      <c r="U16" s="692"/>
      <c r="V16" s="462"/>
      <c r="W16" s="463"/>
      <c r="X16" s="463"/>
      <c r="Y16" s="692"/>
      <c r="Z16" s="462"/>
      <c r="AA16" s="463"/>
      <c r="AB16" s="463"/>
      <c r="AC16" s="692"/>
      <c r="AD16" s="462"/>
      <c r="AE16" s="463"/>
      <c r="AF16" s="463"/>
      <c r="AG16" s="692"/>
      <c r="AH16" s="128">
        <f t="shared" ref="AH16:AK23" si="5">J16+N16+R16+V16+Z16+AD16</f>
        <v>0</v>
      </c>
      <c r="AI16" s="273">
        <f t="shared" si="5"/>
        <v>0</v>
      </c>
      <c r="AJ16" s="273">
        <f t="shared" si="5"/>
        <v>0</v>
      </c>
      <c r="AK16" s="694">
        <f t="shared" si="5"/>
        <v>0</v>
      </c>
      <c r="AL16" s="462"/>
      <c r="AM16" s="463"/>
      <c r="AN16" s="463"/>
      <c r="AO16" s="692"/>
      <c r="AP16" s="462"/>
      <c r="AQ16" s="463"/>
      <c r="AR16" s="463"/>
      <c r="AS16" s="692"/>
      <c r="AT16" s="462"/>
      <c r="AU16" s="463"/>
      <c r="AV16" s="463"/>
      <c r="AW16" s="692"/>
      <c r="AX16" s="462"/>
      <c r="AY16" s="463"/>
      <c r="AZ16" s="463"/>
      <c r="BA16" s="692"/>
      <c r="BB16" s="128">
        <f t="shared" ref="BB16:BE23" si="6">AL16+AP16+AT16+AX16</f>
        <v>0</v>
      </c>
      <c r="BC16" s="273">
        <f t="shared" si="6"/>
        <v>0</v>
      </c>
      <c r="BD16" s="273">
        <f t="shared" si="6"/>
        <v>0</v>
      </c>
      <c r="BE16" s="273">
        <f t="shared" si="6"/>
        <v>0</v>
      </c>
      <c r="BF16" s="276">
        <f t="shared" si="4"/>
        <v>0</v>
      </c>
      <c r="BG16" s="277">
        <f t="shared" si="4"/>
        <v>0</v>
      </c>
      <c r="BH16" s="277">
        <f t="shared" si="4"/>
        <v>0</v>
      </c>
      <c r="BI16" s="704">
        <f t="shared" si="4"/>
        <v>0</v>
      </c>
    </row>
    <row r="17" spans="3:61" s="28" customFormat="1" ht="23.25" customHeight="1">
      <c r="C17" s="1879"/>
      <c r="D17" s="1017" t="s">
        <v>25</v>
      </c>
      <c r="E17" s="1017"/>
      <c r="F17" s="1018"/>
      <c r="H17" s="1889"/>
      <c r="I17" s="33" t="s">
        <v>25</v>
      </c>
      <c r="J17" s="462"/>
      <c r="K17" s="463"/>
      <c r="L17" s="463"/>
      <c r="M17" s="692"/>
      <c r="N17" s="462"/>
      <c r="O17" s="463"/>
      <c r="P17" s="463"/>
      <c r="Q17" s="692"/>
      <c r="R17" s="462"/>
      <c r="S17" s="463"/>
      <c r="T17" s="463"/>
      <c r="U17" s="692"/>
      <c r="V17" s="462"/>
      <c r="W17" s="463"/>
      <c r="X17" s="463"/>
      <c r="Y17" s="692"/>
      <c r="Z17" s="462"/>
      <c r="AA17" s="463"/>
      <c r="AB17" s="463"/>
      <c r="AC17" s="692"/>
      <c r="AD17" s="462"/>
      <c r="AE17" s="463"/>
      <c r="AF17" s="463"/>
      <c r="AG17" s="692"/>
      <c r="AH17" s="128">
        <f t="shared" si="5"/>
        <v>0</v>
      </c>
      <c r="AI17" s="273">
        <f t="shared" si="5"/>
        <v>0</v>
      </c>
      <c r="AJ17" s="273">
        <f t="shared" si="5"/>
        <v>0</v>
      </c>
      <c r="AK17" s="694">
        <f t="shared" si="5"/>
        <v>0</v>
      </c>
      <c r="AL17" s="462"/>
      <c r="AM17" s="463"/>
      <c r="AN17" s="463"/>
      <c r="AO17" s="692"/>
      <c r="AP17" s="462"/>
      <c r="AQ17" s="463"/>
      <c r="AR17" s="463"/>
      <c r="AS17" s="692"/>
      <c r="AT17" s="462"/>
      <c r="AU17" s="463"/>
      <c r="AV17" s="463"/>
      <c r="AW17" s="692"/>
      <c r="AX17" s="462"/>
      <c r="AY17" s="463"/>
      <c r="AZ17" s="463"/>
      <c r="BA17" s="692"/>
      <c r="BB17" s="128">
        <f t="shared" si="6"/>
        <v>0</v>
      </c>
      <c r="BC17" s="273">
        <f t="shared" si="6"/>
        <v>0</v>
      </c>
      <c r="BD17" s="273">
        <f t="shared" si="6"/>
        <v>0</v>
      </c>
      <c r="BE17" s="273">
        <f t="shared" si="6"/>
        <v>0</v>
      </c>
      <c r="BF17" s="276">
        <f t="shared" si="4"/>
        <v>0</v>
      </c>
      <c r="BG17" s="277">
        <f t="shared" si="4"/>
        <v>0</v>
      </c>
      <c r="BH17" s="277">
        <f t="shared" si="4"/>
        <v>0</v>
      </c>
      <c r="BI17" s="704">
        <f t="shared" si="4"/>
        <v>0</v>
      </c>
    </row>
    <row r="18" spans="3:61" s="28" customFormat="1" ht="21">
      <c r="C18" s="1879"/>
      <c r="D18" s="1017" t="s">
        <v>24</v>
      </c>
      <c r="E18" s="1017"/>
      <c r="F18" s="1018"/>
      <c r="H18" s="1889"/>
      <c r="I18" s="33" t="s">
        <v>24</v>
      </c>
      <c r="J18" s="462"/>
      <c r="K18" s="463"/>
      <c r="L18" s="463"/>
      <c r="M18" s="692"/>
      <c r="N18" s="462"/>
      <c r="O18" s="463"/>
      <c r="P18" s="463"/>
      <c r="Q18" s="692"/>
      <c r="R18" s="462"/>
      <c r="S18" s="463"/>
      <c r="T18" s="463"/>
      <c r="U18" s="692"/>
      <c r="V18" s="462"/>
      <c r="W18" s="463"/>
      <c r="X18" s="463"/>
      <c r="Y18" s="692"/>
      <c r="Z18" s="462"/>
      <c r="AA18" s="463"/>
      <c r="AB18" s="463"/>
      <c r="AC18" s="692"/>
      <c r="AD18" s="462"/>
      <c r="AE18" s="463"/>
      <c r="AF18" s="463"/>
      <c r="AG18" s="692"/>
      <c r="AH18" s="128">
        <f t="shared" si="5"/>
        <v>0</v>
      </c>
      <c r="AI18" s="273">
        <f t="shared" si="5"/>
        <v>0</v>
      </c>
      <c r="AJ18" s="273">
        <f t="shared" si="5"/>
        <v>0</v>
      </c>
      <c r="AK18" s="694">
        <f t="shared" si="5"/>
        <v>0</v>
      </c>
      <c r="AL18" s="462"/>
      <c r="AM18" s="463"/>
      <c r="AN18" s="463"/>
      <c r="AO18" s="692"/>
      <c r="AP18" s="462"/>
      <c r="AQ18" s="463"/>
      <c r="AR18" s="463"/>
      <c r="AS18" s="692"/>
      <c r="AT18" s="462"/>
      <c r="AU18" s="463"/>
      <c r="AV18" s="463"/>
      <c r="AW18" s="692"/>
      <c r="AX18" s="462"/>
      <c r="AY18" s="463"/>
      <c r="AZ18" s="463"/>
      <c r="BA18" s="692"/>
      <c r="BB18" s="128">
        <f t="shared" si="6"/>
        <v>0</v>
      </c>
      <c r="BC18" s="273">
        <f t="shared" si="6"/>
        <v>0</v>
      </c>
      <c r="BD18" s="273">
        <f t="shared" si="6"/>
        <v>0</v>
      </c>
      <c r="BE18" s="273">
        <f t="shared" si="6"/>
        <v>0</v>
      </c>
      <c r="BF18" s="276">
        <f t="shared" si="4"/>
        <v>0</v>
      </c>
      <c r="BG18" s="277">
        <f t="shared" si="4"/>
        <v>0</v>
      </c>
      <c r="BH18" s="277">
        <f t="shared" si="4"/>
        <v>0</v>
      </c>
      <c r="BI18" s="704">
        <f t="shared" si="4"/>
        <v>0</v>
      </c>
    </row>
    <row r="19" spans="3:61" s="28" customFormat="1" ht="20.100000000000001" customHeight="1">
      <c r="C19" s="1879"/>
      <c r="D19" s="1017" t="s">
        <v>23</v>
      </c>
      <c r="E19" s="1017"/>
      <c r="F19" s="1018"/>
      <c r="H19" s="1889"/>
      <c r="I19" s="33" t="s">
        <v>23</v>
      </c>
      <c r="J19" s="462"/>
      <c r="K19" s="463"/>
      <c r="L19" s="463"/>
      <c r="M19" s="692"/>
      <c r="N19" s="462"/>
      <c r="O19" s="463"/>
      <c r="P19" s="463"/>
      <c r="Q19" s="692"/>
      <c r="R19" s="462"/>
      <c r="S19" s="463"/>
      <c r="T19" s="463"/>
      <c r="U19" s="692"/>
      <c r="V19" s="462"/>
      <c r="W19" s="463"/>
      <c r="X19" s="463"/>
      <c r="Y19" s="692"/>
      <c r="Z19" s="462"/>
      <c r="AA19" s="463"/>
      <c r="AB19" s="463"/>
      <c r="AC19" s="692"/>
      <c r="AD19" s="462"/>
      <c r="AE19" s="463"/>
      <c r="AF19" s="463"/>
      <c r="AG19" s="692"/>
      <c r="AH19" s="128">
        <f t="shared" si="5"/>
        <v>0</v>
      </c>
      <c r="AI19" s="273">
        <f t="shared" si="5"/>
        <v>0</v>
      </c>
      <c r="AJ19" s="273">
        <f t="shared" si="5"/>
        <v>0</v>
      </c>
      <c r="AK19" s="694">
        <f t="shared" si="5"/>
        <v>0</v>
      </c>
      <c r="AL19" s="1012"/>
      <c r="AM19" s="463"/>
      <c r="AN19" s="463"/>
      <c r="AO19" s="692"/>
      <c r="AP19" s="462"/>
      <c r="AQ19" s="463"/>
      <c r="AR19" s="463"/>
      <c r="AS19" s="692"/>
      <c r="AT19" s="462"/>
      <c r="AU19" s="463"/>
      <c r="AV19" s="463"/>
      <c r="AW19" s="692"/>
      <c r="AX19" s="462">
        <v>20</v>
      </c>
      <c r="AY19" s="463">
        <v>20</v>
      </c>
      <c r="AZ19" s="463">
        <v>20</v>
      </c>
      <c r="BA19" s="692"/>
      <c r="BB19" s="128">
        <f t="shared" si="6"/>
        <v>20</v>
      </c>
      <c r="BC19" s="273">
        <f t="shared" si="6"/>
        <v>20</v>
      </c>
      <c r="BD19" s="273">
        <f t="shared" si="6"/>
        <v>20</v>
      </c>
      <c r="BE19" s="273">
        <f t="shared" si="6"/>
        <v>0</v>
      </c>
      <c r="BF19" s="276">
        <f t="shared" si="4"/>
        <v>20</v>
      </c>
      <c r="BG19" s="277">
        <f t="shared" si="4"/>
        <v>20</v>
      </c>
      <c r="BH19" s="277">
        <f t="shared" si="4"/>
        <v>20</v>
      </c>
      <c r="BI19" s="704">
        <f t="shared" si="4"/>
        <v>0</v>
      </c>
    </row>
    <row r="20" spans="3:61" s="28" customFormat="1" ht="20.100000000000001" customHeight="1">
      <c r="C20" s="1879"/>
      <c r="D20" s="1017" t="s">
        <v>22</v>
      </c>
      <c r="E20" s="1017"/>
      <c r="F20" s="1018"/>
      <c r="H20" s="1889"/>
      <c r="I20" s="33" t="s">
        <v>22</v>
      </c>
      <c r="J20" s="462"/>
      <c r="K20" s="463"/>
      <c r="L20" s="463"/>
      <c r="M20" s="692"/>
      <c r="N20" s="462"/>
      <c r="O20" s="463"/>
      <c r="P20" s="463"/>
      <c r="Q20" s="692"/>
      <c r="R20" s="462"/>
      <c r="S20" s="463"/>
      <c r="T20" s="463"/>
      <c r="U20" s="692"/>
      <c r="V20" s="462"/>
      <c r="W20" s="463"/>
      <c r="X20" s="463"/>
      <c r="Y20" s="692"/>
      <c r="Z20" s="462"/>
      <c r="AA20" s="463"/>
      <c r="AB20" s="463"/>
      <c r="AC20" s="692"/>
      <c r="AD20" s="462"/>
      <c r="AE20" s="463">
        <v>8.5</v>
      </c>
      <c r="AF20" s="463"/>
      <c r="AG20" s="692"/>
      <c r="AH20" s="128">
        <f t="shared" si="5"/>
        <v>0</v>
      </c>
      <c r="AI20" s="273">
        <f t="shared" si="5"/>
        <v>8.5</v>
      </c>
      <c r="AJ20" s="273">
        <f t="shared" si="5"/>
        <v>0</v>
      </c>
      <c r="AK20" s="694">
        <f t="shared" si="5"/>
        <v>0</v>
      </c>
      <c r="AL20" s="462">
        <v>17</v>
      </c>
      <c r="AM20" s="463">
        <v>16</v>
      </c>
      <c r="AN20" s="463"/>
      <c r="AO20" s="692"/>
      <c r="AP20" s="462"/>
      <c r="AQ20" s="463"/>
      <c r="AR20" s="463"/>
      <c r="AS20" s="692"/>
      <c r="AT20" s="462"/>
      <c r="AU20" s="463"/>
      <c r="AV20" s="463"/>
      <c r="AW20" s="692">
        <v>7.5</v>
      </c>
      <c r="AX20" s="462"/>
      <c r="AY20" s="463"/>
      <c r="AZ20" s="463"/>
      <c r="BA20" s="692"/>
      <c r="BB20" s="128">
        <f t="shared" si="6"/>
        <v>17</v>
      </c>
      <c r="BC20" s="273">
        <f t="shared" si="6"/>
        <v>16</v>
      </c>
      <c r="BD20" s="273">
        <f t="shared" si="6"/>
        <v>0</v>
      </c>
      <c r="BE20" s="273">
        <f t="shared" si="6"/>
        <v>7.5</v>
      </c>
      <c r="BF20" s="276">
        <f t="shared" si="4"/>
        <v>17</v>
      </c>
      <c r="BG20" s="277">
        <f t="shared" si="4"/>
        <v>24.5</v>
      </c>
      <c r="BH20" s="277">
        <f t="shared" si="4"/>
        <v>0</v>
      </c>
      <c r="BI20" s="704">
        <f t="shared" si="4"/>
        <v>7.5</v>
      </c>
    </row>
    <row r="21" spans="3:61" s="28" customFormat="1" ht="20.100000000000001" customHeight="1">
      <c r="C21" s="1885"/>
      <c r="D21" s="1017"/>
      <c r="E21" s="1017"/>
      <c r="F21" s="1018"/>
      <c r="H21" s="1889"/>
      <c r="I21" s="33" t="s">
        <v>21</v>
      </c>
      <c r="J21" s="462"/>
      <c r="K21" s="463"/>
      <c r="L21" s="463"/>
      <c r="M21" s="692"/>
      <c r="N21" s="462"/>
      <c r="O21" s="463"/>
      <c r="P21" s="463"/>
      <c r="Q21" s="692"/>
      <c r="R21" s="462"/>
      <c r="S21" s="463"/>
      <c r="T21" s="463"/>
      <c r="U21" s="692"/>
      <c r="V21" s="462"/>
      <c r="W21" s="463"/>
      <c r="X21" s="463"/>
      <c r="Y21" s="692"/>
      <c r="Z21" s="462"/>
      <c r="AA21" s="463"/>
      <c r="AB21" s="463"/>
      <c r="AC21" s="692"/>
      <c r="AD21" s="462"/>
      <c r="AE21" s="463"/>
      <c r="AF21" s="463"/>
      <c r="AG21" s="692"/>
      <c r="AH21" s="128">
        <f t="shared" si="5"/>
        <v>0</v>
      </c>
      <c r="AI21" s="273">
        <f t="shared" si="5"/>
        <v>0</v>
      </c>
      <c r="AJ21" s="273">
        <f t="shared" si="5"/>
        <v>0</v>
      </c>
      <c r="AK21" s="694">
        <f t="shared" si="5"/>
        <v>0</v>
      </c>
      <c r="AL21" s="462"/>
      <c r="AM21" s="463"/>
      <c r="AN21" s="463"/>
      <c r="AO21" s="692"/>
      <c r="AP21" s="462"/>
      <c r="AQ21" s="463"/>
      <c r="AR21" s="463"/>
      <c r="AS21" s="692"/>
      <c r="AT21" s="462"/>
      <c r="AU21" s="463"/>
      <c r="AV21" s="463"/>
      <c r="AW21" s="692"/>
      <c r="AX21" s="462"/>
      <c r="AY21" s="463"/>
      <c r="AZ21" s="463"/>
      <c r="BA21" s="692"/>
      <c r="BB21" s="128">
        <f t="shared" si="6"/>
        <v>0</v>
      </c>
      <c r="BC21" s="273">
        <f t="shared" si="6"/>
        <v>0</v>
      </c>
      <c r="BD21" s="273">
        <f t="shared" si="6"/>
        <v>0</v>
      </c>
      <c r="BE21" s="273">
        <f t="shared" si="6"/>
        <v>0</v>
      </c>
      <c r="BF21" s="276">
        <f t="shared" si="4"/>
        <v>0</v>
      </c>
      <c r="BG21" s="277">
        <f t="shared" si="4"/>
        <v>0</v>
      </c>
      <c r="BH21" s="277">
        <f t="shared" si="4"/>
        <v>0</v>
      </c>
      <c r="BI21" s="704">
        <f t="shared" si="4"/>
        <v>0</v>
      </c>
    </row>
    <row r="22" spans="3:61" s="28" customFormat="1" ht="20.100000000000001" customHeight="1">
      <c r="C22" s="1885"/>
      <c r="D22" s="1017"/>
      <c r="E22" s="1017"/>
      <c r="F22" s="1018"/>
      <c r="H22" s="1889"/>
      <c r="I22" s="33" t="s">
        <v>20</v>
      </c>
      <c r="J22" s="462"/>
      <c r="K22" s="463"/>
      <c r="L22" s="463"/>
      <c r="M22" s="692"/>
      <c r="N22" s="462"/>
      <c r="O22" s="463"/>
      <c r="P22" s="463"/>
      <c r="Q22" s="692"/>
      <c r="R22" s="462"/>
      <c r="S22" s="463"/>
      <c r="T22" s="463"/>
      <c r="U22" s="692"/>
      <c r="V22" s="462"/>
      <c r="W22" s="463"/>
      <c r="X22" s="463"/>
      <c r="Y22" s="692"/>
      <c r="Z22" s="462"/>
      <c r="AA22" s="463"/>
      <c r="AB22" s="463"/>
      <c r="AC22" s="692"/>
      <c r="AD22" s="462"/>
      <c r="AE22" s="463"/>
      <c r="AF22" s="463"/>
      <c r="AG22" s="692"/>
      <c r="AH22" s="128">
        <f t="shared" si="5"/>
        <v>0</v>
      </c>
      <c r="AI22" s="273">
        <f t="shared" si="5"/>
        <v>0</v>
      </c>
      <c r="AJ22" s="273">
        <f t="shared" si="5"/>
        <v>0</v>
      </c>
      <c r="AK22" s="694">
        <f t="shared" si="5"/>
        <v>0</v>
      </c>
      <c r="AL22" s="462"/>
      <c r="AM22" s="463"/>
      <c r="AN22" s="463"/>
      <c r="AO22" s="692"/>
      <c r="AP22" s="462"/>
      <c r="AQ22" s="463"/>
      <c r="AR22" s="463"/>
      <c r="AS22" s="692"/>
      <c r="AT22" s="462"/>
      <c r="AU22" s="463"/>
      <c r="AV22" s="463"/>
      <c r="AW22" s="692"/>
      <c r="AX22" s="462"/>
      <c r="AY22" s="463"/>
      <c r="AZ22" s="463"/>
      <c r="BA22" s="692"/>
      <c r="BB22" s="128">
        <f t="shared" si="6"/>
        <v>0</v>
      </c>
      <c r="BC22" s="273">
        <f t="shared" si="6"/>
        <v>0</v>
      </c>
      <c r="BD22" s="273">
        <f t="shared" si="6"/>
        <v>0</v>
      </c>
      <c r="BE22" s="273">
        <f t="shared" si="6"/>
        <v>0</v>
      </c>
      <c r="BF22" s="276">
        <f t="shared" si="4"/>
        <v>0</v>
      </c>
      <c r="BG22" s="277">
        <f t="shared" si="4"/>
        <v>0</v>
      </c>
      <c r="BH22" s="277">
        <f t="shared" si="4"/>
        <v>0</v>
      </c>
      <c r="BI22" s="704">
        <f t="shared" si="4"/>
        <v>0</v>
      </c>
    </row>
    <row r="23" spans="3:61" s="28" customFormat="1" ht="20.100000000000001" customHeight="1">
      <c r="C23" s="1885"/>
      <c r="D23" s="1017"/>
      <c r="E23" s="1017"/>
      <c r="F23" s="1018"/>
      <c r="H23" s="1889"/>
      <c r="I23" s="33" t="s">
        <v>19</v>
      </c>
      <c r="J23" s="462"/>
      <c r="K23" s="463"/>
      <c r="L23" s="463"/>
      <c r="M23" s="692"/>
      <c r="N23" s="462"/>
      <c r="O23" s="463"/>
      <c r="P23" s="463"/>
      <c r="Q23" s="692"/>
      <c r="R23" s="462"/>
      <c r="S23" s="463"/>
      <c r="T23" s="463"/>
      <c r="U23" s="692"/>
      <c r="V23" s="462"/>
      <c r="W23" s="463"/>
      <c r="X23" s="463"/>
      <c r="Y23" s="692"/>
      <c r="Z23" s="462"/>
      <c r="AA23" s="463"/>
      <c r="AB23" s="463"/>
      <c r="AC23" s="692"/>
      <c r="AD23" s="462">
        <v>40</v>
      </c>
      <c r="AE23" s="463"/>
      <c r="AF23" s="463"/>
      <c r="AG23" s="692"/>
      <c r="AH23" s="128">
        <f t="shared" si="5"/>
        <v>40</v>
      </c>
      <c r="AI23" s="273">
        <f t="shared" si="5"/>
        <v>0</v>
      </c>
      <c r="AJ23" s="273">
        <f t="shared" si="5"/>
        <v>0</v>
      </c>
      <c r="AK23" s="694">
        <f t="shared" si="5"/>
        <v>0</v>
      </c>
      <c r="AL23" s="462"/>
      <c r="AM23" s="463"/>
      <c r="AN23" s="463"/>
      <c r="AO23" s="692"/>
      <c r="AP23" s="462"/>
      <c r="AQ23" s="463"/>
      <c r="AR23" s="463"/>
      <c r="AS23" s="692"/>
      <c r="AT23" s="462"/>
      <c r="AU23" s="463"/>
      <c r="AV23" s="463"/>
      <c r="AW23" s="692"/>
      <c r="AX23" s="462"/>
      <c r="AY23" s="463"/>
      <c r="AZ23" s="463"/>
      <c r="BA23" s="692"/>
      <c r="BB23" s="128">
        <f t="shared" si="6"/>
        <v>0</v>
      </c>
      <c r="BC23" s="273">
        <f t="shared" si="6"/>
        <v>0</v>
      </c>
      <c r="BD23" s="273">
        <f t="shared" si="6"/>
        <v>0</v>
      </c>
      <c r="BE23" s="273">
        <f t="shared" si="6"/>
        <v>0</v>
      </c>
      <c r="BF23" s="276">
        <f t="shared" si="4"/>
        <v>40</v>
      </c>
      <c r="BG23" s="277">
        <f t="shared" si="4"/>
        <v>0</v>
      </c>
      <c r="BH23" s="277">
        <f t="shared" si="4"/>
        <v>0</v>
      </c>
      <c r="BI23" s="704">
        <f t="shared" si="4"/>
        <v>0</v>
      </c>
    </row>
    <row r="24" spans="3:61" s="28" customFormat="1" ht="20.100000000000001" customHeight="1" thickBot="1">
      <c r="C24" s="1885"/>
      <c r="D24" s="1017"/>
      <c r="E24" s="1017"/>
      <c r="F24" s="1018"/>
      <c r="H24" s="1865" t="s">
        <v>116</v>
      </c>
      <c r="I24" s="1866"/>
      <c r="J24" s="118">
        <f t="shared" ref="J24:BI24" si="7">SUM(J15:J23)</f>
        <v>0</v>
      </c>
      <c r="K24" s="272">
        <f t="shared" si="7"/>
        <v>0</v>
      </c>
      <c r="L24" s="272">
        <f>SUM(L15:L23)</f>
        <v>0</v>
      </c>
      <c r="M24" s="272">
        <f>SUM(M15:M23)</f>
        <v>0</v>
      </c>
      <c r="N24" s="118">
        <f t="shared" ref="N24:AI24" si="8">SUM(N15:N23)</f>
        <v>0</v>
      </c>
      <c r="O24" s="272">
        <f t="shared" si="8"/>
        <v>0</v>
      </c>
      <c r="P24" s="272">
        <f t="shared" si="8"/>
        <v>0</v>
      </c>
      <c r="Q24" s="272">
        <f t="shared" si="8"/>
        <v>0</v>
      </c>
      <c r="R24" s="118">
        <f t="shared" si="8"/>
        <v>0</v>
      </c>
      <c r="S24" s="272">
        <f t="shared" si="8"/>
        <v>0</v>
      </c>
      <c r="T24" s="272">
        <f t="shared" si="8"/>
        <v>0</v>
      </c>
      <c r="U24" s="272">
        <f t="shared" si="8"/>
        <v>0</v>
      </c>
      <c r="V24" s="118">
        <f t="shared" si="8"/>
        <v>0</v>
      </c>
      <c r="W24" s="272">
        <f t="shared" si="8"/>
        <v>0</v>
      </c>
      <c r="X24" s="272">
        <f t="shared" si="8"/>
        <v>0</v>
      </c>
      <c r="Y24" s="272">
        <f t="shared" si="8"/>
        <v>0</v>
      </c>
      <c r="Z24" s="118">
        <f t="shared" si="8"/>
        <v>0</v>
      </c>
      <c r="AA24" s="272">
        <f t="shared" si="8"/>
        <v>0</v>
      </c>
      <c r="AB24" s="272">
        <f t="shared" si="8"/>
        <v>0</v>
      </c>
      <c r="AC24" s="272">
        <f t="shared" si="8"/>
        <v>0</v>
      </c>
      <c r="AD24" s="118">
        <f t="shared" si="8"/>
        <v>40</v>
      </c>
      <c r="AE24" s="272">
        <f t="shared" si="8"/>
        <v>8.5</v>
      </c>
      <c r="AF24" s="272">
        <f t="shared" si="8"/>
        <v>0</v>
      </c>
      <c r="AG24" s="272">
        <f t="shared" si="8"/>
        <v>0</v>
      </c>
      <c r="AH24" s="118">
        <f t="shared" si="8"/>
        <v>40</v>
      </c>
      <c r="AI24" s="272">
        <f t="shared" si="8"/>
        <v>8.5</v>
      </c>
      <c r="AJ24" s="272">
        <f>SUM(AJ15:AJ23)</f>
        <v>0</v>
      </c>
      <c r="AK24" s="695">
        <f>SUM(AK15:AK23)</f>
        <v>0</v>
      </c>
      <c r="AL24" s="118">
        <f t="shared" ref="AL24:BC24" si="9">SUM(AL15:AL23)</f>
        <v>17</v>
      </c>
      <c r="AM24" s="272">
        <f t="shared" si="9"/>
        <v>16</v>
      </c>
      <c r="AN24" s="272">
        <f t="shared" si="9"/>
        <v>0</v>
      </c>
      <c r="AO24" s="272">
        <f t="shared" si="9"/>
        <v>0</v>
      </c>
      <c r="AP24" s="118">
        <f t="shared" si="9"/>
        <v>0</v>
      </c>
      <c r="AQ24" s="272">
        <f t="shared" si="9"/>
        <v>0</v>
      </c>
      <c r="AR24" s="272">
        <f t="shared" si="9"/>
        <v>0</v>
      </c>
      <c r="AS24" s="272">
        <f t="shared" si="9"/>
        <v>0</v>
      </c>
      <c r="AT24" s="118">
        <f t="shared" si="9"/>
        <v>0</v>
      </c>
      <c r="AU24" s="272">
        <f t="shared" si="9"/>
        <v>0</v>
      </c>
      <c r="AV24" s="272">
        <f t="shared" si="9"/>
        <v>0</v>
      </c>
      <c r="AW24" s="272">
        <f t="shared" si="9"/>
        <v>7.5</v>
      </c>
      <c r="AX24" s="118">
        <f t="shared" si="9"/>
        <v>20</v>
      </c>
      <c r="AY24" s="272">
        <f t="shared" si="9"/>
        <v>20</v>
      </c>
      <c r="AZ24" s="272">
        <f t="shared" si="9"/>
        <v>20</v>
      </c>
      <c r="BA24" s="272">
        <f t="shared" si="9"/>
        <v>0</v>
      </c>
      <c r="BB24" s="118">
        <f t="shared" si="9"/>
        <v>37</v>
      </c>
      <c r="BC24" s="272">
        <f t="shared" si="9"/>
        <v>36</v>
      </c>
      <c r="BD24" s="272">
        <f>SUM(BD15:BD23)</f>
        <v>20</v>
      </c>
      <c r="BE24" s="272">
        <f>SUM(BE15:BE23)</f>
        <v>7.5</v>
      </c>
      <c r="BF24" s="278">
        <f t="shared" si="7"/>
        <v>77</v>
      </c>
      <c r="BG24" s="279">
        <f t="shared" si="7"/>
        <v>44.5</v>
      </c>
      <c r="BH24" s="279">
        <f t="shared" si="7"/>
        <v>20</v>
      </c>
      <c r="BI24" s="705">
        <f t="shared" si="7"/>
        <v>7.5</v>
      </c>
    </row>
    <row r="25" spans="3:61" s="119" customFormat="1" ht="9" customHeight="1" thickBot="1">
      <c r="C25" s="121"/>
      <c r="D25" s="121"/>
      <c r="E25" s="121"/>
      <c r="F25" s="121"/>
      <c r="H25" s="122"/>
      <c r="I25" s="122"/>
      <c r="J25" s="125"/>
      <c r="K25" s="126"/>
      <c r="L25" s="126"/>
      <c r="M25" s="126"/>
      <c r="N25" s="125"/>
      <c r="O25" s="126"/>
      <c r="P25" s="126"/>
      <c r="Q25" s="126"/>
      <c r="R25" s="125"/>
      <c r="S25" s="126"/>
      <c r="T25" s="126"/>
      <c r="U25" s="126"/>
      <c r="V25" s="125"/>
      <c r="W25" s="126"/>
      <c r="X25" s="126"/>
      <c r="Y25" s="126"/>
      <c r="Z25" s="125"/>
      <c r="AA25" s="126"/>
      <c r="AB25" s="126"/>
      <c r="AC25" s="126"/>
      <c r="AD25" s="125"/>
      <c r="AE25" s="126"/>
      <c r="AF25" s="126"/>
      <c r="AG25" s="126"/>
      <c r="AH25" s="125"/>
      <c r="AI25" s="126"/>
      <c r="AJ25" s="126"/>
      <c r="AK25" s="126"/>
      <c r="AL25" s="125"/>
      <c r="AM25" s="126"/>
      <c r="AN25" s="126"/>
      <c r="AO25" s="126"/>
      <c r="AP25" s="125"/>
      <c r="AQ25" s="126"/>
      <c r="AR25" s="126"/>
      <c r="AS25" s="126"/>
      <c r="AT25" s="125"/>
      <c r="AU25" s="126"/>
      <c r="AV25" s="126"/>
      <c r="AW25" s="126"/>
      <c r="AX25" s="125"/>
      <c r="AY25" s="126"/>
      <c r="AZ25" s="126"/>
      <c r="BA25" s="126"/>
      <c r="BB25" s="125"/>
      <c r="BC25" s="126"/>
      <c r="BD25" s="126"/>
      <c r="BE25" s="126"/>
      <c r="BF25" s="125"/>
      <c r="BG25" s="126"/>
    </row>
    <row r="26" spans="3:61" s="28" customFormat="1" ht="26.25" customHeight="1" thickBot="1">
      <c r="D26" s="29"/>
      <c r="E26" s="29"/>
      <c r="F26" s="29"/>
      <c r="H26" s="1893" t="s">
        <v>49</v>
      </c>
      <c r="I26" s="1894"/>
      <c r="J26" s="123">
        <f t="shared" ref="J26:BI26" si="10">J10+J24</f>
        <v>23</v>
      </c>
      <c r="K26" s="280">
        <f t="shared" si="10"/>
        <v>4</v>
      </c>
      <c r="L26" s="280">
        <f>L10+L24</f>
        <v>4</v>
      </c>
      <c r="M26" s="280">
        <f>M10+M24</f>
        <v>0</v>
      </c>
      <c r="N26" s="123">
        <f t="shared" ref="N26:O26" si="11">N10+N24</f>
        <v>12</v>
      </c>
      <c r="O26" s="280">
        <f t="shared" si="11"/>
        <v>12</v>
      </c>
      <c r="P26" s="280">
        <f>P10+P24</f>
        <v>0</v>
      </c>
      <c r="Q26" s="280">
        <f>Q10+Q24</f>
        <v>0</v>
      </c>
      <c r="R26" s="123">
        <f t="shared" ref="R26:S26" si="12">R10+R24</f>
        <v>0</v>
      </c>
      <c r="S26" s="280">
        <f t="shared" si="12"/>
        <v>0</v>
      </c>
      <c r="T26" s="280">
        <f>T10+T24</f>
        <v>0</v>
      </c>
      <c r="U26" s="280">
        <f>U10+U24</f>
        <v>0</v>
      </c>
      <c r="V26" s="123">
        <f t="shared" ref="V26:W26" si="13">V10+V24</f>
        <v>10</v>
      </c>
      <c r="W26" s="280">
        <f t="shared" si="13"/>
        <v>9</v>
      </c>
      <c r="X26" s="280">
        <f>X10+X24</f>
        <v>0</v>
      </c>
      <c r="Y26" s="280">
        <f>Y10+Y24</f>
        <v>0</v>
      </c>
      <c r="Z26" s="123">
        <f t="shared" ref="Z26:AA26" si="14">Z10+Z24</f>
        <v>0</v>
      </c>
      <c r="AA26" s="280">
        <f t="shared" si="14"/>
        <v>0</v>
      </c>
      <c r="AB26" s="280">
        <f>AB10+AB24</f>
        <v>0</v>
      </c>
      <c r="AC26" s="280">
        <f>AC10+AC24</f>
        <v>0</v>
      </c>
      <c r="AD26" s="123">
        <f t="shared" ref="AD26:AE26" si="15">AD10+AD24</f>
        <v>60</v>
      </c>
      <c r="AE26" s="280">
        <f t="shared" si="15"/>
        <v>25.5</v>
      </c>
      <c r="AF26" s="280">
        <f>AF10+AF24</f>
        <v>17</v>
      </c>
      <c r="AG26" s="280">
        <f>AG10+AG24</f>
        <v>0</v>
      </c>
      <c r="AH26" s="127">
        <f t="shared" ref="AH26:AI26" si="16">AH10+AH24</f>
        <v>105</v>
      </c>
      <c r="AI26" s="280">
        <f t="shared" si="16"/>
        <v>50.5</v>
      </c>
      <c r="AJ26" s="697">
        <f>AJ10+AJ24</f>
        <v>21</v>
      </c>
      <c r="AK26" s="696">
        <f>AK10+AK24</f>
        <v>0</v>
      </c>
      <c r="AL26" s="123">
        <f t="shared" ref="AL26:AM26" si="17">AL10+AL24</f>
        <v>60</v>
      </c>
      <c r="AM26" s="280">
        <f t="shared" si="17"/>
        <v>45</v>
      </c>
      <c r="AN26" s="280">
        <f>AN10+AN24</f>
        <v>29</v>
      </c>
      <c r="AO26" s="280">
        <f>AO10+AO24</f>
        <v>0</v>
      </c>
      <c r="AP26" s="123">
        <f t="shared" ref="AP26:AQ26" si="18">AP10+AP24</f>
        <v>0</v>
      </c>
      <c r="AQ26" s="280">
        <f t="shared" si="18"/>
        <v>0</v>
      </c>
      <c r="AR26" s="280">
        <f>AR10+AR24</f>
        <v>0</v>
      </c>
      <c r="AS26" s="280">
        <f>AS10+AS24</f>
        <v>0</v>
      </c>
      <c r="AT26" s="123">
        <f t="shared" ref="AT26:AU26" si="19">AT10+AT24</f>
        <v>0</v>
      </c>
      <c r="AU26" s="280">
        <f t="shared" si="19"/>
        <v>1</v>
      </c>
      <c r="AV26" s="280">
        <f>AV10+AV24</f>
        <v>1</v>
      </c>
      <c r="AW26" s="280">
        <f>AW10+AW24</f>
        <v>7.5</v>
      </c>
      <c r="AX26" s="123">
        <f t="shared" ref="AX26:AY26" si="20">AX10+AX24</f>
        <v>20</v>
      </c>
      <c r="AY26" s="280">
        <f t="shared" si="20"/>
        <v>26.5</v>
      </c>
      <c r="AZ26" s="280">
        <f>AZ10+AZ24</f>
        <v>20</v>
      </c>
      <c r="BA26" s="280">
        <f>BA10+BA24</f>
        <v>0</v>
      </c>
      <c r="BB26" s="127">
        <f t="shared" ref="BB26:BC26" si="21">BB10+BB24</f>
        <v>80</v>
      </c>
      <c r="BC26" s="280">
        <f t="shared" si="21"/>
        <v>72.5</v>
      </c>
      <c r="BD26" s="697">
        <f>BD10+BD24</f>
        <v>50</v>
      </c>
      <c r="BE26" s="697">
        <f>BE10+BE24</f>
        <v>7.5</v>
      </c>
      <c r="BF26" s="124">
        <f>BF10+BF24</f>
        <v>185</v>
      </c>
      <c r="BG26" s="707">
        <f t="shared" si="10"/>
        <v>123</v>
      </c>
      <c r="BH26" s="706">
        <f t="shared" si="10"/>
        <v>71</v>
      </c>
      <c r="BI26" s="284">
        <f t="shared" si="10"/>
        <v>7.5</v>
      </c>
    </row>
    <row r="27" spans="3:61" ht="21" customHeight="1">
      <c r="H27" s="320"/>
      <c r="I27" s="320"/>
      <c r="J27" s="321"/>
      <c r="K27" s="321"/>
      <c r="L27" s="321"/>
      <c r="M27" s="321"/>
      <c r="N27" s="321"/>
      <c r="O27" s="321"/>
      <c r="P27" s="321"/>
      <c r="Q27" s="321"/>
      <c r="R27" s="321"/>
      <c r="S27" s="321"/>
      <c r="T27" s="321"/>
      <c r="U27" s="321"/>
      <c r="V27" s="321"/>
      <c r="W27" s="321"/>
      <c r="X27" s="323"/>
      <c r="Y27" s="323"/>
      <c r="Z27" s="321"/>
      <c r="AA27" s="321"/>
      <c r="AB27" s="323"/>
      <c r="AC27" s="323"/>
      <c r="AD27" s="321"/>
      <c r="AE27" s="321"/>
      <c r="AF27" s="321"/>
      <c r="AG27" s="321"/>
      <c r="AH27" s="321"/>
      <c r="AI27" s="321"/>
      <c r="AJ27" s="321"/>
      <c r="AK27" s="321"/>
      <c r="AL27" s="321"/>
      <c r="AM27" s="321"/>
      <c r="AN27" s="321"/>
      <c r="AO27" s="321"/>
      <c r="AP27" s="321"/>
      <c r="AQ27" s="321"/>
      <c r="AR27" s="321"/>
      <c r="AS27" s="321"/>
      <c r="AT27" s="321"/>
      <c r="AU27" s="321"/>
      <c r="AV27" s="321"/>
      <c r="AW27" s="321"/>
      <c r="AX27" s="321"/>
      <c r="AY27" s="321"/>
      <c r="AZ27" s="321"/>
      <c r="BA27" s="321"/>
      <c r="BB27" s="335"/>
      <c r="BC27" s="1918">
        <f>SUM(I27:AZ29)</f>
        <v>0</v>
      </c>
      <c r="BD27" s="335"/>
      <c r="BE27" s="335"/>
      <c r="BF27" s="335"/>
      <c r="BG27" s="335"/>
      <c r="BH27" s="1917">
        <f>BH26+BI26</f>
        <v>78.5</v>
      </c>
      <c r="BI27" s="1917"/>
    </row>
    <row r="28" spans="3:61" ht="21" customHeight="1">
      <c r="H28" s="320"/>
      <c r="I28" s="320"/>
      <c r="J28" s="322"/>
      <c r="K28" s="323"/>
      <c r="L28" s="323"/>
      <c r="M28" s="323"/>
      <c r="N28" s="322"/>
      <c r="O28" s="323"/>
      <c r="P28" s="323"/>
      <c r="Q28" s="323"/>
      <c r="R28" s="322"/>
      <c r="S28" s="323"/>
      <c r="T28" s="323"/>
      <c r="U28" s="323"/>
      <c r="V28" s="321"/>
      <c r="W28" s="323"/>
      <c r="X28" s="323"/>
      <c r="Y28" s="323"/>
      <c r="Z28" s="322"/>
      <c r="AA28" s="323"/>
      <c r="AB28" s="323"/>
      <c r="AC28" s="323"/>
      <c r="AD28" s="322"/>
      <c r="AE28" s="323"/>
      <c r="AF28" s="323"/>
      <c r="AG28" s="322"/>
      <c r="AH28" s="322"/>
      <c r="AI28" s="323"/>
      <c r="AJ28" s="323"/>
      <c r="AK28" s="323"/>
      <c r="AL28" s="321"/>
      <c r="AM28" s="323"/>
      <c r="AN28" s="622"/>
      <c r="AO28" s="622"/>
      <c r="AP28" s="321"/>
      <c r="AQ28" s="323"/>
      <c r="AR28" s="323"/>
      <c r="AS28" s="323"/>
      <c r="AT28" s="322"/>
      <c r="AU28" s="323"/>
      <c r="AV28" s="323"/>
      <c r="AW28" s="323"/>
      <c r="AX28" s="322"/>
      <c r="AY28" s="468"/>
      <c r="AZ28" s="468"/>
      <c r="BA28" s="468"/>
      <c r="BB28" s="392"/>
      <c r="BC28" s="1919"/>
      <c r="BD28" s="434"/>
      <c r="BE28" s="434"/>
      <c r="BF28" s="435"/>
      <c r="BG28" s="434"/>
      <c r="BH28" s="726"/>
      <c r="BI28" s="434"/>
    </row>
    <row r="29" spans="3:61" ht="23.25">
      <c r="H29" s="320"/>
      <c r="I29" s="320"/>
      <c r="J29" s="322"/>
      <c r="K29" s="323"/>
      <c r="L29" s="323"/>
      <c r="M29" s="323"/>
      <c r="N29" s="322"/>
      <c r="O29" s="323"/>
      <c r="P29" s="323"/>
      <c r="Q29" s="323"/>
      <c r="R29" s="322"/>
      <c r="S29" s="323"/>
      <c r="T29" s="323"/>
      <c r="U29" s="323"/>
      <c r="V29" s="322"/>
      <c r="W29" s="323"/>
      <c r="X29" s="323"/>
      <c r="Y29" s="323"/>
      <c r="Z29" s="322"/>
      <c r="AA29" s="323"/>
      <c r="AB29" s="323"/>
      <c r="AC29" s="323"/>
      <c r="AD29" s="322"/>
      <c r="AE29" s="323"/>
      <c r="AF29" s="688"/>
      <c r="AG29" s="688"/>
      <c r="AH29" s="322"/>
      <c r="AI29" s="322"/>
      <c r="AJ29" s="323"/>
      <c r="AK29" s="323"/>
      <c r="AL29" s="321"/>
      <c r="AM29" s="323"/>
      <c r="AN29" s="321"/>
      <c r="AO29" s="321"/>
      <c r="AP29" s="322"/>
      <c r="AQ29" s="323"/>
      <c r="AR29" s="323"/>
      <c r="AS29" s="323"/>
      <c r="AT29" s="322"/>
      <c r="AU29" s="323"/>
      <c r="AV29" s="323"/>
      <c r="AW29" s="323"/>
      <c r="AX29" s="322"/>
      <c r="AY29" s="468"/>
      <c r="AZ29" s="468"/>
      <c r="BA29" s="468"/>
      <c r="BB29" s="392"/>
      <c r="BC29" s="434"/>
      <c r="BD29" s="434"/>
      <c r="BE29" s="434"/>
      <c r="BF29" s="435"/>
      <c r="BG29" s="434"/>
      <c r="BH29" s="682"/>
      <c r="BI29" s="434"/>
    </row>
    <row r="30" spans="3:61" s="464" customFormat="1" ht="21.75" thickBot="1">
      <c r="D30" s="576"/>
      <c r="E30" s="576"/>
      <c r="F30" s="576"/>
      <c r="I30" s="577"/>
      <c r="J30" s="578"/>
      <c r="K30" s="579"/>
      <c r="L30" s="579"/>
      <c r="M30" s="579"/>
      <c r="N30" s="578"/>
      <c r="O30" s="579"/>
      <c r="P30" s="579"/>
      <c r="Q30" s="579"/>
      <c r="R30" s="578"/>
      <c r="S30" s="579"/>
      <c r="T30" s="579"/>
      <c r="U30" s="579"/>
      <c r="V30" s="578"/>
      <c r="W30" s="578"/>
      <c r="X30" s="579"/>
      <c r="Y30" s="579"/>
      <c r="Z30" s="579"/>
      <c r="AA30" s="578"/>
      <c r="AB30" s="579"/>
      <c r="AC30" s="579"/>
      <c r="AD30" s="579"/>
      <c r="AE30" s="578"/>
      <c r="AF30" s="579"/>
      <c r="AG30" s="579"/>
      <c r="AH30" s="621"/>
      <c r="AI30" s="578"/>
      <c r="AJ30" s="579"/>
      <c r="AK30" s="579"/>
      <c r="AM30" s="580"/>
      <c r="AN30" s="579"/>
      <c r="AO30" s="579"/>
      <c r="AP30" s="579"/>
      <c r="AQ30" s="578"/>
      <c r="AR30" s="579"/>
      <c r="AS30" s="579"/>
      <c r="AT30" s="579"/>
      <c r="AU30" s="578"/>
      <c r="AV30" s="579"/>
      <c r="AW30" s="579"/>
      <c r="AZ30" s="581"/>
      <c r="BA30" s="581"/>
      <c r="BB30" s="581"/>
      <c r="BC30" s="582"/>
      <c r="BD30" s="583"/>
      <c r="BE30" s="583"/>
      <c r="BF30" s="583"/>
      <c r="BG30" s="584"/>
      <c r="BH30" s="583"/>
      <c r="BI30" s="585"/>
    </row>
    <row r="31" spans="3:61" ht="35.25" customHeight="1" thickBot="1">
      <c r="L31" s="1929" t="s">
        <v>362</v>
      </c>
      <c r="M31" s="1930"/>
      <c r="N31" s="1930"/>
      <c r="O31" s="1930"/>
      <c r="P31" s="1930"/>
      <c r="Q31" s="1930"/>
      <c r="R31" s="1930"/>
      <c r="S31" s="1931"/>
      <c r="T31" s="579"/>
      <c r="U31" s="579"/>
      <c r="V31" s="1929" t="s">
        <v>204</v>
      </c>
      <c r="W31" s="1930"/>
      <c r="X31" s="1930"/>
      <c r="Y31" s="1930"/>
      <c r="Z31" s="1930"/>
      <c r="AA31" s="1930"/>
      <c r="AB31" s="1930"/>
      <c r="AC31" s="1935"/>
      <c r="AD31" s="1936"/>
      <c r="AE31" s="579"/>
      <c r="AF31" s="579"/>
      <c r="AG31" s="26"/>
      <c r="AH31" s="24"/>
      <c r="AJ31" s="685"/>
      <c r="AL31" s="24"/>
      <c r="AM31" s="599"/>
      <c r="AN31" s="1014"/>
      <c r="AP31" s="24"/>
      <c r="AS31" s="26"/>
      <c r="AT31" s="24"/>
      <c r="AX31" s="24"/>
      <c r="AY31" s="25"/>
      <c r="AZ31" s="25"/>
      <c r="BA31" s="24"/>
      <c r="BB31" s="24"/>
      <c r="BE31" s="23"/>
      <c r="BF31" s="23"/>
      <c r="BG31" s="1124"/>
    </row>
    <row r="32" spans="3:61" s="24" customFormat="1" ht="28.5" customHeight="1" thickBot="1">
      <c r="C32" s="23"/>
      <c r="D32" s="27"/>
      <c r="E32" s="27"/>
      <c r="F32" s="27"/>
      <c r="G32" s="23"/>
      <c r="H32" s="23"/>
      <c r="I32" s="27"/>
      <c r="L32" s="450" t="s">
        <v>0</v>
      </c>
      <c r="M32" s="439" t="s">
        <v>200</v>
      </c>
      <c r="N32" s="454" t="s">
        <v>205</v>
      </c>
      <c r="O32" s="439" t="s">
        <v>31</v>
      </c>
      <c r="P32" s="448" t="s">
        <v>201</v>
      </c>
      <c r="Q32" s="455" t="s">
        <v>206</v>
      </c>
      <c r="R32" s="436" t="s">
        <v>22</v>
      </c>
      <c r="S32" s="438" t="s">
        <v>191</v>
      </c>
      <c r="T32" s="579"/>
      <c r="U32" s="579"/>
      <c r="V32" s="571" t="s">
        <v>0</v>
      </c>
      <c r="W32" s="572" t="s">
        <v>200</v>
      </c>
      <c r="X32" s="623" t="s">
        <v>205</v>
      </c>
      <c r="Y32" s="572" t="s">
        <v>31</v>
      </c>
      <c r="Z32" s="573" t="s">
        <v>201</v>
      </c>
      <c r="AA32" s="574" t="s">
        <v>206</v>
      </c>
      <c r="AB32" s="717" t="s">
        <v>22</v>
      </c>
      <c r="AC32" s="721" t="s">
        <v>191</v>
      </c>
      <c r="AD32" s="722" t="s">
        <v>226</v>
      </c>
      <c r="AE32" s="579"/>
      <c r="AF32" s="579"/>
      <c r="AG32" s="599"/>
      <c r="AH32" s="599"/>
      <c r="AI32" s="599"/>
      <c r="AN32" s="26"/>
      <c r="AR32" s="24">
        <v>71</v>
      </c>
      <c r="AT32" s="25"/>
      <c r="AU32" s="25"/>
      <c r="AW32" s="23"/>
      <c r="AX32" s="23"/>
    </row>
    <row r="33" spans="1:59" ht="23.25">
      <c r="L33" s="441" t="s">
        <v>189</v>
      </c>
      <c r="M33" s="470">
        <f>$J$6</f>
        <v>23</v>
      </c>
      <c r="N33" s="430">
        <f>$J9</f>
        <v>0</v>
      </c>
      <c r="O33" s="430">
        <f>$J7</f>
        <v>0</v>
      </c>
      <c r="P33" s="430">
        <f>$J8</f>
        <v>0</v>
      </c>
      <c r="Q33" s="430">
        <f>J15+J16+J17+J18+J19+J21+J22+J23</f>
        <v>0</v>
      </c>
      <c r="R33" s="430">
        <f>$J20</f>
        <v>0</v>
      </c>
      <c r="S33" s="446">
        <f t="shared" ref="S33:S42" si="22">SUM(M33:R33)</f>
        <v>23</v>
      </c>
      <c r="T33" s="579"/>
      <c r="U33" s="579"/>
      <c r="V33" s="447" t="s">
        <v>189</v>
      </c>
      <c r="W33" s="569">
        <f>L$6</f>
        <v>4</v>
      </c>
      <c r="X33" s="570">
        <f>$L9</f>
        <v>0</v>
      </c>
      <c r="Y33" s="570">
        <f>$L7</f>
        <v>0</v>
      </c>
      <c r="Z33" s="570">
        <f>$L8</f>
        <v>0</v>
      </c>
      <c r="AA33" s="570">
        <f>L$15+L$16+L$17+L$18+L$19+L$21+L$22+L$23</f>
        <v>0</v>
      </c>
      <c r="AB33" s="718">
        <f>$L20</f>
        <v>0</v>
      </c>
      <c r="AC33" s="723">
        <f t="shared" ref="AC33:AC42" si="23">SUM(W33:AB33)</f>
        <v>4</v>
      </c>
      <c r="AD33" s="587">
        <f>M6+M7+M8++M9+M15+M16+M17+M18+M19+M21+M20+M22+M23</f>
        <v>0</v>
      </c>
      <c r="AE33" s="579">
        <f>AC33+AD33</f>
        <v>4</v>
      </c>
      <c r="AF33" s="579"/>
      <c r="AG33" s="599"/>
      <c r="AH33" s="599"/>
      <c r="AI33" s="599"/>
      <c r="AL33" s="24"/>
      <c r="AN33" s="26"/>
      <c r="AP33" s="24"/>
      <c r="AQ33" s="24">
        <v>170</v>
      </c>
      <c r="AR33" s="24">
        <v>12</v>
      </c>
      <c r="AT33" s="25"/>
      <c r="AU33" s="25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</row>
    <row r="34" spans="1:59" s="24" customFormat="1" ht="23.25">
      <c r="A34" s="23"/>
      <c r="B34" s="23"/>
      <c r="C34" s="23"/>
      <c r="D34" s="27"/>
      <c r="E34" s="27"/>
      <c r="F34" s="27"/>
      <c r="G34" s="23"/>
      <c r="H34" s="23"/>
      <c r="I34" s="27"/>
      <c r="L34" s="441" t="s">
        <v>183</v>
      </c>
      <c r="M34" s="470">
        <f>$N$6</f>
        <v>12</v>
      </c>
      <c r="N34" s="430">
        <f>$N9</f>
        <v>0</v>
      </c>
      <c r="O34" s="430">
        <f>$N7</f>
        <v>0</v>
      </c>
      <c r="P34" s="430">
        <f>$N8</f>
        <v>0</v>
      </c>
      <c r="Q34" s="430">
        <f>N15+N16+N17+N18+N19+N21+N22+N23</f>
        <v>0</v>
      </c>
      <c r="R34" s="430">
        <f>$N20</f>
        <v>0</v>
      </c>
      <c r="S34" s="446">
        <f t="shared" si="22"/>
        <v>12</v>
      </c>
      <c r="T34" s="686"/>
      <c r="U34" s="26"/>
      <c r="V34" s="441" t="s">
        <v>183</v>
      </c>
      <c r="W34" s="440">
        <f>P$6</f>
        <v>0</v>
      </c>
      <c r="X34" s="430">
        <f>$P9</f>
        <v>0</v>
      </c>
      <c r="Y34" s="430">
        <f>$P7</f>
        <v>0</v>
      </c>
      <c r="Z34" s="430">
        <f>$P8</f>
        <v>0</v>
      </c>
      <c r="AA34" s="430">
        <f>P$15+P$16+P$17+P$18+P$19+P$21+P$22+P$23</f>
        <v>0</v>
      </c>
      <c r="AB34" s="719">
        <f>$P20</f>
        <v>0</v>
      </c>
      <c r="AC34" s="723">
        <f t="shared" si="23"/>
        <v>0</v>
      </c>
      <c r="AD34" s="587">
        <f>Q6+Q7+Q8+Q9+Q15+Q16+Q17+Q18+Q19+Q20+Q21+Q22+Q23</f>
        <v>0</v>
      </c>
      <c r="AE34" s="579">
        <f t="shared" ref="AE34:AE43" si="24">AC34+AD34</f>
        <v>0</v>
      </c>
      <c r="AG34" s="599"/>
      <c r="AH34" s="599"/>
      <c r="AI34" s="599"/>
      <c r="AN34" s="26"/>
      <c r="AQ34" s="24">
        <v>8</v>
      </c>
      <c r="AR34" s="24">
        <v>6.5</v>
      </c>
      <c r="AT34" s="25"/>
      <c r="AU34" s="25"/>
    </row>
    <row r="35" spans="1:59" ht="23.25">
      <c r="L35" s="441" t="s">
        <v>184</v>
      </c>
      <c r="M35" s="470">
        <f>$R$6</f>
        <v>0</v>
      </c>
      <c r="N35" s="430">
        <f>$R9</f>
        <v>0</v>
      </c>
      <c r="O35" s="430">
        <f>$R7</f>
        <v>0</v>
      </c>
      <c r="P35" s="430">
        <f>$R8</f>
        <v>0</v>
      </c>
      <c r="Q35" s="430">
        <f>R15+R16+R17+R18+R19+R21+R22+R23</f>
        <v>0</v>
      </c>
      <c r="R35" s="430">
        <f>$R20</f>
        <v>0</v>
      </c>
      <c r="S35" s="446">
        <f t="shared" si="22"/>
        <v>0</v>
      </c>
      <c r="T35" s="686"/>
      <c r="U35" s="26"/>
      <c r="V35" s="441" t="s">
        <v>184</v>
      </c>
      <c r="W35" s="440">
        <f>T$6</f>
        <v>0</v>
      </c>
      <c r="X35" s="430">
        <f>$T9</f>
        <v>0</v>
      </c>
      <c r="Y35" s="430">
        <f>$T7</f>
        <v>0</v>
      </c>
      <c r="Z35" s="430">
        <f>$T8</f>
        <v>0</v>
      </c>
      <c r="AA35" s="430">
        <f>T$15+T$16+T$17+T$18+T$19+T$21+T$22+T$23</f>
        <v>0</v>
      </c>
      <c r="AB35" s="719">
        <f>$T20</f>
        <v>0</v>
      </c>
      <c r="AC35" s="723">
        <f t="shared" si="23"/>
        <v>0</v>
      </c>
      <c r="AD35" s="587">
        <f>U6+U7+U8+U9+U15+U16+U17+U18+U19+U20+U21+U22+U23</f>
        <v>0</v>
      </c>
      <c r="AE35" s="579">
        <f t="shared" si="24"/>
        <v>0</v>
      </c>
      <c r="AF35" s="26"/>
      <c r="AG35" s="599"/>
      <c r="AH35" s="599"/>
      <c r="AI35" s="599"/>
      <c r="AL35" s="24"/>
      <c r="AN35" s="26"/>
      <c r="AP35" s="24"/>
      <c r="AQ35" s="24">
        <v>7</v>
      </c>
      <c r="AR35" s="24">
        <v>9</v>
      </c>
      <c r="AT35" s="25"/>
      <c r="AU35" s="25"/>
      <c r="AX35" s="23"/>
      <c r="AY35" s="23"/>
      <c r="AZ35" s="23"/>
      <c r="BA35" s="23"/>
      <c r="BB35" s="23"/>
      <c r="BC35" s="23"/>
      <c r="BD35" s="23"/>
      <c r="BE35" s="23"/>
      <c r="BF35" s="23"/>
      <c r="BG35" s="23"/>
    </row>
    <row r="36" spans="1:59" ht="23.25">
      <c r="L36" s="441" t="s">
        <v>170</v>
      </c>
      <c r="M36" s="470">
        <f>$V$6</f>
        <v>9</v>
      </c>
      <c r="N36" s="430">
        <f>$V9</f>
        <v>1</v>
      </c>
      <c r="O36" s="430">
        <f>$V7</f>
        <v>0</v>
      </c>
      <c r="P36" s="430">
        <f>$V8</f>
        <v>0</v>
      </c>
      <c r="Q36" s="430">
        <f>V15+V16+V17+V18+V19+V21++V22+V23</f>
        <v>0</v>
      </c>
      <c r="R36" s="430">
        <f>$V20</f>
        <v>0</v>
      </c>
      <c r="S36" s="446">
        <f t="shared" si="22"/>
        <v>10</v>
      </c>
      <c r="T36" s="686"/>
      <c r="U36" s="26"/>
      <c r="V36" s="441" t="s">
        <v>170</v>
      </c>
      <c r="W36" s="440">
        <f>X$6</f>
        <v>0</v>
      </c>
      <c r="X36" s="430">
        <f>$X9</f>
        <v>0</v>
      </c>
      <c r="Y36" s="430">
        <f>$X7</f>
        <v>0</v>
      </c>
      <c r="Z36" s="430">
        <f>$X8</f>
        <v>0</v>
      </c>
      <c r="AA36" s="430">
        <f>X$15+X$16+X$17+X$18+X$19+X$21+X$22+X$23</f>
        <v>0</v>
      </c>
      <c r="AB36" s="719">
        <f>$X20</f>
        <v>0</v>
      </c>
      <c r="AC36" s="723">
        <f t="shared" si="23"/>
        <v>0</v>
      </c>
      <c r="AD36" s="587">
        <f>Y6+Y7+Y8+Y9+Y15+Y16+Y17+Y18+Y19+Y20+Y21+Y22+Y23</f>
        <v>0</v>
      </c>
      <c r="AE36" s="579">
        <f t="shared" si="24"/>
        <v>0</v>
      </c>
      <c r="AF36" s="26"/>
      <c r="AG36" s="599"/>
      <c r="AH36" s="599"/>
      <c r="AI36" s="599"/>
      <c r="AL36" s="24"/>
      <c r="AN36" s="26"/>
      <c r="AP36" s="24"/>
      <c r="AQ36" s="24">
        <v>9.5</v>
      </c>
      <c r="AR36" s="24">
        <v>16</v>
      </c>
      <c r="AT36" s="25"/>
      <c r="AU36" s="25"/>
      <c r="AX36" s="23"/>
      <c r="AY36" s="23"/>
      <c r="AZ36" s="23"/>
      <c r="BA36" s="23"/>
      <c r="BB36" s="23"/>
      <c r="BC36" s="23"/>
      <c r="BD36" s="23"/>
      <c r="BE36" s="23"/>
      <c r="BF36" s="23"/>
      <c r="BG36" s="23"/>
    </row>
    <row r="37" spans="1:59" ht="23.25">
      <c r="L37" s="441" t="s">
        <v>171</v>
      </c>
      <c r="M37" s="470">
        <f>$Z$6</f>
        <v>0</v>
      </c>
      <c r="N37" s="430">
        <f>$Z9</f>
        <v>0</v>
      </c>
      <c r="O37" s="430">
        <f>$Z7</f>
        <v>0</v>
      </c>
      <c r="P37" s="430">
        <f>$Z8</f>
        <v>0</v>
      </c>
      <c r="Q37" s="430">
        <f>Z15+Z16+Z17+Z18+Z19+Z21+Z22+Z23</f>
        <v>0</v>
      </c>
      <c r="R37" s="430">
        <f>$Z20</f>
        <v>0</v>
      </c>
      <c r="S37" s="446">
        <f t="shared" si="22"/>
        <v>0</v>
      </c>
      <c r="T37" s="686"/>
      <c r="U37" s="26"/>
      <c r="V37" s="441" t="s">
        <v>171</v>
      </c>
      <c r="W37" s="440">
        <f>AB$6</f>
        <v>0</v>
      </c>
      <c r="X37" s="430">
        <f>$AB9</f>
        <v>0</v>
      </c>
      <c r="Y37" s="430">
        <f>$AB7</f>
        <v>0</v>
      </c>
      <c r="Z37" s="430">
        <f>$AB8</f>
        <v>0</v>
      </c>
      <c r="AA37" s="430">
        <f>AB$15+AB$16+AB$17+AB$18+AB$19+AB$21+AB$22+AB$23</f>
        <v>0</v>
      </c>
      <c r="AB37" s="719">
        <f>$AB20</f>
        <v>0</v>
      </c>
      <c r="AC37" s="723">
        <f t="shared" si="23"/>
        <v>0</v>
      </c>
      <c r="AD37" s="587">
        <f>AC6+AC7+AC8+AC9+AC15+AC17+AC16+AC18+AC19+AC20+AC21+AC22+AC23</f>
        <v>0</v>
      </c>
      <c r="AE37" s="579">
        <f t="shared" si="24"/>
        <v>0</v>
      </c>
      <c r="AF37" s="26"/>
      <c r="AG37" s="26"/>
      <c r="AI37" s="26"/>
      <c r="AJ37" s="26"/>
      <c r="AK37" s="26"/>
      <c r="AL37" s="24"/>
      <c r="AN37" s="26"/>
      <c r="AP37" s="24"/>
      <c r="AQ37" s="24">
        <v>42</v>
      </c>
      <c r="AR37" s="24">
        <v>8.5</v>
      </c>
      <c r="AT37" s="24"/>
      <c r="AX37" s="23"/>
      <c r="AY37" s="23"/>
      <c r="AZ37" s="23"/>
      <c r="BA37" s="23"/>
      <c r="BB37" s="23"/>
      <c r="BC37" s="23"/>
      <c r="BE37" s="23"/>
      <c r="BF37" s="23"/>
      <c r="BG37" s="23"/>
    </row>
    <row r="38" spans="1:59" ht="23.25">
      <c r="L38" s="441" t="s">
        <v>190</v>
      </c>
      <c r="M38" s="492">
        <f>$AD$6</f>
        <v>20</v>
      </c>
      <c r="N38" s="471">
        <f>$AD9</f>
        <v>0</v>
      </c>
      <c r="O38" s="471">
        <f>$AD7</f>
        <v>0</v>
      </c>
      <c r="P38" s="471">
        <f>$AD8</f>
        <v>0</v>
      </c>
      <c r="Q38" s="430">
        <f>AD15+AD16+AD17+AD18+AD19+AD21+AD22+AD23</f>
        <v>40</v>
      </c>
      <c r="R38" s="471">
        <f>$AD20</f>
        <v>0</v>
      </c>
      <c r="S38" s="446">
        <f t="shared" si="22"/>
        <v>60</v>
      </c>
      <c r="T38" s="686"/>
      <c r="U38" s="26"/>
      <c r="V38" s="441" t="s">
        <v>190</v>
      </c>
      <c r="W38" s="440">
        <f>AF$6</f>
        <v>17</v>
      </c>
      <c r="X38" s="430">
        <f>$AF9</f>
        <v>0</v>
      </c>
      <c r="Y38" s="430">
        <f>$AF7</f>
        <v>0</v>
      </c>
      <c r="Z38" s="430">
        <f>$AF8</f>
        <v>0</v>
      </c>
      <c r="AA38" s="430">
        <f>AF$15+AF$16+AF$17+AF$18+AF$19+AF$21+AF$22+AF$23</f>
        <v>0</v>
      </c>
      <c r="AB38" s="719">
        <f>$AF20</f>
        <v>0</v>
      </c>
      <c r="AC38" s="723">
        <f t="shared" si="23"/>
        <v>17</v>
      </c>
      <c r="AD38" s="587">
        <f>AG6+AG7+AG8+AG9+AG15+AG16+AG17+AG18+AG19+AG20+AG21+AG22+AG23</f>
        <v>0</v>
      </c>
      <c r="AE38" s="579">
        <f t="shared" si="24"/>
        <v>17</v>
      </c>
      <c r="AF38" s="26"/>
      <c r="AG38" s="26"/>
      <c r="AI38" s="26"/>
      <c r="AJ38" s="26"/>
      <c r="AK38" s="26"/>
      <c r="AL38" s="24"/>
      <c r="AN38" s="26"/>
      <c r="AP38" s="24"/>
      <c r="AQ38" s="24">
        <v>18</v>
      </c>
      <c r="AT38" s="24"/>
      <c r="AX38" s="23"/>
      <c r="AY38" s="23"/>
      <c r="AZ38" s="23"/>
      <c r="BA38" s="23"/>
      <c r="BB38" s="23"/>
      <c r="BC38" s="23"/>
      <c r="BE38" s="23"/>
      <c r="BF38" s="23"/>
      <c r="BG38" s="23"/>
    </row>
    <row r="39" spans="1:59" ht="23.25">
      <c r="L39" s="441" t="s">
        <v>185</v>
      </c>
      <c r="M39" s="470">
        <f>$AL$6</f>
        <v>35</v>
      </c>
      <c r="N39" s="430">
        <f>$AL9</f>
        <v>1</v>
      </c>
      <c r="O39" s="430">
        <f>$AL7</f>
        <v>0</v>
      </c>
      <c r="P39" s="430">
        <f>$AL8</f>
        <v>7</v>
      </c>
      <c r="Q39" s="430">
        <f>AL15+AL16+AL17+AL18+AL19+AL21+AL22+AL23</f>
        <v>0</v>
      </c>
      <c r="R39" s="430">
        <f>$AL20</f>
        <v>17</v>
      </c>
      <c r="S39" s="446">
        <f t="shared" si="22"/>
        <v>60</v>
      </c>
      <c r="T39" s="686"/>
      <c r="U39" s="26"/>
      <c r="V39" s="441" t="s">
        <v>185</v>
      </c>
      <c r="W39" s="469">
        <f>AN$6</f>
        <v>29</v>
      </c>
      <c r="X39" s="430">
        <f>$AN9</f>
        <v>0</v>
      </c>
      <c r="Y39" s="430">
        <f>$AN7</f>
        <v>0</v>
      </c>
      <c r="Z39" s="430">
        <f>$AN8</f>
        <v>0</v>
      </c>
      <c r="AA39" s="430">
        <f>AN$15+AN$16+AN$17+AN$18+AN$19+AN$21+AN$22+AN$23</f>
        <v>0</v>
      </c>
      <c r="AB39" s="719">
        <f>$AN20</f>
        <v>0</v>
      </c>
      <c r="AC39" s="723">
        <f t="shared" si="23"/>
        <v>29</v>
      </c>
      <c r="AD39" s="587">
        <f>AO6+AO7+AO8+AO9+AO15+AO16+AO17+AO18+AO19+AO20+AO21+AO22+AO23</f>
        <v>0</v>
      </c>
      <c r="AE39" s="579">
        <f t="shared" si="24"/>
        <v>29</v>
      </c>
      <c r="AF39" s="23"/>
      <c r="AG39" s="26"/>
      <c r="AI39" s="26"/>
      <c r="AJ39" s="26"/>
      <c r="AK39" s="26"/>
      <c r="AL39" s="24"/>
      <c r="AN39" s="26"/>
      <c r="AP39" s="24"/>
      <c r="AT39" s="24"/>
      <c r="AX39" s="23"/>
      <c r="AY39" s="23"/>
      <c r="AZ39" s="23"/>
      <c r="BA39" s="23"/>
      <c r="BB39" s="23"/>
      <c r="BC39" s="23"/>
      <c r="BD39" s="23"/>
      <c r="BE39" s="23"/>
      <c r="BF39" s="23"/>
      <c r="BG39" s="23"/>
    </row>
    <row r="40" spans="1:59" ht="23.25">
      <c r="L40" s="441" t="s">
        <v>202</v>
      </c>
      <c r="M40" s="470">
        <f>$AP$6</f>
        <v>0</v>
      </c>
      <c r="N40" s="430">
        <f>$AP9</f>
        <v>0</v>
      </c>
      <c r="O40" s="430">
        <f>$AP7</f>
        <v>0</v>
      </c>
      <c r="P40" s="430">
        <f>$AP8</f>
        <v>0</v>
      </c>
      <c r="Q40" s="430">
        <f>AP15+AP16+AP17+AP18+AP19+AP21+AP22+AP23</f>
        <v>0</v>
      </c>
      <c r="R40" s="430">
        <f>$AP20</f>
        <v>0</v>
      </c>
      <c r="S40" s="446">
        <f t="shared" si="22"/>
        <v>0</v>
      </c>
      <c r="T40" s="686"/>
      <c r="U40" s="26"/>
      <c r="V40" s="441" t="s">
        <v>202</v>
      </c>
      <c r="W40" s="440">
        <f>AR$6</f>
        <v>0</v>
      </c>
      <c r="X40" s="430">
        <f>$AR9</f>
        <v>0</v>
      </c>
      <c r="Y40" s="430">
        <f>$AR7</f>
        <v>0</v>
      </c>
      <c r="Z40" s="430">
        <f>$AR8</f>
        <v>0</v>
      </c>
      <c r="AA40" s="430">
        <f>AR$15+AR$16+AR$17+AR$18+AR$19+AR$21+AR$22+AR$23</f>
        <v>0</v>
      </c>
      <c r="AB40" s="719">
        <f>$AR20</f>
        <v>0</v>
      </c>
      <c r="AC40" s="723">
        <f t="shared" si="23"/>
        <v>0</v>
      </c>
      <c r="AD40" s="587">
        <f>AS6+AS7+AS8+AS9+AS15+AS16+AS17+AS18+AS19+AS20+AS21+AS22+AS23</f>
        <v>0</v>
      </c>
      <c r="AE40" s="579">
        <f t="shared" si="24"/>
        <v>0</v>
      </c>
      <c r="AF40" s="28"/>
      <c r="AG40" s="26"/>
      <c r="AI40" s="26"/>
      <c r="AJ40" s="26"/>
      <c r="AK40" s="26"/>
      <c r="AL40" s="24"/>
      <c r="AN40" s="26"/>
      <c r="AP40" s="24"/>
      <c r="AS40" s="23"/>
      <c r="AT40" s="24"/>
      <c r="AX40" s="23"/>
      <c r="AY40" s="23"/>
      <c r="AZ40" s="23"/>
      <c r="BA40" s="23"/>
      <c r="BB40" s="23"/>
      <c r="BC40" s="23"/>
      <c r="BD40" s="23"/>
      <c r="BE40" s="23"/>
      <c r="BF40" s="23"/>
      <c r="BG40" s="23"/>
    </row>
    <row r="41" spans="1:59" ht="23.25">
      <c r="L41" s="441" t="s">
        <v>186</v>
      </c>
      <c r="M41" s="470">
        <f>$AT$6</f>
        <v>0</v>
      </c>
      <c r="N41" s="430">
        <f>$AT9</f>
        <v>0</v>
      </c>
      <c r="O41" s="430">
        <f>$AT7</f>
        <v>0</v>
      </c>
      <c r="P41" s="430">
        <f>$AT8</f>
        <v>0</v>
      </c>
      <c r="Q41" s="430">
        <f>AT15+AT16+AT17+AT18+AT19+AT21+AT22+AT23</f>
        <v>0</v>
      </c>
      <c r="R41" s="430">
        <f>$AT20</f>
        <v>0</v>
      </c>
      <c r="S41" s="446">
        <f t="shared" si="22"/>
        <v>0</v>
      </c>
      <c r="T41" s="686"/>
      <c r="U41" s="26"/>
      <c r="V41" s="441" t="s">
        <v>186</v>
      </c>
      <c r="W41" s="440">
        <f>AV$6</f>
        <v>1</v>
      </c>
      <c r="X41" s="430">
        <f>$AV9</f>
        <v>0</v>
      </c>
      <c r="Y41" s="430">
        <f>$AV7</f>
        <v>0</v>
      </c>
      <c r="Z41" s="430">
        <f>$AV8</f>
        <v>0</v>
      </c>
      <c r="AA41" s="430">
        <f>AV$15+AV$16+AV$17+AV$18+AV$19+AV$21+AV$22+AV$23</f>
        <v>0</v>
      </c>
      <c r="AB41" s="719">
        <f>$AV20</f>
        <v>0</v>
      </c>
      <c r="AC41" s="723">
        <f t="shared" si="23"/>
        <v>1</v>
      </c>
      <c r="AD41" s="587">
        <f>AW6+AW7+AW8+AW9+AW15+AW16+AW17+AW18+AW20+AW19+AW21+AW22+AW23</f>
        <v>7.5</v>
      </c>
      <c r="AE41" s="579">
        <f t="shared" si="24"/>
        <v>8.5</v>
      </c>
      <c r="AH41" s="24"/>
      <c r="AJ41" s="25"/>
      <c r="AL41" s="24"/>
      <c r="AN41" s="25"/>
      <c r="AP41" s="24"/>
      <c r="AR41" s="25"/>
      <c r="AT41" s="24"/>
      <c r="AX41" s="23"/>
      <c r="AY41" s="23"/>
      <c r="AZ41" s="23"/>
      <c r="BA41" s="23"/>
      <c r="BB41" s="23"/>
      <c r="BC41" s="23"/>
      <c r="BD41" s="23"/>
      <c r="BE41" s="23"/>
      <c r="BF41" s="23"/>
      <c r="BG41" s="23"/>
    </row>
    <row r="42" spans="1:59" ht="23.25">
      <c r="L42" s="441" t="s">
        <v>203</v>
      </c>
      <c r="M42" s="470">
        <f>$AX$6</f>
        <v>0</v>
      </c>
      <c r="N42" s="430">
        <f>$AX9</f>
        <v>0</v>
      </c>
      <c r="O42" s="430">
        <f>$AX7</f>
        <v>0</v>
      </c>
      <c r="P42" s="430">
        <f>$AX8</f>
        <v>0</v>
      </c>
      <c r="Q42" s="430">
        <f>AX15+AX16+AX17+AX18+AX19+AX21+AX22+AX23</f>
        <v>20</v>
      </c>
      <c r="R42" s="430">
        <f>$AX20</f>
        <v>0</v>
      </c>
      <c r="S42" s="446">
        <f t="shared" si="22"/>
        <v>20</v>
      </c>
      <c r="T42" s="686"/>
      <c r="U42" s="26"/>
      <c r="V42" s="441" t="s">
        <v>203</v>
      </c>
      <c r="W42" s="440">
        <f>AZ$6</f>
        <v>0</v>
      </c>
      <c r="X42" s="430">
        <f>$AZ9</f>
        <v>0</v>
      </c>
      <c r="Y42" s="430">
        <f>$AZ7</f>
        <v>0</v>
      </c>
      <c r="Z42" s="430">
        <f>$AZ8</f>
        <v>0</v>
      </c>
      <c r="AA42" s="430">
        <f>AZ$15+AZ$16+AZ$17+AZ$18+AZ$19+AZ$21+AZ$22+AZ$23</f>
        <v>20</v>
      </c>
      <c r="AB42" s="719">
        <f>$AZ20</f>
        <v>0</v>
      </c>
      <c r="AC42" s="723">
        <f t="shared" si="23"/>
        <v>20</v>
      </c>
      <c r="AD42" s="587">
        <f>BA6+BA7+BA8+BA9+BA15+BA16+BA17+BA18+BA19+BA20+BA21+BA22+BA23</f>
        <v>0</v>
      </c>
      <c r="AE42" s="579">
        <f t="shared" si="24"/>
        <v>20</v>
      </c>
      <c r="AH42" s="24"/>
      <c r="AJ42" s="25"/>
      <c r="AL42" s="24"/>
      <c r="AN42" s="25"/>
      <c r="AP42" s="24"/>
      <c r="AR42" s="25"/>
      <c r="AT42" s="24"/>
      <c r="AV42" s="25"/>
      <c r="AX42" s="23"/>
      <c r="AY42" s="23"/>
      <c r="AZ42" s="23"/>
      <c r="BA42" s="23"/>
      <c r="BB42" s="23"/>
      <c r="BC42" s="23"/>
      <c r="BD42" s="23"/>
      <c r="BE42" s="23"/>
      <c r="BF42" s="23"/>
      <c r="BG42" s="23"/>
    </row>
    <row r="43" spans="1:59" ht="24" thickBot="1">
      <c r="L43" s="442" t="s">
        <v>191</v>
      </c>
      <c r="M43" s="443">
        <f t="shared" ref="M43" si="25">SUM(M33:M42)</f>
        <v>99</v>
      </c>
      <c r="N43" s="444">
        <f>SUM(N33:N42)</f>
        <v>2</v>
      </c>
      <c r="O43" s="443">
        <f t="shared" ref="O43" si="26">SUM(O33:O42)</f>
        <v>0</v>
      </c>
      <c r="P43" s="444">
        <f>SUM(P33:P42)</f>
        <v>7</v>
      </c>
      <c r="Q43" s="444">
        <f>SUM(Q33:Q42)</f>
        <v>60</v>
      </c>
      <c r="R43" s="445">
        <f>SUM(R33:R42)</f>
        <v>17</v>
      </c>
      <c r="S43" s="451">
        <f>SUM(S33:S42)</f>
        <v>185</v>
      </c>
      <c r="T43" s="687"/>
      <c r="U43" s="26"/>
      <c r="V43" s="442" t="s">
        <v>191</v>
      </c>
      <c r="W43" s="443">
        <f t="shared" ref="W43:Y43" si="27">SUM(W33:W42)</f>
        <v>51</v>
      </c>
      <c r="X43" s="444">
        <f>SUM(X33:X42)</f>
        <v>0</v>
      </c>
      <c r="Y43" s="443">
        <f t="shared" si="27"/>
        <v>0</v>
      </c>
      <c r="Z43" s="444">
        <f>SUM(Z33:Z42)</f>
        <v>0</v>
      </c>
      <c r="AA43" s="444">
        <f>SUM(AA33:AA42)</f>
        <v>20</v>
      </c>
      <c r="AB43" s="720">
        <f>SUM(AB33:AB42)</f>
        <v>0</v>
      </c>
      <c r="AC43" s="724">
        <f>SUM(AC33:AC42)</f>
        <v>71</v>
      </c>
      <c r="AD43" s="725">
        <f>SUM(AD33:AD42)</f>
        <v>7.5</v>
      </c>
      <c r="AE43" s="579">
        <f t="shared" si="24"/>
        <v>78.5</v>
      </c>
      <c r="AH43" s="24"/>
      <c r="AJ43" s="25"/>
      <c r="AL43" s="24"/>
      <c r="AN43" s="25"/>
      <c r="AP43" s="24"/>
      <c r="AR43" s="25"/>
      <c r="AT43" s="24"/>
      <c r="AV43" s="25"/>
      <c r="AX43" s="23"/>
      <c r="AY43" s="23"/>
      <c r="AZ43" s="23"/>
      <c r="BA43" s="23"/>
      <c r="BB43" s="23"/>
      <c r="BC43" s="23"/>
      <c r="BD43" s="23"/>
      <c r="BE43" s="23"/>
      <c r="BF43" s="23"/>
      <c r="BG43" s="23"/>
    </row>
    <row r="44" spans="1:59" ht="15" customHeight="1" thickBot="1">
      <c r="L44" s="26"/>
      <c r="M44" s="26"/>
      <c r="N44" s="24"/>
      <c r="P44" s="26"/>
      <c r="Q44" s="26"/>
      <c r="R44" s="24"/>
      <c r="T44" s="26"/>
      <c r="U44" s="26"/>
      <c r="V44" s="24"/>
      <c r="Z44" s="24"/>
      <c r="AD44" s="24"/>
      <c r="AE44" s="26"/>
      <c r="AF44" s="466"/>
      <c r="AG44" s="466"/>
      <c r="AH44" s="466"/>
      <c r="AI44" s="467"/>
      <c r="AL44" s="24"/>
      <c r="AM44" s="25"/>
      <c r="AP44" s="24"/>
      <c r="AQ44" s="25"/>
      <c r="AT44" s="24"/>
      <c r="AU44" s="25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</row>
    <row r="45" spans="1:59" ht="33.75" customHeight="1" thickBot="1">
      <c r="L45" s="1929" t="str">
        <f>L31</f>
        <v>Mode wise Collection Plan-29-12-2021</v>
      </c>
      <c r="M45" s="1930"/>
      <c r="N45" s="1930"/>
      <c r="O45" s="1930"/>
      <c r="P45" s="1930"/>
      <c r="Q45" s="1930"/>
      <c r="R45" s="1930"/>
      <c r="S45" s="1930"/>
      <c r="T45" s="1931"/>
      <c r="U45" s="26"/>
      <c r="V45" s="1923" t="s">
        <v>279</v>
      </c>
      <c r="W45" s="1937"/>
      <c r="X45" s="1937"/>
      <c r="Y45" s="1937"/>
      <c r="Z45" s="1937"/>
      <c r="AA45" s="1937"/>
      <c r="AB45" s="1937"/>
      <c r="AC45" s="1937"/>
      <c r="AD45" s="1937"/>
      <c r="AE45" s="1938"/>
      <c r="AF45" s="466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</row>
    <row r="46" spans="1:59" s="28" customFormat="1" ht="31.5">
      <c r="D46" s="29"/>
      <c r="E46" s="29"/>
      <c r="F46" s="29"/>
      <c r="I46" s="29"/>
      <c r="J46" s="1011" t="s">
        <v>270</v>
      </c>
      <c r="K46" s="1011" t="s">
        <v>196</v>
      </c>
      <c r="L46" s="450" t="s">
        <v>0</v>
      </c>
      <c r="M46" s="439" t="s">
        <v>200</v>
      </c>
      <c r="N46" s="454" t="s">
        <v>205</v>
      </c>
      <c r="O46" s="439" t="s">
        <v>31</v>
      </c>
      <c r="P46" s="448" t="s">
        <v>201</v>
      </c>
      <c r="Q46" s="455" t="s">
        <v>206</v>
      </c>
      <c r="R46" s="436" t="s">
        <v>22</v>
      </c>
      <c r="S46" s="438" t="s">
        <v>191</v>
      </c>
      <c r="T46" s="438" t="s">
        <v>244</v>
      </c>
      <c r="U46" s="26"/>
      <c r="V46" s="596" t="s">
        <v>0</v>
      </c>
      <c r="W46" s="436" t="s">
        <v>200</v>
      </c>
      <c r="X46" s="454" t="s">
        <v>205</v>
      </c>
      <c r="Y46" s="436" t="s">
        <v>31</v>
      </c>
      <c r="Z46" s="448" t="s">
        <v>201</v>
      </c>
      <c r="AA46" s="453" t="s">
        <v>206</v>
      </c>
      <c r="AB46" s="453" t="s">
        <v>210</v>
      </c>
      <c r="AC46" s="436" t="s">
        <v>22</v>
      </c>
      <c r="AD46" s="437" t="s">
        <v>191</v>
      </c>
      <c r="AE46" s="438" t="s">
        <v>244</v>
      </c>
      <c r="AF46" s="1029" t="s">
        <v>32</v>
      </c>
      <c r="AG46" s="1127" t="s">
        <v>22</v>
      </c>
      <c r="AH46" s="1127" t="s">
        <v>25</v>
      </c>
      <c r="AI46" s="1127" t="s">
        <v>271</v>
      </c>
      <c r="AK46" s="23"/>
      <c r="AL46" s="23"/>
      <c r="AM46" s="23"/>
      <c r="AN46" s="23"/>
      <c r="AO46" s="23"/>
      <c r="AP46" s="23"/>
      <c r="AQ46" s="23"/>
      <c r="AR46" s="23"/>
    </row>
    <row r="47" spans="1:59" ht="23.25">
      <c r="J47" s="441"/>
      <c r="K47" s="441"/>
      <c r="L47" s="441" t="s">
        <v>189</v>
      </c>
      <c r="M47" s="470">
        <v>23</v>
      </c>
      <c r="N47" s="430">
        <v>0</v>
      </c>
      <c r="O47" s="430">
        <v>0</v>
      </c>
      <c r="P47" s="430">
        <v>0</v>
      </c>
      <c r="Q47" s="430">
        <v>0</v>
      </c>
      <c r="R47" s="430">
        <v>0</v>
      </c>
      <c r="S47" s="446">
        <f t="shared" ref="S47:S56" si="28">SUM(M47:R47)</f>
        <v>23</v>
      </c>
      <c r="T47" s="446">
        <v>75</v>
      </c>
      <c r="U47" s="26"/>
      <c r="V47" s="586" t="s">
        <v>189</v>
      </c>
      <c r="W47" s="430">
        <v>31.2</v>
      </c>
      <c r="X47" s="430">
        <v>1.3</v>
      </c>
      <c r="Y47" s="430">
        <v>0</v>
      </c>
      <c r="Z47" s="430">
        <v>0</v>
      </c>
      <c r="AA47" s="430">
        <v>0</v>
      </c>
      <c r="AB47" s="655">
        <v>0</v>
      </c>
      <c r="AC47" s="430"/>
      <c r="AD47" s="568">
        <f>SUM(W47:AC47)</f>
        <v>32.5</v>
      </c>
      <c r="AE47" s="587">
        <f>L27+L28+L29</f>
        <v>0</v>
      </c>
      <c r="AF47" s="1114"/>
      <c r="AG47" s="1128"/>
      <c r="AH47" s="1128"/>
      <c r="AI47" s="1128"/>
      <c r="AK47" s="28"/>
      <c r="AL47" s="28"/>
      <c r="AM47" s="28"/>
      <c r="AN47" s="28"/>
      <c r="AO47" s="28"/>
      <c r="AP47" s="28"/>
      <c r="AQ47" s="28"/>
      <c r="AR47" s="28"/>
      <c r="AT47" s="24"/>
      <c r="AU47" s="25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</row>
    <row r="48" spans="1:59" ht="23.25">
      <c r="J48" s="441">
        <v>19</v>
      </c>
      <c r="K48" s="441"/>
      <c r="L48" s="441" t="s">
        <v>183</v>
      </c>
      <c r="M48" s="470">
        <v>12</v>
      </c>
      <c r="N48" s="430">
        <v>0</v>
      </c>
      <c r="O48" s="430">
        <v>0</v>
      </c>
      <c r="P48" s="430">
        <v>0</v>
      </c>
      <c r="Q48" s="430">
        <v>0</v>
      </c>
      <c r="R48" s="430">
        <v>0</v>
      </c>
      <c r="S48" s="446">
        <f t="shared" si="28"/>
        <v>12</v>
      </c>
      <c r="T48" s="446">
        <v>8</v>
      </c>
      <c r="U48" s="466"/>
      <c r="V48" s="586" t="s">
        <v>183</v>
      </c>
      <c r="W48" s="430">
        <v>0</v>
      </c>
      <c r="X48" s="430">
        <v>0</v>
      </c>
      <c r="Y48" s="430">
        <v>0</v>
      </c>
      <c r="Z48" s="430">
        <v>0</v>
      </c>
      <c r="AA48" s="430">
        <v>0</v>
      </c>
      <c r="AB48" s="655">
        <v>0</v>
      </c>
      <c r="AC48" s="430"/>
      <c r="AD48" s="568">
        <f t="shared" ref="AD48:AD56" si="29">SUM(W48:AC48)</f>
        <v>0</v>
      </c>
      <c r="AE48" s="587">
        <f>P27+P28+P29</f>
        <v>0</v>
      </c>
      <c r="AF48" s="1114">
        <v>12</v>
      </c>
      <c r="AG48" s="1114"/>
      <c r="AH48" s="1114"/>
      <c r="AI48" s="1129"/>
      <c r="AL48" s="24"/>
      <c r="AM48" s="25"/>
      <c r="AP48" s="24"/>
      <c r="AQ48" s="25"/>
      <c r="AT48" s="24"/>
      <c r="AU48" s="25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</row>
    <row r="49" spans="4:59" ht="23.25">
      <c r="J49" s="441"/>
      <c r="K49" s="441">
        <v>15</v>
      </c>
      <c r="L49" s="441" t="s">
        <v>184</v>
      </c>
      <c r="M49" s="470">
        <v>0</v>
      </c>
      <c r="N49" s="430">
        <v>0</v>
      </c>
      <c r="O49" s="430">
        <v>0</v>
      </c>
      <c r="P49" s="430">
        <v>0</v>
      </c>
      <c r="Q49" s="430">
        <v>0</v>
      </c>
      <c r="R49" s="430">
        <v>0</v>
      </c>
      <c r="S49" s="446">
        <f t="shared" si="28"/>
        <v>0</v>
      </c>
      <c r="T49" s="446">
        <v>5</v>
      </c>
      <c r="U49" s="466"/>
      <c r="V49" s="586" t="s">
        <v>184</v>
      </c>
      <c r="W49" s="430">
        <v>0</v>
      </c>
      <c r="X49" s="430">
        <v>0</v>
      </c>
      <c r="Y49" s="430">
        <v>0</v>
      </c>
      <c r="Z49" s="430">
        <v>0</v>
      </c>
      <c r="AA49" s="430">
        <v>0</v>
      </c>
      <c r="AB49" s="655">
        <v>0</v>
      </c>
      <c r="AC49" s="430"/>
      <c r="AD49" s="568">
        <f t="shared" si="29"/>
        <v>0</v>
      </c>
      <c r="AE49" s="587">
        <f>T27+T28+T29</f>
        <v>0</v>
      </c>
      <c r="AF49" s="1114"/>
      <c r="AG49" s="1114">
        <v>7.15</v>
      </c>
      <c r="AH49" s="1114"/>
      <c r="AI49" s="1129"/>
      <c r="AL49" s="24"/>
      <c r="AM49" s="25"/>
      <c r="AP49" s="24"/>
      <c r="AQ49" s="25"/>
      <c r="AT49" s="24"/>
      <c r="AU49" s="25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</row>
    <row r="50" spans="4:59" ht="23.25">
      <c r="J50" s="441"/>
      <c r="K50" s="441"/>
      <c r="L50" s="441" t="s">
        <v>170</v>
      </c>
      <c r="M50" s="470">
        <v>9</v>
      </c>
      <c r="N50" s="430">
        <v>1</v>
      </c>
      <c r="O50" s="430">
        <v>0</v>
      </c>
      <c r="P50" s="430">
        <v>0</v>
      </c>
      <c r="Q50" s="430">
        <v>0</v>
      </c>
      <c r="R50" s="430">
        <v>0</v>
      </c>
      <c r="S50" s="446">
        <f t="shared" si="28"/>
        <v>10</v>
      </c>
      <c r="T50" s="446"/>
      <c r="U50" s="466"/>
      <c r="V50" s="586" t="s">
        <v>170</v>
      </c>
      <c r="W50" s="430">
        <v>0</v>
      </c>
      <c r="X50" s="430">
        <v>1.8</v>
      </c>
      <c r="Y50" s="430">
        <v>0</v>
      </c>
      <c r="Z50" s="430">
        <v>0</v>
      </c>
      <c r="AA50" s="430">
        <v>0</v>
      </c>
      <c r="AB50" s="655">
        <v>0</v>
      </c>
      <c r="AC50" s="430"/>
      <c r="AD50" s="568">
        <f>SUM(W50:AC50)</f>
        <v>1.8</v>
      </c>
      <c r="AE50" s="587">
        <f>X27+X28+X29</f>
        <v>0</v>
      </c>
      <c r="AF50" s="1114">
        <v>30</v>
      </c>
      <c r="AG50" s="1114"/>
      <c r="AH50" s="1114"/>
      <c r="AI50" s="1129"/>
      <c r="AL50" s="24"/>
      <c r="AM50" s="25"/>
      <c r="AP50" s="24"/>
      <c r="AQ50" s="25"/>
      <c r="AT50" s="24"/>
      <c r="AU50" s="25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</row>
    <row r="51" spans="4:59" ht="23.25">
      <c r="J51" s="441"/>
      <c r="K51" s="441"/>
      <c r="L51" s="441" t="s">
        <v>171</v>
      </c>
      <c r="M51" s="470">
        <v>0</v>
      </c>
      <c r="N51" s="430">
        <v>0</v>
      </c>
      <c r="O51" s="430">
        <v>0</v>
      </c>
      <c r="P51" s="430">
        <v>0</v>
      </c>
      <c r="Q51" s="430">
        <v>0</v>
      </c>
      <c r="R51" s="430">
        <v>0</v>
      </c>
      <c r="S51" s="446">
        <f t="shared" si="28"/>
        <v>0</v>
      </c>
      <c r="T51" s="446"/>
      <c r="U51" s="466"/>
      <c r="V51" s="586" t="s">
        <v>171</v>
      </c>
      <c r="W51" s="430">
        <v>0</v>
      </c>
      <c r="X51" s="430">
        <v>1.5</v>
      </c>
      <c r="Y51" s="430">
        <v>0</v>
      </c>
      <c r="Z51" s="430">
        <v>0</v>
      </c>
      <c r="AA51" s="430">
        <v>0</v>
      </c>
      <c r="AB51" s="655">
        <v>0</v>
      </c>
      <c r="AC51" s="430"/>
      <c r="AD51" s="568">
        <f t="shared" si="29"/>
        <v>1.5</v>
      </c>
      <c r="AE51" s="587">
        <f>AB27+AB28+AB29</f>
        <v>0</v>
      </c>
      <c r="AF51" s="1114"/>
      <c r="AG51" s="1114"/>
      <c r="AH51" s="1114"/>
      <c r="AI51" s="1129"/>
      <c r="AL51" s="24"/>
      <c r="AM51" s="25"/>
      <c r="AP51" s="24"/>
      <c r="AQ51" s="25"/>
      <c r="AT51" s="24"/>
      <c r="AU51" s="25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</row>
    <row r="52" spans="4:59" ht="23.25">
      <c r="J52" s="441">
        <v>25</v>
      </c>
      <c r="K52" s="441">
        <v>18.07</v>
      </c>
      <c r="L52" s="441" t="s">
        <v>190</v>
      </c>
      <c r="M52" s="492">
        <v>20</v>
      </c>
      <c r="N52" s="471">
        <v>0</v>
      </c>
      <c r="O52" s="471">
        <v>0</v>
      </c>
      <c r="P52" s="471">
        <v>0</v>
      </c>
      <c r="Q52" s="430">
        <v>40</v>
      </c>
      <c r="R52" s="471">
        <v>0</v>
      </c>
      <c r="S52" s="446">
        <f t="shared" si="28"/>
        <v>60</v>
      </c>
      <c r="T52" s="446"/>
      <c r="U52" s="466"/>
      <c r="V52" s="586" t="s">
        <v>190</v>
      </c>
      <c r="W52" s="430">
        <v>0</v>
      </c>
      <c r="X52" s="430">
        <v>0</v>
      </c>
      <c r="Y52" s="430">
        <v>0</v>
      </c>
      <c r="Z52" s="430">
        <v>8</v>
      </c>
      <c r="AA52" s="430">
        <v>0</v>
      </c>
      <c r="AB52" s="655">
        <v>0</v>
      </c>
      <c r="AC52" s="430"/>
      <c r="AD52" s="568">
        <f t="shared" si="29"/>
        <v>8</v>
      </c>
      <c r="AE52" s="587">
        <f>AF27+AF28+AF29</f>
        <v>0</v>
      </c>
      <c r="AF52" s="1114"/>
      <c r="AG52" s="1114"/>
      <c r="AH52" s="1114"/>
      <c r="AI52" s="1129"/>
      <c r="AL52" s="24"/>
      <c r="AM52" s="25"/>
      <c r="AP52" s="24"/>
      <c r="AQ52" s="25"/>
      <c r="AT52" s="24"/>
      <c r="AU52" s="25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</row>
    <row r="53" spans="4:59" ht="23.25">
      <c r="J53" s="441">
        <v>25</v>
      </c>
      <c r="K53" s="441">
        <f>30+15+27.6+18</f>
        <v>90.6</v>
      </c>
      <c r="L53" s="441" t="s">
        <v>185</v>
      </c>
      <c r="M53" s="470">
        <v>35</v>
      </c>
      <c r="N53" s="430">
        <v>1</v>
      </c>
      <c r="O53" s="430">
        <v>0</v>
      </c>
      <c r="P53" s="430">
        <v>7</v>
      </c>
      <c r="Q53" s="430">
        <v>0</v>
      </c>
      <c r="R53" s="430">
        <v>17</v>
      </c>
      <c r="S53" s="446">
        <f t="shared" si="28"/>
        <v>60</v>
      </c>
      <c r="T53" s="446">
        <v>170</v>
      </c>
      <c r="U53" s="466"/>
      <c r="V53" s="586" t="s">
        <v>185</v>
      </c>
      <c r="W53" s="1130">
        <v>28</v>
      </c>
      <c r="X53" s="430">
        <v>1</v>
      </c>
      <c r="Y53" s="430">
        <v>0</v>
      </c>
      <c r="Z53" s="430">
        <v>9.5</v>
      </c>
      <c r="AA53" s="430">
        <v>19.5</v>
      </c>
      <c r="AB53" s="655">
        <v>0</v>
      </c>
      <c r="AC53" s="430"/>
      <c r="AD53" s="568">
        <f t="shared" si="29"/>
        <v>58</v>
      </c>
      <c r="AE53" s="587">
        <f>AN27+AN28+AN29</f>
        <v>0</v>
      </c>
      <c r="AF53" s="1114">
        <v>43.08</v>
      </c>
      <c r="AG53" s="1114"/>
      <c r="AH53" s="1114"/>
      <c r="AI53" s="1129"/>
      <c r="AL53" s="24"/>
      <c r="AM53" s="25"/>
      <c r="AP53" s="24"/>
      <c r="AQ53" s="25"/>
      <c r="AT53" s="24"/>
      <c r="AU53" s="25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</row>
    <row r="54" spans="4:59" ht="23.25">
      <c r="J54" s="441"/>
      <c r="K54" s="441"/>
      <c r="L54" s="441" t="s">
        <v>202</v>
      </c>
      <c r="M54" s="470">
        <v>0</v>
      </c>
      <c r="N54" s="430">
        <v>0</v>
      </c>
      <c r="O54" s="430">
        <v>0</v>
      </c>
      <c r="P54" s="430">
        <v>0</v>
      </c>
      <c r="Q54" s="430">
        <v>0</v>
      </c>
      <c r="R54" s="430">
        <v>0</v>
      </c>
      <c r="S54" s="446">
        <f t="shared" si="28"/>
        <v>0</v>
      </c>
      <c r="T54" s="446"/>
      <c r="U54" s="466"/>
      <c r="V54" s="586" t="s">
        <v>202</v>
      </c>
      <c r="W54" s="430">
        <v>0</v>
      </c>
      <c r="X54" s="430">
        <v>0</v>
      </c>
      <c r="Y54" s="430">
        <v>0</v>
      </c>
      <c r="Z54" s="430">
        <v>0</v>
      </c>
      <c r="AA54" s="430">
        <v>0</v>
      </c>
      <c r="AB54" s="655">
        <v>0</v>
      </c>
      <c r="AC54" s="430"/>
      <c r="AD54" s="568">
        <f t="shared" si="29"/>
        <v>0</v>
      </c>
      <c r="AE54" s="587">
        <f>AR27+AR28+AR29</f>
        <v>0</v>
      </c>
      <c r="AF54" s="1114"/>
      <c r="AG54" s="1114"/>
      <c r="AH54" s="1114"/>
      <c r="AI54" s="1129"/>
      <c r="AL54" s="24"/>
      <c r="AM54" s="25"/>
      <c r="AP54" s="24"/>
      <c r="AQ54" s="25"/>
      <c r="AT54" s="24"/>
      <c r="AU54" s="25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</row>
    <row r="55" spans="4:59" ht="23.25">
      <c r="J55" s="441">
        <f>15+16</f>
        <v>31</v>
      </c>
      <c r="K55" s="441">
        <f>35+21.8</f>
        <v>56.8</v>
      </c>
      <c r="L55" s="441" t="s">
        <v>186</v>
      </c>
      <c r="M55" s="470">
        <v>0</v>
      </c>
      <c r="N55" s="430">
        <v>0</v>
      </c>
      <c r="O55" s="430">
        <v>0</v>
      </c>
      <c r="P55" s="430">
        <v>0</v>
      </c>
      <c r="Q55" s="430">
        <v>0</v>
      </c>
      <c r="R55" s="430">
        <v>0</v>
      </c>
      <c r="S55" s="446">
        <f t="shared" si="28"/>
        <v>0</v>
      </c>
      <c r="T55" s="446">
        <v>9.5</v>
      </c>
      <c r="U55" s="466"/>
      <c r="V55" s="586" t="s">
        <v>186</v>
      </c>
      <c r="W55" s="430">
        <v>8</v>
      </c>
      <c r="X55" s="430">
        <v>0</v>
      </c>
      <c r="Y55" s="430">
        <v>0</v>
      </c>
      <c r="Z55" s="430">
        <v>0</v>
      </c>
      <c r="AA55" s="430">
        <v>0</v>
      </c>
      <c r="AB55" s="655">
        <v>0</v>
      </c>
      <c r="AC55" s="430"/>
      <c r="AD55" s="568">
        <f t="shared" si="29"/>
        <v>8</v>
      </c>
      <c r="AE55" s="587">
        <f>AV27+AV28+AV29</f>
        <v>0</v>
      </c>
      <c r="AF55" s="1114">
        <v>89.27</v>
      </c>
      <c r="AG55" s="1114"/>
      <c r="AH55" s="1114"/>
      <c r="AI55" s="1129"/>
      <c r="AL55" s="24"/>
      <c r="AM55" s="25"/>
      <c r="AP55" s="24"/>
      <c r="AQ55" s="25"/>
      <c r="AT55" s="24"/>
      <c r="AU55" s="25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</row>
    <row r="56" spans="4:59" ht="23.25">
      <c r="J56" s="441"/>
      <c r="K56" s="441"/>
      <c r="L56" s="441" t="s">
        <v>203</v>
      </c>
      <c r="M56" s="470">
        <v>0</v>
      </c>
      <c r="N56" s="430">
        <v>0</v>
      </c>
      <c r="O56" s="430">
        <v>0</v>
      </c>
      <c r="P56" s="430">
        <v>0</v>
      </c>
      <c r="Q56" s="430">
        <v>20</v>
      </c>
      <c r="R56" s="430">
        <v>0</v>
      </c>
      <c r="S56" s="446">
        <f t="shared" si="28"/>
        <v>20</v>
      </c>
      <c r="T56" s="446">
        <v>7</v>
      </c>
      <c r="U56" s="466"/>
      <c r="V56" s="586" t="s">
        <v>203</v>
      </c>
      <c r="W56" s="430">
        <v>8</v>
      </c>
      <c r="X56" s="430">
        <v>0</v>
      </c>
      <c r="Y56" s="430">
        <v>0</v>
      </c>
      <c r="Z56" s="430">
        <v>0</v>
      </c>
      <c r="AA56" s="430">
        <v>0</v>
      </c>
      <c r="AB56" s="655">
        <v>0</v>
      </c>
      <c r="AC56" s="430"/>
      <c r="AD56" s="568">
        <f t="shared" si="29"/>
        <v>8</v>
      </c>
      <c r="AE56" s="587">
        <f>AZ27+AZ28+AZ29</f>
        <v>0</v>
      </c>
      <c r="AF56" s="1114"/>
      <c r="AG56" s="1114"/>
      <c r="AH56" s="1114"/>
      <c r="AI56" s="1129"/>
      <c r="AL56" s="24"/>
      <c r="AM56" s="25"/>
      <c r="AP56" s="24"/>
      <c r="AQ56" s="25"/>
      <c r="AT56" s="24"/>
      <c r="AU56" s="25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</row>
    <row r="57" spans="4:59" ht="24" thickBot="1">
      <c r="J57" s="442">
        <f t="shared" ref="J57:K57" si="30">SUM(J47:J56)</f>
        <v>100</v>
      </c>
      <c r="K57" s="442">
        <f t="shared" si="30"/>
        <v>180.46999999999997</v>
      </c>
      <c r="L57" s="442" t="s">
        <v>191</v>
      </c>
      <c r="M57" s="443">
        <f t="shared" ref="M57" si="31">SUM(M47:M56)</f>
        <v>99</v>
      </c>
      <c r="N57" s="444">
        <f>SUM(N47:N56)</f>
        <v>2</v>
      </c>
      <c r="O57" s="443">
        <f t="shared" ref="O57" si="32">SUM(O47:O56)</f>
        <v>0</v>
      </c>
      <c r="P57" s="444">
        <f>SUM(P47:P56)</f>
        <v>7</v>
      </c>
      <c r="Q57" s="444">
        <f>SUM(Q47:Q56)</f>
        <v>60</v>
      </c>
      <c r="R57" s="445">
        <f>SUM(R47:R56)</f>
        <v>17</v>
      </c>
      <c r="S57" s="451">
        <f>SUM(S47:S56)</f>
        <v>185</v>
      </c>
      <c r="T57" s="451">
        <f>SUM(T47:T56)</f>
        <v>274.5</v>
      </c>
      <c r="U57" s="466"/>
      <c r="V57" s="588" t="s">
        <v>191</v>
      </c>
      <c r="W57" s="589">
        <f t="shared" ref="W57" si="33">SUM(W47:W56)</f>
        <v>75.2</v>
      </c>
      <c r="X57" s="444">
        <f>SUM(X47:X56)</f>
        <v>5.6</v>
      </c>
      <c r="Y57" s="444">
        <f t="shared" ref="Y57" si="34">SUM(Y47:Y56)</f>
        <v>0</v>
      </c>
      <c r="Z57" s="444">
        <f>SUM(Z47:Z56)</f>
        <v>17.5</v>
      </c>
      <c r="AA57" s="444">
        <f>SUM(AA47:AA56)</f>
        <v>19.5</v>
      </c>
      <c r="AB57" s="444"/>
      <c r="AC57" s="444">
        <f t="shared" ref="AC57" si="35">SUM(AC47:AC56)</f>
        <v>0</v>
      </c>
      <c r="AD57" s="630">
        <f>SUM(AD47:AD56)</f>
        <v>117.8</v>
      </c>
      <c r="AE57" s="631">
        <f>SUM(AE47:AE56)</f>
        <v>0</v>
      </c>
      <c r="AF57" s="1015">
        <f t="shared" ref="AF57:AI57" si="36">SUM(AF47:AF56)</f>
        <v>174.35</v>
      </c>
      <c r="AG57" s="1015">
        <f t="shared" si="36"/>
        <v>7.15</v>
      </c>
      <c r="AH57" s="1015">
        <f t="shared" si="36"/>
        <v>0</v>
      </c>
      <c r="AI57" s="1015">
        <f t="shared" si="36"/>
        <v>0</v>
      </c>
      <c r="AL57" s="24"/>
      <c r="AM57" s="25"/>
      <c r="AP57" s="24"/>
      <c r="AQ57" s="25"/>
      <c r="AT57" s="24"/>
      <c r="AU57" s="25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</row>
    <row r="58" spans="4:59" ht="27.75" customHeight="1" thickBot="1">
      <c r="N58" s="24"/>
      <c r="O58" s="1993" t="s">
        <v>254</v>
      </c>
      <c r="P58" s="1994"/>
      <c r="Q58" s="1994"/>
      <c r="R58" s="1995"/>
      <c r="S58" s="1996">
        <f>S57+T57</f>
        <v>459.5</v>
      </c>
      <c r="T58" s="1997"/>
      <c r="U58" s="466"/>
      <c r="V58" s="1932" t="s">
        <v>221</v>
      </c>
      <c r="W58" s="1932"/>
      <c r="X58" s="1932"/>
      <c r="Y58" s="1932"/>
      <c r="Z58" s="1932"/>
      <c r="AA58" s="1932"/>
      <c r="AB58" s="1932"/>
      <c r="AC58" s="1932"/>
      <c r="AD58" s="1933">
        <f>AD57+AE57</f>
        <v>117.8</v>
      </c>
      <c r="AE58" s="1934"/>
      <c r="AF58" s="466"/>
      <c r="AH58" s="24"/>
      <c r="AI58" s="25"/>
      <c r="AL58" s="24"/>
      <c r="AM58" s="25"/>
      <c r="AP58" s="24"/>
      <c r="AQ58" s="25"/>
      <c r="AT58" s="24"/>
      <c r="AU58" s="25"/>
      <c r="AX58" s="24"/>
      <c r="AY58" s="24"/>
      <c r="AZ58" s="25"/>
      <c r="BA58" s="24"/>
      <c r="BB58" s="24"/>
      <c r="BC58" s="23"/>
      <c r="BD58" s="23"/>
      <c r="BE58" s="23"/>
      <c r="BF58" s="23"/>
      <c r="BG58" s="23"/>
    </row>
    <row r="59" spans="4:59" ht="30.75" customHeight="1" thickBot="1">
      <c r="J59" s="24"/>
      <c r="L59" s="1248"/>
      <c r="M59" s="1248"/>
      <c r="N59" s="1248"/>
      <c r="O59" s="1249"/>
      <c r="P59" s="1249"/>
      <c r="Q59" s="1249"/>
      <c r="R59" s="1249"/>
      <c r="S59" s="1250"/>
      <c r="T59" s="1251"/>
      <c r="U59" s="1248"/>
      <c r="V59" s="966"/>
      <c r="W59" s="966"/>
      <c r="X59" s="966"/>
      <c r="Y59" s="1922" t="s">
        <v>235</v>
      </c>
      <c r="Z59" s="1922"/>
      <c r="AA59" s="1922"/>
      <c r="AB59" s="1922"/>
      <c r="AC59" s="1922"/>
      <c r="AD59" s="1920">
        <f>BH6+BI6+BD20+BE20+AW16+L15+Q15+X57</f>
        <v>64.099999999999994</v>
      </c>
      <c r="AE59" s="1921"/>
      <c r="AF59" s="466"/>
      <c r="AH59" s="24"/>
      <c r="AI59" s="25"/>
      <c r="AL59" s="24"/>
      <c r="AP59" s="25"/>
      <c r="AT59" s="25"/>
      <c r="AX59" s="25"/>
      <c r="AY59" s="24"/>
      <c r="AZ59" s="24"/>
      <c r="BA59" s="24"/>
      <c r="BB59" s="25"/>
      <c r="BE59" s="23"/>
      <c r="BF59" s="23"/>
      <c r="BG59" s="23"/>
    </row>
    <row r="60" spans="4:59" s="28" customFormat="1" ht="27" thickBot="1">
      <c r="D60" s="29"/>
      <c r="E60" s="29"/>
      <c r="F60" s="29"/>
      <c r="I60" s="29"/>
      <c r="J60" s="24"/>
      <c r="K60" s="1031"/>
      <c r="L60" s="1923" t="s">
        <v>363</v>
      </c>
      <c r="M60" s="1937"/>
      <c r="N60" s="1937"/>
      <c r="O60" s="1937"/>
      <c r="P60" s="1937"/>
      <c r="Q60" s="1937"/>
      <c r="R60" s="1937"/>
      <c r="S60" s="1937"/>
      <c r="T60" s="1937"/>
      <c r="U60" s="1938"/>
      <c r="V60" s="966"/>
      <c r="W60" s="966"/>
      <c r="X60" s="966"/>
      <c r="Y60" s="1013"/>
      <c r="Z60" s="966"/>
      <c r="AA60" s="966"/>
      <c r="AB60" s="966"/>
      <c r="AC60" s="1013"/>
      <c r="AD60" s="966"/>
      <c r="AE60" s="964"/>
      <c r="AF60" s="966"/>
      <c r="AG60" s="964"/>
      <c r="AH60" s="964"/>
      <c r="AI60" s="967"/>
      <c r="AJ60" s="964"/>
      <c r="AK60" s="964"/>
      <c r="AL60" s="964"/>
      <c r="AM60" s="964"/>
      <c r="AN60" s="964"/>
      <c r="AO60" s="964"/>
      <c r="AP60" s="967"/>
      <c r="AQ60" s="964"/>
      <c r="AR60" s="964"/>
      <c r="AS60" s="964"/>
      <c r="AT60" s="967"/>
      <c r="AU60" s="964"/>
      <c r="AV60" s="964"/>
      <c r="AW60" s="964"/>
      <c r="AX60" s="967"/>
      <c r="AY60" s="965"/>
      <c r="AZ60" s="965"/>
      <c r="BA60" s="964"/>
      <c r="BB60" s="964"/>
      <c r="BC60" s="967"/>
      <c r="BD60" s="967"/>
      <c r="BE60" s="964"/>
    </row>
    <row r="61" spans="4:59" ht="31.5">
      <c r="J61" s="24"/>
      <c r="K61" s="1031"/>
      <c r="L61" s="596" t="s">
        <v>0</v>
      </c>
      <c r="M61" s="436" t="s">
        <v>200</v>
      </c>
      <c r="N61" s="454" t="s">
        <v>205</v>
      </c>
      <c r="O61" s="436" t="s">
        <v>31</v>
      </c>
      <c r="P61" s="448" t="s">
        <v>201</v>
      </c>
      <c r="Q61" s="453" t="s">
        <v>206</v>
      </c>
      <c r="R61" s="453" t="s">
        <v>210</v>
      </c>
      <c r="S61" s="436" t="s">
        <v>22</v>
      </c>
      <c r="T61" s="437" t="s">
        <v>191</v>
      </c>
      <c r="U61" s="438" t="s">
        <v>244</v>
      </c>
      <c r="V61" s="466"/>
      <c r="W61" s="466"/>
      <c r="X61" s="466"/>
      <c r="Y61" s="465"/>
      <c r="Z61" s="466"/>
      <c r="AA61" s="466"/>
      <c r="AB61" s="466"/>
      <c r="AC61" s="465"/>
      <c r="AD61" s="466"/>
      <c r="AF61" s="466"/>
      <c r="AH61" s="24"/>
      <c r="AI61" s="25"/>
      <c r="AL61" s="24"/>
      <c r="AM61" s="26"/>
      <c r="AN61" s="26"/>
      <c r="AP61" s="24"/>
      <c r="AQ61" s="26"/>
      <c r="AR61" s="26"/>
      <c r="AT61" s="24"/>
      <c r="AU61" s="26"/>
      <c r="AV61" s="26"/>
      <c r="AX61" s="24"/>
      <c r="AY61" s="26"/>
      <c r="AZ61" s="26"/>
      <c r="BA61" s="24"/>
      <c r="BB61" s="24"/>
      <c r="BC61" s="25"/>
      <c r="BD61" s="25"/>
      <c r="BF61" s="23"/>
      <c r="BG61" s="23"/>
    </row>
    <row r="62" spans="4:59" ht="23.25">
      <c r="J62" s="24"/>
      <c r="K62" s="1031"/>
      <c r="L62" s="586" t="s">
        <v>189</v>
      </c>
      <c r="M62" s="430">
        <v>4</v>
      </c>
      <c r="N62" s="430">
        <v>0</v>
      </c>
      <c r="O62" s="430">
        <v>0</v>
      </c>
      <c r="P62" s="430">
        <v>0</v>
      </c>
      <c r="Q62" s="430"/>
      <c r="R62" s="655"/>
      <c r="S62" s="430"/>
      <c r="T62" s="568">
        <f>SUM(M62:S62)</f>
        <v>4</v>
      </c>
      <c r="U62" s="587"/>
      <c r="V62" s="466"/>
      <c r="W62" s="466"/>
      <c r="X62" s="466"/>
      <c r="Y62" s="465"/>
      <c r="Z62" s="466"/>
      <c r="AA62" s="466"/>
      <c r="AB62" s="466"/>
      <c r="AC62" s="465"/>
      <c r="AD62" s="466"/>
      <c r="AF62" s="466"/>
      <c r="AH62" s="24"/>
      <c r="AI62" s="25"/>
      <c r="AL62" s="24"/>
      <c r="AM62" s="26"/>
      <c r="AN62" s="26"/>
      <c r="AP62" s="24"/>
      <c r="AQ62" s="26"/>
      <c r="AR62" s="26"/>
      <c r="AT62" s="24"/>
      <c r="AU62" s="26"/>
      <c r="AV62" s="26"/>
      <c r="AX62" s="24"/>
      <c r="AY62" s="26"/>
      <c r="AZ62" s="26"/>
      <c r="BA62" s="24"/>
      <c r="BB62" s="24"/>
      <c r="BC62" s="25"/>
      <c r="BD62" s="25"/>
      <c r="BF62" s="23"/>
      <c r="BG62" s="23"/>
    </row>
    <row r="63" spans="4:59" ht="23.25">
      <c r="J63" s="24"/>
      <c r="K63" s="1031"/>
      <c r="L63" s="586" t="s">
        <v>183</v>
      </c>
      <c r="M63" s="430">
        <v>0</v>
      </c>
      <c r="N63" s="430">
        <v>0</v>
      </c>
      <c r="O63" s="430">
        <v>0</v>
      </c>
      <c r="P63" s="430">
        <v>0</v>
      </c>
      <c r="Q63" s="430"/>
      <c r="R63" s="655"/>
      <c r="S63" s="430"/>
      <c r="T63" s="568">
        <f t="shared" ref="T63:T71" si="37">SUM(M63:S63)</f>
        <v>0</v>
      </c>
      <c r="U63" s="587"/>
      <c r="V63" s="466"/>
      <c r="W63" s="466"/>
      <c r="X63" s="466"/>
      <c r="Y63" s="465"/>
      <c r="Z63" s="466"/>
      <c r="AA63" s="466"/>
      <c r="AB63" s="466"/>
      <c r="AC63" s="465"/>
      <c r="AD63" s="466"/>
      <c r="AG63" s="26"/>
      <c r="AH63" s="24"/>
      <c r="AK63" s="49"/>
      <c r="AL63" s="24"/>
      <c r="AM63" s="26"/>
      <c r="AN63" s="26"/>
      <c r="AP63" s="24"/>
      <c r="AQ63" s="26"/>
      <c r="AR63" s="26"/>
      <c r="AT63" s="24"/>
      <c r="AU63" s="26"/>
      <c r="AV63" s="26"/>
      <c r="AX63" s="24"/>
      <c r="AY63" s="26"/>
      <c r="AZ63" s="26"/>
      <c r="BA63" s="24"/>
      <c r="BB63" s="24"/>
      <c r="BC63" s="25"/>
      <c r="BD63" s="25"/>
      <c r="BF63" s="23"/>
      <c r="BG63" s="23"/>
    </row>
    <row r="64" spans="4:59" ht="23.25">
      <c r="J64" s="24"/>
      <c r="K64" s="1031"/>
      <c r="L64" s="586" t="s">
        <v>184</v>
      </c>
      <c r="M64" s="430">
        <v>0</v>
      </c>
      <c r="N64" s="430">
        <v>0</v>
      </c>
      <c r="O64" s="430">
        <v>0</v>
      </c>
      <c r="P64" s="430">
        <v>0</v>
      </c>
      <c r="Q64" s="430"/>
      <c r="R64" s="655"/>
      <c r="S64" s="430"/>
      <c r="T64" s="568">
        <f t="shared" si="37"/>
        <v>0</v>
      </c>
      <c r="U64" s="587"/>
      <c r="V64" s="466"/>
      <c r="W64" s="466"/>
      <c r="X64" s="466"/>
      <c r="Y64" s="465"/>
      <c r="Z64" s="466"/>
      <c r="AA64" s="466"/>
      <c r="AB64" s="466"/>
      <c r="AC64" s="465"/>
      <c r="AD64" s="466"/>
      <c r="AG64" s="26"/>
      <c r="AH64" s="24"/>
      <c r="AK64" s="49"/>
      <c r="AL64" s="24"/>
      <c r="AO64" s="26"/>
      <c r="AP64" s="24"/>
      <c r="AQ64" s="26"/>
      <c r="AR64" s="26"/>
      <c r="AT64" s="24"/>
      <c r="AU64" s="26"/>
      <c r="AV64" s="26"/>
      <c r="AX64" s="24"/>
      <c r="AY64" s="26"/>
      <c r="AZ64" s="26"/>
      <c r="BA64" s="24"/>
      <c r="BB64" s="24"/>
      <c r="BE64" s="25"/>
      <c r="BF64" s="24"/>
      <c r="BG64" s="23"/>
    </row>
    <row r="65" spans="10:59" ht="23.25">
      <c r="J65" s="24"/>
      <c r="K65" s="1031"/>
      <c r="L65" s="586" t="s">
        <v>170</v>
      </c>
      <c r="M65" s="430">
        <v>0</v>
      </c>
      <c r="N65" s="430">
        <v>0</v>
      </c>
      <c r="O65" s="430">
        <v>0</v>
      </c>
      <c r="P65" s="430">
        <v>0</v>
      </c>
      <c r="Q65" s="430"/>
      <c r="R65" s="655"/>
      <c r="S65" s="430"/>
      <c r="T65" s="568">
        <f t="shared" si="37"/>
        <v>0</v>
      </c>
      <c r="U65" s="587"/>
      <c r="V65" s="466"/>
      <c r="W65" s="466"/>
      <c r="X65" s="466"/>
      <c r="Y65" s="465"/>
      <c r="Z65" s="466"/>
      <c r="AA65" s="466"/>
      <c r="AB65" s="466"/>
      <c r="AC65" s="465"/>
      <c r="AD65" s="466"/>
      <c r="AG65" s="26"/>
      <c r="AH65" s="24"/>
      <c r="AK65" s="49"/>
      <c r="AL65" s="24"/>
      <c r="AO65" s="26"/>
      <c r="AP65" s="24"/>
      <c r="AQ65" s="26"/>
      <c r="AR65" s="26"/>
      <c r="AT65" s="24"/>
      <c r="AU65" s="26"/>
      <c r="AV65" s="26"/>
      <c r="AX65" s="24"/>
      <c r="AY65" s="26"/>
      <c r="AZ65" s="26"/>
      <c r="BA65" s="24"/>
      <c r="BB65" s="24"/>
      <c r="BE65" s="25"/>
      <c r="BF65" s="24"/>
      <c r="BG65" s="23"/>
    </row>
    <row r="66" spans="10:59" ht="23.25">
      <c r="J66" s="24"/>
      <c r="K66" s="1031"/>
      <c r="L66" s="586" t="s">
        <v>171</v>
      </c>
      <c r="M66" s="430">
        <v>0</v>
      </c>
      <c r="N66" s="430">
        <v>0</v>
      </c>
      <c r="O66" s="430">
        <v>0</v>
      </c>
      <c r="P66" s="430">
        <v>0</v>
      </c>
      <c r="Q66" s="430"/>
      <c r="R66" s="655"/>
      <c r="S66" s="430"/>
      <c r="T66" s="568">
        <f t="shared" si="37"/>
        <v>0</v>
      </c>
      <c r="U66" s="587"/>
      <c r="V66" s="466"/>
      <c r="W66" s="466"/>
      <c r="X66" s="466"/>
      <c r="Y66" s="465"/>
      <c r="Z66" s="466"/>
      <c r="AA66" s="466"/>
      <c r="AB66" s="466"/>
      <c r="AC66" s="465"/>
      <c r="AD66" s="466"/>
      <c r="AG66" s="26"/>
      <c r="AH66" s="24"/>
      <c r="AK66" s="49"/>
      <c r="AL66" s="24"/>
      <c r="AO66" s="26"/>
      <c r="AP66" s="24"/>
      <c r="AQ66" s="26"/>
      <c r="AR66" s="26"/>
      <c r="AT66" s="24"/>
      <c r="AU66" s="26"/>
      <c r="AV66" s="26"/>
      <c r="AX66" s="24"/>
      <c r="AY66" s="26"/>
      <c r="AZ66" s="26"/>
      <c r="BA66" s="24"/>
      <c r="BB66" s="24"/>
      <c r="BE66" s="25"/>
      <c r="BF66" s="24"/>
      <c r="BG66" s="23"/>
    </row>
    <row r="67" spans="10:59" ht="23.25">
      <c r="J67" s="24"/>
      <c r="K67" s="1031"/>
      <c r="L67" s="586" t="s">
        <v>190</v>
      </c>
      <c r="M67" s="430">
        <v>17</v>
      </c>
      <c r="N67" s="430">
        <v>0</v>
      </c>
      <c r="O67" s="430">
        <v>0</v>
      </c>
      <c r="P67" s="430">
        <v>0</v>
      </c>
      <c r="Q67" s="430"/>
      <c r="R67" s="655"/>
      <c r="S67" s="430"/>
      <c r="T67" s="568">
        <f t="shared" si="37"/>
        <v>17</v>
      </c>
      <c r="U67" s="587"/>
      <c r="V67" s="466"/>
      <c r="W67" s="466"/>
      <c r="X67" s="466"/>
      <c r="Y67" s="465"/>
      <c r="Z67" s="466"/>
      <c r="AA67" s="466"/>
      <c r="AB67" s="466"/>
      <c r="AC67" s="465"/>
      <c r="AD67" s="466"/>
      <c r="AG67" s="26"/>
      <c r="AH67" s="24"/>
      <c r="AK67" s="49"/>
      <c r="AL67" s="24"/>
      <c r="AO67" s="26"/>
      <c r="AP67" s="24"/>
      <c r="AQ67" s="26"/>
      <c r="AR67" s="26"/>
      <c r="AT67" s="24"/>
      <c r="AU67" s="26"/>
      <c r="AV67" s="26"/>
      <c r="AX67" s="24"/>
      <c r="AY67" s="26"/>
      <c r="AZ67" s="26"/>
      <c r="BA67" s="24"/>
      <c r="BB67" s="24"/>
      <c r="BE67" s="25"/>
      <c r="BF67" s="24"/>
      <c r="BG67" s="23"/>
    </row>
    <row r="68" spans="10:59" ht="23.25">
      <c r="J68" s="24"/>
      <c r="K68" s="1031"/>
      <c r="L68" s="586" t="s">
        <v>185</v>
      </c>
      <c r="M68" s="1130">
        <v>29</v>
      </c>
      <c r="N68" s="430">
        <v>0</v>
      </c>
      <c r="O68" s="430">
        <v>0</v>
      </c>
      <c r="P68" s="430">
        <v>0</v>
      </c>
      <c r="Q68" s="430"/>
      <c r="R68" s="655"/>
      <c r="S68" s="430"/>
      <c r="T68" s="568">
        <f t="shared" si="37"/>
        <v>29</v>
      </c>
      <c r="U68" s="587"/>
      <c r="V68" s="466"/>
      <c r="W68" s="466"/>
      <c r="X68" s="466"/>
      <c r="Y68" s="465"/>
      <c r="Z68" s="466"/>
      <c r="AA68" s="466"/>
      <c r="AB68" s="466"/>
      <c r="AC68" s="465"/>
      <c r="AD68" s="466"/>
      <c r="AG68" s="26"/>
      <c r="AH68" s="24"/>
      <c r="AK68" s="49"/>
      <c r="AL68" s="24"/>
      <c r="AO68" s="26"/>
      <c r="AP68" s="24"/>
      <c r="AQ68" s="26"/>
      <c r="AR68" s="26"/>
      <c r="AT68" s="24"/>
      <c r="AU68" s="26"/>
      <c r="AV68" s="26"/>
      <c r="AX68" s="24"/>
      <c r="AY68" s="26"/>
      <c r="AZ68" s="26"/>
      <c r="BA68" s="24"/>
      <c r="BB68" s="24"/>
      <c r="BE68" s="25"/>
      <c r="BF68" s="24"/>
      <c r="BG68" s="23"/>
    </row>
    <row r="69" spans="10:59" ht="23.25">
      <c r="K69" s="1031"/>
      <c r="L69" s="586" t="s">
        <v>202</v>
      </c>
      <c r="M69" s="430">
        <v>0</v>
      </c>
      <c r="N69" s="430">
        <v>0</v>
      </c>
      <c r="O69" s="430">
        <v>0</v>
      </c>
      <c r="P69" s="430">
        <v>0</v>
      </c>
      <c r="Q69" s="430"/>
      <c r="R69" s="655"/>
      <c r="S69" s="430"/>
      <c r="T69" s="568">
        <f t="shared" si="37"/>
        <v>0</v>
      </c>
      <c r="U69" s="587"/>
      <c r="V69" s="466"/>
      <c r="W69" s="466"/>
      <c r="X69" s="466"/>
      <c r="Y69" s="465"/>
      <c r="Z69" s="466"/>
      <c r="AA69" s="466"/>
      <c r="AB69" s="466"/>
      <c r="AC69" s="465"/>
      <c r="AD69" s="466"/>
      <c r="AG69" s="26"/>
      <c r="AH69" s="24"/>
      <c r="AK69" s="49"/>
      <c r="AL69" s="24"/>
      <c r="AO69" s="26"/>
      <c r="AP69" s="24"/>
      <c r="AQ69" s="26"/>
      <c r="AR69" s="26"/>
      <c r="AT69" s="24"/>
      <c r="AU69" s="26"/>
      <c r="AV69" s="26"/>
      <c r="AX69" s="24"/>
      <c r="AY69" s="26"/>
      <c r="AZ69" s="26"/>
      <c r="BA69" s="24"/>
      <c r="BB69" s="24"/>
      <c r="BE69" s="25"/>
      <c r="BF69" s="24"/>
      <c r="BG69" s="23"/>
    </row>
    <row r="70" spans="10:59" ht="23.25">
      <c r="K70" s="1031"/>
      <c r="L70" s="586" t="s">
        <v>186</v>
      </c>
      <c r="M70" s="430">
        <v>1</v>
      </c>
      <c r="N70" s="430">
        <v>0</v>
      </c>
      <c r="O70" s="430">
        <v>0</v>
      </c>
      <c r="P70" s="430">
        <v>0</v>
      </c>
      <c r="Q70" s="430"/>
      <c r="R70" s="655"/>
      <c r="S70" s="430"/>
      <c r="T70" s="568">
        <f t="shared" si="37"/>
        <v>1</v>
      </c>
      <c r="U70" s="587"/>
      <c r="V70" s="466"/>
      <c r="W70" s="466"/>
      <c r="X70" s="466"/>
      <c r="Y70" s="465"/>
      <c r="Z70" s="466"/>
      <c r="AA70" s="466"/>
      <c r="AB70" s="466"/>
      <c r="AC70" s="465"/>
      <c r="AD70" s="466"/>
      <c r="AG70" s="26"/>
      <c r="AH70" s="24"/>
      <c r="AK70" s="49"/>
      <c r="AL70" s="24"/>
      <c r="AM70" s="26"/>
      <c r="AN70" s="26"/>
      <c r="AY70" s="24"/>
      <c r="AZ70" s="24"/>
      <c r="BA70" s="24"/>
      <c r="BB70" s="24"/>
      <c r="BC70" s="25"/>
      <c r="BD70" s="25"/>
      <c r="BF70" s="23"/>
      <c r="BG70" s="23"/>
    </row>
    <row r="71" spans="10:59" ht="23.25">
      <c r="K71" s="1031"/>
      <c r="L71" s="586" t="s">
        <v>203</v>
      </c>
      <c r="M71" s="430">
        <v>0</v>
      </c>
      <c r="N71" s="430">
        <v>0</v>
      </c>
      <c r="O71" s="430">
        <v>0</v>
      </c>
      <c r="P71" s="430">
        <v>0</v>
      </c>
      <c r="Q71" s="430">
        <v>20</v>
      </c>
      <c r="R71" s="655"/>
      <c r="S71" s="430"/>
      <c r="T71" s="568">
        <f t="shared" si="37"/>
        <v>20</v>
      </c>
      <c r="U71" s="587"/>
      <c r="V71" s="466"/>
      <c r="W71" s="466"/>
      <c r="X71" s="466"/>
      <c r="Y71" s="465"/>
      <c r="Z71" s="466"/>
      <c r="AA71" s="466"/>
      <c r="AB71" s="466"/>
      <c r="AC71" s="465"/>
      <c r="AD71" s="466"/>
      <c r="AG71" s="26"/>
      <c r="AH71" s="24"/>
      <c r="AK71" s="49"/>
      <c r="AL71" s="24"/>
      <c r="AM71" s="26"/>
      <c r="AN71" s="26"/>
      <c r="AY71" s="24"/>
      <c r="AZ71" s="24"/>
      <c r="BA71" s="24"/>
      <c r="BB71" s="24"/>
      <c r="BC71" s="25"/>
      <c r="BD71" s="25"/>
      <c r="BF71" s="23"/>
      <c r="BG71" s="23"/>
    </row>
    <row r="72" spans="10:59" ht="29.25" customHeight="1" thickBot="1">
      <c r="K72" s="1031"/>
      <c r="L72" s="588" t="s">
        <v>191</v>
      </c>
      <c r="M72" s="589">
        <f t="shared" ref="M72" si="38">SUM(M62:M71)</f>
        <v>51</v>
      </c>
      <c r="N72" s="444">
        <f>SUM(N62:N71)</f>
        <v>0</v>
      </c>
      <c r="O72" s="444">
        <f t="shared" ref="O72" si="39">SUM(O62:O71)</f>
        <v>0</v>
      </c>
      <c r="P72" s="444">
        <f>SUM(P62:P71)</f>
        <v>0</v>
      </c>
      <c r="Q72" s="444">
        <f>SUM(Q62:Q71)</f>
        <v>20</v>
      </c>
      <c r="R72" s="444"/>
      <c r="S72" s="444">
        <f t="shared" ref="S72" si="40">SUM(S62:S71)</f>
        <v>0</v>
      </c>
      <c r="T72" s="630">
        <f>SUM(T62:T71)</f>
        <v>71</v>
      </c>
      <c r="U72" s="631">
        <f>SUM(U62:U71)</f>
        <v>0</v>
      </c>
      <c r="V72" s="466"/>
      <c r="W72" s="466"/>
      <c r="X72" s="466"/>
      <c r="Y72" s="465"/>
      <c r="Z72" s="466"/>
      <c r="AA72" s="466"/>
      <c r="AB72" s="466"/>
      <c r="AC72" s="465"/>
      <c r="AD72" s="466"/>
      <c r="AG72" s="26"/>
      <c r="AH72" s="24"/>
      <c r="AK72" s="49"/>
      <c r="AL72" s="24"/>
      <c r="AM72" s="26"/>
      <c r="AN72" s="26"/>
      <c r="AY72" s="24"/>
      <c r="AZ72" s="24"/>
      <c r="BA72" s="24"/>
      <c r="BB72" s="24"/>
      <c r="BC72" s="25"/>
      <c r="BD72" s="25"/>
      <c r="BF72" s="23"/>
      <c r="BG72" s="23"/>
    </row>
    <row r="73" spans="10:59" ht="21.75" customHeight="1" thickBot="1">
      <c r="K73" s="1031"/>
      <c r="L73" s="1932" t="s">
        <v>221</v>
      </c>
      <c r="M73" s="1932"/>
      <c r="N73" s="1932"/>
      <c r="O73" s="1932"/>
      <c r="P73" s="1932"/>
      <c r="Q73" s="1932"/>
      <c r="R73" s="1932"/>
      <c r="S73" s="1932"/>
      <c r="T73" s="1933">
        <f>T72+U72</f>
        <v>71</v>
      </c>
      <c r="U73" s="1934"/>
      <c r="V73" s="466"/>
      <c r="W73" s="466"/>
      <c r="X73" s="466"/>
      <c r="Y73" s="465"/>
      <c r="Z73" s="466"/>
      <c r="AA73" s="466"/>
      <c r="AB73" s="466"/>
      <c r="AC73" s="465"/>
      <c r="AD73" s="466"/>
      <c r="AG73" s="26"/>
      <c r="AH73" s="24"/>
      <c r="AK73" s="49"/>
      <c r="AL73" s="24"/>
      <c r="AM73" s="26"/>
      <c r="AN73" s="26"/>
      <c r="AY73" s="24"/>
      <c r="AZ73" s="24"/>
      <c r="BA73" s="24"/>
      <c r="BB73" s="24"/>
      <c r="BC73" s="25"/>
      <c r="BD73" s="25"/>
      <c r="BF73" s="23"/>
      <c r="BG73" s="23"/>
    </row>
    <row r="74" spans="10:59" ht="27" customHeight="1">
      <c r="K74" s="1031"/>
      <c r="L74" s="966"/>
      <c r="M74" s="966"/>
      <c r="N74" s="966"/>
      <c r="O74" s="1922" t="s">
        <v>235</v>
      </c>
      <c r="P74" s="1922"/>
      <c r="Q74" s="1922"/>
      <c r="R74" s="1922"/>
      <c r="S74" s="1922"/>
      <c r="T74" s="1939">
        <v>51</v>
      </c>
      <c r="U74" s="1939"/>
      <c r="V74" s="466"/>
      <c r="W74" s="466"/>
      <c r="X74" s="466"/>
      <c r="Y74" s="465"/>
      <c r="Z74" s="466"/>
      <c r="AA74" s="466"/>
      <c r="AB74" s="466"/>
      <c r="AC74" s="465"/>
      <c r="AD74" s="466"/>
      <c r="AG74" s="26"/>
      <c r="AH74" s="24"/>
      <c r="AK74" s="49"/>
      <c r="AL74" s="24"/>
      <c r="AM74" s="26"/>
      <c r="AN74" s="26"/>
      <c r="AP74" s="24"/>
      <c r="AQ74" s="26"/>
      <c r="AR74" s="26"/>
      <c r="AT74" s="24"/>
      <c r="AU74" s="26"/>
      <c r="AV74" s="26"/>
      <c r="AW74" s="50"/>
      <c r="AX74" s="50"/>
      <c r="AY74" s="26"/>
      <c r="AZ74" s="26"/>
      <c r="BA74" s="24"/>
      <c r="BB74" s="24"/>
      <c r="BC74" s="25"/>
      <c r="BD74" s="25"/>
      <c r="BF74" s="23"/>
      <c r="BG74" s="23"/>
    </row>
    <row r="75" spans="10:59" ht="27" customHeight="1">
      <c r="L75" s="1125"/>
      <c r="M75" s="1125"/>
      <c r="N75" s="1031"/>
      <c r="O75" s="1031"/>
      <c r="P75" s="1125"/>
      <c r="Q75" s="26"/>
      <c r="R75" s="24"/>
      <c r="T75" s="26"/>
      <c r="U75" s="26"/>
      <c r="V75" s="24"/>
      <c r="W75" s="466"/>
      <c r="X75" s="466"/>
      <c r="Y75" s="466"/>
      <c r="Z75" s="465"/>
      <c r="AA75" s="466"/>
      <c r="AB75" s="466"/>
      <c r="AC75" s="466"/>
      <c r="AD75" s="465"/>
      <c r="AE75" s="466"/>
      <c r="AN75" s="26"/>
      <c r="AO75" s="26"/>
      <c r="AP75" s="24"/>
      <c r="AR75" s="26"/>
      <c r="AS75" s="26"/>
      <c r="AT75" s="24"/>
      <c r="AV75" s="26"/>
      <c r="AW75" s="26"/>
      <c r="AX75" s="50"/>
      <c r="AZ75" s="26"/>
      <c r="BA75" s="26"/>
      <c r="BB75" s="24"/>
      <c r="BD75" s="25"/>
      <c r="BE75" s="25"/>
      <c r="BF75" s="24"/>
      <c r="BG75" s="23"/>
    </row>
    <row r="76" spans="10:59">
      <c r="L76" s="26"/>
      <c r="M76" s="26"/>
      <c r="N76" s="24"/>
      <c r="P76" s="26"/>
      <c r="Q76" s="26"/>
      <c r="R76" s="24"/>
      <c r="T76" s="26"/>
      <c r="U76" s="26"/>
      <c r="V76" s="24"/>
      <c r="W76" s="466"/>
      <c r="X76" s="466"/>
      <c r="Y76" s="466"/>
      <c r="Z76" s="465"/>
      <c r="AA76" s="466"/>
      <c r="AB76" s="466"/>
      <c r="AC76" s="466"/>
      <c r="AD76" s="465"/>
      <c r="AE76" s="466"/>
      <c r="AN76" s="26"/>
      <c r="AO76" s="26"/>
      <c r="AP76" s="24"/>
      <c r="AR76" s="26"/>
      <c r="AS76" s="26"/>
      <c r="AT76" s="24"/>
      <c r="AV76" s="26"/>
      <c r="AW76" s="26"/>
      <c r="AX76" s="50"/>
      <c r="AZ76" s="26"/>
      <c r="BA76" s="26"/>
      <c r="BB76" s="24"/>
      <c r="BD76" s="25"/>
      <c r="BE76" s="25"/>
      <c r="BF76" s="24"/>
      <c r="BG76" s="23"/>
    </row>
    <row r="77" spans="10:59" ht="15" customHeight="1">
      <c r="L77" s="26"/>
      <c r="M77" s="26"/>
      <c r="N77" s="24"/>
      <c r="P77" s="26"/>
      <c r="Q77" s="26"/>
      <c r="R77" s="24"/>
      <c r="T77" s="26"/>
      <c r="U77" s="26"/>
      <c r="V77" s="24"/>
      <c r="W77" s="466"/>
      <c r="X77" s="466"/>
      <c r="Y77" s="466"/>
      <c r="Z77" s="465"/>
      <c r="AA77" s="466"/>
      <c r="AB77" s="466"/>
      <c r="AC77" s="466"/>
      <c r="AD77" s="465"/>
      <c r="AE77" s="466"/>
      <c r="AN77" s="26"/>
      <c r="AO77" s="26"/>
      <c r="AP77" s="24"/>
      <c r="AR77" s="26"/>
      <c r="AS77" s="26"/>
      <c r="AT77" s="24"/>
      <c r="AV77" s="26"/>
      <c r="AW77" s="26"/>
      <c r="AX77" s="50"/>
      <c r="AZ77" s="26"/>
      <c r="BA77" s="26"/>
      <c r="BB77" s="24"/>
      <c r="BD77" s="25"/>
      <c r="BE77" s="25"/>
      <c r="BF77" s="24"/>
      <c r="BG77" s="23"/>
    </row>
    <row r="78" spans="10:59" ht="15" customHeight="1">
      <c r="L78" s="26"/>
      <c r="M78" s="26"/>
      <c r="N78" s="24"/>
      <c r="P78" s="26"/>
      <c r="Q78" s="26"/>
      <c r="R78" s="24"/>
      <c r="T78" s="26"/>
      <c r="U78" s="26"/>
      <c r="V78" s="24"/>
      <c r="W78" s="466"/>
      <c r="X78" s="466"/>
      <c r="Y78" s="466"/>
      <c r="Z78" s="465"/>
      <c r="AA78" s="466"/>
      <c r="AB78" s="466"/>
      <c r="AC78" s="466"/>
      <c r="AD78" s="465"/>
      <c r="AE78" s="466"/>
      <c r="AN78" s="26"/>
      <c r="AO78" s="26"/>
      <c r="AP78" s="24"/>
      <c r="AR78" s="26"/>
      <c r="AS78" s="26"/>
      <c r="AT78" s="24"/>
      <c r="AV78" s="26"/>
      <c r="AW78" s="26"/>
      <c r="AX78" s="50"/>
      <c r="AZ78" s="26"/>
      <c r="BA78" s="26"/>
      <c r="BB78" s="24"/>
      <c r="BD78" s="25"/>
      <c r="BE78" s="25"/>
      <c r="BF78" s="24"/>
      <c r="BG78" s="23"/>
    </row>
    <row r="79" spans="10:59">
      <c r="L79" s="26"/>
      <c r="M79" s="26"/>
      <c r="N79" s="24"/>
      <c r="P79" s="26"/>
      <c r="Q79" s="26"/>
      <c r="R79" s="24"/>
      <c r="T79" s="26"/>
      <c r="U79" s="26"/>
      <c r="V79" s="24"/>
      <c r="X79" s="26"/>
      <c r="Y79" s="26"/>
      <c r="Z79" s="24"/>
      <c r="AB79" s="26"/>
      <c r="AC79" s="26"/>
      <c r="AD79" s="24"/>
      <c r="AF79" s="26"/>
      <c r="AG79" s="26"/>
      <c r="AH79" s="24"/>
      <c r="AJ79" s="49"/>
      <c r="AK79" s="49"/>
      <c r="AL79" s="24"/>
      <c r="AN79" s="26"/>
      <c r="AO79" s="26"/>
      <c r="AP79" s="24"/>
      <c r="AR79" s="26"/>
      <c r="AS79" s="26"/>
      <c r="AT79" s="24"/>
      <c r="AV79" s="26"/>
      <c r="AW79" s="26"/>
      <c r="AX79" s="50"/>
      <c r="AZ79" s="26"/>
      <c r="BA79" s="26"/>
      <c r="BB79" s="24"/>
      <c r="BD79" s="25"/>
      <c r="BE79" s="25"/>
      <c r="BF79" s="24"/>
      <c r="BG79" s="23"/>
    </row>
    <row r="80" spans="10:59">
      <c r="L80" s="26"/>
      <c r="M80" s="26"/>
      <c r="N80" s="24"/>
      <c r="P80" s="26"/>
      <c r="Q80" s="26"/>
      <c r="R80" s="24"/>
      <c r="T80" s="26"/>
      <c r="U80" s="26"/>
      <c r="V80" s="24"/>
      <c r="X80" s="26"/>
      <c r="Y80" s="26"/>
      <c r="Z80" s="24"/>
      <c r="AB80" s="26"/>
      <c r="AC80" s="26"/>
      <c r="AD80" s="24"/>
      <c r="AF80" s="26"/>
      <c r="AG80" s="26"/>
      <c r="AH80" s="24"/>
      <c r="AJ80" s="49"/>
      <c r="AK80" s="49"/>
      <c r="AL80" s="24"/>
      <c r="AN80" s="26"/>
      <c r="AO80" s="26"/>
      <c r="AP80" s="24"/>
      <c r="AR80" s="26"/>
      <c r="AS80" s="26"/>
      <c r="AT80" s="24"/>
      <c r="AV80" s="26"/>
      <c r="AW80" s="26"/>
      <c r="AX80" s="50"/>
      <c r="AZ80" s="26"/>
      <c r="BA80" s="26"/>
      <c r="BB80" s="24"/>
      <c r="BD80" s="25"/>
      <c r="BE80" s="25"/>
      <c r="BF80" s="24"/>
      <c r="BG80" s="23"/>
    </row>
    <row r="81" spans="12:21">
      <c r="L81" s="26"/>
      <c r="M81" s="26"/>
      <c r="N81" s="24"/>
      <c r="P81" s="26"/>
      <c r="Q81" s="26"/>
      <c r="R81" s="24"/>
      <c r="T81" s="26"/>
      <c r="U81" s="26"/>
    </row>
  </sheetData>
  <mergeCells count="62">
    <mergeCell ref="L60:U60"/>
    <mergeCell ref="L73:S73"/>
    <mergeCell ref="T73:U73"/>
    <mergeCell ref="O74:S74"/>
    <mergeCell ref="T74:U74"/>
    <mergeCell ref="C2:F2"/>
    <mergeCell ref="H2:K2"/>
    <mergeCell ref="N2:AZ2"/>
    <mergeCell ref="C5:D5"/>
    <mergeCell ref="D4:F4"/>
    <mergeCell ref="H4:I5"/>
    <mergeCell ref="AD59:AE59"/>
    <mergeCell ref="H12:BI12"/>
    <mergeCell ref="J13:M13"/>
    <mergeCell ref="Z13:AC13"/>
    <mergeCell ref="AD13:AG13"/>
    <mergeCell ref="Y59:AC59"/>
    <mergeCell ref="H26:I26"/>
    <mergeCell ref="L31:S31"/>
    <mergeCell ref="AH13:AK13"/>
    <mergeCell ref="AL13:AO13"/>
    <mergeCell ref="AP13:AS13"/>
    <mergeCell ref="AT13:AW13"/>
    <mergeCell ref="AX13:BA13"/>
    <mergeCell ref="N13:Q13"/>
    <mergeCell ref="R13:U13"/>
    <mergeCell ref="V13:Y13"/>
    <mergeCell ref="C6:C9"/>
    <mergeCell ref="H6:H9"/>
    <mergeCell ref="H10:I10"/>
    <mergeCell ref="D13:F13"/>
    <mergeCell ref="H13:I14"/>
    <mergeCell ref="C14:D14"/>
    <mergeCell ref="C15:C24"/>
    <mergeCell ref="H15:H23"/>
    <mergeCell ref="H24:I24"/>
    <mergeCell ref="BB2:BI2"/>
    <mergeCell ref="H3:BI3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B13:BE13"/>
    <mergeCell ref="BF13:BI13"/>
    <mergeCell ref="BC27:BC28"/>
    <mergeCell ref="BH27:BI27"/>
    <mergeCell ref="O58:R58"/>
    <mergeCell ref="S58:T58"/>
    <mergeCell ref="L45:T45"/>
    <mergeCell ref="V45:AE45"/>
    <mergeCell ref="V31:AD31"/>
    <mergeCell ref="V58:AC58"/>
    <mergeCell ref="AD58:AE58"/>
  </mergeCells>
  <conditionalFormatting sqref="M47:R56 M62:P71">
    <cfRule type="cellIs" dxfId="14" priority="2" operator="equal">
      <formula>0</formula>
    </cfRule>
  </conditionalFormatting>
  <pageMargins left="0.7" right="0.7" top="0.75" bottom="0.75" header="0.3" footer="0.3"/>
  <pageSetup paperSize="9" scale="14"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BI80"/>
  <sheetViews>
    <sheetView topLeftCell="I1" zoomScale="55" zoomScaleNormal="55" workbookViewId="0">
      <pane xSplit="1" topLeftCell="AF1" activePane="topRight" state="frozen"/>
      <selection activeCell="I1" sqref="I1"/>
      <selection pane="topRight" activeCell="AN27" sqref="AN27:AP27"/>
    </sheetView>
  </sheetViews>
  <sheetFormatPr defaultColWidth="9.140625" defaultRowHeight="15"/>
  <cols>
    <col min="1" max="2" width="9.140625" style="23" hidden="1" customWidth="1"/>
    <col min="3" max="3" width="14.5703125" style="23" hidden="1" customWidth="1"/>
    <col min="4" max="4" width="11.42578125" style="27" hidden="1" customWidth="1"/>
    <col min="5" max="5" width="6.85546875" style="27" hidden="1" customWidth="1"/>
    <col min="6" max="6" width="9.140625" style="27" hidden="1" customWidth="1"/>
    <col min="7" max="7" width="3.42578125" style="23" hidden="1" customWidth="1"/>
    <col min="8" max="8" width="6.140625" style="23" customWidth="1"/>
    <col min="9" max="9" width="15.28515625" style="27" bestFit="1" customWidth="1"/>
    <col min="10" max="10" width="11.5703125" style="26" customWidth="1"/>
    <col min="11" max="11" width="9.140625" style="24" customWidth="1"/>
    <col min="12" max="12" width="15" style="24" bestFit="1" customWidth="1"/>
    <col min="13" max="13" width="12.85546875" style="24" customWidth="1"/>
    <col min="14" max="14" width="10.5703125" style="26" customWidth="1"/>
    <col min="15" max="15" width="10.28515625" style="24" customWidth="1"/>
    <col min="16" max="17" width="10.5703125" style="24" customWidth="1"/>
    <col min="18" max="18" width="8.5703125" style="26" customWidth="1"/>
    <col min="19" max="19" width="11.5703125" style="24" customWidth="1"/>
    <col min="20" max="20" width="14" style="24" bestFit="1" customWidth="1"/>
    <col min="21" max="21" width="12.28515625" style="24" bestFit="1" customWidth="1"/>
    <col min="22" max="22" width="13.7109375" style="26" bestFit="1" customWidth="1"/>
    <col min="23" max="23" width="11" style="24" bestFit="1" customWidth="1"/>
    <col min="24" max="25" width="9.7109375" style="24" customWidth="1"/>
    <col min="26" max="26" width="11" style="26" customWidth="1"/>
    <col min="27" max="27" width="12.42578125" style="24" customWidth="1"/>
    <col min="28" max="29" width="11.85546875" style="24" customWidth="1"/>
    <col min="30" max="30" width="11" style="26" bestFit="1" customWidth="1"/>
    <col min="31" max="31" width="11.7109375" style="24" bestFit="1" customWidth="1"/>
    <col min="32" max="32" width="10.5703125" style="24" bestFit="1" customWidth="1"/>
    <col min="33" max="33" width="10.5703125" style="24" customWidth="1"/>
    <col min="34" max="34" width="11.5703125" style="26" bestFit="1" customWidth="1"/>
    <col min="35" max="35" width="16.140625" style="24" customWidth="1"/>
    <col min="36" max="37" width="11.5703125" style="24" customWidth="1"/>
    <col min="38" max="38" width="10.5703125" style="49" customWidth="1"/>
    <col min="39" max="39" width="11.7109375" style="24" bestFit="1" customWidth="1"/>
    <col min="40" max="40" width="12" style="24" bestFit="1" customWidth="1"/>
    <col min="41" max="41" width="12.28515625" style="24" bestFit="1" customWidth="1"/>
    <col min="42" max="42" width="8.140625" style="26" bestFit="1" customWidth="1"/>
    <col min="43" max="43" width="10" style="24" bestFit="1" customWidth="1"/>
    <col min="44" max="44" width="13.85546875" style="24" bestFit="1" customWidth="1"/>
    <col min="45" max="45" width="13.85546875" style="24" customWidth="1"/>
    <col min="46" max="46" width="11.7109375" style="26" customWidth="1"/>
    <col min="47" max="47" width="11.7109375" style="24" customWidth="1"/>
    <col min="48" max="48" width="10.5703125" style="24" bestFit="1" customWidth="1"/>
    <col min="49" max="49" width="10.5703125" style="24" customWidth="1"/>
    <col min="50" max="50" width="9.140625" style="26" bestFit="1" customWidth="1"/>
    <col min="51" max="51" width="9.28515625" style="50" bestFit="1" customWidth="1"/>
    <col min="52" max="52" width="10.5703125" style="50" bestFit="1" customWidth="1"/>
    <col min="53" max="53" width="10.5703125" style="50" customWidth="1"/>
    <col min="54" max="54" width="10.7109375" style="26" bestFit="1" customWidth="1"/>
    <col min="55" max="55" width="12.85546875" style="24" bestFit="1" customWidth="1"/>
    <col min="56" max="56" width="10.5703125" style="24" bestFit="1" customWidth="1"/>
    <col min="57" max="57" width="10.5703125" style="24" customWidth="1"/>
    <col min="58" max="58" width="16" style="25" bestFit="1" customWidth="1"/>
    <col min="59" max="59" width="10.7109375" style="24" bestFit="1" customWidth="1"/>
    <col min="60" max="60" width="13" style="23" bestFit="1" customWidth="1"/>
    <col min="61" max="61" width="10.28515625" style="23" bestFit="1" customWidth="1"/>
    <col min="62" max="16384" width="9.140625" style="23"/>
  </cols>
  <sheetData>
    <row r="1" spans="3:61" ht="15" customHeight="1" thickBot="1"/>
    <row r="2" spans="3:61" ht="21.75" thickBot="1">
      <c r="C2" s="1899" t="s">
        <v>45</v>
      </c>
      <c r="D2" s="1900"/>
      <c r="E2" s="1900"/>
      <c r="F2" s="1901"/>
      <c r="H2" s="1915"/>
      <c r="I2" s="1567"/>
      <c r="J2" s="1567"/>
      <c r="K2" s="1567"/>
      <c r="L2" s="1020"/>
      <c r="M2" s="1020"/>
      <c r="N2" s="1916" t="s">
        <v>249</v>
      </c>
      <c r="O2" s="1916"/>
      <c r="P2" s="1916"/>
      <c r="Q2" s="1916"/>
      <c r="R2" s="1916"/>
      <c r="S2" s="1916"/>
      <c r="T2" s="1916"/>
      <c r="U2" s="1916"/>
      <c r="V2" s="1916"/>
      <c r="W2" s="1916"/>
      <c r="X2" s="1916"/>
      <c r="Y2" s="1916"/>
      <c r="Z2" s="1916"/>
      <c r="AA2" s="1916"/>
      <c r="AB2" s="1916"/>
      <c r="AC2" s="1916"/>
      <c r="AD2" s="1916"/>
      <c r="AE2" s="1916"/>
      <c r="AF2" s="1916"/>
      <c r="AG2" s="1916"/>
      <c r="AH2" s="1916"/>
      <c r="AI2" s="1916"/>
      <c r="AJ2" s="1916"/>
      <c r="AK2" s="1916"/>
      <c r="AL2" s="1916"/>
      <c r="AM2" s="1916"/>
      <c r="AN2" s="1916"/>
      <c r="AO2" s="1916"/>
      <c r="AP2" s="1916"/>
      <c r="AQ2" s="1916"/>
      <c r="AR2" s="1916"/>
      <c r="AS2" s="1916"/>
      <c r="AT2" s="1916"/>
      <c r="AU2" s="1916"/>
      <c r="AV2" s="1916"/>
      <c r="AW2" s="1916"/>
      <c r="AX2" s="1916"/>
      <c r="AY2" s="1916"/>
      <c r="AZ2" s="1916"/>
      <c r="BA2" s="1020"/>
      <c r="BB2" s="1902" t="s">
        <v>118</v>
      </c>
      <c r="BC2" s="1903"/>
      <c r="BD2" s="1903"/>
      <c r="BE2" s="1903"/>
      <c r="BF2" s="1903"/>
      <c r="BG2" s="1903"/>
      <c r="BH2" s="1903"/>
      <c r="BI2" s="1904"/>
    </row>
    <row r="3" spans="3:61" ht="19.5" thickBot="1">
      <c r="C3" s="1019"/>
      <c r="D3" s="1017"/>
      <c r="E3" s="1017"/>
      <c r="F3" s="1023"/>
      <c r="H3" s="1905" t="s">
        <v>115</v>
      </c>
      <c r="I3" s="1906"/>
      <c r="J3" s="1906"/>
      <c r="K3" s="1906"/>
      <c r="L3" s="1906"/>
      <c r="M3" s="1906"/>
      <c r="N3" s="1906"/>
      <c r="O3" s="1906"/>
      <c r="P3" s="1906"/>
      <c r="Q3" s="1906"/>
      <c r="R3" s="1906"/>
      <c r="S3" s="1906"/>
      <c r="T3" s="1906"/>
      <c r="U3" s="1906"/>
      <c r="V3" s="1906"/>
      <c r="W3" s="1906"/>
      <c r="X3" s="1906"/>
      <c r="Y3" s="1906"/>
      <c r="Z3" s="1906"/>
      <c r="AA3" s="1906"/>
      <c r="AB3" s="1906"/>
      <c r="AC3" s="1906"/>
      <c r="AD3" s="1906"/>
      <c r="AE3" s="1906"/>
      <c r="AF3" s="1906"/>
      <c r="AG3" s="1906"/>
      <c r="AH3" s="1906"/>
      <c r="AI3" s="1906"/>
      <c r="AJ3" s="1906"/>
      <c r="AK3" s="1906"/>
      <c r="AL3" s="1906"/>
      <c r="AM3" s="1906"/>
      <c r="AN3" s="1906"/>
      <c r="AO3" s="1906"/>
      <c r="AP3" s="1906"/>
      <c r="AQ3" s="1906"/>
      <c r="AR3" s="1906"/>
      <c r="AS3" s="1906"/>
      <c r="AT3" s="1906"/>
      <c r="AU3" s="1906"/>
      <c r="AV3" s="1906"/>
      <c r="AW3" s="1906"/>
      <c r="AX3" s="1906"/>
      <c r="AY3" s="1906"/>
      <c r="AZ3" s="1906"/>
      <c r="BA3" s="1906"/>
      <c r="BB3" s="1906"/>
      <c r="BC3" s="1906"/>
      <c r="BD3" s="1906"/>
      <c r="BE3" s="1906"/>
      <c r="BF3" s="1906"/>
      <c r="BG3" s="1906"/>
      <c r="BH3" s="1906"/>
      <c r="BI3" s="1907"/>
    </row>
    <row r="4" spans="3:61" ht="18.75">
      <c r="C4" s="37" t="s">
        <v>44</v>
      </c>
      <c r="D4" s="1869"/>
      <c r="E4" s="1869"/>
      <c r="F4" s="1870"/>
      <c r="H4" s="1908" t="s">
        <v>33</v>
      </c>
      <c r="I4" s="1909"/>
      <c r="J4" s="1871" t="s">
        <v>43</v>
      </c>
      <c r="K4" s="1872"/>
      <c r="L4" s="1872"/>
      <c r="M4" s="1873"/>
      <c r="N4" s="1871" t="s">
        <v>42</v>
      </c>
      <c r="O4" s="1872"/>
      <c r="P4" s="1872"/>
      <c r="Q4" s="1873"/>
      <c r="R4" s="1871" t="s">
        <v>41</v>
      </c>
      <c r="S4" s="1872"/>
      <c r="T4" s="1872"/>
      <c r="U4" s="1873"/>
      <c r="V4" s="1871" t="s">
        <v>40</v>
      </c>
      <c r="W4" s="1872"/>
      <c r="X4" s="1872"/>
      <c r="Y4" s="1873"/>
      <c r="Z4" s="1871" t="s">
        <v>39</v>
      </c>
      <c r="AA4" s="1872"/>
      <c r="AB4" s="1872"/>
      <c r="AC4" s="1873"/>
      <c r="AD4" s="1871" t="s">
        <v>38</v>
      </c>
      <c r="AE4" s="1872"/>
      <c r="AF4" s="1872"/>
      <c r="AG4" s="1873"/>
      <c r="AH4" s="1874" t="s">
        <v>122</v>
      </c>
      <c r="AI4" s="1875"/>
      <c r="AJ4" s="1875"/>
      <c r="AK4" s="1876"/>
      <c r="AL4" s="1871" t="s">
        <v>37</v>
      </c>
      <c r="AM4" s="1872"/>
      <c r="AN4" s="1872"/>
      <c r="AO4" s="1873"/>
      <c r="AP4" s="1871" t="s">
        <v>36</v>
      </c>
      <c r="AQ4" s="1872"/>
      <c r="AR4" s="1872"/>
      <c r="AS4" s="1873"/>
      <c r="AT4" s="1871" t="s">
        <v>35</v>
      </c>
      <c r="AU4" s="1872"/>
      <c r="AV4" s="1872"/>
      <c r="AW4" s="1873"/>
      <c r="AX4" s="1871" t="s">
        <v>34</v>
      </c>
      <c r="AY4" s="1872"/>
      <c r="AZ4" s="1872"/>
      <c r="BA4" s="1873"/>
      <c r="BB4" s="1874" t="s">
        <v>123</v>
      </c>
      <c r="BC4" s="1875"/>
      <c r="BD4" s="1875"/>
      <c r="BE4" s="1876"/>
      <c r="BF4" s="1877" t="s">
        <v>17</v>
      </c>
      <c r="BG4" s="1878"/>
      <c r="BH4" s="1878"/>
      <c r="BI4" s="1878"/>
    </row>
    <row r="5" spans="3:61" ht="15.75" customHeight="1">
      <c r="C5" s="1879" t="s">
        <v>33</v>
      </c>
      <c r="D5" s="1869"/>
      <c r="E5" s="1017" t="s">
        <v>1</v>
      </c>
      <c r="F5" s="1023" t="s">
        <v>2</v>
      </c>
      <c r="H5" s="1910"/>
      <c r="I5" s="1911"/>
      <c r="J5" s="36" t="s">
        <v>1</v>
      </c>
      <c r="K5" s="271" t="s">
        <v>2</v>
      </c>
      <c r="L5" s="693" t="s">
        <v>182</v>
      </c>
      <c r="M5" s="35" t="s">
        <v>247</v>
      </c>
      <c r="N5" s="36" t="s">
        <v>1</v>
      </c>
      <c r="O5" s="271" t="s">
        <v>2</v>
      </c>
      <c r="P5" s="693" t="s">
        <v>182</v>
      </c>
      <c r="Q5" s="35" t="s">
        <v>247</v>
      </c>
      <c r="R5" s="36" t="s">
        <v>1</v>
      </c>
      <c r="S5" s="271" t="s">
        <v>2</v>
      </c>
      <c r="T5" s="693" t="s">
        <v>182</v>
      </c>
      <c r="U5" s="35" t="s">
        <v>247</v>
      </c>
      <c r="V5" s="36" t="s">
        <v>1</v>
      </c>
      <c r="W5" s="271" t="s">
        <v>2</v>
      </c>
      <c r="X5" s="693" t="s">
        <v>182</v>
      </c>
      <c r="Y5" s="35" t="s">
        <v>247</v>
      </c>
      <c r="Z5" s="36" t="s">
        <v>1</v>
      </c>
      <c r="AA5" s="271" t="s">
        <v>2</v>
      </c>
      <c r="AB5" s="693" t="s">
        <v>182</v>
      </c>
      <c r="AC5" s="35" t="s">
        <v>247</v>
      </c>
      <c r="AD5" s="36" t="s">
        <v>1</v>
      </c>
      <c r="AE5" s="271" t="s">
        <v>2</v>
      </c>
      <c r="AF5" s="693" t="s">
        <v>182</v>
      </c>
      <c r="AG5" s="35" t="s">
        <v>247</v>
      </c>
      <c r="AH5" s="36" t="s">
        <v>1</v>
      </c>
      <c r="AI5" s="271" t="s">
        <v>2</v>
      </c>
      <c r="AJ5" s="271" t="s">
        <v>182</v>
      </c>
      <c r="AK5" s="690" t="s">
        <v>196</v>
      </c>
      <c r="AL5" s="36" t="s">
        <v>1</v>
      </c>
      <c r="AM5" s="271" t="s">
        <v>2</v>
      </c>
      <c r="AN5" s="693" t="s">
        <v>182</v>
      </c>
      <c r="AO5" s="35" t="s">
        <v>247</v>
      </c>
      <c r="AP5" s="36" t="s">
        <v>1</v>
      </c>
      <c r="AQ5" s="271" t="s">
        <v>2</v>
      </c>
      <c r="AR5" s="693" t="s">
        <v>182</v>
      </c>
      <c r="AS5" s="35" t="s">
        <v>247</v>
      </c>
      <c r="AT5" s="36" t="s">
        <v>1</v>
      </c>
      <c r="AU5" s="271" t="s">
        <v>2</v>
      </c>
      <c r="AV5" s="693" t="s">
        <v>182</v>
      </c>
      <c r="AW5" s="35" t="s">
        <v>247</v>
      </c>
      <c r="AX5" s="36" t="s">
        <v>1</v>
      </c>
      <c r="AY5" s="271" t="s">
        <v>2</v>
      </c>
      <c r="AZ5" s="693" t="s">
        <v>182</v>
      </c>
      <c r="BA5" s="35" t="s">
        <v>247</v>
      </c>
      <c r="BB5" s="36" t="s">
        <v>1</v>
      </c>
      <c r="BC5" s="271" t="s">
        <v>2</v>
      </c>
      <c r="BD5" s="271" t="s">
        <v>182</v>
      </c>
      <c r="BE5" s="690" t="s">
        <v>196</v>
      </c>
      <c r="BF5" s="274" t="s">
        <v>1</v>
      </c>
      <c r="BG5" s="275" t="s">
        <v>2</v>
      </c>
      <c r="BH5" s="275" t="s">
        <v>182</v>
      </c>
      <c r="BI5" s="698" t="s">
        <v>196</v>
      </c>
    </row>
    <row r="6" spans="3:61" s="28" customFormat="1" ht="20.100000000000001" customHeight="1">
      <c r="C6" s="1879" t="s">
        <v>19</v>
      </c>
      <c r="D6" s="1017" t="s">
        <v>32</v>
      </c>
      <c r="E6" s="1017"/>
      <c r="F6" s="1018"/>
      <c r="H6" s="1886" t="s">
        <v>32</v>
      </c>
      <c r="I6" s="33" t="s">
        <v>32</v>
      </c>
      <c r="J6" s="462"/>
      <c r="K6" s="463"/>
      <c r="L6" s="463"/>
      <c r="M6" s="691"/>
      <c r="N6" s="462"/>
      <c r="O6" s="463"/>
      <c r="P6" s="463"/>
      <c r="Q6" s="691"/>
      <c r="R6" s="462"/>
      <c r="S6" s="463"/>
      <c r="T6" s="463"/>
      <c r="U6" s="691"/>
      <c r="V6" s="462"/>
      <c r="W6" s="463"/>
      <c r="X6" s="463"/>
      <c r="Y6" s="691"/>
      <c r="Z6" s="462"/>
      <c r="AA6" s="463"/>
      <c r="AB6" s="463"/>
      <c r="AC6" s="691"/>
      <c r="AD6" s="462"/>
      <c r="AE6" s="463"/>
      <c r="AF6" s="463"/>
      <c r="AG6" s="691"/>
      <c r="AH6" s="128">
        <f>J6+N6+R6+V6+Z6+AD6</f>
        <v>0</v>
      </c>
      <c r="AI6" s="273">
        <f>K6+O6+S6+W6+AA6+AE6</f>
        <v>0</v>
      </c>
      <c r="AJ6" s="273">
        <f>L6+P6+T6+X6+AB6+AF6</f>
        <v>0</v>
      </c>
      <c r="AK6" s="694">
        <f>M6+Q6+U6+Y6+AC6+AG6</f>
        <v>0</v>
      </c>
      <c r="AL6" s="462"/>
      <c r="AM6" s="463"/>
      <c r="AN6" s="463"/>
      <c r="AO6" s="691"/>
      <c r="AP6" s="462"/>
      <c r="AQ6" s="463"/>
      <c r="AR6" s="463"/>
      <c r="AS6" s="691"/>
      <c r="AT6" s="462"/>
      <c r="AU6" s="463"/>
      <c r="AV6" s="463"/>
      <c r="AW6" s="691"/>
      <c r="AX6" s="462"/>
      <c r="AY6" s="463"/>
      <c r="AZ6" s="463"/>
      <c r="BA6" s="691"/>
      <c r="BB6" s="128">
        <f>AL6+AP6+AT6+AX6</f>
        <v>0</v>
      </c>
      <c r="BC6" s="273">
        <f>AM6+AQ6+AU6+AY6</f>
        <v>0</v>
      </c>
      <c r="BD6" s="273">
        <f>AN6+AR6+AV6+AZ6</f>
        <v>0</v>
      </c>
      <c r="BE6" s="273">
        <f>AO6+AS6+AW6+BA6</f>
        <v>0</v>
      </c>
      <c r="BF6" s="276">
        <f>AH6+BB6</f>
        <v>0</v>
      </c>
      <c r="BG6" s="277">
        <f>AI6+BC6</f>
        <v>0</v>
      </c>
      <c r="BH6" s="701">
        <f>AJ6+BD6</f>
        <v>0</v>
      </c>
      <c r="BI6" s="699">
        <f>AK6+BE6</f>
        <v>0</v>
      </c>
    </row>
    <row r="7" spans="3:61" s="28" customFormat="1" ht="20.100000000000001" customHeight="1">
      <c r="C7" s="1879"/>
      <c r="D7" s="1017" t="s">
        <v>31</v>
      </c>
      <c r="E7" s="1017"/>
      <c r="F7" s="1018"/>
      <c r="H7" s="1887"/>
      <c r="I7" s="33" t="s">
        <v>31</v>
      </c>
      <c r="J7" s="462"/>
      <c r="K7" s="463"/>
      <c r="L7" s="463"/>
      <c r="M7" s="691"/>
      <c r="N7" s="462"/>
      <c r="O7" s="463"/>
      <c r="P7" s="463"/>
      <c r="Q7" s="691"/>
      <c r="R7" s="462"/>
      <c r="S7" s="463"/>
      <c r="T7" s="463"/>
      <c r="U7" s="691"/>
      <c r="V7" s="462"/>
      <c r="W7" s="463"/>
      <c r="X7" s="463"/>
      <c r="Y7" s="691"/>
      <c r="Z7" s="462"/>
      <c r="AA7" s="463"/>
      <c r="AB7" s="463"/>
      <c r="AC7" s="691"/>
      <c r="AD7" s="462"/>
      <c r="AE7" s="463"/>
      <c r="AF7" s="463"/>
      <c r="AG7" s="691"/>
      <c r="AH7" s="128">
        <f t="shared" ref="AH7:AK9" si="0">J7+N7+R7+V7+Z7+AD7</f>
        <v>0</v>
      </c>
      <c r="AI7" s="273">
        <f t="shared" si="0"/>
        <v>0</v>
      </c>
      <c r="AJ7" s="273">
        <f t="shared" si="0"/>
        <v>0</v>
      </c>
      <c r="AK7" s="694">
        <f t="shared" si="0"/>
        <v>0</v>
      </c>
      <c r="AL7" s="462"/>
      <c r="AM7" s="463"/>
      <c r="AN7" s="463"/>
      <c r="AO7" s="691"/>
      <c r="AP7" s="462"/>
      <c r="AQ7" s="463"/>
      <c r="AR7" s="463"/>
      <c r="AS7" s="691"/>
      <c r="AT7" s="462"/>
      <c r="AU7" s="463"/>
      <c r="AV7" s="463"/>
      <c r="AW7" s="691"/>
      <c r="AX7" s="462"/>
      <c r="AY7" s="463"/>
      <c r="AZ7" s="463"/>
      <c r="BA7" s="691"/>
      <c r="BB7" s="128">
        <f t="shared" ref="BB7:BE9" si="1">AL7+AP7+AT7+AX7</f>
        <v>0</v>
      </c>
      <c r="BC7" s="273">
        <f t="shared" si="1"/>
        <v>0</v>
      </c>
      <c r="BD7" s="273">
        <f t="shared" si="1"/>
        <v>0</v>
      </c>
      <c r="BE7" s="273">
        <f t="shared" si="1"/>
        <v>0</v>
      </c>
      <c r="BF7" s="276">
        <f t="shared" ref="BF7:BI9" si="2">AH7+BB7</f>
        <v>0</v>
      </c>
      <c r="BG7" s="277">
        <f t="shared" si="2"/>
        <v>0</v>
      </c>
      <c r="BH7" s="277">
        <f t="shared" si="2"/>
        <v>0</v>
      </c>
      <c r="BI7" s="699">
        <f t="shared" si="2"/>
        <v>0</v>
      </c>
    </row>
    <row r="8" spans="3:61" s="28" customFormat="1" ht="20.100000000000001" customHeight="1">
      <c r="C8" s="1879"/>
      <c r="D8" s="1017" t="s">
        <v>30</v>
      </c>
      <c r="E8" s="1017"/>
      <c r="F8" s="1018"/>
      <c r="H8" s="1887"/>
      <c r="I8" s="33" t="s">
        <v>30</v>
      </c>
      <c r="J8" s="462"/>
      <c r="K8" s="463"/>
      <c r="L8" s="463"/>
      <c r="M8" s="691"/>
      <c r="N8" s="462"/>
      <c r="O8" s="463"/>
      <c r="P8" s="463"/>
      <c r="Q8" s="691"/>
      <c r="R8" s="462"/>
      <c r="S8" s="463"/>
      <c r="T8" s="463"/>
      <c r="U8" s="691"/>
      <c r="V8" s="462"/>
      <c r="W8" s="463"/>
      <c r="X8" s="463"/>
      <c r="Y8" s="691"/>
      <c r="Z8" s="462"/>
      <c r="AA8" s="463"/>
      <c r="AB8" s="463"/>
      <c r="AC8" s="691"/>
      <c r="AD8" s="462"/>
      <c r="AE8" s="463"/>
      <c r="AF8" s="463"/>
      <c r="AG8" s="691"/>
      <c r="AH8" s="128">
        <f t="shared" si="0"/>
        <v>0</v>
      </c>
      <c r="AI8" s="273">
        <f t="shared" si="0"/>
        <v>0</v>
      </c>
      <c r="AJ8" s="273">
        <f t="shared" si="0"/>
        <v>0</v>
      </c>
      <c r="AK8" s="694">
        <f t="shared" si="0"/>
        <v>0</v>
      </c>
      <c r="AL8" s="462"/>
      <c r="AM8" s="463"/>
      <c r="AN8" s="463"/>
      <c r="AO8" s="691"/>
      <c r="AP8" s="462"/>
      <c r="AQ8" s="463"/>
      <c r="AR8" s="463"/>
      <c r="AS8" s="691"/>
      <c r="AT8" s="462"/>
      <c r="AU8" s="463"/>
      <c r="AV8" s="463"/>
      <c r="AW8" s="691"/>
      <c r="AX8" s="462"/>
      <c r="AY8" s="463"/>
      <c r="AZ8" s="463"/>
      <c r="BA8" s="691"/>
      <c r="BB8" s="128">
        <f t="shared" si="1"/>
        <v>0</v>
      </c>
      <c r="BC8" s="273">
        <f t="shared" si="1"/>
        <v>0</v>
      </c>
      <c r="BD8" s="273">
        <f t="shared" si="1"/>
        <v>0</v>
      </c>
      <c r="BE8" s="273">
        <f t="shared" si="1"/>
        <v>0</v>
      </c>
      <c r="BF8" s="276">
        <f t="shared" si="2"/>
        <v>0</v>
      </c>
      <c r="BG8" s="277">
        <f t="shared" si="2"/>
        <v>0</v>
      </c>
      <c r="BH8" s="277">
        <f t="shared" si="2"/>
        <v>0</v>
      </c>
      <c r="BI8" s="699">
        <f t="shared" si="2"/>
        <v>0</v>
      </c>
    </row>
    <row r="9" spans="3:61" s="28" customFormat="1" ht="20.100000000000001" customHeight="1">
      <c r="C9" s="1885"/>
      <c r="D9" s="1017" t="s">
        <v>29</v>
      </c>
      <c r="E9" s="1017"/>
      <c r="F9" s="1018"/>
      <c r="H9" s="1887"/>
      <c r="I9" s="33" t="s">
        <v>109</v>
      </c>
      <c r="J9" s="462"/>
      <c r="K9" s="463"/>
      <c r="L9" s="463"/>
      <c r="M9" s="691"/>
      <c r="N9" s="462"/>
      <c r="O9" s="463"/>
      <c r="P9" s="463"/>
      <c r="Q9" s="691"/>
      <c r="R9" s="462"/>
      <c r="S9" s="463"/>
      <c r="T9" s="463"/>
      <c r="U9" s="691"/>
      <c r="V9" s="462"/>
      <c r="W9" s="463"/>
      <c r="X9" s="463"/>
      <c r="Y9" s="691"/>
      <c r="Z9" s="462"/>
      <c r="AA9" s="463"/>
      <c r="AB9" s="463"/>
      <c r="AC9" s="691"/>
      <c r="AD9" s="462"/>
      <c r="AE9" s="463"/>
      <c r="AF9" s="463"/>
      <c r="AG9" s="691"/>
      <c r="AH9" s="128">
        <f t="shared" si="0"/>
        <v>0</v>
      </c>
      <c r="AI9" s="273">
        <f t="shared" si="0"/>
        <v>0</v>
      </c>
      <c r="AJ9" s="273">
        <f t="shared" si="0"/>
        <v>0</v>
      </c>
      <c r="AK9" s="694">
        <f t="shared" si="0"/>
        <v>0</v>
      </c>
      <c r="AL9" s="462"/>
      <c r="AM9" s="463"/>
      <c r="AN9" s="463"/>
      <c r="AO9" s="691"/>
      <c r="AP9" s="462"/>
      <c r="AQ9" s="463"/>
      <c r="AR9" s="463"/>
      <c r="AS9" s="691"/>
      <c r="AT9" s="462"/>
      <c r="AU9" s="463"/>
      <c r="AV9" s="463"/>
      <c r="AW9" s="691"/>
      <c r="AX9" s="462"/>
      <c r="AY9" s="463"/>
      <c r="AZ9" s="463"/>
      <c r="BA9" s="691"/>
      <c r="BB9" s="128">
        <f t="shared" si="1"/>
        <v>0</v>
      </c>
      <c r="BC9" s="273">
        <f t="shared" si="1"/>
        <v>0</v>
      </c>
      <c r="BD9" s="273">
        <f t="shared" si="1"/>
        <v>0</v>
      </c>
      <c r="BE9" s="273">
        <f t="shared" si="1"/>
        <v>0</v>
      </c>
      <c r="BF9" s="276">
        <f t="shared" si="2"/>
        <v>0</v>
      </c>
      <c r="BG9" s="277">
        <f t="shared" si="2"/>
        <v>0</v>
      </c>
      <c r="BH9" s="277">
        <f t="shared" si="2"/>
        <v>0</v>
      </c>
      <c r="BI9" s="699">
        <f t="shared" si="2"/>
        <v>0</v>
      </c>
    </row>
    <row r="10" spans="3:61" s="28" customFormat="1" ht="19.5" customHeight="1" thickBot="1">
      <c r="C10" s="32"/>
      <c r="D10" s="31" t="s">
        <v>18</v>
      </c>
      <c r="E10" s="31"/>
      <c r="F10" s="30"/>
      <c r="H10" s="1865" t="s">
        <v>47</v>
      </c>
      <c r="I10" s="1866"/>
      <c r="J10" s="118">
        <f t="shared" ref="J10:BG10" si="3">SUM(J6:J9)</f>
        <v>0</v>
      </c>
      <c r="K10" s="272">
        <f t="shared" si="3"/>
        <v>0</v>
      </c>
      <c r="L10" s="272">
        <f t="shared" si="3"/>
        <v>0</v>
      </c>
      <c r="M10" s="272">
        <f t="shared" si="3"/>
        <v>0</v>
      </c>
      <c r="N10" s="118">
        <f t="shared" si="3"/>
        <v>0</v>
      </c>
      <c r="O10" s="272">
        <f t="shared" si="3"/>
        <v>0</v>
      </c>
      <c r="P10" s="272">
        <f t="shared" si="3"/>
        <v>0</v>
      </c>
      <c r="Q10" s="272">
        <f t="shared" si="3"/>
        <v>0</v>
      </c>
      <c r="R10" s="118">
        <f t="shared" si="3"/>
        <v>0</v>
      </c>
      <c r="S10" s="272">
        <f t="shared" si="3"/>
        <v>0</v>
      </c>
      <c r="T10" s="272">
        <f t="shared" si="3"/>
        <v>0</v>
      </c>
      <c r="U10" s="272">
        <f t="shared" si="3"/>
        <v>0</v>
      </c>
      <c r="V10" s="118">
        <f t="shared" si="3"/>
        <v>0</v>
      </c>
      <c r="W10" s="272">
        <f t="shared" si="3"/>
        <v>0</v>
      </c>
      <c r="X10" s="272">
        <f t="shared" si="3"/>
        <v>0</v>
      </c>
      <c r="Y10" s="272">
        <f t="shared" si="3"/>
        <v>0</v>
      </c>
      <c r="Z10" s="118">
        <f t="shared" si="3"/>
        <v>0</v>
      </c>
      <c r="AA10" s="272">
        <f t="shared" si="3"/>
        <v>0</v>
      </c>
      <c r="AB10" s="272">
        <f t="shared" si="3"/>
        <v>0</v>
      </c>
      <c r="AC10" s="272">
        <f t="shared" si="3"/>
        <v>0</v>
      </c>
      <c r="AD10" s="118">
        <f t="shared" si="3"/>
        <v>0</v>
      </c>
      <c r="AE10" s="272">
        <f t="shared" si="3"/>
        <v>0</v>
      </c>
      <c r="AF10" s="272">
        <f t="shared" si="3"/>
        <v>0</v>
      </c>
      <c r="AG10" s="272">
        <f t="shared" si="3"/>
        <v>0</v>
      </c>
      <c r="AH10" s="118">
        <f t="shared" si="3"/>
        <v>0</v>
      </c>
      <c r="AI10" s="272">
        <f t="shared" si="3"/>
        <v>0</v>
      </c>
      <c r="AJ10" s="272">
        <f>SUM(AJ6:AJ9)</f>
        <v>0</v>
      </c>
      <c r="AK10" s="695">
        <f>SUM(AK6:AK9)</f>
        <v>0</v>
      </c>
      <c r="AL10" s="118">
        <f t="shared" si="3"/>
        <v>0</v>
      </c>
      <c r="AM10" s="272">
        <f t="shared" si="3"/>
        <v>0</v>
      </c>
      <c r="AN10" s="272">
        <f t="shared" si="3"/>
        <v>0</v>
      </c>
      <c r="AO10" s="272">
        <f t="shared" si="3"/>
        <v>0</v>
      </c>
      <c r="AP10" s="118">
        <f t="shared" si="3"/>
        <v>0</v>
      </c>
      <c r="AQ10" s="272">
        <f t="shared" si="3"/>
        <v>0</v>
      </c>
      <c r="AR10" s="272">
        <f t="shared" si="3"/>
        <v>0</v>
      </c>
      <c r="AS10" s="272">
        <f t="shared" si="3"/>
        <v>0</v>
      </c>
      <c r="AT10" s="118">
        <f t="shared" si="3"/>
        <v>0</v>
      </c>
      <c r="AU10" s="272">
        <f t="shared" si="3"/>
        <v>0</v>
      </c>
      <c r="AV10" s="272">
        <f t="shared" si="3"/>
        <v>0</v>
      </c>
      <c r="AW10" s="272">
        <f t="shared" si="3"/>
        <v>0</v>
      </c>
      <c r="AX10" s="118">
        <f t="shared" si="3"/>
        <v>0</v>
      </c>
      <c r="AY10" s="272">
        <f t="shared" si="3"/>
        <v>0</v>
      </c>
      <c r="AZ10" s="272">
        <f t="shared" si="3"/>
        <v>0</v>
      </c>
      <c r="BA10" s="272">
        <f t="shared" si="3"/>
        <v>0</v>
      </c>
      <c r="BB10" s="118">
        <f t="shared" si="3"/>
        <v>0</v>
      </c>
      <c r="BC10" s="272">
        <f t="shared" si="3"/>
        <v>0</v>
      </c>
      <c r="BD10" s="272">
        <f t="shared" si="3"/>
        <v>0</v>
      </c>
      <c r="BE10" s="272">
        <f t="shared" si="3"/>
        <v>0</v>
      </c>
      <c r="BF10" s="278">
        <f t="shared" si="3"/>
        <v>0</v>
      </c>
      <c r="BG10" s="279">
        <f t="shared" si="3"/>
        <v>0</v>
      </c>
      <c r="BH10" s="702">
        <f>AJ10+BD10</f>
        <v>0</v>
      </c>
      <c r="BI10" s="700">
        <f>AK10+BE10</f>
        <v>0</v>
      </c>
    </row>
    <row r="11" spans="3:61" s="119" customFormat="1" ht="5.25" customHeight="1">
      <c r="D11" s="120"/>
      <c r="E11" s="120"/>
      <c r="F11" s="120"/>
      <c r="H11" s="122"/>
      <c r="I11" s="122"/>
      <c r="J11" s="125"/>
      <c r="K11" s="126"/>
      <c r="L11" s="126"/>
      <c r="M11" s="126"/>
      <c r="N11" s="125"/>
      <c r="O11" s="126"/>
      <c r="P11" s="126"/>
      <c r="Q11" s="126"/>
      <c r="R11" s="125"/>
      <c r="S11" s="126"/>
      <c r="T11" s="126"/>
      <c r="U11" s="126"/>
      <c r="V11" s="125"/>
      <c r="W11" s="126"/>
      <c r="X11" s="126"/>
      <c r="Y11" s="126"/>
      <c r="Z11" s="125"/>
      <c r="AA11" s="126"/>
      <c r="AB11" s="126"/>
      <c r="AC11" s="126"/>
      <c r="AD11" s="125"/>
      <c r="AE11" s="126"/>
      <c r="AF11" s="126"/>
      <c r="AG11" s="126"/>
      <c r="AH11" s="125"/>
      <c r="AI11" s="126"/>
      <c r="AJ11" s="126"/>
      <c r="AK11" s="126"/>
      <c r="AL11" s="125"/>
      <c r="AM11" s="126"/>
      <c r="AN11" s="126"/>
      <c r="AO11" s="126"/>
      <c r="AP11" s="125"/>
      <c r="AQ11" s="126"/>
      <c r="AR11" s="126"/>
      <c r="AS11" s="126"/>
      <c r="AT11" s="125"/>
      <c r="AU11" s="126"/>
      <c r="AV11" s="126"/>
      <c r="AW11" s="126"/>
      <c r="AX11" s="125"/>
      <c r="AY11" s="126"/>
      <c r="AZ11" s="126"/>
      <c r="BA11" s="126"/>
      <c r="BB11" s="125"/>
      <c r="BC11" s="126"/>
      <c r="BD11" s="126"/>
      <c r="BE11" s="126"/>
      <c r="BF11" s="125"/>
      <c r="BG11" s="126"/>
    </row>
    <row r="12" spans="3:61" ht="19.5" thickBot="1">
      <c r="C12" s="1019"/>
      <c r="D12" s="1017"/>
      <c r="E12" s="1017"/>
      <c r="F12" s="1023"/>
      <c r="H12" s="1867" t="s">
        <v>114</v>
      </c>
      <c r="I12" s="1868"/>
      <c r="J12" s="1868"/>
      <c r="K12" s="1868"/>
      <c r="L12" s="1868"/>
      <c r="M12" s="1868"/>
      <c r="N12" s="1868"/>
      <c r="O12" s="1868"/>
      <c r="P12" s="1868"/>
      <c r="Q12" s="1868"/>
      <c r="R12" s="1868"/>
      <c r="S12" s="1868"/>
      <c r="T12" s="1868"/>
      <c r="U12" s="1868"/>
      <c r="V12" s="1868"/>
      <c r="W12" s="1868"/>
      <c r="X12" s="1868"/>
      <c r="Y12" s="1868"/>
      <c r="Z12" s="1868"/>
      <c r="AA12" s="1868"/>
      <c r="AB12" s="1868"/>
      <c r="AC12" s="1868"/>
      <c r="AD12" s="1868"/>
      <c r="AE12" s="1868"/>
      <c r="AF12" s="1868"/>
      <c r="AG12" s="1868"/>
      <c r="AH12" s="1868"/>
      <c r="AI12" s="1868"/>
      <c r="AJ12" s="1868"/>
      <c r="AK12" s="1868"/>
      <c r="AL12" s="1868"/>
      <c r="AM12" s="1868"/>
      <c r="AN12" s="1868"/>
      <c r="AO12" s="1868"/>
      <c r="AP12" s="1868"/>
      <c r="AQ12" s="1868"/>
      <c r="AR12" s="1868"/>
      <c r="AS12" s="1868"/>
      <c r="AT12" s="1868"/>
      <c r="AU12" s="1868"/>
      <c r="AV12" s="1868"/>
      <c r="AW12" s="1868"/>
      <c r="AX12" s="1868"/>
      <c r="AY12" s="1868"/>
      <c r="AZ12" s="1868"/>
      <c r="BA12" s="1868"/>
      <c r="BB12" s="1868"/>
      <c r="BC12" s="1868"/>
      <c r="BD12" s="1868"/>
      <c r="BE12" s="1868"/>
      <c r="BF12" s="1868"/>
      <c r="BG12" s="1868"/>
      <c r="BH12" s="1868"/>
      <c r="BI12" s="1868"/>
    </row>
    <row r="13" spans="3:61" ht="18.75" customHeight="1">
      <c r="C13" s="37" t="s">
        <v>44</v>
      </c>
      <c r="D13" s="1869"/>
      <c r="E13" s="1869"/>
      <c r="F13" s="1870"/>
      <c r="H13" s="1895" t="s">
        <v>117</v>
      </c>
      <c r="I13" s="1896"/>
      <c r="J13" s="1890" t="s">
        <v>43</v>
      </c>
      <c r="K13" s="1891"/>
      <c r="L13" s="1891"/>
      <c r="M13" s="1892"/>
      <c r="N13" s="1890" t="s">
        <v>42</v>
      </c>
      <c r="O13" s="1891"/>
      <c r="P13" s="1891"/>
      <c r="Q13" s="1892"/>
      <c r="R13" s="1890" t="s">
        <v>41</v>
      </c>
      <c r="S13" s="1891"/>
      <c r="T13" s="1891"/>
      <c r="U13" s="1892"/>
      <c r="V13" s="1890" t="s">
        <v>40</v>
      </c>
      <c r="W13" s="1891"/>
      <c r="X13" s="1891"/>
      <c r="Y13" s="1892"/>
      <c r="Z13" s="1890" t="s">
        <v>39</v>
      </c>
      <c r="AA13" s="1891"/>
      <c r="AB13" s="1891"/>
      <c r="AC13" s="1892"/>
      <c r="AD13" s="1890" t="s">
        <v>38</v>
      </c>
      <c r="AE13" s="1891"/>
      <c r="AF13" s="1891"/>
      <c r="AG13" s="1892"/>
      <c r="AH13" s="1882" t="s">
        <v>122</v>
      </c>
      <c r="AI13" s="1883"/>
      <c r="AJ13" s="1883"/>
      <c r="AK13" s="1884"/>
      <c r="AL13" s="1890" t="s">
        <v>37</v>
      </c>
      <c r="AM13" s="1891"/>
      <c r="AN13" s="1891"/>
      <c r="AO13" s="1892"/>
      <c r="AP13" s="1890" t="s">
        <v>36</v>
      </c>
      <c r="AQ13" s="1891"/>
      <c r="AR13" s="1891"/>
      <c r="AS13" s="1892"/>
      <c r="AT13" s="1890" t="s">
        <v>35</v>
      </c>
      <c r="AU13" s="1891"/>
      <c r="AV13" s="1891"/>
      <c r="AW13" s="1892"/>
      <c r="AX13" s="1890" t="s">
        <v>34</v>
      </c>
      <c r="AY13" s="1891"/>
      <c r="AZ13" s="1891"/>
      <c r="BA13" s="1892"/>
      <c r="BB13" s="1882" t="s">
        <v>123</v>
      </c>
      <c r="BC13" s="1883"/>
      <c r="BD13" s="1883"/>
      <c r="BE13" s="1884"/>
      <c r="BF13" s="1880" t="s">
        <v>17</v>
      </c>
      <c r="BG13" s="1881"/>
      <c r="BH13" s="1881"/>
      <c r="BI13" s="1881"/>
    </row>
    <row r="14" spans="3:61" ht="27" customHeight="1">
      <c r="C14" s="1879" t="s">
        <v>33</v>
      </c>
      <c r="D14" s="1869"/>
      <c r="E14" s="1017" t="s">
        <v>1</v>
      </c>
      <c r="F14" s="1023" t="s">
        <v>2</v>
      </c>
      <c r="H14" s="1897"/>
      <c r="I14" s="1898"/>
      <c r="J14" s="36" t="s">
        <v>1</v>
      </c>
      <c r="K14" s="271" t="s">
        <v>2</v>
      </c>
      <c r="L14" s="271" t="s">
        <v>182</v>
      </c>
      <c r="M14" s="35" t="s">
        <v>247</v>
      </c>
      <c r="N14" s="36" t="s">
        <v>1</v>
      </c>
      <c r="O14" s="271" t="s">
        <v>2</v>
      </c>
      <c r="P14" s="271" t="s">
        <v>182</v>
      </c>
      <c r="Q14" s="35" t="s">
        <v>247</v>
      </c>
      <c r="R14" s="36" t="s">
        <v>1</v>
      </c>
      <c r="S14" s="271" t="s">
        <v>2</v>
      </c>
      <c r="T14" s="271" t="s">
        <v>182</v>
      </c>
      <c r="U14" s="35" t="s">
        <v>247</v>
      </c>
      <c r="V14" s="36" t="s">
        <v>1</v>
      </c>
      <c r="W14" s="271" t="s">
        <v>2</v>
      </c>
      <c r="X14" s="271" t="s">
        <v>182</v>
      </c>
      <c r="Y14" s="35" t="s">
        <v>247</v>
      </c>
      <c r="Z14" s="36" t="s">
        <v>1</v>
      </c>
      <c r="AA14" s="271" t="s">
        <v>2</v>
      </c>
      <c r="AB14" s="271" t="s">
        <v>182</v>
      </c>
      <c r="AC14" s="35" t="s">
        <v>247</v>
      </c>
      <c r="AD14" s="36" t="s">
        <v>1</v>
      </c>
      <c r="AE14" s="271" t="s">
        <v>2</v>
      </c>
      <c r="AF14" s="271" t="s">
        <v>182</v>
      </c>
      <c r="AG14" s="35" t="s">
        <v>247</v>
      </c>
      <c r="AH14" s="36" t="s">
        <v>1</v>
      </c>
      <c r="AI14" s="271" t="s">
        <v>2</v>
      </c>
      <c r="AJ14" s="271" t="s">
        <v>182</v>
      </c>
      <c r="AK14" s="690" t="s">
        <v>196</v>
      </c>
      <c r="AL14" s="36" t="s">
        <v>1</v>
      </c>
      <c r="AM14" s="271" t="s">
        <v>2</v>
      </c>
      <c r="AN14" s="271" t="s">
        <v>182</v>
      </c>
      <c r="AO14" s="35" t="s">
        <v>247</v>
      </c>
      <c r="AP14" s="36" t="s">
        <v>1</v>
      </c>
      <c r="AQ14" s="271" t="s">
        <v>2</v>
      </c>
      <c r="AR14" s="271" t="s">
        <v>182</v>
      </c>
      <c r="AS14" s="35" t="s">
        <v>247</v>
      </c>
      <c r="AT14" s="36" t="s">
        <v>1</v>
      </c>
      <c r="AU14" s="271" t="s">
        <v>2</v>
      </c>
      <c r="AV14" s="271" t="s">
        <v>182</v>
      </c>
      <c r="AW14" s="35" t="s">
        <v>247</v>
      </c>
      <c r="AX14" s="36" t="s">
        <v>1</v>
      </c>
      <c r="AY14" s="271" t="s">
        <v>2</v>
      </c>
      <c r="AZ14" s="271" t="s">
        <v>182</v>
      </c>
      <c r="BA14" s="35" t="s">
        <v>247</v>
      </c>
      <c r="BB14" s="36" t="s">
        <v>1</v>
      </c>
      <c r="BC14" s="271" t="s">
        <v>2</v>
      </c>
      <c r="BD14" s="271" t="s">
        <v>182</v>
      </c>
      <c r="BE14" s="690" t="s">
        <v>196</v>
      </c>
      <c r="BF14" s="274" t="s">
        <v>1</v>
      </c>
      <c r="BG14" s="275" t="s">
        <v>2</v>
      </c>
      <c r="BH14" s="275" t="s">
        <v>182</v>
      </c>
      <c r="BI14" s="703" t="s">
        <v>196</v>
      </c>
    </row>
    <row r="15" spans="3:61" s="28" customFormat="1" ht="20.100000000000001" customHeight="1">
      <c r="C15" s="1879" t="s">
        <v>28</v>
      </c>
      <c r="D15" s="1017" t="s">
        <v>27</v>
      </c>
      <c r="E15" s="1021"/>
      <c r="F15" s="34"/>
      <c r="H15" s="1888" t="s">
        <v>112</v>
      </c>
      <c r="I15" s="33" t="s">
        <v>27</v>
      </c>
      <c r="J15" s="462"/>
      <c r="K15" s="463"/>
      <c r="L15" s="463"/>
      <c r="M15" s="692"/>
      <c r="N15" s="462"/>
      <c r="O15" s="463"/>
      <c r="P15" s="463"/>
      <c r="Q15" s="692"/>
      <c r="R15" s="462"/>
      <c r="S15" s="463"/>
      <c r="T15" s="463"/>
      <c r="U15" s="692"/>
      <c r="V15" s="462"/>
      <c r="W15" s="463"/>
      <c r="X15" s="463"/>
      <c r="Y15" s="692"/>
      <c r="Z15" s="462"/>
      <c r="AA15" s="463"/>
      <c r="AB15" s="463"/>
      <c r="AC15" s="692"/>
      <c r="AD15" s="462"/>
      <c r="AE15" s="463"/>
      <c r="AF15" s="463"/>
      <c r="AG15" s="692"/>
      <c r="AH15" s="128">
        <f>J15+N15+R15+V15+Z15+AD15</f>
        <v>0</v>
      </c>
      <c r="AI15" s="273">
        <f>K15+O15+S15+W15+AA15+AE15</f>
        <v>0</v>
      </c>
      <c r="AJ15" s="273">
        <f>L15+P15+T15+X15+AB15+AF15</f>
        <v>0</v>
      </c>
      <c r="AK15" s="694">
        <f>M15+Q15+U15+Y15+AC15+AG15</f>
        <v>0</v>
      </c>
      <c r="AL15" s="462"/>
      <c r="AM15" s="463"/>
      <c r="AN15" s="463"/>
      <c r="AO15" s="692"/>
      <c r="AP15" s="462"/>
      <c r="AQ15" s="463"/>
      <c r="AR15" s="463"/>
      <c r="AS15" s="692"/>
      <c r="AT15" s="462"/>
      <c r="AU15" s="463"/>
      <c r="AV15" s="463"/>
      <c r="AW15" s="692"/>
      <c r="AX15" s="462"/>
      <c r="AY15" s="463"/>
      <c r="AZ15" s="463"/>
      <c r="BA15" s="692"/>
      <c r="BB15" s="128">
        <f>AL15+AP15+AT15+AX15</f>
        <v>0</v>
      </c>
      <c r="BC15" s="273">
        <f>AM15+AQ15+AU15+AY15</f>
        <v>0</v>
      </c>
      <c r="BD15" s="273">
        <f>AN15+AR15+AV15+AZ15</f>
        <v>0</v>
      </c>
      <c r="BE15" s="273">
        <f>AO15+AS15+AW15+BA15</f>
        <v>0</v>
      </c>
      <c r="BF15" s="276">
        <f t="shared" ref="BF15:BI23" si="4">AH15+BB15</f>
        <v>0</v>
      </c>
      <c r="BG15" s="277">
        <f t="shared" si="4"/>
        <v>0</v>
      </c>
      <c r="BH15" s="277">
        <f t="shared" si="4"/>
        <v>0</v>
      </c>
      <c r="BI15" s="704">
        <f t="shared" si="4"/>
        <v>0</v>
      </c>
    </row>
    <row r="16" spans="3:61" s="28" customFormat="1" ht="20.100000000000001" customHeight="1">
      <c r="C16" s="1879"/>
      <c r="D16" s="1017" t="s">
        <v>26</v>
      </c>
      <c r="E16" s="1017"/>
      <c r="F16" s="1018"/>
      <c r="H16" s="1889"/>
      <c r="I16" s="33" t="s">
        <v>26</v>
      </c>
      <c r="J16" s="462"/>
      <c r="K16" s="463"/>
      <c r="L16" s="463"/>
      <c r="M16" s="692"/>
      <c r="N16" s="462"/>
      <c r="O16" s="463"/>
      <c r="P16" s="463"/>
      <c r="Q16" s="692"/>
      <c r="R16" s="462"/>
      <c r="S16" s="463"/>
      <c r="T16" s="463"/>
      <c r="U16" s="692"/>
      <c r="V16" s="462"/>
      <c r="W16" s="463"/>
      <c r="X16" s="463"/>
      <c r="Y16" s="692"/>
      <c r="Z16" s="462"/>
      <c r="AA16" s="463"/>
      <c r="AB16" s="463"/>
      <c r="AC16" s="692"/>
      <c r="AD16" s="462"/>
      <c r="AE16" s="463"/>
      <c r="AF16" s="463"/>
      <c r="AG16" s="692"/>
      <c r="AH16" s="128">
        <f t="shared" ref="AH16:AK23" si="5">J16+N16+R16+V16+Z16+AD16</f>
        <v>0</v>
      </c>
      <c r="AI16" s="273">
        <f t="shared" si="5"/>
        <v>0</v>
      </c>
      <c r="AJ16" s="273">
        <f t="shared" si="5"/>
        <v>0</v>
      </c>
      <c r="AK16" s="694">
        <f t="shared" si="5"/>
        <v>0</v>
      </c>
      <c r="AL16" s="462"/>
      <c r="AM16" s="463"/>
      <c r="AN16" s="463"/>
      <c r="AO16" s="692"/>
      <c r="AP16" s="462"/>
      <c r="AQ16" s="463"/>
      <c r="AR16" s="463"/>
      <c r="AS16" s="692"/>
      <c r="AT16" s="462"/>
      <c r="AU16" s="463"/>
      <c r="AV16" s="463"/>
      <c r="AW16" s="692"/>
      <c r="AX16" s="462"/>
      <c r="AY16" s="463"/>
      <c r="AZ16" s="463"/>
      <c r="BA16" s="692"/>
      <c r="BB16" s="128">
        <f t="shared" ref="BB16:BE23" si="6">AL16+AP16+AT16+AX16</f>
        <v>0</v>
      </c>
      <c r="BC16" s="273">
        <f t="shared" si="6"/>
        <v>0</v>
      </c>
      <c r="BD16" s="273">
        <f t="shared" si="6"/>
        <v>0</v>
      </c>
      <c r="BE16" s="273">
        <f t="shared" si="6"/>
        <v>0</v>
      </c>
      <c r="BF16" s="276">
        <f t="shared" si="4"/>
        <v>0</v>
      </c>
      <c r="BG16" s="277">
        <f t="shared" si="4"/>
        <v>0</v>
      </c>
      <c r="BH16" s="277">
        <f t="shared" si="4"/>
        <v>0</v>
      </c>
      <c r="BI16" s="704">
        <f t="shared" si="4"/>
        <v>0</v>
      </c>
    </row>
    <row r="17" spans="3:61" s="28" customFormat="1" ht="23.25" customHeight="1">
      <c r="C17" s="1879"/>
      <c r="D17" s="1017" t="s">
        <v>25</v>
      </c>
      <c r="E17" s="1017"/>
      <c r="F17" s="1018"/>
      <c r="H17" s="1889"/>
      <c r="I17" s="33" t="s">
        <v>25</v>
      </c>
      <c r="J17" s="462"/>
      <c r="K17" s="463"/>
      <c r="L17" s="463"/>
      <c r="M17" s="692"/>
      <c r="N17" s="462"/>
      <c r="O17" s="463"/>
      <c r="P17" s="463"/>
      <c r="Q17" s="692"/>
      <c r="R17" s="462"/>
      <c r="S17" s="463"/>
      <c r="T17" s="463"/>
      <c r="U17" s="692"/>
      <c r="V17" s="462"/>
      <c r="W17" s="463"/>
      <c r="X17" s="463"/>
      <c r="Y17" s="692"/>
      <c r="Z17" s="462"/>
      <c r="AA17" s="463"/>
      <c r="AB17" s="463"/>
      <c r="AC17" s="692"/>
      <c r="AD17" s="462"/>
      <c r="AE17" s="463"/>
      <c r="AF17" s="463"/>
      <c r="AG17" s="692"/>
      <c r="AH17" s="128">
        <f t="shared" si="5"/>
        <v>0</v>
      </c>
      <c r="AI17" s="273">
        <f t="shared" si="5"/>
        <v>0</v>
      </c>
      <c r="AJ17" s="273">
        <f t="shared" si="5"/>
        <v>0</v>
      </c>
      <c r="AK17" s="694">
        <f t="shared" si="5"/>
        <v>0</v>
      </c>
      <c r="AL17" s="462"/>
      <c r="AM17" s="463"/>
      <c r="AN17" s="463"/>
      <c r="AO17" s="692"/>
      <c r="AP17" s="462"/>
      <c r="AQ17" s="463"/>
      <c r="AR17" s="463"/>
      <c r="AS17" s="692"/>
      <c r="AT17" s="462"/>
      <c r="AU17" s="463"/>
      <c r="AV17" s="463"/>
      <c r="AW17" s="692"/>
      <c r="AX17" s="462"/>
      <c r="AY17" s="463"/>
      <c r="AZ17" s="463"/>
      <c r="BA17" s="692"/>
      <c r="BB17" s="128">
        <f t="shared" si="6"/>
        <v>0</v>
      </c>
      <c r="BC17" s="273">
        <f t="shared" si="6"/>
        <v>0</v>
      </c>
      <c r="BD17" s="273">
        <f t="shared" si="6"/>
        <v>0</v>
      </c>
      <c r="BE17" s="273">
        <f t="shared" si="6"/>
        <v>0</v>
      </c>
      <c r="BF17" s="276">
        <f t="shared" si="4"/>
        <v>0</v>
      </c>
      <c r="BG17" s="277">
        <f t="shared" si="4"/>
        <v>0</v>
      </c>
      <c r="BH17" s="277">
        <f t="shared" si="4"/>
        <v>0</v>
      </c>
      <c r="BI17" s="704">
        <f t="shared" si="4"/>
        <v>0</v>
      </c>
    </row>
    <row r="18" spans="3:61" s="28" customFormat="1" ht="21">
      <c r="C18" s="1879"/>
      <c r="D18" s="1017" t="s">
        <v>24</v>
      </c>
      <c r="E18" s="1017"/>
      <c r="F18" s="1018"/>
      <c r="H18" s="1889"/>
      <c r="I18" s="33" t="s">
        <v>24</v>
      </c>
      <c r="J18" s="462"/>
      <c r="K18" s="463"/>
      <c r="L18" s="463"/>
      <c r="M18" s="692"/>
      <c r="N18" s="462"/>
      <c r="O18" s="463"/>
      <c r="P18" s="463"/>
      <c r="Q18" s="692"/>
      <c r="R18" s="462"/>
      <c r="S18" s="463"/>
      <c r="T18" s="463"/>
      <c r="U18" s="692"/>
      <c r="V18" s="462"/>
      <c r="W18" s="463"/>
      <c r="X18" s="463"/>
      <c r="Y18" s="692"/>
      <c r="Z18" s="462"/>
      <c r="AA18" s="463"/>
      <c r="AB18" s="463"/>
      <c r="AC18" s="692"/>
      <c r="AD18" s="462"/>
      <c r="AE18" s="463"/>
      <c r="AF18" s="463"/>
      <c r="AG18" s="692"/>
      <c r="AH18" s="128">
        <f t="shared" si="5"/>
        <v>0</v>
      </c>
      <c r="AI18" s="273">
        <f t="shared" si="5"/>
        <v>0</v>
      </c>
      <c r="AJ18" s="273">
        <f t="shared" si="5"/>
        <v>0</v>
      </c>
      <c r="AK18" s="694">
        <f t="shared" si="5"/>
        <v>0</v>
      </c>
      <c r="AL18" s="462"/>
      <c r="AM18" s="463"/>
      <c r="AN18" s="463"/>
      <c r="AO18" s="692"/>
      <c r="AP18" s="462"/>
      <c r="AQ18" s="463"/>
      <c r="AR18" s="463"/>
      <c r="AS18" s="692"/>
      <c r="AT18" s="462"/>
      <c r="AU18" s="463"/>
      <c r="AV18" s="463"/>
      <c r="AW18" s="692"/>
      <c r="AX18" s="462"/>
      <c r="AY18" s="463"/>
      <c r="AZ18" s="463"/>
      <c r="BA18" s="692"/>
      <c r="BB18" s="128">
        <f t="shared" si="6"/>
        <v>0</v>
      </c>
      <c r="BC18" s="273">
        <f t="shared" si="6"/>
        <v>0</v>
      </c>
      <c r="BD18" s="273">
        <f t="shared" si="6"/>
        <v>0</v>
      </c>
      <c r="BE18" s="273">
        <f t="shared" si="6"/>
        <v>0</v>
      </c>
      <c r="BF18" s="276">
        <f t="shared" si="4"/>
        <v>0</v>
      </c>
      <c r="BG18" s="277">
        <f t="shared" si="4"/>
        <v>0</v>
      </c>
      <c r="BH18" s="277">
        <f t="shared" si="4"/>
        <v>0</v>
      </c>
      <c r="BI18" s="704">
        <f t="shared" si="4"/>
        <v>0</v>
      </c>
    </row>
    <row r="19" spans="3:61" s="28" customFormat="1" ht="20.100000000000001" customHeight="1">
      <c r="C19" s="1879"/>
      <c r="D19" s="1017" t="s">
        <v>23</v>
      </c>
      <c r="E19" s="1017"/>
      <c r="F19" s="1018"/>
      <c r="H19" s="1889"/>
      <c r="I19" s="33" t="s">
        <v>23</v>
      </c>
      <c r="J19" s="462"/>
      <c r="K19" s="463"/>
      <c r="L19" s="463"/>
      <c r="M19" s="692"/>
      <c r="N19" s="462"/>
      <c r="O19" s="463"/>
      <c r="P19" s="463"/>
      <c r="Q19" s="692"/>
      <c r="R19" s="462"/>
      <c r="S19" s="463"/>
      <c r="T19" s="463"/>
      <c r="U19" s="692"/>
      <c r="V19" s="462"/>
      <c r="W19" s="463"/>
      <c r="X19" s="463"/>
      <c r="Y19" s="692"/>
      <c r="Z19" s="462"/>
      <c r="AA19" s="463"/>
      <c r="AB19" s="463"/>
      <c r="AC19" s="692"/>
      <c r="AD19" s="462"/>
      <c r="AE19" s="463"/>
      <c r="AF19" s="463"/>
      <c r="AG19" s="692"/>
      <c r="AH19" s="128">
        <f t="shared" si="5"/>
        <v>0</v>
      </c>
      <c r="AI19" s="273">
        <f t="shared" si="5"/>
        <v>0</v>
      </c>
      <c r="AJ19" s="273">
        <f t="shared" si="5"/>
        <v>0</v>
      </c>
      <c r="AK19" s="694">
        <f t="shared" si="5"/>
        <v>0</v>
      </c>
      <c r="AL19" s="1012"/>
      <c r="AM19" s="463"/>
      <c r="AN19" s="463"/>
      <c r="AO19" s="692"/>
      <c r="AP19" s="462"/>
      <c r="AQ19" s="463"/>
      <c r="AR19" s="463"/>
      <c r="AS19" s="692"/>
      <c r="AT19" s="462"/>
      <c r="AU19" s="463"/>
      <c r="AV19" s="463"/>
      <c r="AW19" s="692"/>
      <c r="AX19" s="462"/>
      <c r="AY19" s="463"/>
      <c r="AZ19" s="463"/>
      <c r="BA19" s="692"/>
      <c r="BB19" s="128">
        <f t="shared" si="6"/>
        <v>0</v>
      </c>
      <c r="BC19" s="273">
        <f t="shared" si="6"/>
        <v>0</v>
      </c>
      <c r="BD19" s="273">
        <f t="shared" si="6"/>
        <v>0</v>
      </c>
      <c r="BE19" s="273">
        <f t="shared" si="6"/>
        <v>0</v>
      </c>
      <c r="BF19" s="276">
        <f t="shared" si="4"/>
        <v>0</v>
      </c>
      <c r="BG19" s="277">
        <f t="shared" si="4"/>
        <v>0</v>
      </c>
      <c r="BH19" s="277">
        <f t="shared" si="4"/>
        <v>0</v>
      </c>
      <c r="BI19" s="704">
        <f t="shared" si="4"/>
        <v>0</v>
      </c>
    </row>
    <row r="20" spans="3:61" s="28" customFormat="1" ht="20.100000000000001" customHeight="1">
      <c r="C20" s="1879"/>
      <c r="D20" s="1017" t="s">
        <v>22</v>
      </c>
      <c r="E20" s="1017"/>
      <c r="F20" s="1018"/>
      <c r="H20" s="1889"/>
      <c r="I20" s="33" t="s">
        <v>22</v>
      </c>
      <c r="J20" s="462"/>
      <c r="K20" s="463"/>
      <c r="L20" s="463"/>
      <c r="M20" s="692"/>
      <c r="N20" s="462"/>
      <c r="O20" s="463"/>
      <c r="P20" s="463"/>
      <c r="Q20" s="692"/>
      <c r="R20" s="462"/>
      <c r="S20" s="463"/>
      <c r="T20" s="463"/>
      <c r="U20" s="692"/>
      <c r="V20" s="462"/>
      <c r="W20" s="463"/>
      <c r="X20" s="463"/>
      <c r="Y20" s="692"/>
      <c r="Z20" s="462"/>
      <c r="AA20" s="463"/>
      <c r="AB20" s="463"/>
      <c r="AC20" s="692"/>
      <c r="AD20" s="462"/>
      <c r="AE20" s="463"/>
      <c r="AF20" s="463"/>
      <c r="AG20" s="692"/>
      <c r="AH20" s="128">
        <f t="shared" si="5"/>
        <v>0</v>
      </c>
      <c r="AI20" s="273">
        <f t="shared" si="5"/>
        <v>0</v>
      </c>
      <c r="AJ20" s="273">
        <f t="shared" si="5"/>
        <v>0</v>
      </c>
      <c r="AK20" s="694">
        <f t="shared" si="5"/>
        <v>0</v>
      </c>
      <c r="AL20" s="462"/>
      <c r="AM20" s="463"/>
      <c r="AN20" s="463"/>
      <c r="AO20" s="692"/>
      <c r="AP20" s="462"/>
      <c r="AQ20" s="463"/>
      <c r="AR20" s="463"/>
      <c r="AS20" s="692"/>
      <c r="AT20" s="462"/>
      <c r="AU20" s="463"/>
      <c r="AV20" s="463"/>
      <c r="AW20" s="692"/>
      <c r="AX20" s="462"/>
      <c r="AY20" s="463"/>
      <c r="AZ20" s="463"/>
      <c r="BA20" s="692"/>
      <c r="BB20" s="128">
        <f t="shared" si="6"/>
        <v>0</v>
      </c>
      <c r="BC20" s="273">
        <f t="shared" si="6"/>
        <v>0</v>
      </c>
      <c r="BD20" s="273">
        <f t="shared" si="6"/>
        <v>0</v>
      </c>
      <c r="BE20" s="273">
        <f t="shared" si="6"/>
        <v>0</v>
      </c>
      <c r="BF20" s="276">
        <f t="shared" si="4"/>
        <v>0</v>
      </c>
      <c r="BG20" s="277">
        <f t="shared" si="4"/>
        <v>0</v>
      </c>
      <c r="BH20" s="277">
        <f t="shared" si="4"/>
        <v>0</v>
      </c>
      <c r="BI20" s="704">
        <f t="shared" si="4"/>
        <v>0</v>
      </c>
    </row>
    <row r="21" spans="3:61" s="28" customFormat="1" ht="20.100000000000001" customHeight="1">
      <c r="C21" s="1885"/>
      <c r="D21" s="1017"/>
      <c r="E21" s="1017"/>
      <c r="F21" s="1018"/>
      <c r="H21" s="1889"/>
      <c r="I21" s="33" t="s">
        <v>21</v>
      </c>
      <c r="J21" s="462"/>
      <c r="K21" s="463"/>
      <c r="L21" s="463"/>
      <c r="M21" s="692"/>
      <c r="N21" s="462"/>
      <c r="O21" s="463"/>
      <c r="P21" s="463"/>
      <c r="Q21" s="692"/>
      <c r="R21" s="462"/>
      <c r="S21" s="463"/>
      <c r="T21" s="463"/>
      <c r="U21" s="692"/>
      <c r="V21" s="462"/>
      <c r="W21" s="463"/>
      <c r="X21" s="463"/>
      <c r="Y21" s="692"/>
      <c r="Z21" s="462"/>
      <c r="AA21" s="463"/>
      <c r="AB21" s="463"/>
      <c r="AC21" s="692"/>
      <c r="AD21" s="462"/>
      <c r="AE21" s="463"/>
      <c r="AF21" s="463"/>
      <c r="AG21" s="692"/>
      <c r="AH21" s="128">
        <f t="shared" si="5"/>
        <v>0</v>
      </c>
      <c r="AI21" s="273">
        <f t="shared" si="5"/>
        <v>0</v>
      </c>
      <c r="AJ21" s="273">
        <f t="shared" si="5"/>
        <v>0</v>
      </c>
      <c r="AK21" s="694">
        <f t="shared" si="5"/>
        <v>0</v>
      </c>
      <c r="AL21" s="462"/>
      <c r="AM21" s="463"/>
      <c r="AN21" s="463"/>
      <c r="AO21" s="692"/>
      <c r="AP21" s="462"/>
      <c r="AQ21" s="463"/>
      <c r="AR21" s="463"/>
      <c r="AS21" s="692"/>
      <c r="AT21" s="462"/>
      <c r="AU21" s="463"/>
      <c r="AV21" s="463"/>
      <c r="AW21" s="692"/>
      <c r="AX21" s="462"/>
      <c r="AY21" s="463"/>
      <c r="AZ21" s="463"/>
      <c r="BA21" s="692"/>
      <c r="BB21" s="128">
        <f t="shared" si="6"/>
        <v>0</v>
      </c>
      <c r="BC21" s="273">
        <f t="shared" si="6"/>
        <v>0</v>
      </c>
      <c r="BD21" s="273">
        <f t="shared" si="6"/>
        <v>0</v>
      </c>
      <c r="BE21" s="273">
        <f t="shared" si="6"/>
        <v>0</v>
      </c>
      <c r="BF21" s="276">
        <f t="shared" si="4"/>
        <v>0</v>
      </c>
      <c r="BG21" s="277">
        <f t="shared" si="4"/>
        <v>0</v>
      </c>
      <c r="BH21" s="277">
        <f t="shared" si="4"/>
        <v>0</v>
      </c>
      <c r="BI21" s="704">
        <f t="shared" si="4"/>
        <v>0</v>
      </c>
    </row>
    <row r="22" spans="3:61" s="28" customFormat="1" ht="20.100000000000001" customHeight="1">
      <c r="C22" s="1885"/>
      <c r="D22" s="1017"/>
      <c r="E22" s="1017"/>
      <c r="F22" s="1018"/>
      <c r="H22" s="1889"/>
      <c r="I22" s="33" t="s">
        <v>20</v>
      </c>
      <c r="J22" s="462"/>
      <c r="K22" s="463"/>
      <c r="L22" s="463"/>
      <c r="M22" s="692"/>
      <c r="N22" s="462"/>
      <c r="O22" s="463"/>
      <c r="P22" s="463"/>
      <c r="Q22" s="692"/>
      <c r="R22" s="462"/>
      <c r="S22" s="463"/>
      <c r="T22" s="463"/>
      <c r="U22" s="692"/>
      <c r="V22" s="462"/>
      <c r="W22" s="463"/>
      <c r="X22" s="463"/>
      <c r="Y22" s="692"/>
      <c r="Z22" s="462"/>
      <c r="AA22" s="463"/>
      <c r="AB22" s="463"/>
      <c r="AC22" s="692"/>
      <c r="AD22" s="462"/>
      <c r="AE22" s="463"/>
      <c r="AF22" s="463"/>
      <c r="AG22" s="692"/>
      <c r="AH22" s="128">
        <f t="shared" si="5"/>
        <v>0</v>
      </c>
      <c r="AI22" s="273">
        <f t="shared" si="5"/>
        <v>0</v>
      </c>
      <c r="AJ22" s="273">
        <f t="shared" si="5"/>
        <v>0</v>
      </c>
      <c r="AK22" s="694">
        <f t="shared" si="5"/>
        <v>0</v>
      </c>
      <c r="AL22" s="462"/>
      <c r="AM22" s="463"/>
      <c r="AN22" s="463"/>
      <c r="AO22" s="692"/>
      <c r="AP22" s="462"/>
      <c r="AQ22" s="463"/>
      <c r="AR22" s="463"/>
      <c r="AS22" s="692"/>
      <c r="AT22" s="462"/>
      <c r="AU22" s="463"/>
      <c r="AV22" s="463"/>
      <c r="AW22" s="692"/>
      <c r="AX22" s="462"/>
      <c r="AY22" s="463"/>
      <c r="AZ22" s="463"/>
      <c r="BA22" s="692"/>
      <c r="BB22" s="128">
        <f t="shared" si="6"/>
        <v>0</v>
      </c>
      <c r="BC22" s="273">
        <f t="shared" si="6"/>
        <v>0</v>
      </c>
      <c r="BD22" s="273">
        <f t="shared" si="6"/>
        <v>0</v>
      </c>
      <c r="BE22" s="273">
        <f t="shared" si="6"/>
        <v>0</v>
      </c>
      <c r="BF22" s="276">
        <f t="shared" si="4"/>
        <v>0</v>
      </c>
      <c r="BG22" s="277">
        <f t="shared" si="4"/>
        <v>0</v>
      </c>
      <c r="BH22" s="277">
        <f t="shared" si="4"/>
        <v>0</v>
      </c>
      <c r="BI22" s="704">
        <f t="shared" si="4"/>
        <v>0</v>
      </c>
    </row>
    <row r="23" spans="3:61" s="28" customFormat="1" ht="20.100000000000001" customHeight="1">
      <c r="C23" s="1885"/>
      <c r="D23" s="1017"/>
      <c r="E23" s="1017"/>
      <c r="F23" s="1018"/>
      <c r="H23" s="1889"/>
      <c r="I23" s="33" t="s">
        <v>19</v>
      </c>
      <c r="J23" s="462"/>
      <c r="K23" s="463"/>
      <c r="L23" s="463"/>
      <c r="M23" s="692"/>
      <c r="N23" s="462"/>
      <c r="O23" s="463"/>
      <c r="P23" s="463"/>
      <c r="Q23" s="692"/>
      <c r="R23" s="462"/>
      <c r="S23" s="463"/>
      <c r="T23" s="463"/>
      <c r="U23" s="692"/>
      <c r="V23" s="462"/>
      <c r="W23" s="463"/>
      <c r="X23" s="463"/>
      <c r="Y23" s="692"/>
      <c r="Z23" s="462"/>
      <c r="AA23" s="463"/>
      <c r="AB23" s="463"/>
      <c r="AC23" s="692"/>
      <c r="AD23" s="462"/>
      <c r="AE23" s="463"/>
      <c r="AF23" s="463"/>
      <c r="AG23" s="692"/>
      <c r="AH23" s="128">
        <f t="shared" si="5"/>
        <v>0</v>
      </c>
      <c r="AI23" s="273">
        <f t="shared" si="5"/>
        <v>0</v>
      </c>
      <c r="AJ23" s="273">
        <f t="shared" si="5"/>
        <v>0</v>
      </c>
      <c r="AK23" s="694">
        <f t="shared" si="5"/>
        <v>0</v>
      </c>
      <c r="AL23" s="462"/>
      <c r="AM23" s="463"/>
      <c r="AN23" s="463"/>
      <c r="AO23" s="692"/>
      <c r="AP23" s="462"/>
      <c r="AQ23" s="463"/>
      <c r="AR23" s="463"/>
      <c r="AS23" s="692"/>
      <c r="AT23" s="462"/>
      <c r="AU23" s="463"/>
      <c r="AV23" s="463"/>
      <c r="AW23" s="692"/>
      <c r="AX23" s="462"/>
      <c r="AY23" s="463"/>
      <c r="AZ23" s="463"/>
      <c r="BA23" s="692"/>
      <c r="BB23" s="128">
        <f t="shared" si="6"/>
        <v>0</v>
      </c>
      <c r="BC23" s="273">
        <f t="shared" si="6"/>
        <v>0</v>
      </c>
      <c r="BD23" s="273">
        <f t="shared" si="6"/>
        <v>0</v>
      </c>
      <c r="BE23" s="273">
        <f t="shared" si="6"/>
        <v>0</v>
      </c>
      <c r="BF23" s="276">
        <f t="shared" si="4"/>
        <v>0</v>
      </c>
      <c r="BG23" s="277">
        <f t="shared" si="4"/>
        <v>0</v>
      </c>
      <c r="BH23" s="277">
        <f t="shared" si="4"/>
        <v>0</v>
      </c>
      <c r="BI23" s="704">
        <f t="shared" si="4"/>
        <v>0</v>
      </c>
    </row>
    <row r="24" spans="3:61" s="28" customFormat="1" ht="20.100000000000001" customHeight="1" thickBot="1">
      <c r="C24" s="1885"/>
      <c r="D24" s="1017"/>
      <c r="E24" s="1017"/>
      <c r="F24" s="1018"/>
      <c r="H24" s="1865" t="s">
        <v>116</v>
      </c>
      <c r="I24" s="1866"/>
      <c r="J24" s="118">
        <f t="shared" ref="J24:BI24" si="7">SUM(J15:J23)</f>
        <v>0</v>
      </c>
      <c r="K24" s="272">
        <f t="shared" si="7"/>
        <v>0</v>
      </c>
      <c r="L24" s="272">
        <f>SUM(L15:L23)</f>
        <v>0</v>
      </c>
      <c r="M24" s="272">
        <f>SUM(M15:M23)</f>
        <v>0</v>
      </c>
      <c r="N24" s="118">
        <f t="shared" ref="N24:AI24" si="8">SUM(N15:N23)</f>
        <v>0</v>
      </c>
      <c r="O24" s="272">
        <f t="shared" si="8"/>
        <v>0</v>
      </c>
      <c r="P24" s="272">
        <f t="shared" si="8"/>
        <v>0</v>
      </c>
      <c r="Q24" s="272">
        <f t="shared" si="8"/>
        <v>0</v>
      </c>
      <c r="R24" s="118">
        <f t="shared" si="8"/>
        <v>0</v>
      </c>
      <c r="S24" s="272">
        <f t="shared" si="8"/>
        <v>0</v>
      </c>
      <c r="T24" s="272">
        <f t="shared" si="8"/>
        <v>0</v>
      </c>
      <c r="U24" s="272">
        <f t="shared" si="8"/>
        <v>0</v>
      </c>
      <c r="V24" s="118">
        <f t="shared" si="8"/>
        <v>0</v>
      </c>
      <c r="W24" s="272">
        <f t="shared" si="8"/>
        <v>0</v>
      </c>
      <c r="X24" s="272">
        <f t="shared" si="8"/>
        <v>0</v>
      </c>
      <c r="Y24" s="272">
        <f t="shared" si="8"/>
        <v>0</v>
      </c>
      <c r="Z24" s="118">
        <f t="shared" si="8"/>
        <v>0</v>
      </c>
      <c r="AA24" s="272">
        <f t="shared" si="8"/>
        <v>0</v>
      </c>
      <c r="AB24" s="272">
        <f t="shared" si="8"/>
        <v>0</v>
      </c>
      <c r="AC24" s="272">
        <f t="shared" si="8"/>
        <v>0</v>
      </c>
      <c r="AD24" s="118">
        <f t="shared" si="8"/>
        <v>0</v>
      </c>
      <c r="AE24" s="272">
        <f t="shared" si="8"/>
        <v>0</v>
      </c>
      <c r="AF24" s="272">
        <f t="shared" si="8"/>
        <v>0</v>
      </c>
      <c r="AG24" s="272">
        <f t="shared" si="8"/>
        <v>0</v>
      </c>
      <c r="AH24" s="118">
        <f t="shared" si="8"/>
        <v>0</v>
      </c>
      <c r="AI24" s="272">
        <f t="shared" si="8"/>
        <v>0</v>
      </c>
      <c r="AJ24" s="272">
        <f>SUM(AJ15:AJ23)</f>
        <v>0</v>
      </c>
      <c r="AK24" s="695">
        <f>SUM(AK15:AK23)</f>
        <v>0</v>
      </c>
      <c r="AL24" s="118">
        <f t="shared" ref="AL24:BC24" si="9">SUM(AL15:AL23)</f>
        <v>0</v>
      </c>
      <c r="AM24" s="272">
        <f t="shared" si="9"/>
        <v>0</v>
      </c>
      <c r="AN24" s="272">
        <f t="shared" si="9"/>
        <v>0</v>
      </c>
      <c r="AO24" s="272">
        <f t="shared" si="9"/>
        <v>0</v>
      </c>
      <c r="AP24" s="118">
        <f t="shared" si="9"/>
        <v>0</v>
      </c>
      <c r="AQ24" s="272">
        <f t="shared" si="9"/>
        <v>0</v>
      </c>
      <c r="AR24" s="272">
        <f t="shared" si="9"/>
        <v>0</v>
      </c>
      <c r="AS24" s="272">
        <f t="shared" si="9"/>
        <v>0</v>
      </c>
      <c r="AT24" s="118">
        <f t="shared" si="9"/>
        <v>0</v>
      </c>
      <c r="AU24" s="272">
        <f t="shared" si="9"/>
        <v>0</v>
      </c>
      <c r="AV24" s="272">
        <f t="shared" si="9"/>
        <v>0</v>
      </c>
      <c r="AW24" s="272">
        <f t="shared" si="9"/>
        <v>0</v>
      </c>
      <c r="AX24" s="118">
        <f t="shared" si="9"/>
        <v>0</v>
      </c>
      <c r="AY24" s="272">
        <f t="shared" si="9"/>
        <v>0</v>
      </c>
      <c r="AZ24" s="272">
        <f t="shared" si="9"/>
        <v>0</v>
      </c>
      <c r="BA24" s="272">
        <f t="shared" si="9"/>
        <v>0</v>
      </c>
      <c r="BB24" s="118">
        <f t="shared" si="9"/>
        <v>0</v>
      </c>
      <c r="BC24" s="272">
        <f t="shared" si="9"/>
        <v>0</v>
      </c>
      <c r="BD24" s="272">
        <f>SUM(BD15:BD23)</f>
        <v>0</v>
      </c>
      <c r="BE24" s="272">
        <f>SUM(BE15:BE23)</f>
        <v>0</v>
      </c>
      <c r="BF24" s="278">
        <f t="shared" si="7"/>
        <v>0</v>
      </c>
      <c r="BG24" s="279">
        <f t="shared" si="7"/>
        <v>0</v>
      </c>
      <c r="BH24" s="279">
        <f t="shared" si="7"/>
        <v>0</v>
      </c>
      <c r="BI24" s="705">
        <f t="shared" si="7"/>
        <v>0</v>
      </c>
    </row>
    <row r="25" spans="3:61" s="119" customFormat="1" ht="9" customHeight="1" thickBot="1">
      <c r="C25" s="121"/>
      <c r="D25" s="121"/>
      <c r="E25" s="121"/>
      <c r="F25" s="121"/>
      <c r="H25" s="122"/>
      <c r="I25" s="122"/>
      <c r="J25" s="125"/>
      <c r="K25" s="126"/>
      <c r="L25" s="126"/>
      <c r="M25" s="126"/>
      <c r="N25" s="125"/>
      <c r="O25" s="126"/>
      <c r="P25" s="126"/>
      <c r="Q25" s="126"/>
      <c r="R25" s="125"/>
      <c r="S25" s="126"/>
      <c r="T25" s="126"/>
      <c r="U25" s="126"/>
      <c r="V25" s="125"/>
      <c r="W25" s="126"/>
      <c r="X25" s="126"/>
      <c r="Y25" s="126"/>
      <c r="Z25" s="125"/>
      <c r="AA25" s="126"/>
      <c r="AB25" s="126"/>
      <c r="AC25" s="126"/>
      <c r="AD25" s="125"/>
      <c r="AE25" s="126"/>
      <c r="AF25" s="126"/>
      <c r="AG25" s="126"/>
      <c r="AH25" s="125"/>
      <c r="AI25" s="126"/>
      <c r="AJ25" s="126"/>
      <c r="AK25" s="126"/>
      <c r="AL25" s="125"/>
      <c r="AM25" s="126"/>
      <c r="AN25" s="126"/>
      <c r="AO25" s="126"/>
      <c r="AP25" s="125"/>
      <c r="AQ25" s="126"/>
      <c r="AR25" s="126"/>
      <c r="AS25" s="126"/>
      <c r="AT25" s="125"/>
      <c r="AU25" s="126"/>
      <c r="AV25" s="126"/>
      <c r="AW25" s="126"/>
      <c r="AX25" s="125"/>
      <c r="AY25" s="126"/>
      <c r="AZ25" s="126"/>
      <c r="BA25" s="126"/>
      <c r="BB25" s="125"/>
      <c r="BC25" s="126"/>
      <c r="BD25" s="126"/>
      <c r="BE25" s="126"/>
      <c r="BF25" s="125"/>
      <c r="BG25" s="126"/>
    </row>
    <row r="26" spans="3:61" s="28" customFormat="1" ht="26.25" customHeight="1" thickBot="1">
      <c r="D26" s="29"/>
      <c r="E26" s="29"/>
      <c r="F26" s="29"/>
      <c r="H26" s="1893" t="s">
        <v>49</v>
      </c>
      <c r="I26" s="1894"/>
      <c r="J26" s="123">
        <f t="shared" ref="J26:BI26" si="10">J10+J24</f>
        <v>0</v>
      </c>
      <c r="K26" s="280">
        <f t="shared" si="10"/>
        <v>0</v>
      </c>
      <c r="L26" s="280">
        <f>L10+L24</f>
        <v>0</v>
      </c>
      <c r="M26" s="280">
        <f>M10+M24</f>
        <v>0</v>
      </c>
      <c r="N26" s="123">
        <f t="shared" ref="N26:O26" si="11">N10+N24</f>
        <v>0</v>
      </c>
      <c r="O26" s="280">
        <f t="shared" si="11"/>
        <v>0</v>
      </c>
      <c r="P26" s="280">
        <f>P10+P24</f>
        <v>0</v>
      </c>
      <c r="Q26" s="280">
        <f>Q10+Q24</f>
        <v>0</v>
      </c>
      <c r="R26" s="123">
        <f t="shared" ref="R26:S26" si="12">R10+R24</f>
        <v>0</v>
      </c>
      <c r="S26" s="280">
        <f t="shared" si="12"/>
        <v>0</v>
      </c>
      <c r="T26" s="280">
        <f>T10+T24</f>
        <v>0</v>
      </c>
      <c r="U26" s="280">
        <f>U10+U24</f>
        <v>0</v>
      </c>
      <c r="V26" s="123">
        <f t="shared" ref="V26:W26" si="13">V10+V24</f>
        <v>0</v>
      </c>
      <c r="W26" s="280">
        <f t="shared" si="13"/>
        <v>0</v>
      </c>
      <c r="X26" s="280">
        <f>X10+X24</f>
        <v>0</v>
      </c>
      <c r="Y26" s="280">
        <f>Y10+Y24</f>
        <v>0</v>
      </c>
      <c r="Z26" s="123">
        <f t="shared" ref="Z26:AA26" si="14">Z10+Z24</f>
        <v>0</v>
      </c>
      <c r="AA26" s="280">
        <f t="shared" si="14"/>
        <v>0</v>
      </c>
      <c r="AB26" s="280">
        <f>AB10+AB24</f>
        <v>0</v>
      </c>
      <c r="AC26" s="280">
        <f>AC10+AC24</f>
        <v>0</v>
      </c>
      <c r="AD26" s="123">
        <f t="shared" ref="AD26:AE26" si="15">AD10+AD24</f>
        <v>0</v>
      </c>
      <c r="AE26" s="280">
        <f t="shared" si="15"/>
        <v>0</v>
      </c>
      <c r="AF26" s="280">
        <f>AF10+AF24</f>
        <v>0</v>
      </c>
      <c r="AG26" s="280">
        <f>AG10+AG24</f>
        <v>0</v>
      </c>
      <c r="AH26" s="127">
        <f t="shared" ref="AH26:AI26" si="16">AH10+AH24</f>
        <v>0</v>
      </c>
      <c r="AI26" s="280">
        <f t="shared" si="16"/>
        <v>0</v>
      </c>
      <c r="AJ26" s="697">
        <f>AJ10+AJ24</f>
        <v>0</v>
      </c>
      <c r="AK26" s="696">
        <f>AK10+AK24</f>
        <v>0</v>
      </c>
      <c r="AL26" s="123">
        <f t="shared" ref="AL26:AM26" si="17">AL10+AL24</f>
        <v>0</v>
      </c>
      <c r="AM26" s="280">
        <f t="shared" si="17"/>
        <v>0</v>
      </c>
      <c r="AN26" s="280">
        <f>AN10+AN24</f>
        <v>0</v>
      </c>
      <c r="AO26" s="280">
        <f>AO10+AO24</f>
        <v>0</v>
      </c>
      <c r="AP26" s="123">
        <f t="shared" ref="AP26:AQ26" si="18">AP10+AP24</f>
        <v>0</v>
      </c>
      <c r="AQ26" s="280">
        <f t="shared" si="18"/>
        <v>0</v>
      </c>
      <c r="AR26" s="280">
        <f>AR10+AR24</f>
        <v>0</v>
      </c>
      <c r="AS26" s="280">
        <f>AS10+AS24</f>
        <v>0</v>
      </c>
      <c r="AT26" s="123">
        <f t="shared" ref="AT26:AU26" si="19">AT10+AT24</f>
        <v>0</v>
      </c>
      <c r="AU26" s="280">
        <f t="shared" si="19"/>
        <v>0</v>
      </c>
      <c r="AV26" s="280">
        <f>AV10+AV24</f>
        <v>0</v>
      </c>
      <c r="AW26" s="280">
        <f>AW10+AW24</f>
        <v>0</v>
      </c>
      <c r="AX26" s="123">
        <f t="shared" ref="AX26:AY26" si="20">AX10+AX24</f>
        <v>0</v>
      </c>
      <c r="AY26" s="280">
        <f t="shared" si="20"/>
        <v>0</v>
      </c>
      <c r="AZ26" s="280">
        <f>AZ10+AZ24</f>
        <v>0</v>
      </c>
      <c r="BA26" s="280">
        <f>BA10+BA24</f>
        <v>0</v>
      </c>
      <c r="BB26" s="127">
        <f t="shared" ref="BB26:BC26" si="21">BB10+BB24</f>
        <v>0</v>
      </c>
      <c r="BC26" s="280">
        <f t="shared" si="21"/>
        <v>0</v>
      </c>
      <c r="BD26" s="697">
        <f>BD10+BD24</f>
        <v>0</v>
      </c>
      <c r="BE26" s="697">
        <f>BE10+BE24</f>
        <v>0</v>
      </c>
      <c r="BF26" s="124">
        <f>BF10+BF24</f>
        <v>0</v>
      </c>
      <c r="BG26" s="707">
        <f t="shared" si="10"/>
        <v>0</v>
      </c>
      <c r="BH26" s="706">
        <f t="shared" si="10"/>
        <v>0</v>
      </c>
      <c r="BI26" s="284">
        <f t="shared" si="10"/>
        <v>0</v>
      </c>
    </row>
    <row r="27" spans="3:61" ht="21" customHeight="1">
      <c r="H27" s="320"/>
      <c r="I27" s="320"/>
      <c r="J27" s="321"/>
      <c r="K27" s="321"/>
      <c r="L27" s="321"/>
      <c r="M27" s="321"/>
      <c r="N27" s="321"/>
      <c r="O27" s="321"/>
      <c r="P27" s="321"/>
      <c r="Q27" s="321"/>
      <c r="R27" s="321"/>
      <c r="S27" s="321"/>
      <c r="T27" s="321"/>
      <c r="U27" s="321"/>
      <c r="V27" s="321"/>
      <c r="W27" s="321"/>
      <c r="X27" s="323"/>
      <c r="Y27" s="323"/>
      <c r="Z27" s="321"/>
      <c r="AA27" s="321"/>
      <c r="AB27" s="323"/>
      <c r="AC27" s="323"/>
      <c r="AD27" s="321"/>
      <c r="AE27" s="321"/>
      <c r="AF27" s="321"/>
      <c r="AG27" s="321"/>
      <c r="AH27" s="321"/>
      <c r="AI27" s="321"/>
      <c r="AJ27" s="321"/>
      <c r="AK27" s="321"/>
      <c r="AL27" s="321"/>
      <c r="AM27" s="321"/>
      <c r="AN27" s="321"/>
      <c r="AO27" s="321"/>
      <c r="AP27" s="321"/>
      <c r="AQ27" s="321"/>
      <c r="AR27" s="321"/>
      <c r="AS27" s="321"/>
      <c r="AT27" s="321"/>
      <c r="AU27" s="321"/>
      <c r="AV27" s="321"/>
      <c r="AW27" s="321"/>
      <c r="AX27" s="321"/>
      <c r="AY27" s="321"/>
      <c r="AZ27" s="321"/>
      <c r="BA27" s="321"/>
      <c r="BB27" s="335"/>
      <c r="BC27" s="1918">
        <f>SUM(I27:AZ29)</f>
        <v>0</v>
      </c>
      <c r="BD27" s="335"/>
      <c r="BE27" s="335"/>
      <c r="BF27" s="335"/>
      <c r="BG27" s="335"/>
      <c r="BH27" s="1917">
        <f>BH26+BI26</f>
        <v>0</v>
      </c>
      <c r="BI27" s="1917"/>
    </row>
    <row r="28" spans="3:61" ht="21" customHeight="1">
      <c r="H28" s="320"/>
      <c r="I28" s="320"/>
      <c r="J28" s="322"/>
      <c r="K28" s="323"/>
      <c r="L28" s="323"/>
      <c r="M28" s="323"/>
      <c r="N28" s="322"/>
      <c r="O28" s="323"/>
      <c r="P28" s="323"/>
      <c r="Q28" s="323"/>
      <c r="R28" s="322"/>
      <c r="S28" s="323"/>
      <c r="T28" s="323"/>
      <c r="U28" s="323"/>
      <c r="V28" s="321"/>
      <c r="W28" s="323"/>
      <c r="X28" s="323"/>
      <c r="Y28" s="323"/>
      <c r="Z28" s="322"/>
      <c r="AA28" s="323"/>
      <c r="AB28" s="323"/>
      <c r="AC28" s="323"/>
      <c r="AD28" s="322"/>
      <c r="AE28" s="323"/>
      <c r="AF28" s="323"/>
      <c r="AG28" s="322"/>
      <c r="AH28" s="322"/>
      <c r="AI28" s="323"/>
      <c r="AJ28" s="323"/>
      <c r="AK28" s="323"/>
      <c r="AL28" s="321"/>
      <c r="AM28" s="323"/>
      <c r="AN28" s="622"/>
      <c r="AO28" s="622"/>
      <c r="AP28" s="321"/>
      <c r="AQ28" s="323"/>
      <c r="AR28" s="323"/>
      <c r="AS28" s="323"/>
      <c r="AT28" s="322"/>
      <c r="AU28" s="323"/>
      <c r="AV28" s="323"/>
      <c r="AW28" s="323"/>
      <c r="AX28" s="322"/>
      <c r="AY28" s="468"/>
      <c r="AZ28" s="468"/>
      <c r="BA28" s="468"/>
      <c r="BB28" s="392"/>
      <c r="BC28" s="1919"/>
      <c r="BD28" s="434"/>
      <c r="BE28" s="434"/>
      <c r="BF28" s="435"/>
      <c r="BG28" s="434"/>
      <c r="BH28" s="726"/>
      <c r="BI28" s="434"/>
    </row>
    <row r="29" spans="3:61" ht="23.25">
      <c r="H29" s="320"/>
      <c r="I29" s="320"/>
      <c r="J29" s="322"/>
      <c r="K29" s="323"/>
      <c r="L29" s="323"/>
      <c r="M29" s="323"/>
      <c r="N29" s="322"/>
      <c r="O29" s="323"/>
      <c r="P29" s="323"/>
      <c r="Q29" s="323"/>
      <c r="R29" s="322"/>
      <c r="S29" s="323"/>
      <c r="T29" s="323"/>
      <c r="U29" s="323"/>
      <c r="V29" s="322"/>
      <c r="W29" s="323"/>
      <c r="X29" s="323"/>
      <c r="Y29" s="323"/>
      <c r="Z29" s="322"/>
      <c r="AA29" s="323"/>
      <c r="AB29" s="323"/>
      <c r="AC29" s="323"/>
      <c r="AD29" s="322"/>
      <c r="AE29" s="323"/>
      <c r="AF29" s="688"/>
      <c r="AG29" s="688"/>
      <c r="AH29" s="322"/>
      <c r="AI29" s="322"/>
      <c r="AJ29" s="323"/>
      <c r="AK29" s="323"/>
      <c r="AL29" s="321"/>
      <c r="AM29" s="323"/>
      <c r="AN29" s="321"/>
      <c r="AO29" s="321"/>
      <c r="AP29" s="322"/>
      <c r="AQ29" s="323"/>
      <c r="AR29" s="323"/>
      <c r="AS29" s="323"/>
      <c r="AT29" s="322"/>
      <c r="AU29" s="323"/>
      <c r="AV29" s="323"/>
      <c r="AW29" s="323"/>
      <c r="AX29" s="322"/>
      <c r="AY29" s="468"/>
      <c r="AZ29" s="468"/>
      <c r="BA29" s="468"/>
      <c r="BB29" s="392"/>
      <c r="BC29" s="434"/>
      <c r="BD29" s="434"/>
      <c r="BE29" s="434"/>
      <c r="BF29" s="435"/>
      <c r="BG29" s="434"/>
      <c r="BH29" s="682"/>
      <c r="BI29" s="434"/>
    </row>
    <row r="30" spans="3:61" s="464" customFormat="1" ht="21.75" thickBot="1">
      <c r="D30" s="576"/>
      <c r="E30" s="576"/>
      <c r="F30" s="576"/>
      <c r="I30" s="577"/>
      <c r="J30" s="578"/>
      <c r="K30" s="579"/>
      <c r="L30" s="579"/>
      <c r="M30" s="579"/>
      <c r="N30" s="578"/>
      <c r="O30" s="579"/>
      <c r="P30" s="579"/>
      <c r="Q30" s="579"/>
      <c r="R30" s="578"/>
      <c r="S30" s="579"/>
      <c r="T30" s="579"/>
      <c r="U30" s="579"/>
      <c r="V30" s="578"/>
      <c r="W30" s="578"/>
      <c r="X30" s="579"/>
      <c r="Y30" s="579"/>
      <c r="Z30" s="579"/>
      <c r="AA30" s="578"/>
      <c r="AB30" s="579"/>
      <c r="AC30" s="579"/>
      <c r="AD30" s="579"/>
      <c r="AE30" s="578"/>
      <c r="AF30" s="579"/>
      <c r="AG30" s="579"/>
      <c r="AH30" s="621"/>
      <c r="AI30" s="578"/>
      <c r="AJ30" s="579"/>
      <c r="AK30" s="579"/>
      <c r="AM30" s="580"/>
      <c r="AN30" s="579"/>
      <c r="AO30" s="579"/>
      <c r="AP30" s="579"/>
      <c r="AQ30" s="578"/>
      <c r="AR30" s="579"/>
      <c r="AS30" s="579"/>
      <c r="AT30" s="579"/>
      <c r="AU30" s="578"/>
      <c r="AV30" s="579"/>
      <c r="AW30" s="579"/>
      <c r="AZ30" s="581"/>
      <c r="BA30" s="581"/>
      <c r="BB30" s="581"/>
      <c r="BC30" s="582"/>
      <c r="BD30" s="583"/>
      <c r="BE30" s="583"/>
      <c r="BF30" s="583"/>
      <c r="BG30" s="584"/>
      <c r="BH30" s="583"/>
      <c r="BI30" s="585"/>
    </row>
    <row r="31" spans="3:61" ht="35.25" customHeight="1" thickBot="1">
      <c r="L31" s="1929" t="s">
        <v>364</v>
      </c>
      <c r="M31" s="1930"/>
      <c r="N31" s="1930"/>
      <c r="O31" s="1930"/>
      <c r="P31" s="1930"/>
      <c r="Q31" s="1930"/>
      <c r="R31" s="1930"/>
      <c r="S31" s="1931"/>
      <c r="T31" s="579"/>
      <c r="U31" s="579"/>
      <c r="V31" s="1929" t="s">
        <v>204</v>
      </c>
      <c r="W31" s="1930"/>
      <c r="X31" s="1930"/>
      <c r="Y31" s="1930"/>
      <c r="Z31" s="1930"/>
      <c r="AA31" s="1930"/>
      <c r="AB31" s="1930"/>
      <c r="AC31" s="1935"/>
      <c r="AD31" s="1936"/>
      <c r="AE31" s="579"/>
      <c r="AF31" s="579"/>
      <c r="AG31" s="26"/>
      <c r="AH31" s="24"/>
      <c r="AJ31" s="685"/>
      <c r="AL31" s="24"/>
      <c r="AM31" s="599"/>
      <c r="AN31" s="1014"/>
      <c r="AP31" s="24"/>
      <c r="AS31" s="26"/>
      <c r="AT31" s="579"/>
      <c r="AX31" s="24"/>
      <c r="AY31" s="25"/>
      <c r="AZ31" s="25"/>
      <c r="BA31" s="24"/>
      <c r="BB31" s="24"/>
      <c r="BE31" s="23"/>
      <c r="BF31" s="23"/>
      <c r="BG31" s="23"/>
    </row>
    <row r="32" spans="3:61" s="24" customFormat="1" ht="49.9" customHeight="1" thickBot="1">
      <c r="C32" s="23"/>
      <c r="D32" s="27"/>
      <c r="E32" s="27"/>
      <c r="F32" s="27"/>
      <c r="G32" s="23"/>
      <c r="H32" s="23"/>
      <c r="I32" s="27"/>
      <c r="L32" s="450" t="s">
        <v>0</v>
      </c>
      <c r="M32" s="439" t="s">
        <v>200</v>
      </c>
      <c r="N32" s="454" t="s">
        <v>205</v>
      </c>
      <c r="O32" s="439" t="s">
        <v>31</v>
      </c>
      <c r="P32" s="448" t="s">
        <v>201</v>
      </c>
      <c r="Q32" s="455" t="s">
        <v>206</v>
      </c>
      <c r="R32" s="436" t="s">
        <v>22</v>
      </c>
      <c r="S32" s="438" t="s">
        <v>191</v>
      </c>
      <c r="T32" s="579"/>
      <c r="U32" s="579"/>
      <c r="V32" s="571" t="s">
        <v>0</v>
      </c>
      <c r="W32" s="572" t="s">
        <v>200</v>
      </c>
      <c r="X32" s="623" t="s">
        <v>205</v>
      </c>
      <c r="Y32" s="572" t="s">
        <v>31</v>
      </c>
      <c r="Z32" s="573" t="s">
        <v>201</v>
      </c>
      <c r="AA32" s="574" t="s">
        <v>206</v>
      </c>
      <c r="AB32" s="717" t="s">
        <v>22</v>
      </c>
      <c r="AC32" s="721" t="s">
        <v>191</v>
      </c>
      <c r="AD32" s="722" t="s">
        <v>226</v>
      </c>
      <c r="AE32" s="579"/>
      <c r="AF32" s="579"/>
      <c r="AG32" s="599"/>
      <c r="AH32" s="599"/>
      <c r="AI32" s="599"/>
      <c r="AN32" s="26"/>
      <c r="AT32" s="25"/>
      <c r="AU32" s="25"/>
      <c r="AW32" s="23"/>
      <c r="AX32" s="23"/>
    </row>
    <row r="33" spans="1:59" ht="23.25">
      <c r="L33" s="441" t="s">
        <v>189</v>
      </c>
      <c r="M33" s="470">
        <f>$J$6</f>
        <v>0</v>
      </c>
      <c r="N33" s="430">
        <f>$J9</f>
        <v>0</v>
      </c>
      <c r="O33" s="430">
        <f>$J7</f>
        <v>0</v>
      </c>
      <c r="P33" s="430">
        <f>$J8</f>
        <v>0</v>
      </c>
      <c r="Q33" s="430">
        <f>J15+J16+J17+J18+J19+J21+J22+J23</f>
        <v>0</v>
      </c>
      <c r="R33" s="430">
        <f>$J20</f>
        <v>0</v>
      </c>
      <c r="S33" s="446">
        <f t="shared" ref="S33:S42" si="22">SUM(M33:R33)</f>
        <v>0</v>
      </c>
      <c r="T33" s="579"/>
      <c r="U33" s="579"/>
      <c r="V33" s="447" t="s">
        <v>189</v>
      </c>
      <c r="W33" s="569">
        <f>L$6</f>
        <v>0</v>
      </c>
      <c r="X33" s="570">
        <f>$L9</f>
        <v>0</v>
      </c>
      <c r="Y33" s="570">
        <f>$L7</f>
        <v>0</v>
      </c>
      <c r="Z33" s="570">
        <f>$L8</f>
        <v>0</v>
      </c>
      <c r="AA33" s="570">
        <f>L$15+L$16+L$17+L$18+L$19+L$21+L$22+L$23</f>
        <v>0</v>
      </c>
      <c r="AB33" s="718">
        <f>$L20</f>
        <v>0</v>
      </c>
      <c r="AC33" s="723">
        <f t="shared" ref="AC33:AC42" si="23">SUM(W33:AB33)</f>
        <v>0</v>
      </c>
      <c r="AD33" s="587">
        <f>M6+M7+M8++M9+M15+M16+M17+M18+M19+M21+M20+M22+M23</f>
        <v>0</v>
      </c>
      <c r="AE33" s="579">
        <f>AC33+AD33</f>
        <v>0</v>
      </c>
      <c r="AF33" s="579"/>
      <c r="AG33" s="599"/>
      <c r="AH33" s="599"/>
      <c r="AI33" s="599"/>
      <c r="AL33" s="24"/>
      <c r="AN33" s="26"/>
      <c r="AP33" s="24"/>
      <c r="AT33" s="25"/>
      <c r="AU33" s="25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</row>
    <row r="34" spans="1:59" s="24" customFormat="1" ht="23.25">
      <c r="A34" s="23"/>
      <c r="B34" s="23"/>
      <c r="C34" s="23"/>
      <c r="D34" s="27"/>
      <c r="E34" s="27"/>
      <c r="F34" s="27"/>
      <c r="G34" s="23"/>
      <c r="H34" s="23"/>
      <c r="I34" s="27"/>
      <c r="L34" s="441" t="s">
        <v>183</v>
      </c>
      <c r="M34" s="470">
        <f>$N$6</f>
        <v>0</v>
      </c>
      <c r="N34" s="430">
        <f>$N9</f>
        <v>0</v>
      </c>
      <c r="O34" s="430">
        <f>$N7</f>
        <v>0</v>
      </c>
      <c r="P34" s="430">
        <f>$N8</f>
        <v>0</v>
      </c>
      <c r="Q34" s="430">
        <f>N15+N16+N17+N18+N19+N21+N22+N23</f>
        <v>0</v>
      </c>
      <c r="R34" s="430">
        <f>$N20</f>
        <v>0</v>
      </c>
      <c r="S34" s="446">
        <f t="shared" si="22"/>
        <v>0</v>
      </c>
      <c r="T34" s="686"/>
      <c r="U34" s="26"/>
      <c r="V34" s="441" t="s">
        <v>183</v>
      </c>
      <c r="W34" s="440">
        <f>P$6</f>
        <v>0</v>
      </c>
      <c r="X34" s="430">
        <f>$P9</f>
        <v>0</v>
      </c>
      <c r="Y34" s="430">
        <f>$P7</f>
        <v>0</v>
      </c>
      <c r="Z34" s="430">
        <f>$P8</f>
        <v>0</v>
      </c>
      <c r="AA34" s="430">
        <f>P$15+P$16+P$17+P$18+P$19+P$21+P$22+P$23</f>
        <v>0</v>
      </c>
      <c r="AB34" s="719">
        <f>$P20</f>
        <v>0</v>
      </c>
      <c r="AC34" s="723">
        <f t="shared" si="23"/>
        <v>0</v>
      </c>
      <c r="AD34" s="587">
        <f>Q6+Q7+Q8+Q9+Q15+Q16+Q17+Q18+Q19+Q20+Q21+Q22+Q23</f>
        <v>0</v>
      </c>
      <c r="AE34" s="579">
        <f t="shared" ref="AE34:AE43" si="24">AC34+AD34</f>
        <v>0</v>
      </c>
      <c r="AG34" s="599"/>
      <c r="AH34" s="599"/>
      <c r="AI34" s="599"/>
      <c r="AN34" s="26"/>
      <c r="AT34" s="25"/>
      <c r="AU34" s="25"/>
    </row>
    <row r="35" spans="1:59" ht="23.25">
      <c r="L35" s="441" t="s">
        <v>184</v>
      </c>
      <c r="M35" s="470">
        <f>$R$6</f>
        <v>0</v>
      </c>
      <c r="N35" s="430">
        <f>$R9</f>
        <v>0</v>
      </c>
      <c r="O35" s="430">
        <f>$R7</f>
        <v>0</v>
      </c>
      <c r="P35" s="430">
        <f>$R8</f>
        <v>0</v>
      </c>
      <c r="Q35" s="430">
        <f>R15+R16+R17+R18+R19+R21+R22+R23</f>
        <v>0</v>
      </c>
      <c r="R35" s="430">
        <f>$R20</f>
        <v>0</v>
      </c>
      <c r="S35" s="446">
        <f t="shared" si="22"/>
        <v>0</v>
      </c>
      <c r="T35" s="686"/>
      <c r="U35" s="26"/>
      <c r="V35" s="441" t="s">
        <v>184</v>
      </c>
      <c r="W35" s="440">
        <f>T$6</f>
        <v>0</v>
      </c>
      <c r="X35" s="430">
        <f>$T9</f>
        <v>0</v>
      </c>
      <c r="Y35" s="430">
        <f>$T7</f>
        <v>0</v>
      </c>
      <c r="Z35" s="430">
        <f>$T8</f>
        <v>0</v>
      </c>
      <c r="AA35" s="430">
        <f>T$15+T$16+T$17+T$18+T$19+T$21+T$22+T$23</f>
        <v>0</v>
      </c>
      <c r="AB35" s="719">
        <f>$T20</f>
        <v>0</v>
      </c>
      <c r="AC35" s="723">
        <f t="shared" si="23"/>
        <v>0</v>
      </c>
      <c r="AD35" s="587">
        <f>U6+U7+U8+U9+U15+U16+U17+U18+U19+U20+U21+U22+U23</f>
        <v>0</v>
      </c>
      <c r="AE35" s="579">
        <f t="shared" si="24"/>
        <v>0</v>
      </c>
      <c r="AF35" s="26"/>
      <c r="AG35" s="599"/>
      <c r="AH35" s="599"/>
      <c r="AI35" s="599"/>
      <c r="AL35" s="24"/>
      <c r="AN35" s="26"/>
      <c r="AP35" s="24"/>
      <c r="AT35" s="25"/>
      <c r="AU35" s="25"/>
      <c r="AX35" s="23"/>
      <c r="AY35" s="23"/>
      <c r="AZ35" s="23"/>
      <c r="BA35" s="23"/>
      <c r="BB35" s="23"/>
      <c r="BC35" s="23"/>
      <c r="BD35" s="23"/>
      <c r="BE35" s="23"/>
      <c r="BF35" s="23"/>
      <c r="BG35" s="23"/>
    </row>
    <row r="36" spans="1:59" ht="23.25">
      <c r="L36" s="441" t="s">
        <v>192</v>
      </c>
      <c r="M36" s="470">
        <f>$V$6</f>
        <v>0</v>
      </c>
      <c r="N36" s="430">
        <f>$V9</f>
        <v>0</v>
      </c>
      <c r="O36" s="430">
        <f>$V7</f>
        <v>0</v>
      </c>
      <c r="P36" s="430">
        <f>$V8</f>
        <v>0</v>
      </c>
      <c r="Q36" s="430">
        <f>V15+V16+V17+V18+V19+V21++V22+V23</f>
        <v>0</v>
      </c>
      <c r="R36" s="430">
        <f>$V20</f>
        <v>0</v>
      </c>
      <c r="S36" s="446">
        <f t="shared" si="22"/>
        <v>0</v>
      </c>
      <c r="T36" s="686"/>
      <c r="U36" s="26"/>
      <c r="V36" s="441" t="s">
        <v>192</v>
      </c>
      <c r="W36" s="440">
        <f>X$6</f>
        <v>0</v>
      </c>
      <c r="X36" s="430">
        <f>$X9</f>
        <v>0</v>
      </c>
      <c r="Y36" s="430">
        <f>$X7</f>
        <v>0</v>
      </c>
      <c r="Z36" s="430">
        <f>$X8</f>
        <v>0</v>
      </c>
      <c r="AA36" s="430">
        <f>X$15+X$16+X$17+X$18+X$19+X$21+X$22+X$23</f>
        <v>0</v>
      </c>
      <c r="AB36" s="719">
        <f>$X20</f>
        <v>0</v>
      </c>
      <c r="AC36" s="723">
        <f t="shared" si="23"/>
        <v>0</v>
      </c>
      <c r="AD36" s="587">
        <f>Y6+Y7+Y8+Y9+Y15+Y16+Y17+Y18+Y19+Y20+Y21+Y22+Y23</f>
        <v>0</v>
      </c>
      <c r="AE36" s="579">
        <f t="shared" si="24"/>
        <v>0</v>
      </c>
      <c r="AF36" s="26"/>
      <c r="AG36" s="599"/>
      <c r="AH36" s="599"/>
      <c r="AI36" s="599"/>
      <c r="AL36" s="24"/>
      <c r="AN36" s="26"/>
      <c r="AP36" s="24"/>
      <c r="AT36" s="25"/>
      <c r="AU36" s="25"/>
      <c r="AX36" s="23"/>
      <c r="AY36" s="23"/>
      <c r="AZ36" s="23"/>
      <c r="BA36" s="23"/>
      <c r="BB36" s="23">
        <f>4610+205</f>
        <v>4815</v>
      </c>
      <c r="BC36" s="23"/>
      <c r="BD36" s="23"/>
      <c r="BE36" s="23"/>
      <c r="BF36" s="23"/>
      <c r="BG36" s="23"/>
    </row>
    <row r="37" spans="1:59" ht="23.25">
      <c r="L37" s="441" t="s">
        <v>171</v>
      </c>
      <c r="M37" s="470">
        <f>$Z$6</f>
        <v>0</v>
      </c>
      <c r="N37" s="430">
        <f>$Z9</f>
        <v>0</v>
      </c>
      <c r="O37" s="430">
        <f>$Z7</f>
        <v>0</v>
      </c>
      <c r="P37" s="430">
        <f>$Z8</f>
        <v>0</v>
      </c>
      <c r="Q37" s="430">
        <f>Z15+Z16+Z17+Z18+Z19+Z21+Z22+Z23</f>
        <v>0</v>
      </c>
      <c r="R37" s="430">
        <f>$Z20</f>
        <v>0</v>
      </c>
      <c r="S37" s="446">
        <f t="shared" si="22"/>
        <v>0</v>
      </c>
      <c r="T37" s="686"/>
      <c r="U37" s="26"/>
      <c r="V37" s="441" t="s">
        <v>171</v>
      </c>
      <c r="W37" s="440">
        <f>AB$6</f>
        <v>0</v>
      </c>
      <c r="X37" s="430">
        <f>$AB9</f>
        <v>0</v>
      </c>
      <c r="Y37" s="430">
        <f>$AB7</f>
        <v>0</v>
      </c>
      <c r="Z37" s="430">
        <f>$AB8</f>
        <v>0</v>
      </c>
      <c r="AA37" s="430">
        <f>AB$15+AB$16+AB$17+AB$18+AB$19+AB$21+AB$22+AB$23</f>
        <v>0</v>
      </c>
      <c r="AB37" s="719">
        <f>$AB20</f>
        <v>0</v>
      </c>
      <c r="AC37" s="723">
        <f t="shared" si="23"/>
        <v>0</v>
      </c>
      <c r="AD37" s="587">
        <f>AC6+AC7+AC8+AC9+AC15+AC17+AC16+AC18+AC19+AC20+AC21+AC22+AC23</f>
        <v>0</v>
      </c>
      <c r="AE37" s="579">
        <f t="shared" si="24"/>
        <v>0</v>
      </c>
      <c r="AF37" s="26"/>
      <c r="AG37" s="26"/>
      <c r="AI37" s="26"/>
      <c r="AJ37" s="26"/>
      <c r="AK37" s="26"/>
      <c r="AL37" s="24"/>
      <c r="AN37" s="26"/>
      <c r="AP37" s="24"/>
      <c r="AT37" s="24"/>
      <c r="AX37" s="23"/>
      <c r="AY37" s="23"/>
      <c r="AZ37" s="23"/>
      <c r="BA37" s="23"/>
      <c r="BB37" s="23"/>
      <c r="BC37" s="23"/>
      <c r="BD37" s="23"/>
      <c r="BE37" s="23"/>
      <c r="BF37" s="23"/>
      <c r="BG37" s="23"/>
    </row>
    <row r="38" spans="1:59" ht="23.25">
      <c r="L38" s="441" t="s">
        <v>190</v>
      </c>
      <c r="M38" s="492">
        <f>$AD$6</f>
        <v>0</v>
      </c>
      <c r="N38" s="471">
        <f>$AD9</f>
        <v>0</v>
      </c>
      <c r="O38" s="471">
        <f>$AD7</f>
        <v>0</v>
      </c>
      <c r="P38" s="471">
        <f>$AD8</f>
        <v>0</v>
      </c>
      <c r="Q38" s="430">
        <f>AD15+AD16+AD17+AD18+AD19+AD21+AD22+AD23</f>
        <v>0</v>
      </c>
      <c r="R38" s="471">
        <f>$AD20</f>
        <v>0</v>
      </c>
      <c r="S38" s="446">
        <f t="shared" si="22"/>
        <v>0</v>
      </c>
      <c r="T38" s="686"/>
      <c r="U38" s="26"/>
      <c r="V38" s="441" t="s">
        <v>190</v>
      </c>
      <c r="W38" s="440">
        <f>AF$6</f>
        <v>0</v>
      </c>
      <c r="X38" s="430">
        <f>$AF9</f>
        <v>0</v>
      </c>
      <c r="Y38" s="430">
        <f>$AF7</f>
        <v>0</v>
      </c>
      <c r="Z38" s="430">
        <f>$AF8</f>
        <v>0</v>
      </c>
      <c r="AA38" s="430">
        <f>AF$15+AF$16+AF$17+AF$18+AF$19+AF$21+AF$22+AF$23</f>
        <v>0</v>
      </c>
      <c r="AB38" s="719">
        <f>$AF20</f>
        <v>0</v>
      </c>
      <c r="AC38" s="723">
        <f t="shared" si="23"/>
        <v>0</v>
      </c>
      <c r="AD38" s="587">
        <f>AG6+AG7+AG8+AG9+AG15+AG16+AG17+AG18+AG19+AG20+AG21+AG22+AG23</f>
        <v>0</v>
      </c>
      <c r="AE38" s="579">
        <f t="shared" si="24"/>
        <v>0</v>
      </c>
      <c r="AF38" s="26"/>
      <c r="AG38" s="26"/>
      <c r="AI38" s="26"/>
      <c r="AJ38" s="26"/>
      <c r="AK38" s="26"/>
      <c r="AL38" s="24"/>
      <c r="AN38" s="26"/>
      <c r="AP38" s="24"/>
      <c r="AT38" s="24"/>
      <c r="AX38" s="23"/>
      <c r="AY38" s="23"/>
      <c r="AZ38" s="23"/>
      <c r="BA38" s="23"/>
      <c r="BB38" s="23"/>
      <c r="BC38" s="23"/>
      <c r="BD38" s="23"/>
      <c r="BE38" s="23"/>
      <c r="BF38" s="23"/>
      <c r="BG38" s="23"/>
    </row>
    <row r="39" spans="1:59" ht="23.25">
      <c r="L39" s="441" t="s">
        <v>185</v>
      </c>
      <c r="M39" s="470">
        <f>$AL$6</f>
        <v>0</v>
      </c>
      <c r="N39" s="430">
        <f>$AL9</f>
        <v>0</v>
      </c>
      <c r="O39" s="430">
        <f>$AL7</f>
        <v>0</v>
      </c>
      <c r="P39" s="430">
        <f>$AL8</f>
        <v>0</v>
      </c>
      <c r="Q39" s="430">
        <f>AL15+AL16+AL17+AL18+AL19+AL21+AL22+AL23</f>
        <v>0</v>
      </c>
      <c r="R39" s="430">
        <f>$AL20</f>
        <v>0</v>
      </c>
      <c r="S39" s="446">
        <f t="shared" si="22"/>
        <v>0</v>
      </c>
      <c r="T39" s="686"/>
      <c r="U39" s="26"/>
      <c r="V39" s="441" t="s">
        <v>185</v>
      </c>
      <c r="W39" s="469">
        <f>AN$6</f>
        <v>0</v>
      </c>
      <c r="X39" s="430">
        <f>$AN9</f>
        <v>0</v>
      </c>
      <c r="Y39" s="430">
        <f>$AN7</f>
        <v>0</v>
      </c>
      <c r="Z39" s="430">
        <f>$AN8</f>
        <v>0</v>
      </c>
      <c r="AA39" s="430">
        <f>AN$15+AN$16+AN$17+AN$18+AN$19+AN$21+AN$22+AN$23</f>
        <v>0</v>
      </c>
      <c r="AB39" s="719">
        <f>$AN20</f>
        <v>0</v>
      </c>
      <c r="AC39" s="723">
        <f t="shared" si="23"/>
        <v>0</v>
      </c>
      <c r="AD39" s="587">
        <f>AO6+AO7+AO8+AO9+AO15+AO16+AO17+AO18+AO19+AO20+AO21+AO22+AO23</f>
        <v>0</v>
      </c>
      <c r="AE39" s="579">
        <f t="shared" si="24"/>
        <v>0</v>
      </c>
      <c r="AF39" s="23"/>
      <c r="AG39" s="26"/>
      <c r="AI39" s="26"/>
      <c r="AJ39" s="26"/>
      <c r="AK39" s="26"/>
      <c r="AL39" s="24"/>
      <c r="AN39" s="26"/>
      <c r="AP39" s="24"/>
      <c r="AT39" s="24"/>
      <c r="AX39" s="23"/>
      <c r="AY39" s="23"/>
      <c r="AZ39" s="23"/>
      <c r="BA39" s="23"/>
      <c r="BB39" s="23"/>
      <c r="BC39" s="23"/>
      <c r="BD39" s="23"/>
      <c r="BE39" s="23"/>
      <c r="BF39" s="23"/>
      <c r="BG39" s="23"/>
    </row>
    <row r="40" spans="1:59" ht="23.25">
      <c r="L40" s="441" t="s">
        <v>202</v>
      </c>
      <c r="M40" s="1309">
        <f>$AP$6</f>
        <v>0</v>
      </c>
      <c r="N40" s="430">
        <f>$AP9</f>
        <v>0</v>
      </c>
      <c r="O40" s="430">
        <f>$AP7</f>
        <v>0</v>
      </c>
      <c r="P40" s="430">
        <f>$AP8</f>
        <v>0</v>
      </c>
      <c r="Q40" s="430">
        <f>AP15+AP16+AP17+AP18+AP19+AP21+AP22+AP23</f>
        <v>0</v>
      </c>
      <c r="R40" s="430">
        <f>$AP20</f>
        <v>0</v>
      </c>
      <c r="S40" s="446">
        <f t="shared" si="22"/>
        <v>0</v>
      </c>
      <c r="T40" s="686"/>
      <c r="U40" s="26"/>
      <c r="V40" s="441" t="s">
        <v>202</v>
      </c>
      <c r="W40" s="440">
        <f>AR$6</f>
        <v>0</v>
      </c>
      <c r="X40" s="430">
        <f>$AR9</f>
        <v>0</v>
      </c>
      <c r="Y40" s="430">
        <f>$AR7</f>
        <v>0</v>
      </c>
      <c r="Z40" s="430">
        <f>$AR8</f>
        <v>0</v>
      </c>
      <c r="AA40" s="430">
        <f>AR$15+AR$16+AR$17+AR$18+AR$19+AR$21+AR$22+AR$23</f>
        <v>0</v>
      </c>
      <c r="AB40" s="719">
        <f>$AR20</f>
        <v>0</v>
      </c>
      <c r="AC40" s="723">
        <f t="shared" si="23"/>
        <v>0</v>
      </c>
      <c r="AD40" s="587">
        <f>AS6+AS7+AS8+AS9+AS15+AS16+AS17+AS18+AS19+AS20+AS21+AS22+AS23</f>
        <v>0</v>
      </c>
      <c r="AE40" s="579">
        <f t="shared" si="24"/>
        <v>0</v>
      </c>
      <c r="AF40" s="28"/>
      <c r="AG40" s="26"/>
      <c r="AI40" s="26"/>
      <c r="AJ40" s="26"/>
      <c r="AK40" s="26"/>
      <c r="AL40" s="24"/>
      <c r="AN40" s="26"/>
      <c r="AP40" s="24"/>
      <c r="AS40" s="23"/>
      <c r="AT40" s="24"/>
      <c r="AX40" s="23"/>
      <c r="AY40" s="23"/>
      <c r="AZ40" s="23"/>
      <c r="BA40" s="23"/>
      <c r="BB40" s="23"/>
      <c r="BC40" s="23"/>
      <c r="BD40" s="23"/>
      <c r="BE40" s="23"/>
      <c r="BF40" s="23"/>
      <c r="BG40" s="23"/>
    </row>
    <row r="41" spans="1:59" ht="23.25">
      <c r="L41" s="441" t="s">
        <v>186</v>
      </c>
      <c r="M41" s="470">
        <f>$AT$6</f>
        <v>0</v>
      </c>
      <c r="N41" s="430">
        <f>$AT9</f>
        <v>0</v>
      </c>
      <c r="O41" s="430">
        <f>$AT7</f>
        <v>0</v>
      </c>
      <c r="P41" s="430">
        <f>$AT8</f>
        <v>0</v>
      </c>
      <c r="Q41" s="430">
        <f>AT15+AT16+AT17+AT18+AT19+AT21+AT22+AT23</f>
        <v>0</v>
      </c>
      <c r="R41" s="430">
        <f>$AT20</f>
        <v>0</v>
      </c>
      <c r="S41" s="446">
        <f t="shared" si="22"/>
        <v>0</v>
      </c>
      <c r="T41" s="686"/>
      <c r="U41" s="26"/>
      <c r="V41" s="441" t="s">
        <v>186</v>
      </c>
      <c r="W41" s="440">
        <f>AV$6</f>
        <v>0</v>
      </c>
      <c r="X41" s="430">
        <f>$AV9</f>
        <v>0</v>
      </c>
      <c r="Y41" s="430">
        <f>$AV7</f>
        <v>0</v>
      </c>
      <c r="Z41" s="430">
        <f>$AV8</f>
        <v>0</v>
      </c>
      <c r="AA41" s="430">
        <f>AV$15+AV$16+AV$17+AV$18+AV$19+AV$21+AV$22+AV$23</f>
        <v>0</v>
      </c>
      <c r="AB41" s="719">
        <f>$AV20</f>
        <v>0</v>
      </c>
      <c r="AC41" s="723">
        <f t="shared" si="23"/>
        <v>0</v>
      </c>
      <c r="AD41" s="587">
        <f>AW6+AW7+AW8+AW9+AW15+AW16+AW17+AW18+AW20+AW19+AW21+AW22+AW23</f>
        <v>0</v>
      </c>
      <c r="AE41" s="579">
        <f t="shared" si="24"/>
        <v>0</v>
      </c>
      <c r="AH41" s="24"/>
      <c r="AJ41" s="25"/>
      <c r="AL41" s="24"/>
      <c r="AN41" s="25"/>
      <c r="AP41" s="24"/>
      <c r="AR41" s="25"/>
      <c r="AT41" s="24"/>
      <c r="AX41" s="23"/>
      <c r="AY41" s="23"/>
      <c r="AZ41" s="23"/>
      <c r="BA41" s="23"/>
      <c r="BB41" s="23"/>
      <c r="BC41" s="23"/>
      <c r="BD41" s="23"/>
      <c r="BE41" s="23"/>
      <c r="BF41" s="23"/>
      <c r="BG41" s="23"/>
    </row>
    <row r="42" spans="1:59" ht="23.25">
      <c r="L42" s="441" t="s">
        <v>203</v>
      </c>
      <c r="M42" s="470">
        <f>$AX$6</f>
        <v>0</v>
      </c>
      <c r="N42" s="430">
        <f>$AX9</f>
        <v>0</v>
      </c>
      <c r="O42" s="430">
        <f>$AX7</f>
        <v>0</v>
      </c>
      <c r="P42" s="430">
        <f>$AX8</f>
        <v>0</v>
      </c>
      <c r="Q42" s="430">
        <f>AX15+AX16+AX17+AX18+AX19+AX21+AX22+AX23</f>
        <v>0</v>
      </c>
      <c r="R42" s="430">
        <f>$AX20</f>
        <v>0</v>
      </c>
      <c r="S42" s="446">
        <f t="shared" si="22"/>
        <v>0</v>
      </c>
      <c r="T42" s="686"/>
      <c r="U42" s="26"/>
      <c r="V42" s="441" t="s">
        <v>203</v>
      </c>
      <c r="W42" s="440">
        <f>AZ$6</f>
        <v>0</v>
      </c>
      <c r="X42" s="430">
        <f>$AZ9</f>
        <v>0</v>
      </c>
      <c r="Y42" s="430">
        <f>$AZ7</f>
        <v>0</v>
      </c>
      <c r="Z42" s="430">
        <f>$AZ8</f>
        <v>0</v>
      </c>
      <c r="AA42" s="430">
        <f>AZ$15+AZ$16+AZ$17+AZ$18+AZ$19+AZ$21+AZ$22+AZ$23</f>
        <v>0</v>
      </c>
      <c r="AB42" s="719">
        <f>$AZ20</f>
        <v>0</v>
      </c>
      <c r="AC42" s="723">
        <f t="shared" si="23"/>
        <v>0</v>
      </c>
      <c r="AD42" s="587">
        <f>BA6+BA7+BA8+BA9+BA15+BA16+BA17+BA18+BA19+BA20+BA21+BA22+BA23</f>
        <v>0</v>
      </c>
      <c r="AE42" s="579">
        <f t="shared" si="24"/>
        <v>0</v>
      </c>
      <c r="AH42" s="24"/>
      <c r="AJ42" s="25"/>
      <c r="AL42" s="24"/>
      <c r="AN42" s="25"/>
      <c r="AP42" s="24"/>
      <c r="AR42" s="25"/>
      <c r="AT42" s="24"/>
      <c r="AV42" s="25"/>
      <c r="AX42" s="23"/>
      <c r="AY42" s="23"/>
      <c r="AZ42" s="23"/>
      <c r="BA42" s="23"/>
      <c r="BB42" s="23"/>
      <c r="BC42" s="23"/>
      <c r="BD42" s="23"/>
      <c r="BE42" s="23"/>
      <c r="BF42" s="23"/>
      <c r="BG42" s="23"/>
    </row>
    <row r="43" spans="1:59" ht="24" thickBot="1">
      <c r="L43" s="442" t="s">
        <v>191</v>
      </c>
      <c r="M43" s="443">
        <f t="shared" ref="M43" si="25">SUM(M33:M42)</f>
        <v>0</v>
      </c>
      <c r="N43" s="444">
        <f>SUM(N33:N42)</f>
        <v>0</v>
      </c>
      <c r="O43" s="443">
        <f t="shared" ref="O43" si="26">SUM(O33:O42)</f>
        <v>0</v>
      </c>
      <c r="P43" s="444">
        <f>SUM(P33:P42)</f>
        <v>0</v>
      </c>
      <c r="Q43" s="444">
        <f>SUM(Q33:Q42)</f>
        <v>0</v>
      </c>
      <c r="R43" s="445">
        <f>SUM(R33:R42)</f>
        <v>0</v>
      </c>
      <c r="S43" s="451">
        <f>SUM(S33:S42)</f>
        <v>0</v>
      </c>
      <c r="T43" s="687"/>
      <c r="U43" s="26"/>
      <c r="V43" s="442" t="s">
        <v>191</v>
      </c>
      <c r="W43" s="443">
        <f t="shared" ref="W43:Y43" si="27">SUM(W33:W42)</f>
        <v>0</v>
      </c>
      <c r="X43" s="444">
        <f>SUM(X33:X42)</f>
        <v>0</v>
      </c>
      <c r="Y43" s="443">
        <f t="shared" si="27"/>
        <v>0</v>
      </c>
      <c r="Z43" s="444">
        <f>SUM(Z33:Z42)</f>
        <v>0</v>
      </c>
      <c r="AA43" s="444">
        <f>SUM(AA33:AA42)</f>
        <v>0</v>
      </c>
      <c r="AB43" s="720">
        <f>SUM(AB33:AB42)</f>
        <v>0</v>
      </c>
      <c r="AC43" s="724">
        <f>SUM(AC33:AC42)</f>
        <v>0</v>
      </c>
      <c r="AD43" s="725">
        <f>SUM(AD33:AD42)</f>
        <v>0</v>
      </c>
      <c r="AE43" s="579">
        <f t="shared" si="24"/>
        <v>0</v>
      </c>
      <c r="AH43" s="24"/>
      <c r="AJ43" s="25"/>
      <c r="AL43" s="24"/>
      <c r="AN43" s="25"/>
      <c r="AP43" s="24"/>
      <c r="AR43" s="25"/>
      <c r="AT43" s="24"/>
      <c r="AV43" s="25"/>
      <c r="AX43" s="23"/>
      <c r="AY43" s="23"/>
      <c r="AZ43" s="23"/>
      <c r="BA43" s="23"/>
      <c r="BB43" s="23"/>
      <c r="BC43" s="23"/>
      <c r="BD43" s="23"/>
      <c r="BE43" s="23"/>
      <c r="BF43" s="23"/>
      <c r="BG43" s="23"/>
    </row>
    <row r="44" spans="1:59" ht="15" customHeight="1" thickBot="1">
      <c r="L44" s="26"/>
      <c r="M44" s="26"/>
      <c r="N44" s="24"/>
      <c r="P44" s="26"/>
      <c r="Q44" s="26"/>
      <c r="R44" s="24"/>
      <c r="T44" s="26"/>
      <c r="U44" s="26"/>
      <c r="V44" s="24"/>
      <c r="Z44" s="24"/>
      <c r="AD44" s="24"/>
      <c r="AE44" s="26"/>
      <c r="AF44" s="466"/>
      <c r="AG44" s="466"/>
      <c r="AH44" s="466"/>
      <c r="AI44" s="467"/>
      <c r="AL44" s="24"/>
      <c r="AM44" s="25"/>
      <c r="AP44" s="24"/>
      <c r="AQ44" s="25"/>
      <c r="AT44" s="24"/>
      <c r="AU44" s="25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</row>
    <row r="45" spans="1:59" ht="26.25" customHeight="1" thickBot="1">
      <c r="L45" s="1929" t="str">
        <f>L31</f>
        <v>Mode wise Collection Plan-30-12-2021</v>
      </c>
      <c r="M45" s="1930"/>
      <c r="N45" s="1930"/>
      <c r="O45" s="1930"/>
      <c r="P45" s="1930"/>
      <c r="Q45" s="1930"/>
      <c r="R45" s="1930"/>
      <c r="S45" s="1930"/>
      <c r="T45" s="1931"/>
      <c r="U45" s="26"/>
      <c r="V45" s="1923" t="s">
        <v>295</v>
      </c>
      <c r="W45" s="1937"/>
      <c r="X45" s="1937"/>
      <c r="Y45" s="1937"/>
      <c r="Z45" s="1937"/>
      <c r="AA45" s="1937"/>
      <c r="AB45" s="1937"/>
      <c r="AC45" s="1937"/>
      <c r="AD45" s="1937"/>
      <c r="AE45" s="1938"/>
      <c r="AF45" s="466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</row>
    <row r="46" spans="1:59" s="28" customFormat="1" ht="31.5">
      <c r="D46" s="29"/>
      <c r="E46" s="29"/>
      <c r="F46" s="29"/>
      <c r="I46" s="29"/>
      <c r="J46" s="1011" t="s">
        <v>270</v>
      </c>
      <c r="K46" s="1011" t="s">
        <v>196</v>
      </c>
      <c r="L46" s="450" t="s">
        <v>0</v>
      </c>
      <c r="M46" s="439" t="s">
        <v>200</v>
      </c>
      <c r="N46" s="454" t="s">
        <v>205</v>
      </c>
      <c r="O46" s="439" t="s">
        <v>31</v>
      </c>
      <c r="P46" s="448" t="s">
        <v>201</v>
      </c>
      <c r="Q46" s="455" t="s">
        <v>206</v>
      </c>
      <c r="R46" s="436" t="s">
        <v>22</v>
      </c>
      <c r="S46" s="438" t="s">
        <v>191</v>
      </c>
      <c r="T46" s="438" t="s">
        <v>244</v>
      </c>
      <c r="U46" s="26"/>
      <c r="V46" s="596" t="s">
        <v>0</v>
      </c>
      <c r="W46" s="436" t="s">
        <v>200</v>
      </c>
      <c r="X46" s="454" t="s">
        <v>205</v>
      </c>
      <c r="Y46" s="436" t="s">
        <v>31</v>
      </c>
      <c r="Z46" s="448" t="s">
        <v>201</v>
      </c>
      <c r="AA46" s="453" t="s">
        <v>206</v>
      </c>
      <c r="AB46" s="453" t="s">
        <v>210</v>
      </c>
      <c r="AC46" s="436" t="s">
        <v>22</v>
      </c>
      <c r="AD46" s="437" t="s">
        <v>191</v>
      </c>
      <c r="AE46" s="438" t="s">
        <v>244</v>
      </c>
      <c r="AF46" s="952" t="s">
        <v>32</v>
      </c>
      <c r="AG46" s="1131" t="s">
        <v>22</v>
      </c>
      <c r="AH46" s="1131" t="s">
        <v>25</v>
      </c>
      <c r="AI46" s="1292" t="s">
        <v>315</v>
      </c>
      <c r="AJ46" s="23"/>
      <c r="AK46" s="23"/>
      <c r="AL46" s="23"/>
      <c r="AM46" s="23"/>
      <c r="AN46" s="23"/>
      <c r="AO46" s="23"/>
      <c r="AP46" s="23"/>
      <c r="AQ46" s="23"/>
      <c r="AR46" s="23"/>
    </row>
    <row r="47" spans="1:59" ht="23.25">
      <c r="J47" s="441">
        <f>21+22+6+6+17.9</f>
        <v>72.900000000000006</v>
      </c>
      <c r="K47" s="441"/>
      <c r="L47" s="441" t="s">
        <v>189</v>
      </c>
      <c r="M47" s="470">
        <v>0</v>
      </c>
      <c r="N47" s="430">
        <v>0</v>
      </c>
      <c r="O47" s="430">
        <v>20</v>
      </c>
      <c r="P47" s="430">
        <v>0</v>
      </c>
      <c r="Q47" s="430">
        <v>25</v>
      </c>
      <c r="R47" s="430">
        <v>0</v>
      </c>
      <c r="S47" s="446">
        <f t="shared" ref="S47:S56" si="28">SUM(M47:R47)</f>
        <v>45</v>
      </c>
      <c r="T47" s="446">
        <v>32</v>
      </c>
      <c r="U47" s="26"/>
      <c r="V47" s="586" t="s">
        <v>189</v>
      </c>
      <c r="W47" s="430">
        <v>60.1</v>
      </c>
      <c r="X47" s="430">
        <v>5.04</v>
      </c>
      <c r="Y47" s="430">
        <v>0</v>
      </c>
      <c r="Z47" s="430">
        <v>25.47</v>
      </c>
      <c r="AA47" s="430">
        <v>33.08</v>
      </c>
      <c r="AB47" s="655">
        <v>0</v>
      </c>
      <c r="AC47" s="430"/>
      <c r="AD47" s="568">
        <f t="shared" ref="AD47:AD56" si="29">SUM(W47:AC47)</f>
        <v>123.69</v>
      </c>
      <c r="AE47" s="587">
        <f>L27+L28+L29</f>
        <v>0</v>
      </c>
      <c r="AF47" s="953">
        <v>17.940000000000001</v>
      </c>
      <c r="AG47" s="1017"/>
      <c r="AH47" s="1017"/>
      <c r="AI47" s="1017"/>
      <c r="AJ47" s="28"/>
      <c r="AK47" s="28"/>
      <c r="AL47" s="28"/>
      <c r="AM47" s="28"/>
      <c r="AN47" s="28"/>
      <c r="AO47" s="28"/>
      <c r="AP47" s="28"/>
      <c r="AQ47" s="28"/>
      <c r="AR47" s="28"/>
      <c r="AT47" s="24"/>
      <c r="AU47" s="25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</row>
    <row r="48" spans="1:59" ht="23.25">
      <c r="J48" s="441">
        <v>20</v>
      </c>
      <c r="K48" s="441"/>
      <c r="L48" s="441" t="s">
        <v>183</v>
      </c>
      <c r="M48" s="470">
        <v>20</v>
      </c>
      <c r="N48" s="430">
        <v>0</v>
      </c>
      <c r="O48" s="430">
        <v>0</v>
      </c>
      <c r="P48" s="430">
        <v>0</v>
      </c>
      <c r="Q48" s="430">
        <v>0</v>
      </c>
      <c r="R48" s="430">
        <v>0</v>
      </c>
      <c r="S48" s="446">
        <f t="shared" si="28"/>
        <v>20</v>
      </c>
      <c r="T48" s="446"/>
      <c r="U48" s="466"/>
      <c r="V48" s="586" t="s">
        <v>183</v>
      </c>
      <c r="W48" s="430">
        <v>12.5</v>
      </c>
      <c r="X48" s="430">
        <v>0</v>
      </c>
      <c r="Y48" s="430">
        <v>0</v>
      </c>
      <c r="Z48" s="430">
        <v>0</v>
      </c>
      <c r="AA48" s="430">
        <v>0</v>
      </c>
      <c r="AB48" s="655">
        <v>0</v>
      </c>
      <c r="AC48" s="430"/>
      <c r="AD48" s="568">
        <f t="shared" si="29"/>
        <v>12.5</v>
      </c>
      <c r="AE48" s="587">
        <f>P27+P28+P29</f>
        <v>0</v>
      </c>
      <c r="AF48" s="953">
        <v>20</v>
      </c>
      <c r="AG48" s="951"/>
      <c r="AH48" s="951"/>
      <c r="AI48" s="655"/>
      <c r="AL48" s="24"/>
      <c r="AM48" s="25"/>
      <c r="AP48" s="24"/>
      <c r="AQ48" s="25"/>
      <c r="AT48" s="24"/>
      <c r="AU48" s="25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</row>
    <row r="49" spans="4:59" ht="23.25">
      <c r="J49" s="441"/>
      <c r="K49" s="441"/>
      <c r="L49" s="441" t="s">
        <v>184</v>
      </c>
      <c r="M49" s="470">
        <v>0</v>
      </c>
      <c r="N49" s="430">
        <v>0</v>
      </c>
      <c r="O49" s="430">
        <v>0</v>
      </c>
      <c r="P49" s="430">
        <v>0</v>
      </c>
      <c r="Q49" s="430">
        <v>6</v>
      </c>
      <c r="R49" s="430">
        <v>0</v>
      </c>
      <c r="S49" s="446">
        <f t="shared" si="28"/>
        <v>6</v>
      </c>
      <c r="T49" s="446"/>
      <c r="U49" s="466"/>
      <c r="V49" s="586" t="s">
        <v>184</v>
      </c>
      <c r="W49" s="430">
        <v>10</v>
      </c>
      <c r="X49" s="430">
        <v>0</v>
      </c>
      <c r="Y49" s="430">
        <v>0</v>
      </c>
      <c r="Z49" s="430">
        <v>0</v>
      </c>
      <c r="AA49" s="430">
        <v>0</v>
      </c>
      <c r="AB49" s="655">
        <v>0</v>
      </c>
      <c r="AC49" s="430"/>
      <c r="AD49" s="568">
        <f t="shared" si="29"/>
        <v>10</v>
      </c>
      <c r="AE49" s="587">
        <f>T27+T28+T29</f>
        <v>0</v>
      </c>
      <c r="AF49" s="953"/>
      <c r="AG49" s="951">
        <v>24.27</v>
      </c>
      <c r="AH49" s="951"/>
      <c r="AI49" s="655"/>
      <c r="AL49" s="24"/>
      <c r="AM49" s="25"/>
      <c r="AP49" s="24"/>
      <c r="AQ49" s="25"/>
      <c r="AT49" s="24"/>
      <c r="AU49" s="25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</row>
    <row r="50" spans="4:59" ht="23.25">
      <c r="J50" s="441">
        <f>23+15</f>
        <v>38</v>
      </c>
      <c r="K50" s="441"/>
      <c r="L50" s="441" t="s">
        <v>192</v>
      </c>
      <c r="M50" s="470">
        <v>3</v>
      </c>
      <c r="N50" s="430">
        <v>2</v>
      </c>
      <c r="O50" s="430">
        <v>0</v>
      </c>
      <c r="P50" s="430">
        <v>0</v>
      </c>
      <c r="Q50" s="430">
        <v>0</v>
      </c>
      <c r="R50" s="430">
        <v>5</v>
      </c>
      <c r="S50" s="446">
        <f t="shared" si="28"/>
        <v>10</v>
      </c>
      <c r="T50" s="446"/>
      <c r="U50" s="466"/>
      <c r="V50" s="586" t="s">
        <v>192</v>
      </c>
      <c r="W50" s="430">
        <v>37.799999999999997</v>
      </c>
      <c r="X50" s="430">
        <v>0</v>
      </c>
      <c r="Y50" s="430">
        <v>0</v>
      </c>
      <c r="Z50" s="430">
        <v>0</v>
      </c>
      <c r="AA50" s="430">
        <v>0</v>
      </c>
      <c r="AB50" s="655">
        <v>0</v>
      </c>
      <c r="AC50" s="430"/>
      <c r="AD50" s="568">
        <f t="shared" si="29"/>
        <v>37.799999999999997</v>
      </c>
      <c r="AE50" s="587">
        <f>X27+X28+X29</f>
        <v>0</v>
      </c>
      <c r="AF50" s="953"/>
      <c r="AG50" s="951">
        <v>37.96</v>
      </c>
      <c r="AH50" s="951"/>
      <c r="AI50" s="655"/>
      <c r="AL50" s="24"/>
      <c r="AM50" s="25"/>
      <c r="AP50" s="24"/>
      <c r="AQ50" s="25"/>
      <c r="AT50" s="24"/>
      <c r="AU50" s="25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</row>
    <row r="51" spans="4:59" ht="23.25">
      <c r="J51" s="441"/>
      <c r="K51" s="441"/>
      <c r="L51" s="441" t="s">
        <v>171</v>
      </c>
      <c r="M51" s="470">
        <v>0</v>
      </c>
      <c r="N51" s="430">
        <v>3</v>
      </c>
      <c r="O51" s="430">
        <v>0</v>
      </c>
      <c r="P51" s="430">
        <v>0</v>
      </c>
      <c r="Q51" s="430">
        <v>0</v>
      </c>
      <c r="R51" s="430">
        <v>0</v>
      </c>
      <c r="S51" s="446">
        <f t="shared" si="28"/>
        <v>3</v>
      </c>
      <c r="T51" s="446"/>
      <c r="U51" s="466"/>
      <c r="V51" s="586" t="s">
        <v>171</v>
      </c>
      <c r="W51" s="430">
        <v>1.5</v>
      </c>
      <c r="X51" s="430">
        <v>0</v>
      </c>
      <c r="Y51" s="430">
        <v>0</v>
      </c>
      <c r="Z51" s="430">
        <v>0</v>
      </c>
      <c r="AA51" s="430">
        <v>0</v>
      </c>
      <c r="AB51" s="655">
        <v>0</v>
      </c>
      <c r="AC51" s="430"/>
      <c r="AD51" s="568">
        <f t="shared" si="29"/>
        <v>1.5</v>
      </c>
      <c r="AE51" s="587">
        <f>AB27+AB28+AB29</f>
        <v>0</v>
      </c>
      <c r="AF51" s="953"/>
      <c r="AG51" s="951"/>
      <c r="AH51" s="951">
        <v>25</v>
      </c>
      <c r="AI51" s="655"/>
      <c r="AL51" s="24"/>
      <c r="AM51" s="25"/>
      <c r="AP51" s="24"/>
      <c r="AQ51" s="25"/>
      <c r="AT51" s="24"/>
      <c r="AU51" s="25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</row>
    <row r="52" spans="4:59" ht="23.25">
      <c r="J52" s="441">
        <v>18</v>
      </c>
      <c r="K52" s="441">
        <v>18</v>
      </c>
      <c r="L52" s="441" t="s">
        <v>190</v>
      </c>
      <c r="M52" s="492">
        <v>15</v>
      </c>
      <c r="N52" s="471">
        <v>0</v>
      </c>
      <c r="O52" s="471">
        <v>0</v>
      </c>
      <c r="P52" s="471">
        <v>15</v>
      </c>
      <c r="Q52" s="430">
        <v>0</v>
      </c>
      <c r="R52" s="471">
        <v>0</v>
      </c>
      <c r="S52" s="446">
        <f t="shared" si="28"/>
        <v>30</v>
      </c>
      <c r="T52" s="446">
        <v>22</v>
      </c>
      <c r="U52" s="466"/>
      <c r="V52" s="586" t="s">
        <v>190</v>
      </c>
      <c r="W52" s="430">
        <v>45.5</v>
      </c>
      <c r="X52" s="430">
        <v>0</v>
      </c>
      <c r="Y52" s="430">
        <v>0</v>
      </c>
      <c r="Z52" s="430">
        <v>0</v>
      </c>
      <c r="AA52" s="430">
        <v>0</v>
      </c>
      <c r="AB52" s="655">
        <v>0</v>
      </c>
      <c r="AC52" s="430"/>
      <c r="AD52" s="568">
        <f t="shared" si="29"/>
        <v>45.5</v>
      </c>
      <c r="AE52" s="587">
        <f>AF27+AF28+AF29</f>
        <v>0</v>
      </c>
      <c r="AF52" s="954"/>
      <c r="AG52" s="951"/>
      <c r="AH52" s="951">
        <v>18.03</v>
      </c>
      <c r="AI52" s="655"/>
      <c r="AL52" s="24"/>
      <c r="AM52" s="25"/>
      <c r="AP52" s="24"/>
      <c r="AQ52" s="25"/>
      <c r="AT52" s="24"/>
      <c r="AU52" s="25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</row>
    <row r="53" spans="4:59" ht="23.25">
      <c r="J53" s="441"/>
      <c r="K53" s="441">
        <f>28+22+8+30</f>
        <v>88</v>
      </c>
      <c r="L53" s="441" t="s">
        <v>185</v>
      </c>
      <c r="M53" s="470">
        <v>20</v>
      </c>
      <c r="N53" s="430">
        <v>0</v>
      </c>
      <c r="O53" s="430">
        <v>0</v>
      </c>
      <c r="P53" s="430">
        <v>0</v>
      </c>
      <c r="Q53" s="430">
        <v>20</v>
      </c>
      <c r="R53" s="430">
        <v>0</v>
      </c>
      <c r="S53" s="446">
        <f t="shared" si="28"/>
        <v>40</v>
      </c>
      <c r="T53" s="446">
        <v>22</v>
      </c>
      <c r="U53" s="466"/>
      <c r="V53" s="586" t="s">
        <v>185</v>
      </c>
      <c r="W53" s="430">
        <v>35.700000000000003</v>
      </c>
      <c r="X53" s="430">
        <v>0</v>
      </c>
      <c r="Y53" s="430">
        <v>0</v>
      </c>
      <c r="Z53" s="430">
        <v>0</v>
      </c>
      <c r="AA53" s="430">
        <v>0</v>
      </c>
      <c r="AB53" s="655">
        <v>0</v>
      </c>
      <c r="AC53" s="430"/>
      <c r="AD53" s="568">
        <f t="shared" si="29"/>
        <v>35.700000000000003</v>
      </c>
      <c r="AE53" s="587">
        <f>AN27+AN28+AN29</f>
        <v>0</v>
      </c>
      <c r="AF53" s="954"/>
      <c r="AG53" s="951"/>
      <c r="AH53" s="951"/>
      <c r="AI53" s="655">
        <v>79.349999999999994</v>
      </c>
      <c r="AL53" s="24"/>
      <c r="AM53" s="25"/>
      <c r="AP53" s="24"/>
      <c r="AQ53" s="25"/>
      <c r="AT53" s="24"/>
      <c r="AU53" s="25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</row>
    <row r="54" spans="4:59" ht="23.25">
      <c r="J54" s="441"/>
      <c r="K54" s="441"/>
      <c r="L54" s="441" t="s">
        <v>202</v>
      </c>
      <c r="M54" s="470">
        <v>5</v>
      </c>
      <c r="N54" s="430">
        <v>1</v>
      </c>
      <c r="O54" s="430">
        <v>0</v>
      </c>
      <c r="P54" s="430">
        <v>0</v>
      </c>
      <c r="Q54" s="430">
        <v>0</v>
      </c>
      <c r="R54" s="430">
        <v>4</v>
      </c>
      <c r="S54" s="446">
        <f t="shared" si="28"/>
        <v>10</v>
      </c>
      <c r="T54" s="446"/>
      <c r="U54" s="466"/>
      <c r="V54" s="586" t="s">
        <v>202</v>
      </c>
      <c r="W54" s="430">
        <v>26.400000000000002</v>
      </c>
      <c r="X54" s="430">
        <v>0</v>
      </c>
      <c r="Y54" s="430">
        <v>0</v>
      </c>
      <c r="Z54" s="430">
        <v>0</v>
      </c>
      <c r="AA54" s="430">
        <v>0</v>
      </c>
      <c r="AB54" s="655">
        <v>0</v>
      </c>
      <c r="AC54" s="430"/>
      <c r="AD54" s="568">
        <f t="shared" si="29"/>
        <v>26.400000000000002</v>
      </c>
      <c r="AE54" s="587">
        <f>AR27+AR28+AR29</f>
        <v>0</v>
      </c>
      <c r="AF54" s="952"/>
      <c r="AG54" s="951"/>
      <c r="AH54" s="951"/>
      <c r="AI54" s="655"/>
      <c r="AL54" s="24"/>
      <c r="AM54" s="25"/>
      <c r="AP54" s="24"/>
      <c r="AQ54" s="25"/>
      <c r="AT54" s="24"/>
      <c r="AU54" s="25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</row>
    <row r="55" spans="4:59" ht="23.25">
      <c r="J55" s="441"/>
      <c r="K55" s="441"/>
      <c r="L55" s="441" t="s">
        <v>186</v>
      </c>
      <c r="M55" s="470">
        <v>20</v>
      </c>
      <c r="N55" s="430">
        <v>0</v>
      </c>
      <c r="O55" s="430">
        <v>0</v>
      </c>
      <c r="P55" s="430">
        <v>0</v>
      </c>
      <c r="Q55" s="430">
        <v>0</v>
      </c>
      <c r="R55" s="430">
        <v>0</v>
      </c>
      <c r="S55" s="446">
        <f t="shared" si="28"/>
        <v>20</v>
      </c>
      <c r="T55" s="446"/>
      <c r="U55" s="466"/>
      <c r="V55" s="586" t="s">
        <v>186</v>
      </c>
      <c r="W55" s="430">
        <v>41</v>
      </c>
      <c r="X55" s="430">
        <v>0</v>
      </c>
      <c r="Y55" s="430">
        <v>0</v>
      </c>
      <c r="Z55" s="430">
        <v>3.3</v>
      </c>
      <c r="AA55" s="430">
        <v>0</v>
      </c>
      <c r="AB55" s="655">
        <v>0</v>
      </c>
      <c r="AC55" s="430"/>
      <c r="AD55" s="568">
        <f t="shared" si="29"/>
        <v>44.3</v>
      </c>
      <c r="AE55" s="587">
        <f>AV27+AV28+AV29</f>
        <v>0</v>
      </c>
      <c r="AF55" s="952"/>
      <c r="AG55" s="951"/>
      <c r="AH55" s="951"/>
      <c r="AI55" s="655"/>
      <c r="AL55" s="24"/>
      <c r="AM55" s="25"/>
      <c r="AP55" s="24"/>
      <c r="AQ55" s="25"/>
      <c r="AT55" s="24"/>
      <c r="AU55" s="25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</row>
    <row r="56" spans="4:59" ht="23.25">
      <c r="J56" s="441"/>
      <c r="K56" s="441"/>
      <c r="L56" s="441" t="s">
        <v>203</v>
      </c>
      <c r="M56" s="470">
        <v>10</v>
      </c>
      <c r="N56" s="430">
        <v>0</v>
      </c>
      <c r="O56" s="430">
        <v>0</v>
      </c>
      <c r="P56" s="430">
        <v>0</v>
      </c>
      <c r="Q56" s="430">
        <v>0</v>
      </c>
      <c r="R56" s="430">
        <v>0</v>
      </c>
      <c r="S56" s="446">
        <f t="shared" si="28"/>
        <v>10</v>
      </c>
      <c r="T56" s="446"/>
      <c r="U56" s="466"/>
      <c r="V56" s="586" t="s">
        <v>203</v>
      </c>
      <c r="W56" s="430">
        <v>3</v>
      </c>
      <c r="X56" s="430">
        <v>2</v>
      </c>
      <c r="Y56" s="430">
        <v>0</v>
      </c>
      <c r="Z56" s="430">
        <v>1.5</v>
      </c>
      <c r="AA56" s="430">
        <v>14.89</v>
      </c>
      <c r="AB56" s="655">
        <v>0</v>
      </c>
      <c r="AC56" s="430"/>
      <c r="AD56" s="568">
        <f t="shared" si="29"/>
        <v>21.39</v>
      </c>
      <c r="AE56" s="587">
        <f>AZ27+AZ28+AZ29</f>
        <v>0</v>
      </c>
      <c r="AF56" s="952"/>
      <c r="AG56" s="951"/>
      <c r="AH56" s="951"/>
      <c r="AI56" s="655"/>
      <c r="AL56" s="24"/>
      <c r="AM56" s="25"/>
      <c r="AP56" s="24"/>
      <c r="AQ56" s="25"/>
      <c r="AT56" s="24"/>
      <c r="AU56" s="25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</row>
    <row r="57" spans="4:59" ht="24" thickBot="1">
      <c r="J57" s="442">
        <f t="shared" ref="J57:K57" si="30">SUM(J47:J56)</f>
        <v>148.9</v>
      </c>
      <c r="K57" s="442">
        <f t="shared" si="30"/>
        <v>106</v>
      </c>
      <c r="L57" s="442" t="s">
        <v>191</v>
      </c>
      <c r="M57" s="443">
        <f t="shared" ref="M57" si="31">SUM(M47:M56)</f>
        <v>93</v>
      </c>
      <c r="N57" s="444">
        <f>SUM(N47:N56)</f>
        <v>6</v>
      </c>
      <c r="O57" s="443">
        <f t="shared" ref="O57" si="32">SUM(O47:O56)</f>
        <v>20</v>
      </c>
      <c r="P57" s="444">
        <f>SUM(P47:P56)</f>
        <v>15</v>
      </c>
      <c r="Q57" s="444">
        <f>SUM(Q47:Q56)</f>
        <v>51</v>
      </c>
      <c r="R57" s="445">
        <f>SUM(R47:R56)</f>
        <v>9</v>
      </c>
      <c r="S57" s="451">
        <f>SUM(S47:S56)</f>
        <v>194</v>
      </c>
      <c r="T57" s="451">
        <f>SUM(T47:T56)</f>
        <v>76</v>
      </c>
      <c r="U57" s="466"/>
      <c r="V57" s="588" t="s">
        <v>191</v>
      </c>
      <c r="W57" s="589">
        <f t="shared" ref="W57" si="33">SUM(W47:W56)</f>
        <v>273.5</v>
      </c>
      <c r="X57" s="444">
        <f>SUM(X47:X56)</f>
        <v>7.04</v>
      </c>
      <c r="Y57" s="444">
        <f t="shared" ref="Y57" si="34">SUM(Y47:Y56)</f>
        <v>0</v>
      </c>
      <c r="Z57" s="444">
        <f>SUM(Z47:Z56)</f>
        <v>30.27</v>
      </c>
      <c r="AA57" s="444">
        <f>SUM(AA47:AA56)</f>
        <v>47.97</v>
      </c>
      <c r="AB57" s="444"/>
      <c r="AC57" s="444">
        <f t="shared" ref="AC57" si="35">SUM(AC47:AC56)</f>
        <v>0</v>
      </c>
      <c r="AD57" s="630">
        <f>SUM(AD47:AD56)</f>
        <v>358.78</v>
      </c>
      <c r="AE57" s="631">
        <f>SUM(AE47:AE56)</f>
        <v>0</v>
      </c>
      <c r="AF57" s="1016">
        <f t="shared" ref="AF57:AI57" si="36">SUM(AF47:AF56)</f>
        <v>37.94</v>
      </c>
      <c r="AG57" s="1015">
        <f t="shared" si="36"/>
        <v>62.230000000000004</v>
      </c>
      <c r="AH57" s="1015">
        <f t="shared" si="36"/>
        <v>43.03</v>
      </c>
      <c r="AI57" s="1015">
        <f t="shared" si="36"/>
        <v>79.349999999999994</v>
      </c>
      <c r="AL57" s="24"/>
      <c r="AM57" s="25"/>
      <c r="AP57" s="24"/>
      <c r="AQ57" s="25"/>
      <c r="AT57" s="24"/>
      <c r="AU57" s="25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</row>
    <row r="58" spans="4:59" ht="24" customHeight="1" thickBot="1">
      <c r="N58" s="24"/>
      <c r="O58" s="1924" t="s">
        <v>254</v>
      </c>
      <c r="P58" s="1925"/>
      <c r="Q58" s="1925"/>
      <c r="R58" s="1926"/>
      <c r="S58" s="1998">
        <f>S57+T57</f>
        <v>270</v>
      </c>
      <c r="T58" s="1998"/>
      <c r="U58" s="466"/>
      <c r="V58" s="1932" t="s">
        <v>221</v>
      </c>
      <c r="W58" s="1932"/>
      <c r="X58" s="1932"/>
      <c r="Y58" s="1932"/>
      <c r="Z58" s="1932"/>
      <c r="AA58" s="1932"/>
      <c r="AB58" s="1932"/>
      <c r="AC58" s="1932"/>
      <c r="AD58" s="1933">
        <f>AD57+AE57</f>
        <v>358.78</v>
      </c>
      <c r="AE58" s="1934"/>
      <c r="AF58" s="466"/>
      <c r="AH58" s="24"/>
      <c r="AI58" s="25"/>
      <c r="AL58" s="24"/>
      <c r="AM58" s="25"/>
      <c r="AP58" s="24"/>
      <c r="AQ58" s="25"/>
      <c r="AT58" s="24"/>
      <c r="AU58" s="25"/>
      <c r="AX58" s="24"/>
      <c r="AY58" s="24"/>
      <c r="AZ58" s="25"/>
      <c r="BA58" s="24"/>
      <c r="BB58" s="24"/>
      <c r="BC58" s="23"/>
      <c r="BD58" s="23"/>
      <c r="BE58" s="23"/>
      <c r="BF58" s="23"/>
      <c r="BG58" s="23"/>
    </row>
    <row r="59" spans="4:59" ht="27" thickBot="1">
      <c r="J59" s="24"/>
      <c r="N59" s="24"/>
      <c r="R59" s="24"/>
      <c r="T59" s="26"/>
      <c r="U59" s="26"/>
      <c r="V59" s="966"/>
      <c r="W59" s="966"/>
      <c r="X59" s="966"/>
      <c r="Y59" s="1922" t="s">
        <v>235</v>
      </c>
      <c r="Z59" s="1922"/>
      <c r="AA59" s="1922"/>
      <c r="AB59" s="1922"/>
      <c r="AC59" s="1922"/>
      <c r="AD59" s="1920">
        <f>BH6+BI6+BD20+BE20+X57+AF17+AG17</f>
        <v>7.04</v>
      </c>
      <c r="AE59" s="1921"/>
      <c r="AF59" s="466"/>
      <c r="AH59" s="24"/>
      <c r="AI59" s="25"/>
      <c r="AL59" s="24"/>
      <c r="AP59" s="25"/>
      <c r="AT59" s="25"/>
      <c r="AX59" s="25"/>
      <c r="AY59" s="24"/>
      <c r="AZ59" s="24"/>
      <c r="BA59" s="24"/>
      <c r="BB59" s="25"/>
      <c r="BE59" s="23"/>
      <c r="BF59" s="23"/>
      <c r="BG59" s="23"/>
    </row>
    <row r="60" spans="4:59" s="28" customFormat="1" ht="30" customHeight="1" thickBot="1">
      <c r="D60" s="29"/>
      <c r="E60" s="29"/>
      <c r="F60" s="29"/>
      <c r="I60" s="29"/>
      <c r="J60" s="24"/>
      <c r="K60" s="24"/>
      <c r="L60" s="1923" t="s">
        <v>344</v>
      </c>
      <c r="M60" s="1937"/>
      <c r="N60" s="1937"/>
      <c r="O60" s="1937"/>
      <c r="P60" s="1937"/>
      <c r="Q60" s="1937"/>
      <c r="R60" s="1937"/>
      <c r="S60" s="1937"/>
      <c r="T60" s="1937"/>
      <c r="U60" s="1938"/>
      <c r="V60" s="966"/>
      <c r="W60" s="966"/>
      <c r="X60" s="966"/>
      <c r="Y60" s="1013"/>
      <c r="Z60" s="966"/>
      <c r="AA60" s="966"/>
      <c r="AB60" s="966"/>
      <c r="AC60" s="1013"/>
      <c r="AD60" s="966">
        <v>130</v>
      </c>
      <c r="AE60" s="964"/>
      <c r="AF60" s="966"/>
      <c r="AG60" s="964"/>
      <c r="AH60" s="964"/>
      <c r="AI60" s="967"/>
      <c r="AJ60" s="964"/>
      <c r="AK60" s="964"/>
      <c r="AL60" s="964"/>
      <c r="AM60" s="964"/>
      <c r="AN60" s="964"/>
      <c r="AO60" s="964"/>
      <c r="AP60" s="967"/>
      <c r="AQ60" s="964"/>
      <c r="AR60" s="964"/>
      <c r="AS60" s="964"/>
      <c r="AT60" s="967"/>
      <c r="AU60" s="964"/>
      <c r="AV60" s="964"/>
      <c r="AW60" s="964"/>
      <c r="AX60" s="967"/>
      <c r="AY60" s="965"/>
      <c r="AZ60" s="965"/>
      <c r="BA60" s="964"/>
      <c r="BB60" s="964"/>
      <c r="BC60" s="967"/>
      <c r="BD60" s="967"/>
      <c r="BE60" s="964"/>
    </row>
    <row r="61" spans="4:59" ht="38.25" customHeight="1">
      <c r="J61" s="24"/>
      <c r="L61" s="596" t="s">
        <v>0</v>
      </c>
      <c r="M61" s="436" t="s">
        <v>200</v>
      </c>
      <c r="N61" s="454" t="s">
        <v>205</v>
      </c>
      <c r="O61" s="436" t="s">
        <v>31</v>
      </c>
      <c r="P61" s="448" t="s">
        <v>201</v>
      </c>
      <c r="Q61" s="453" t="s">
        <v>206</v>
      </c>
      <c r="R61" s="453" t="s">
        <v>210</v>
      </c>
      <c r="S61" s="436" t="s">
        <v>22</v>
      </c>
      <c r="T61" s="437" t="s">
        <v>191</v>
      </c>
      <c r="U61" s="438" t="s">
        <v>244</v>
      </c>
      <c r="V61" s="466"/>
      <c r="W61" s="466"/>
      <c r="X61" s="466"/>
      <c r="Y61" s="465"/>
      <c r="Z61" s="466"/>
      <c r="AA61" s="466"/>
      <c r="AB61" s="466"/>
      <c r="AC61" s="465"/>
      <c r="AD61" s="466"/>
      <c r="AF61" s="466"/>
      <c r="AH61" s="24"/>
      <c r="AI61" s="25"/>
      <c r="AL61" s="24"/>
      <c r="AM61" s="26"/>
      <c r="AN61" s="26"/>
      <c r="AP61" s="24"/>
      <c r="AQ61" s="26"/>
      <c r="AR61" s="26"/>
      <c r="AT61" s="24"/>
      <c r="AU61" s="26"/>
      <c r="AV61" s="26"/>
      <c r="AX61" s="24"/>
      <c r="AY61" s="26"/>
      <c r="AZ61" s="26"/>
      <c r="BA61" s="24"/>
      <c r="BB61" s="24"/>
      <c r="BC61" s="25"/>
      <c r="BD61" s="25"/>
      <c r="BF61" s="23"/>
      <c r="BG61" s="23"/>
    </row>
    <row r="62" spans="4:59" ht="23.25">
      <c r="J62" s="24"/>
      <c r="L62" s="586" t="s">
        <v>189</v>
      </c>
      <c r="M62" s="430">
        <v>6</v>
      </c>
      <c r="N62" s="430">
        <v>0</v>
      </c>
      <c r="O62" s="430">
        <v>0</v>
      </c>
      <c r="P62" s="430">
        <v>0</v>
      </c>
      <c r="Q62" s="430">
        <v>0</v>
      </c>
      <c r="R62" s="655">
        <v>0</v>
      </c>
      <c r="S62" s="430"/>
      <c r="T62" s="568">
        <f t="shared" ref="T62:T71" si="37">SUM(M62:S62)</f>
        <v>6</v>
      </c>
      <c r="U62" s="587">
        <v>32</v>
      </c>
      <c r="V62" s="466"/>
      <c r="W62" s="466"/>
      <c r="X62" s="466"/>
      <c r="Y62" s="465"/>
      <c r="Z62" s="466"/>
      <c r="AA62" s="466"/>
      <c r="AB62" s="466"/>
      <c r="AC62" s="465"/>
      <c r="AD62" s="466"/>
      <c r="AF62" s="466"/>
      <c r="AH62" s="24"/>
      <c r="AI62" s="25"/>
      <c r="AL62" s="24"/>
      <c r="AM62" s="26"/>
      <c r="AN62" s="26"/>
      <c r="AP62" s="24"/>
      <c r="AQ62" s="26"/>
      <c r="AR62" s="26"/>
      <c r="AT62" s="24"/>
      <c r="AU62" s="26"/>
      <c r="AV62" s="26"/>
      <c r="AX62" s="24"/>
      <c r="AY62" s="26"/>
      <c r="AZ62" s="26"/>
      <c r="BA62" s="24"/>
      <c r="BB62" s="24"/>
      <c r="BC62" s="25"/>
      <c r="BD62" s="25"/>
      <c r="BF62" s="23"/>
      <c r="BG62" s="23"/>
    </row>
    <row r="63" spans="4:59" ht="23.25">
      <c r="J63" s="24"/>
      <c r="L63" s="586" t="s">
        <v>183</v>
      </c>
      <c r="M63" s="430">
        <v>19</v>
      </c>
      <c r="N63" s="430">
        <v>0</v>
      </c>
      <c r="O63" s="430">
        <v>0</v>
      </c>
      <c r="P63" s="430">
        <v>0</v>
      </c>
      <c r="Q63" s="430">
        <v>0</v>
      </c>
      <c r="R63" s="655">
        <v>0</v>
      </c>
      <c r="S63" s="430"/>
      <c r="T63" s="568">
        <f t="shared" si="37"/>
        <v>19</v>
      </c>
      <c r="U63" s="587"/>
      <c r="V63" s="466"/>
      <c r="W63" s="466"/>
      <c r="X63" s="466"/>
      <c r="Y63" s="465"/>
      <c r="Z63" s="466"/>
      <c r="AA63" s="466"/>
      <c r="AB63" s="466"/>
      <c r="AC63" s="465"/>
      <c r="AD63" s="466"/>
      <c r="AG63" s="26"/>
      <c r="AH63" s="24"/>
      <c r="AK63" s="49"/>
      <c r="AL63" s="24"/>
      <c r="AM63" s="26"/>
      <c r="AN63" s="26"/>
      <c r="AP63" s="24"/>
      <c r="AQ63" s="26"/>
      <c r="AR63" s="26"/>
      <c r="AT63" s="24"/>
      <c r="AU63" s="26"/>
      <c r="AV63" s="26"/>
      <c r="AX63" s="24"/>
      <c r="AY63" s="26"/>
      <c r="AZ63" s="26"/>
      <c r="BA63" s="24"/>
      <c r="BB63" s="24"/>
      <c r="BC63" s="25"/>
      <c r="BD63" s="25"/>
      <c r="BF63" s="23"/>
      <c r="BG63" s="23"/>
    </row>
    <row r="64" spans="4:59" ht="23.25">
      <c r="J64" s="24"/>
      <c r="L64" s="586" t="s">
        <v>184</v>
      </c>
      <c r="M64" s="430">
        <v>16</v>
      </c>
      <c r="N64" s="430">
        <v>0</v>
      </c>
      <c r="O64" s="430">
        <v>0</v>
      </c>
      <c r="P64" s="430">
        <v>0</v>
      </c>
      <c r="Q64" s="430">
        <v>0</v>
      </c>
      <c r="R64" s="655">
        <v>0</v>
      </c>
      <c r="S64" s="430"/>
      <c r="T64" s="568">
        <f t="shared" si="37"/>
        <v>16</v>
      </c>
      <c r="U64" s="587"/>
      <c r="V64" s="466"/>
      <c r="W64" s="466"/>
      <c r="X64" s="466"/>
      <c r="Y64" s="465"/>
      <c r="Z64" s="466"/>
      <c r="AA64" s="466"/>
      <c r="AB64" s="466"/>
      <c r="AC64" s="465"/>
      <c r="AD64" s="466"/>
      <c r="AG64" s="26"/>
      <c r="AH64" s="24"/>
      <c r="AK64" s="49"/>
      <c r="AL64" s="24"/>
      <c r="AO64" s="26"/>
      <c r="AP64" s="24"/>
      <c r="AQ64" s="26"/>
      <c r="AR64" s="26"/>
      <c r="AT64" s="24"/>
      <c r="AU64" s="26"/>
      <c r="AV64" s="26"/>
      <c r="AX64" s="24"/>
      <c r="AY64" s="26"/>
      <c r="AZ64" s="26"/>
      <c r="BA64" s="24"/>
      <c r="BB64" s="24"/>
      <c r="BE64" s="25"/>
      <c r="BF64" s="24"/>
      <c r="BG64" s="23"/>
    </row>
    <row r="65" spans="10:59" ht="23.25">
      <c r="J65" s="24"/>
      <c r="L65" s="586" t="s">
        <v>192</v>
      </c>
      <c r="M65" s="430">
        <v>0.5</v>
      </c>
      <c r="N65" s="430">
        <v>0</v>
      </c>
      <c r="O65" s="430">
        <v>0</v>
      </c>
      <c r="P65" s="430">
        <v>0</v>
      </c>
      <c r="Q65" s="430">
        <v>0</v>
      </c>
      <c r="R65" s="655"/>
      <c r="S65" s="430">
        <v>5</v>
      </c>
      <c r="T65" s="568">
        <f t="shared" si="37"/>
        <v>5.5</v>
      </c>
      <c r="U65" s="587"/>
      <c r="V65" s="466"/>
      <c r="W65" s="466"/>
      <c r="X65" s="466"/>
      <c r="Y65" s="465"/>
      <c r="Z65" s="466"/>
      <c r="AA65" s="466"/>
      <c r="AB65" s="466"/>
      <c r="AC65" s="465"/>
      <c r="AD65" s="466"/>
      <c r="AG65" s="26"/>
      <c r="AH65" s="24"/>
      <c r="AK65" s="49"/>
      <c r="AL65" s="24"/>
      <c r="AO65" s="26"/>
      <c r="AP65" s="24"/>
      <c r="AQ65" s="26"/>
      <c r="AR65" s="26"/>
      <c r="AT65" s="24"/>
      <c r="AU65" s="26"/>
      <c r="AV65" s="26"/>
      <c r="AX65" s="24"/>
      <c r="AY65" s="26"/>
      <c r="AZ65" s="26"/>
      <c r="BA65" s="24"/>
      <c r="BB65" s="24"/>
      <c r="BE65" s="25"/>
      <c r="BF65" s="24"/>
      <c r="BG65" s="23"/>
    </row>
    <row r="66" spans="10:59" ht="23.25">
      <c r="J66" s="24"/>
      <c r="L66" s="586" t="s">
        <v>171</v>
      </c>
      <c r="M66" s="430">
        <v>0</v>
      </c>
      <c r="N66" s="430">
        <v>0</v>
      </c>
      <c r="O66" s="430">
        <v>0</v>
      </c>
      <c r="P66" s="430">
        <v>0</v>
      </c>
      <c r="Q66" s="430">
        <v>0</v>
      </c>
      <c r="R66" s="655">
        <v>0</v>
      </c>
      <c r="S66" s="430"/>
      <c r="T66" s="568">
        <f t="shared" si="37"/>
        <v>0</v>
      </c>
      <c r="U66" s="587"/>
      <c r="V66" s="466"/>
      <c r="W66" s="466"/>
      <c r="X66" s="466"/>
      <c r="Y66" s="465"/>
      <c r="Z66" s="466"/>
      <c r="AA66" s="466"/>
      <c r="AB66" s="466"/>
      <c r="AC66" s="465"/>
      <c r="AD66" s="466"/>
      <c r="AG66" s="26"/>
      <c r="AH66" s="24"/>
      <c r="AK66" s="49"/>
      <c r="AL66" s="24"/>
      <c r="AO66" s="26"/>
      <c r="AP66" s="24"/>
      <c r="AQ66" s="26"/>
      <c r="AR66" s="26"/>
      <c r="AT66" s="24"/>
      <c r="AU66" s="26"/>
      <c r="AV66" s="26"/>
      <c r="AX66" s="24"/>
      <c r="AY66" s="26"/>
      <c r="AZ66" s="26"/>
      <c r="BA66" s="24"/>
      <c r="BB66" s="24"/>
      <c r="BE66" s="25"/>
      <c r="BF66" s="24"/>
      <c r="BG66" s="23"/>
    </row>
    <row r="67" spans="10:59" ht="23.25">
      <c r="J67" s="24"/>
      <c r="L67" s="586" t="s">
        <v>190</v>
      </c>
      <c r="M67" s="430">
        <v>20</v>
      </c>
      <c r="N67" s="430">
        <v>0</v>
      </c>
      <c r="O67" s="430">
        <v>0</v>
      </c>
      <c r="P67" s="430">
        <v>0</v>
      </c>
      <c r="Q67" s="430">
        <v>0</v>
      </c>
      <c r="R67" s="655">
        <v>0</v>
      </c>
      <c r="S67" s="430"/>
      <c r="T67" s="568">
        <f t="shared" si="37"/>
        <v>20</v>
      </c>
      <c r="U67" s="587">
        <v>22</v>
      </c>
      <c r="V67" s="466"/>
      <c r="W67" s="466"/>
      <c r="X67" s="466"/>
      <c r="Y67" s="465"/>
      <c r="Z67" s="466"/>
      <c r="AA67" s="466"/>
      <c r="AB67" s="466"/>
      <c r="AC67" s="465"/>
      <c r="AD67" s="466"/>
      <c r="AG67" s="26"/>
      <c r="AH67" s="24"/>
      <c r="AK67" s="49"/>
      <c r="AL67" s="24"/>
      <c r="AO67" s="26"/>
      <c r="AP67" s="24"/>
      <c r="AQ67" s="26"/>
      <c r="AR67" s="26"/>
      <c r="AT67" s="24"/>
      <c r="AU67" s="26"/>
      <c r="AV67" s="26"/>
      <c r="AX67" s="24"/>
      <c r="AY67" s="26"/>
      <c r="AZ67" s="26"/>
      <c r="BA67" s="24"/>
      <c r="BB67" s="24"/>
      <c r="BE67" s="25"/>
      <c r="BF67" s="24"/>
      <c r="BG67" s="23"/>
    </row>
    <row r="68" spans="10:59" ht="23.25">
      <c r="J68" s="24"/>
      <c r="L68" s="586" t="s">
        <v>185</v>
      </c>
      <c r="M68" s="430">
        <v>25</v>
      </c>
      <c r="N68" s="430">
        <v>0</v>
      </c>
      <c r="O68" s="430">
        <v>0</v>
      </c>
      <c r="P68" s="430">
        <v>0</v>
      </c>
      <c r="Q68" s="430">
        <v>0</v>
      </c>
      <c r="R68" s="655">
        <v>0</v>
      </c>
      <c r="S68" s="430"/>
      <c r="T68" s="568">
        <f t="shared" si="37"/>
        <v>25</v>
      </c>
      <c r="U68" s="587">
        <v>20</v>
      </c>
      <c r="V68" s="466"/>
      <c r="W68" s="466"/>
      <c r="X68" s="466"/>
      <c r="Y68" s="465"/>
      <c r="Z68" s="466"/>
      <c r="AA68" s="466"/>
      <c r="AB68" s="466"/>
      <c r="AC68" s="465"/>
      <c r="AD68" s="466"/>
      <c r="AG68" s="26"/>
      <c r="AH68" s="24"/>
      <c r="AK68" s="49"/>
      <c r="AL68" s="24"/>
      <c r="AO68" s="26"/>
      <c r="AP68" s="24"/>
      <c r="AQ68" s="26"/>
      <c r="AR68" s="26"/>
      <c r="AT68" s="24"/>
      <c r="AU68" s="26"/>
      <c r="AV68" s="26"/>
      <c r="AX68" s="24"/>
      <c r="AY68" s="26"/>
      <c r="AZ68" s="26"/>
      <c r="BA68" s="24"/>
      <c r="BB68" s="24"/>
      <c r="BE68" s="25"/>
      <c r="BF68" s="24"/>
      <c r="BG68" s="23"/>
    </row>
    <row r="69" spans="10:59" ht="23.25">
      <c r="L69" s="586" t="s">
        <v>202</v>
      </c>
      <c r="M69" s="430">
        <v>3</v>
      </c>
      <c r="N69" s="430">
        <v>1.77</v>
      </c>
      <c r="O69" s="430">
        <v>0</v>
      </c>
      <c r="P69" s="430">
        <v>0</v>
      </c>
      <c r="Q69" s="430">
        <v>0</v>
      </c>
      <c r="R69" s="655">
        <v>0</v>
      </c>
      <c r="S69" s="430"/>
      <c r="T69" s="568">
        <f t="shared" si="37"/>
        <v>4.7699999999999996</v>
      </c>
      <c r="U69" s="587"/>
      <c r="V69" s="466"/>
      <c r="W69" s="466"/>
      <c r="X69" s="466"/>
      <c r="Y69" s="465"/>
      <c r="Z69" s="466"/>
      <c r="AA69" s="466"/>
      <c r="AB69" s="466"/>
      <c r="AC69" s="465"/>
      <c r="AD69" s="466"/>
      <c r="AG69" s="26"/>
      <c r="AH69" s="24"/>
      <c r="AK69" s="49"/>
      <c r="AL69" s="24"/>
      <c r="AO69" s="26"/>
      <c r="AP69" s="24"/>
      <c r="AQ69" s="26"/>
      <c r="AR69" s="26"/>
      <c r="AT69" s="24"/>
      <c r="AU69" s="26"/>
      <c r="AV69" s="26"/>
      <c r="AX69" s="24"/>
      <c r="AY69" s="26"/>
      <c r="AZ69" s="26"/>
      <c r="BA69" s="24"/>
      <c r="BB69" s="24"/>
      <c r="BE69" s="25"/>
      <c r="BF69" s="24"/>
      <c r="BG69" s="23"/>
    </row>
    <row r="70" spans="10:59" ht="23.25">
      <c r="L70" s="586" t="s">
        <v>186</v>
      </c>
      <c r="M70" s="430">
        <v>28</v>
      </c>
      <c r="N70" s="430">
        <v>1</v>
      </c>
      <c r="O70" s="430">
        <v>0</v>
      </c>
      <c r="P70" s="430">
        <v>5</v>
      </c>
      <c r="Q70" s="430">
        <v>0</v>
      </c>
      <c r="R70" s="655">
        <v>0</v>
      </c>
      <c r="S70" s="430"/>
      <c r="T70" s="568">
        <f t="shared" si="37"/>
        <v>34</v>
      </c>
      <c r="U70" s="587"/>
      <c r="V70" s="466"/>
      <c r="W70" s="466"/>
      <c r="X70" s="466"/>
      <c r="Y70" s="465"/>
      <c r="Z70" s="466"/>
      <c r="AA70" s="466"/>
      <c r="AB70" s="466"/>
      <c r="AC70" s="465"/>
      <c r="AD70" s="466"/>
      <c r="AG70" s="26"/>
      <c r="AH70" s="24"/>
      <c r="AK70" s="49"/>
      <c r="AL70" s="24"/>
      <c r="AM70" s="26"/>
      <c r="AN70" s="26"/>
      <c r="AY70" s="24"/>
      <c r="AZ70" s="24"/>
      <c r="BA70" s="24"/>
      <c r="BB70" s="24"/>
      <c r="BC70" s="25"/>
      <c r="BD70" s="25"/>
      <c r="BF70" s="23"/>
      <c r="BG70" s="23"/>
    </row>
    <row r="71" spans="10:59" ht="23.25">
      <c r="L71" s="586" t="s">
        <v>203</v>
      </c>
      <c r="M71" s="430">
        <v>1</v>
      </c>
      <c r="N71" s="430">
        <v>0</v>
      </c>
      <c r="O71" s="430">
        <v>0</v>
      </c>
      <c r="P71" s="430">
        <v>0</v>
      </c>
      <c r="Q71" s="430">
        <v>0</v>
      </c>
      <c r="R71" s="655">
        <v>0</v>
      </c>
      <c r="S71" s="430"/>
      <c r="T71" s="568">
        <f t="shared" si="37"/>
        <v>1</v>
      </c>
      <c r="U71" s="587"/>
      <c r="V71" s="466"/>
      <c r="W71" s="466"/>
      <c r="X71" s="466"/>
      <c r="Y71" s="465"/>
      <c r="Z71" s="466"/>
      <c r="AA71" s="466"/>
      <c r="AB71" s="466"/>
      <c r="AC71" s="465"/>
      <c r="AD71" s="466"/>
      <c r="AG71" s="26"/>
      <c r="AH71" s="24"/>
      <c r="AK71" s="49"/>
      <c r="AL71" s="24"/>
      <c r="AM71" s="26"/>
      <c r="AN71" s="26"/>
      <c r="AY71" s="24"/>
      <c r="AZ71" s="24"/>
      <c r="BA71" s="24"/>
      <c r="BB71" s="24"/>
      <c r="BC71" s="25"/>
      <c r="BD71" s="25"/>
      <c r="BF71" s="23"/>
      <c r="BG71" s="23"/>
    </row>
    <row r="72" spans="10:59" ht="24" thickBot="1">
      <c r="L72" s="588" t="s">
        <v>191</v>
      </c>
      <c r="M72" s="589">
        <f t="shared" ref="M72" si="38">SUM(M62:M71)</f>
        <v>118.5</v>
      </c>
      <c r="N72" s="444">
        <f>SUM(N62:N71)</f>
        <v>2.77</v>
      </c>
      <c r="O72" s="444">
        <f t="shared" ref="O72" si="39">SUM(O62:O71)</f>
        <v>0</v>
      </c>
      <c r="P72" s="444">
        <f>SUM(P62:P71)</f>
        <v>5</v>
      </c>
      <c r="Q72" s="444">
        <f>SUM(Q62:Q71)</f>
        <v>0</v>
      </c>
      <c r="R72" s="444">
        <f>SUM(R62:R71)</f>
        <v>0</v>
      </c>
      <c r="S72" s="444">
        <f t="shared" ref="S72" si="40">SUM(S62:S71)</f>
        <v>5</v>
      </c>
      <c r="T72" s="630">
        <f>SUM(T62:T71)</f>
        <v>131.26999999999998</v>
      </c>
      <c r="U72" s="631">
        <f>SUM(U62:U71)</f>
        <v>74</v>
      </c>
      <c r="V72" s="466"/>
      <c r="W72" s="466"/>
      <c r="X72" s="466"/>
      <c r="Y72" s="465"/>
      <c r="Z72" s="466"/>
      <c r="AA72" s="466"/>
      <c r="AB72" s="466"/>
      <c r="AC72" s="465"/>
      <c r="AD72" s="466"/>
      <c r="AG72" s="26"/>
      <c r="AH72" s="24"/>
      <c r="AI72" s="24">
        <v>7</v>
      </c>
      <c r="AK72" s="49"/>
      <c r="AL72" s="24"/>
      <c r="AM72" s="26"/>
      <c r="AN72" s="26"/>
      <c r="AY72" s="24"/>
      <c r="AZ72" s="24"/>
      <c r="BA72" s="24"/>
      <c r="BB72" s="24"/>
      <c r="BC72" s="25"/>
      <c r="BD72" s="25"/>
      <c r="BF72" s="23"/>
      <c r="BG72" s="23"/>
    </row>
    <row r="73" spans="10:59" ht="33" customHeight="1" thickBot="1">
      <c r="L73" s="1932" t="s">
        <v>221</v>
      </c>
      <c r="M73" s="1932"/>
      <c r="N73" s="1932"/>
      <c r="O73" s="1932"/>
      <c r="P73" s="1932"/>
      <c r="Q73" s="1932"/>
      <c r="R73" s="1932"/>
      <c r="S73" s="1932"/>
      <c r="T73" s="1933">
        <f>T72+U72</f>
        <v>205.26999999999998</v>
      </c>
      <c r="U73" s="1934"/>
      <c r="V73" s="466"/>
      <c r="W73" s="466"/>
      <c r="X73" s="466"/>
      <c r="Y73" s="465"/>
      <c r="Z73" s="466"/>
      <c r="AA73" s="466"/>
      <c r="AB73" s="466"/>
      <c r="AC73" s="465"/>
      <c r="AD73" s="466"/>
      <c r="AG73" s="26"/>
      <c r="AH73" s="24"/>
      <c r="AI73" s="24">
        <v>18</v>
      </c>
      <c r="AK73" s="49"/>
      <c r="AL73" s="24"/>
      <c r="AM73" s="26"/>
      <c r="AN73" s="26"/>
      <c r="AY73" s="24"/>
      <c r="AZ73" s="24"/>
      <c r="BA73" s="24"/>
      <c r="BB73" s="24"/>
      <c r="BC73" s="25"/>
      <c r="BD73" s="25"/>
      <c r="BF73" s="23"/>
      <c r="BG73" s="23"/>
    </row>
    <row r="74" spans="10:59" ht="27" customHeight="1">
      <c r="L74" s="966"/>
      <c r="M74" s="966"/>
      <c r="N74" s="966"/>
      <c r="O74" s="1922" t="s">
        <v>235</v>
      </c>
      <c r="P74" s="1922"/>
      <c r="Q74" s="1922"/>
      <c r="R74" s="1922"/>
      <c r="S74" s="1922"/>
      <c r="T74" s="1920">
        <f>M72+U62+U67</f>
        <v>172.5</v>
      </c>
      <c r="U74" s="1921"/>
      <c r="V74" s="466"/>
      <c r="W74" s="466"/>
      <c r="X74" s="466"/>
      <c r="Y74" s="465"/>
      <c r="Z74" s="466"/>
      <c r="AA74" s="466"/>
      <c r="AB74" s="466"/>
      <c r="AC74" s="465"/>
      <c r="AD74" s="466"/>
      <c r="AG74" s="26"/>
      <c r="AH74" s="24"/>
      <c r="AK74" s="49"/>
      <c r="AL74" s="24"/>
      <c r="AM74" s="26"/>
      <c r="AN74" s="26"/>
      <c r="AP74" s="24"/>
      <c r="AQ74" s="26"/>
      <c r="AR74" s="26"/>
      <c r="AT74" s="24"/>
      <c r="AU74" s="26"/>
      <c r="AV74" s="26"/>
      <c r="AW74" s="50"/>
      <c r="AX74" s="50"/>
      <c r="AY74" s="26"/>
      <c r="AZ74" s="26"/>
      <c r="BA74" s="24"/>
      <c r="BB74" s="24"/>
      <c r="BC74" s="25"/>
      <c r="BD74" s="25"/>
      <c r="BF74" s="23"/>
      <c r="BG74" s="23"/>
    </row>
    <row r="75" spans="10:59">
      <c r="L75" s="26"/>
      <c r="M75" s="26"/>
      <c r="N75" s="24"/>
      <c r="P75" s="26"/>
      <c r="Q75" s="26"/>
      <c r="R75" s="24"/>
      <c r="S75" s="964"/>
      <c r="T75" s="965"/>
      <c r="U75" s="965"/>
      <c r="V75" s="466"/>
      <c r="W75" s="466"/>
      <c r="X75" s="466"/>
      <c r="Y75" s="466"/>
      <c r="Z75" s="465"/>
      <c r="AA75" s="466"/>
      <c r="AB75" s="466"/>
      <c r="AC75" s="466"/>
      <c r="AD75" s="465"/>
      <c r="AE75" s="466"/>
      <c r="AN75" s="26"/>
      <c r="AO75" s="26"/>
      <c r="AP75" s="24"/>
      <c r="AR75" s="26"/>
      <c r="AS75" s="26"/>
      <c r="AT75" s="24"/>
      <c r="AV75" s="26"/>
      <c r="AW75" s="26"/>
      <c r="AX75" s="50"/>
      <c r="AZ75" s="26"/>
      <c r="BA75" s="26"/>
      <c r="BB75" s="24"/>
      <c r="BD75" s="25"/>
      <c r="BE75" s="25"/>
      <c r="BF75" s="24"/>
      <c r="BG75" s="23"/>
    </row>
    <row r="76" spans="10:59">
      <c r="L76" s="26"/>
      <c r="M76" s="26"/>
      <c r="N76" s="24"/>
      <c r="P76" s="26"/>
      <c r="Q76" s="26"/>
      <c r="R76" s="24"/>
      <c r="S76" s="964"/>
      <c r="T76" s="965"/>
      <c r="U76" s="965"/>
      <c r="V76" s="466"/>
      <c r="W76" s="466"/>
      <c r="X76" s="466"/>
      <c r="Y76" s="466"/>
      <c r="Z76" s="465"/>
      <c r="AA76" s="466"/>
      <c r="AB76" s="466"/>
      <c r="AC76" s="466"/>
      <c r="AD76" s="465"/>
      <c r="AE76" s="466"/>
      <c r="AN76" s="26"/>
      <c r="AO76" s="26"/>
      <c r="AP76" s="24"/>
      <c r="AR76" s="26"/>
      <c r="AS76" s="26"/>
      <c r="AT76" s="24"/>
      <c r="AV76" s="26"/>
      <c r="AW76" s="26"/>
      <c r="AX76" s="50"/>
      <c r="AZ76" s="26"/>
      <c r="BA76" s="26"/>
      <c r="BB76" s="24"/>
      <c r="BD76" s="25"/>
      <c r="BE76" s="25"/>
      <c r="BF76" s="24"/>
      <c r="BG76" s="23"/>
    </row>
    <row r="77" spans="10:59">
      <c r="L77" s="26"/>
      <c r="M77" s="26"/>
      <c r="N77" s="24"/>
      <c r="P77" s="26"/>
      <c r="Q77" s="26"/>
      <c r="R77" s="24"/>
      <c r="S77" s="964"/>
      <c r="T77" s="965"/>
      <c r="U77" s="965"/>
      <c r="V77" s="466"/>
      <c r="W77" s="466"/>
      <c r="X77" s="466"/>
      <c r="Y77" s="466"/>
      <c r="Z77" s="465"/>
      <c r="AA77" s="466"/>
      <c r="AB77" s="466"/>
      <c r="AC77" s="466"/>
      <c r="AD77" s="465"/>
      <c r="AE77" s="466"/>
      <c r="AN77" s="26"/>
      <c r="AO77" s="26"/>
      <c r="AP77" s="24"/>
      <c r="AR77" s="26"/>
      <c r="AS77" s="26"/>
      <c r="AT77" s="24"/>
      <c r="AV77" s="26"/>
      <c r="AW77" s="26"/>
      <c r="AX77" s="50"/>
      <c r="AZ77" s="26"/>
      <c r="BA77" s="26"/>
      <c r="BB77" s="24"/>
      <c r="BD77" s="25"/>
      <c r="BE77" s="25"/>
      <c r="BF77" s="24"/>
      <c r="BG77" s="23"/>
    </row>
    <row r="78" spans="10:59">
      <c r="L78" s="26"/>
      <c r="M78" s="26"/>
      <c r="N78" s="24"/>
      <c r="P78" s="26"/>
      <c r="Q78" s="26"/>
      <c r="R78" s="24"/>
      <c r="S78" s="964"/>
      <c r="T78" s="965"/>
      <c r="U78" s="965"/>
      <c r="V78" s="466"/>
      <c r="W78" s="466"/>
      <c r="X78" s="466"/>
      <c r="Y78" s="466"/>
      <c r="Z78" s="465"/>
      <c r="AA78" s="466"/>
      <c r="AB78" s="466"/>
      <c r="AC78" s="466"/>
      <c r="AD78" s="465"/>
      <c r="AE78" s="466"/>
      <c r="AN78" s="26"/>
      <c r="AO78" s="26"/>
      <c r="AP78" s="24"/>
      <c r="AR78" s="26"/>
      <c r="AS78" s="26"/>
      <c r="AT78" s="24"/>
      <c r="AV78" s="26"/>
      <c r="AW78" s="26"/>
      <c r="AX78" s="50"/>
      <c r="AZ78" s="26"/>
      <c r="BA78" s="26"/>
      <c r="BB78" s="24"/>
      <c r="BD78" s="25"/>
      <c r="BE78" s="25"/>
      <c r="BF78" s="24"/>
      <c r="BG78" s="23"/>
    </row>
    <row r="79" spans="10:59">
      <c r="L79" s="26"/>
      <c r="M79" s="26"/>
      <c r="N79" s="24"/>
      <c r="P79" s="26"/>
      <c r="Q79" s="26"/>
      <c r="R79" s="24"/>
      <c r="S79" s="964"/>
      <c r="T79" s="965"/>
      <c r="U79" s="965"/>
      <c r="V79" s="466"/>
      <c r="X79" s="26"/>
      <c r="Y79" s="26"/>
      <c r="Z79" s="24"/>
      <c r="AB79" s="26"/>
      <c r="AC79" s="26"/>
      <c r="AD79" s="24"/>
      <c r="AF79" s="26"/>
      <c r="AG79" s="26"/>
      <c r="AH79" s="24"/>
      <c r="AJ79" s="49"/>
      <c r="AK79" s="49"/>
      <c r="AL79" s="24"/>
      <c r="AN79" s="26"/>
      <c r="AO79" s="26"/>
      <c r="AP79" s="24"/>
      <c r="AR79" s="26"/>
      <c r="AS79" s="26"/>
      <c r="AT79" s="24"/>
      <c r="AV79" s="26"/>
      <c r="AW79" s="26"/>
      <c r="AX79" s="50"/>
      <c r="AZ79" s="26"/>
      <c r="BA79" s="26"/>
      <c r="BB79" s="24"/>
      <c r="BD79" s="25"/>
      <c r="BE79" s="25"/>
      <c r="BF79" s="24"/>
      <c r="BG79" s="23"/>
    </row>
    <row r="80" spans="10:59">
      <c r="L80" s="26"/>
      <c r="M80" s="26"/>
      <c r="N80" s="24"/>
      <c r="P80" s="26"/>
      <c r="Q80" s="26"/>
      <c r="R80" s="24"/>
      <c r="T80" s="26"/>
      <c r="U80" s="26"/>
      <c r="V80" s="24"/>
      <c r="X80" s="26"/>
      <c r="Y80" s="26"/>
      <c r="Z80" s="24"/>
      <c r="AB80" s="26"/>
      <c r="AC80" s="26"/>
      <c r="AD80" s="24"/>
      <c r="AF80" s="26"/>
      <c r="AG80" s="26"/>
      <c r="AH80" s="24"/>
      <c r="AJ80" s="49"/>
      <c r="AK80" s="49"/>
      <c r="AL80" s="24"/>
      <c r="AN80" s="26"/>
      <c r="AO80" s="26"/>
      <c r="AP80" s="24"/>
      <c r="AR80" s="26"/>
      <c r="AS80" s="26"/>
      <c r="AT80" s="24"/>
      <c r="AV80" s="26"/>
      <c r="AW80" s="26"/>
      <c r="AX80" s="50"/>
      <c r="AZ80" s="26"/>
      <c r="BA80" s="26"/>
      <c r="BB80" s="24"/>
      <c r="BD80" s="25"/>
      <c r="BE80" s="25"/>
      <c r="BF80" s="24"/>
      <c r="BG80" s="23"/>
    </row>
  </sheetData>
  <mergeCells count="62">
    <mergeCell ref="L60:U60"/>
    <mergeCell ref="L73:S73"/>
    <mergeCell ref="T73:U73"/>
    <mergeCell ref="O74:S74"/>
    <mergeCell ref="T74:U74"/>
    <mergeCell ref="H12:BI12"/>
    <mergeCell ref="J13:M13"/>
    <mergeCell ref="N13:Q13"/>
    <mergeCell ref="R13:U13"/>
    <mergeCell ref="C2:F2"/>
    <mergeCell ref="H2:K2"/>
    <mergeCell ref="H10:I10"/>
    <mergeCell ref="C6:C9"/>
    <mergeCell ref="H6:H9"/>
    <mergeCell ref="D4:F4"/>
    <mergeCell ref="H4:I5"/>
    <mergeCell ref="C5:D5"/>
    <mergeCell ref="AP13:AS13"/>
    <mergeCell ref="BF13:BI13"/>
    <mergeCell ref="AD13:AG13"/>
    <mergeCell ref="AH13:AK13"/>
    <mergeCell ref="AL13:AO13"/>
    <mergeCell ref="D13:F13"/>
    <mergeCell ref="H13:I14"/>
    <mergeCell ref="C14:D14"/>
    <mergeCell ref="V31:AD31"/>
    <mergeCell ref="C15:C24"/>
    <mergeCell ref="H15:H23"/>
    <mergeCell ref="H24:I24"/>
    <mergeCell ref="V13:Y13"/>
    <mergeCell ref="Z13:AC13"/>
    <mergeCell ref="AD59:AE59"/>
    <mergeCell ref="H26:I26"/>
    <mergeCell ref="L31:S31"/>
    <mergeCell ref="L45:T45"/>
    <mergeCell ref="V45:AE45"/>
    <mergeCell ref="V58:AC58"/>
    <mergeCell ref="AD58:AE58"/>
    <mergeCell ref="Y59:AC59"/>
    <mergeCell ref="O58:R58"/>
    <mergeCell ref="S58:T58"/>
    <mergeCell ref="N2:AZ2"/>
    <mergeCell ref="BB2:BI2"/>
    <mergeCell ref="H3:BI3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C27:BC28"/>
    <mergeCell ref="BH27:BI27"/>
    <mergeCell ref="AT13:AW13"/>
    <mergeCell ref="AX13:BA13"/>
    <mergeCell ref="BB13:BE13"/>
  </mergeCells>
  <conditionalFormatting sqref="M47:R56">
    <cfRule type="cellIs" dxfId="13" priority="3" operator="equal">
      <formula>0</formula>
    </cfRule>
  </conditionalFormatting>
  <conditionalFormatting sqref="S62:S71">
    <cfRule type="cellIs" priority="2" operator="equal">
      <formula>0</formula>
    </cfRule>
  </conditionalFormatting>
  <conditionalFormatting sqref="M62:R71">
    <cfRule type="cellIs" dxfId="12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BN191"/>
  <sheetViews>
    <sheetView showGridLines="0" topLeftCell="B1" zoomScale="85" zoomScaleNormal="85" workbookViewId="0">
      <selection activeCell="I18" sqref="I18:J18"/>
    </sheetView>
  </sheetViews>
  <sheetFormatPr defaultColWidth="9.140625" defaultRowHeight="15.75"/>
  <cols>
    <col min="1" max="1" width="4.85546875" style="2" hidden="1" customWidth="1"/>
    <col min="2" max="2" width="15.28515625" style="1" bestFit="1" customWidth="1"/>
    <col min="3" max="3" width="5.85546875" style="2" customWidth="1"/>
    <col min="4" max="8" width="5.85546875" style="52" customWidth="1"/>
    <col min="9" max="9" width="5.85546875" style="2" customWidth="1"/>
    <col min="10" max="10" width="7.85546875" style="2" customWidth="1"/>
    <col min="11" max="11" width="5.85546875" style="2" customWidth="1"/>
    <col min="12" max="13" width="5.85546875" style="52" customWidth="1"/>
    <col min="14" max="14" width="6.85546875" style="52" customWidth="1"/>
    <col min="15" max="15" width="5.85546875" style="2" customWidth="1"/>
    <col min="16" max="18" width="5.85546875" style="52" customWidth="1"/>
    <col min="19" max="19" width="5.85546875" style="2" customWidth="1"/>
    <col min="20" max="22" width="5.85546875" style="52" customWidth="1"/>
    <col min="23" max="23" width="5.85546875" style="2" customWidth="1"/>
    <col min="24" max="26" width="5.85546875" style="52" customWidth="1"/>
    <col min="27" max="27" width="5.85546875" style="2" customWidth="1"/>
    <col min="28" max="30" width="5.85546875" style="52" customWidth="1"/>
    <col min="31" max="31" width="5.85546875" style="2" customWidth="1"/>
    <col min="32" max="34" width="5.85546875" style="52" customWidth="1"/>
    <col min="35" max="35" width="5.85546875" style="2" customWidth="1"/>
    <col min="36" max="38" width="5.85546875" style="52" customWidth="1"/>
    <col min="39" max="42" width="5.85546875" style="2" customWidth="1"/>
    <col min="43" max="43" width="9.85546875" style="343" bestFit="1" customWidth="1"/>
    <col min="44" max="44" width="8.140625" style="344" customWidth="1"/>
    <col min="45" max="45" width="11" style="344" customWidth="1"/>
    <col min="46" max="46" width="8.42578125" style="344" customWidth="1"/>
    <col min="47" max="47" width="6.42578125" style="2" customWidth="1"/>
    <col min="48" max="48" width="13.5703125" style="2" bestFit="1" customWidth="1"/>
    <col min="49" max="49" width="9.42578125" style="2" bestFit="1" customWidth="1"/>
    <col min="50" max="50" width="8.140625" style="2" bestFit="1" customWidth="1"/>
    <col min="51" max="51" width="11" style="2" bestFit="1" customWidth="1"/>
    <col min="52" max="52" width="9.42578125" style="2" bestFit="1" customWidth="1"/>
    <col min="53" max="53" width="5.140625" style="2" bestFit="1" customWidth="1"/>
    <col min="54" max="54" width="15.28515625" style="1" bestFit="1" customWidth="1"/>
    <col min="55" max="57" width="6.5703125" style="2" bestFit="1" customWidth="1"/>
    <col min="58" max="58" width="7.5703125" style="2" bestFit="1" customWidth="1"/>
    <col min="59" max="59" width="6.7109375" style="2" customWidth="1"/>
    <col min="60" max="60" width="7" style="3" hidden="1" customWidth="1"/>
    <col min="61" max="61" width="9.140625" style="4" bestFit="1" customWidth="1"/>
    <col min="62" max="62" width="8.85546875" style="4" bestFit="1" customWidth="1"/>
    <col min="63" max="63" width="6.5703125" style="4" customWidth="1"/>
    <col min="64" max="64" width="10.28515625" style="4" customWidth="1"/>
    <col min="65" max="65" width="11" style="4" customWidth="1"/>
    <col min="66" max="66" width="10.85546875" style="4" customWidth="1"/>
    <col min="67" max="16384" width="9.140625" style="4"/>
  </cols>
  <sheetData>
    <row r="1" spans="2:64" ht="10.5" customHeight="1" thickBot="1"/>
    <row r="2" spans="2:64" ht="30.75" customHeight="1" thickBot="1">
      <c r="B2" s="1638" t="s">
        <v>313</v>
      </c>
      <c r="C2" s="1589"/>
      <c r="D2" s="1589"/>
      <c r="E2" s="1589"/>
      <c r="F2" s="1589"/>
      <c r="G2" s="1589"/>
      <c r="H2" s="1589"/>
      <c r="I2" s="1589"/>
      <c r="J2" s="1589"/>
      <c r="K2" s="1589"/>
      <c r="L2" s="1589"/>
      <c r="M2" s="1589"/>
      <c r="N2" s="1589"/>
      <c r="O2" s="1589"/>
      <c r="P2" s="1589"/>
      <c r="Q2" s="1589"/>
      <c r="R2" s="1589"/>
      <c r="S2" s="1589"/>
      <c r="T2" s="1589"/>
      <c r="U2" s="1589"/>
      <c r="V2" s="1589"/>
      <c r="W2" s="1589"/>
      <c r="X2" s="1589"/>
      <c r="Y2" s="1589"/>
      <c r="Z2" s="1589"/>
      <c r="AA2" s="1589"/>
      <c r="AB2" s="1589"/>
      <c r="AC2" s="1589"/>
      <c r="AD2" s="1589"/>
      <c r="AE2" s="1589"/>
      <c r="AF2" s="1589"/>
      <c r="AG2" s="1589"/>
      <c r="AH2" s="1589"/>
      <c r="AI2" s="1590"/>
      <c r="AJ2" s="1590"/>
      <c r="AK2" s="1590"/>
      <c r="AL2" s="1590"/>
      <c r="AM2" s="1590"/>
      <c r="AN2" s="1590"/>
      <c r="AO2" s="1590"/>
      <c r="AP2" s="1590"/>
      <c r="AQ2" s="1590"/>
      <c r="AR2" s="1590"/>
      <c r="AS2" s="679"/>
      <c r="AT2" s="679"/>
      <c r="AU2" s="679"/>
      <c r="AV2" s="679"/>
      <c r="AW2" s="1147"/>
      <c r="AX2" s="796"/>
      <c r="AY2" s="796"/>
      <c r="AZ2" s="1148"/>
      <c r="BA2" s="5"/>
      <c r="BB2" s="1635" t="s">
        <v>392</v>
      </c>
      <c r="BC2" s="1636"/>
      <c r="BD2" s="1636"/>
      <c r="BE2" s="1636"/>
      <c r="BF2" s="1636"/>
      <c r="BG2" s="1636"/>
      <c r="BH2" s="1636"/>
      <c r="BI2" s="1636"/>
      <c r="BJ2" s="1636"/>
      <c r="BK2" s="1625"/>
      <c r="BL2" s="1627"/>
    </row>
    <row r="3" spans="2:64" ht="20.100000000000001" customHeight="1" thickBot="1">
      <c r="B3" s="1645" t="s">
        <v>0</v>
      </c>
      <c r="C3" s="1639" t="s">
        <v>78</v>
      </c>
      <c r="D3" s="1640"/>
      <c r="E3" s="1640"/>
      <c r="F3" s="1641"/>
      <c r="G3" s="1639" t="s">
        <v>79</v>
      </c>
      <c r="H3" s="1640"/>
      <c r="I3" s="1640"/>
      <c r="J3" s="1640"/>
      <c r="K3" s="1694" t="s">
        <v>80</v>
      </c>
      <c r="L3" s="1640"/>
      <c r="M3" s="1640"/>
      <c r="N3" s="1695"/>
      <c r="O3" s="1640" t="s">
        <v>81</v>
      </c>
      <c r="P3" s="1640"/>
      <c r="Q3" s="1640"/>
      <c r="R3" s="1641"/>
      <c r="S3" s="1640" t="s">
        <v>82</v>
      </c>
      <c r="T3" s="1640"/>
      <c r="U3" s="1640"/>
      <c r="V3" s="1641"/>
      <c r="W3" s="1639" t="s">
        <v>79</v>
      </c>
      <c r="X3" s="1640"/>
      <c r="Y3" s="1640"/>
      <c r="Z3" s="1641"/>
      <c r="AA3" s="1639" t="s">
        <v>314</v>
      </c>
      <c r="AB3" s="1640"/>
      <c r="AC3" s="1640"/>
      <c r="AD3" s="1641"/>
      <c r="AE3" s="1639"/>
      <c r="AF3" s="1640"/>
      <c r="AG3" s="1640"/>
      <c r="AH3" s="1695"/>
      <c r="AI3" s="1592"/>
      <c r="AJ3" s="1592"/>
      <c r="AK3" s="1592"/>
      <c r="AL3" s="1593"/>
      <c r="AM3" s="1591"/>
      <c r="AN3" s="1592"/>
      <c r="AO3" s="1592"/>
      <c r="AP3" s="1593"/>
      <c r="AQ3" s="1594" t="s">
        <v>257</v>
      </c>
      <c r="AR3" s="1595"/>
      <c r="AS3" s="1595"/>
      <c r="AT3" s="1596"/>
      <c r="AU3" s="1607" t="s">
        <v>255</v>
      </c>
      <c r="AV3" s="1686" t="s">
        <v>256</v>
      </c>
      <c r="AW3" s="1689" t="s">
        <v>300</v>
      </c>
      <c r="AX3" s="1690"/>
      <c r="AY3" s="1690"/>
      <c r="AZ3" s="1691"/>
      <c r="BA3" s="730"/>
      <c r="BB3" s="1633" t="s">
        <v>0</v>
      </c>
      <c r="BC3" s="739" t="s">
        <v>78</v>
      </c>
      <c r="BD3" s="739" t="s">
        <v>79</v>
      </c>
      <c r="BE3" s="739" t="s">
        <v>80</v>
      </c>
      <c r="BF3" s="739" t="s">
        <v>81</v>
      </c>
      <c r="BG3" s="739" t="s">
        <v>82</v>
      </c>
      <c r="BH3" s="739" t="s">
        <v>83</v>
      </c>
      <c r="BI3" s="1628" t="s">
        <v>191</v>
      </c>
      <c r="BJ3" s="1684" t="s">
        <v>207</v>
      </c>
      <c r="BK3" s="1631" t="s">
        <v>196</v>
      </c>
      <c r="BL3" s="1601"/>
    </row>
    <row r="4" spans="2:64" ht="26.25" customHeight="1" thickBot="1">
      <c r="B4" s="1604"/>
      <c r="C4" s="740" t="s">
        <v>1</v>
      </c>
      <c r="D4" s="53" t="s">
        <v>2</v>
      </c>
      <c r="E4" s="53" t="s">
        <v>187</v>
      </c>
      <c r="F4" s="741" t="s">
        <v>247</v>
      </c>
      <c r="G4" s="740" t="s">
        <v>1</v>
      </c>
      <c r="H4" s="53" t="s">
        <v>2</v>
      </c>
      <c r="I4" s="53" t="s">
        <v>187</v>
      </c>
      <c r="J4" s="976" t="s">
        <v>247</v>
      </c>
      <c r="K4" s="740" t="s">
        <v>1</v>
      </c>
      <c r="L4" s="53" t="s">
        <v>2</v>
      </c>
      <c r="M4" s="53" t="s">
        <v>187</v>
      </c>
      <c r="N4" s="741" t="s">
        <v>247</v>
      </c>
      <c r="O4" s="757" t="s">
        <v>1</v>
      </c>
      <c r="P4" s="292" t="s">
        <v>2</v>
      </c>
      <c r="Q4" s="292" t="s">
        <v>187</v>
      </c>
      <c r="R4" s="757" t="s">
        <v>247</v>
      </c>
      <c r="S4" s="757" t="s">
        <v>1</v>
      </c>
      <c r="T4" s="292" t="s">
        <v>2</v>
      </c>
      <c r="U4" s="292" t="s">
        <v>187</v>
      </c>
      <c r="V4" s="757" t="s">
        <v>247</v>
      </c>
      <c r="W4" s="740" t="s">
        <v>1</v>
      </c>
      <c r="X4" s="53" t="s">
        <v>2</v>
      </c>
      <c r="Y4" s="53" t="s">
        <v>187</v>
      </c>
      <c r="Z4" s="741" t="s">
        <v>247</v>
      </c>
      <c r="AA4" s="291" t="s">
        <v>1</v>
      </c>
      <c r="AB4" s="292" t="s">
        <v>2</v>
      </c>
      <c r="AC4" s="292" t="s">
        <v>187</v>
      </c>
      <c r="AD4" s="757" t="s">
        <v>247</v>
      </c>
      <c r="AE4" s="291" t="s">
        <v>1</v>
      </c>
      <c r="AF4" s="292" t="s">
        <v>2</v>
      </c>
      <c r="AG4" s="292" t="s">
        <v>187</v>
      </c>
      <c r="AH4" s="979" t="s">
        <v>247</v>
      </c>
      <c r="AI4" s="757" t="s">
        <v>1</v>
      </c>
      <c r="AJ4" s="537" t="s">
        <v>2</v>
      </c>
      <c r="AK4" s="292" t="s">
        <v>187</v>
      </c>
      <c r="AL4" s="757" t="s">
        <v>247</v>
      </c>
      <c r="AM4" s="291" t="s">
        <v>1</v>
      </c>
      <c r="AN4" s="537" t="s">
        <v>2</v>
      </c>
      <c r="AO4" s="292" t="s">
        <v>187</v>
      </c>
      <c r="AP4" s="757" t="s">
        <v>247</v>
      </c>
      <c r="AQ4" s="345" t="s">
        <v>1</v>
      </c>
      <c r="AR4" s="346" t="s">
        <v>2</v>
      </c>
      <c r="AS4" s="346" t="s">
        <v>187</v>
      </c>
      <c r="AT4" s="346" t="s">
        <v>247</v>
      </c>
      <c r="AU4" s="1608"/>
      <c r="AV4" s="1687"/>
      <c r="AW4" s="1132" t="s">
        <v>1</v>
      </c>
      <c r="AX4" s="1133" t="s">
        <v>2</v>
      </c>
      <c r="AY4" s="1133" t="s">
        <v>187</v>
      </c>
      <c r="AZ4" s="1133" t="s">
        <v>247</v>
      </c>
      <c r="BA4" s="730"/>
      <c r="BB4" s="1688"/>
      <c r="BC4" s="758" t="s">
        <v>52</v>
      </c>
      <c r="BD4" s="758" t="s">
        <v>53</v>
      </c>
      <c r="BE4" s="758" t="s">
        <v>54</v>
      </c>
      <c r="BF4" s="758" t="s">
        <v>258</v>
      </c>
      <c r="BG4" s="758" t="s">
        <v>50</v>
      </c>
      <c r="BH4" s="758" t="s">
        <v>51</v>
      </c>
      <c r="BI4" s="1683"/>
      <c r="BJ4" s="1685"/>
      <c r="BK4" s="1632"/>
      <c r="BL4" s="1602"/>
    </row>
    <row r="5" spans="2:64" ht="19.5" thickBot="1">
      <c r="B5" s="286" t="s">
        <v>4</v>
      </c>
      <c r="C5" s="536">
        <f>'17'!$J$26</f>
        <v>10</v>
      </c>
      <c r="D5" s="535">
        <f>'17'!$K$26</f>
        <v>9</v>
      </c>
      <c r="E5" s="535">
        <f>'17'!$L$26</f>
        <v>9</v>
      </c>
      <c r="F5" s="658">
        <f>'17'!$M$26</f>
        <v>0</v>
      </c>
      <c r="G5" s="536">
        <f>'18'!$J$26</f>
        <v>15</v>
      </c>
      <c r="H5" s="535">
        <f>'18'!$K$26</f>
        <v>7</v>
      </c>
      <c r="I5" s="535">
        <f>'18'!$L$26</f>
        <v>0</v>
      </c>
      <c r="J5" s="658">
        <f>'18'!$M$26</f>
        <v>0</v>
      </c>
      <c r="K5" s="536">
        <f>'19'!$J$26</f>
        <v>23</v>
      </c>
      <c r="L5" s="535">
        <f>'19'!$K$26</f>
        <v>36.520000000000003</v>
      </c>
      <c r="M5" s="535">
        <f>'19'!$L$26</f>
        <v>13.52</v>
      </c>
      <c r="N5" s="658">
        <f>'19'!$M$26</f>
        <v>7.4</v>
      </c>
      <c r="O5" s="536">
        <f>'20'!$J$26</f>
        <v>10</v>
      </c>
      <c r="P5" s="535">
        <f>'20'!$K$26</f>
        <v>5</v>
      </c>
      <c r="Q5" s="535">
        <f>'20'!$L$26</f>
        <v>5</v>
      </c>
      <c r="R5" s="658">
        <f>'20'!$M$26</f>
        <v>24</v>
      </c>
      <c r="S5" s="536">
        <f>'21'!$J$26</f>
        <v>10</v>
      </c>
      <c r="T5" s="535">
        <f>'21'!$K$26</f>
        <v>5.0999999999999996</v>
      </c>
      <c r="U5" s="535">
        <f>'21'!$L$26</f>
        <v>5.0999999999999996</v>
      </c>
      <c r="V5" s="658">
        <f>'21'!$M$26</f>
        <v>0</v>
      </c>
      <c r="W5" s="536"/>
      <c r="X5" s="535"/>
      <c r="Y5" s="535"/>
      <c r="Z5" s="658"/>
      <c r="AA5" s="742"/>
      <c r="AB5" s="743"/>
      <c r="AC5" s="486"/>
      <c r="AD5" s="744"/>
      <c r="AE5" s="742"/>
      <c r="AF5" s="743"/>
      <c r="AG5" s="486"/>
      <c r="AH5" s="744"/>
      <c r="AI5" s="536"/>
      <c r="AJ5" s="535"/>
      <c r="AK5" s="481"/>
      <c r="AL5" s="658"/>
      <c r="AM5" s="536"/>
      <c r="AN5" s="535"/>
      <c r="AO5" s="481"/>
      <c r="AP5" s="658"/>
      <c r="AQ5" s="353">
        <f>C5+G5+K5+O5+S5+W5</f>
        <v>68</v>
      </c>
      <c r="AR5" s="353">
        <f t="shared" ref="AR5:AT5" si="0">D5+H5+L5+P5+T5+X5</f>
        <v>62.620000000000005</v>
      </c>
      <c r="AS5" s="353">
        <f t="shared" si="0"/>
        <v>32.619999999999997</v>
      </c>
      <c r="AT5" s="353">
        <f t="shared" si="0"/>
        <v>31.4</v>
      </c>
      <c r="AU5" s="303">
        <f>AQ5-AS5</f>
        <v>35.380000000000003</v>
      </c>
      <c r="AV5" s="1144">
        <f>AR5-AS5</f>
        <v>30.000000000000007</v>
      </c>
      <c r="AW5" s="1134">
        <f>K5+O5+S5+W5</f>
        <v>43</v>
      </c>
      <c r="AX5" s="1134">
        <f t="shared" ref="AX5:AZ5" si="1">L5+P5+T5+X5</f>
        <v>46.620000000000005</v>
      </c>
      <c r="AY5" s="1134">
        <f t="shared" si="1"/>
        <v>23.619999999999997</v>
      </c>
      <c r="AZ5" s="1149">
        <f t="shared" si="1"/>
        <v>31.4</v>
      </c>
      <c r="BB5" s="759" t="s">
        <v>4</v>
      </c>
      <c r="BC5" s="729">
        <v>15</v>
      </c>
      <c r="BD5" s="729">
        <v>15</v>
      </c>
      <c r="BE5" s="729">
        <v>50</v>
      </c>
      <c r="BF5" s="729">
        <v>60</v>
      </c>
      <c r="BG5" s="729">
        <v>60</v>
      </c>
      <c r="BH5" s="729"/>
      <c r="BI5" s="1192">
        <f t="shared" ref="BI5:BI15" si="2">SUM(BC5:BH5)</f>
        <v>200</v>
      </c>
      <c r="BJ5" s="1416">
        <f t="shared" ref="BJ5:BJ16" si="3">BI5/BI$18</f>
        <v>0.21253985122210414</v>
      </c>
      <c r="BK5" s="1423">
        <v>48</v>
      </c>
      <c r="BL5" s="971"/>
    </row>
    <row r="6" spans="2:64" ht="20.100000000000001" customHeight="1" thickBot="1">
      <c r="B6" s="287" t="s">
        <v>5</v>
      </c>
      <c r="C6" s="473">
        <f>'17'!$N$26</f>
        <v>8</v>
      </c>
      <c r="D6" s="474">
        <f>'17'!$O$26</f>
        <v>6</v>
      </c>
      <c r="E6" s="474">
        <f>'17'!$P$26</f>
        <v>6</v>
      </c>
      <c r="F6" s="533">
        <f>'17'!$Q$26</f>
        <v>0</v>
      </c>
      <c r="G6" s="473">
        <f>'18'!$N$26</f>
        <v>10</v>
      </c>
      <c r="H6" s="474">
        <f>'18'!$O$26</f>
        <v>0</v>
      </c>
      <c r="I6" s="474">
        <f>'18'!$P$26</f>
        <v>0</v>
      </c>
      <c r="J6" s="533">
        <f>'18'!$Q$26</f>
        <v>0</v>
      </c>
      <c r="K6" s="473">
        <f>'19'!$N$26</f>
        <v>5</v>
      </c>
      <c r="L6" s="474">
        <f>'19'!$O$26</f>
        <v>1.5</v>
      </c>
      <c r="M6" s="474">
        <f>'19'!$P$26</f>
        <v>1.5</v>
      </c>
      <c r="N6" s="533">
        <f>'19'!$Q$26</f>
        <v>0</v>
      </c>
      <c r="O6" s="473">
        <f>'20'!$N$26</f>
        <v>14</v>
      </c>
      <c r="P6" s="474">
        <f>'20'!$O$26</f>
        <v>17</v>
      </c>
      <c r="Q6" s="474">
        <f>'20'!$P$26</f>
        <v>0</v>
      </c>
      <c r="R6" s="533">
        <f>'20'!$Q$26</f>
        <v>0</v>
      </c>
      <c r="S6" s="473">
        <f>'21'!$N$26</f>
        <v>15</v>
      </c>
      <c r="T6" s="474">
        <f>'21'!$O$26</f>
        <v>10</v>
      </c>
      <c r="U6" s="474">
        <f>'21'!$P$26</f>
        <v>10</v>
      </c>
      <c r="V6" s="533">
        <f>'21'!$Q$26</f>
        <v>0</v>
      </c>
      <c r="W6" s="473"/>
      <c r="X6" s="474"/>
      <c r="Y6" s="474"/>
      <c r="Z6" s="533"/>
      <c r="AA6" s="473"/>
      <c r="AB6" s="474"/>
      <c r="AC6" s="482"/>
      <c r="AD6" s="533"/>
      <c r="AE6" s="473"/>
      <c r="AF6" s="474"/>
      <c r="AG6" s="482"/>
      <c r="AH6" s="533"/>
      <c r="AI6" s="473"/>
      <c r="AJ6" s="474"/>
      <c r="AK6" s="482"/>
      <c r="AL6" s="533"/>
      <c r="AM6" s="473"/>
      <c r="AN6" s="474"/>
      <c r="AO6" s="482"/>
      <c r="AP6" s="533"/>
      <c r="AQ6" s="353">
        <f t="shared" ref="AQ6:AQ10" si="4">C6+G6+K6+O6+S6+W6</f>
        <v>52</v>
      </c>
      <c r="AR6" s="353">
        <f t="shared" ref="AR6:AR10" si="5">D6+H6+L6+P6+T6+X6</f>
        <v>34.5</v>
      </c>
      <c r="AS6" s="353">
        <f t="shared" ref="AS6:AS10" si="6">E6+I6+M6+Q6+U6+Y6</f>
        <v>17.5</v>
      </c>
      <c r="AT6" s="353">
        <f t="shared" ref="AT6:AT10" si="7">F6+J6+N6+R6+V6+Z6</f>
        <v>0</v>
      </c>
      <c r="AU6" s="303">
        <f t="shared" ref="AU6:AU15" si="8">AQ6-AS6</f>
        <v>34.5</v>
      </c>
      <c r="AV6" s="1144">
        <f t="shared" ref="AV6:AV15" si="9">AR6-AS6</f>
        <v>17</v>
      </c>
      <c r="AW6" s="1135">
        <f t="shared" ref="AW6:AW12" si="10">K6+O6+S6+W6</f>
        <v>34</v>
      </c>
      <c r="AX6" s="1135">
        <f t="shared" ref="AX6:AX10" si="11">L6+P6+T6+X6</f>
        <v>28.5</v>
      </c>
      <c r="AY6" s="1135">
        <f t="shared" ref="AY6:AY10" si="12">M6+Q6+U6+Y6</f>
        <v>11.5</v>
      </c>
      <c r="AZ6" s="1150">
        <f t="shared" ref="AZ6:AZ10" si="13">N6+R6+V6+Z6</f>
        <v>0</v>
      </c>
      <c r="BB6" s="9" t="s">
        <v>5</v>
      </c>
      <c r="BC6" s="728">
        <v>8</v>
      </c>
      <c r="BD6" s="728">
        <v>20</v>
      </c>
      <c r="BE6" s="728">
        <v>20</v>
      </c>
      <c r="BF6" s="728">
        <v>20</v>
      </c>
      <c r="BG6" s="728">
        <v>32</v>
      </c>
      <c r="BH6" s="728"/>
      <c r="BI6" s="1179">
        <f t="shared" si="2"/>
        <v>100</v>
      </c>
      <c r="BJ6" s="1338">
        <f t="shared" si="3"/>
        <v>0.10626992561105207</v>
      </c>
      <c r="BK6" s="1424"/>
      <c r="BL6" s="972"/>
    </row>
    <row r="7" spans="2:64" ht="20.100000000000001" customHeight="1" thickBot="1">
      <c r="B7" s="287" t="s">
        <v>6</v>
      </c>
      <c r="C7" s="473">
        <f>'17'!$R$26</f>
        <v>5</v>
      </c>
      <c r="D7" s="474">
        <f>'17'!$S$26</f>
        <v>0</v>
      </c>
      <c r="E7" s="474">
        <f>'17'!$T$26</f>
        <v>0</v>
      </c>
      <c r="F7" s="533">
        <f>'17'!$U$26</f>
        <v>0</v>
      </c>
      <c r="G7" s="473">
        <f>'18'!$R$26</f>
        <v>8</v>
      </c>
      <c r="H7" s="474">
        <f>'18'!$S$26</f>
        <v>0</v>
      </c>
      <c r="I7" s="474">
        <f>'18'!$T$26</f>
        <v>0</v>
      </c>
      <c r="J7" s="533">
        <f>'18'!$U$26</f>
        <v>0</v>
      </c>
      <c r="K7" s="473">
        <f>'19'!$R$26</f>
        <v>5</v>
      </c>
      <c r="L7" s="474">
        <f>'19'!$S$26</f>
        <v>0</v>
      </c>
      <c r="M7" s="474">
        <f>'19'!$T$26</f>
        <v>0</v>
      </c>
      <c r="N7" s="533">
        <f>'19'!$U$26</f>
        <v>0</v>
      </c>
      <c r="O7" s="473">
        <f>'20'!$R$26</f>
        <v>0</v>
      </c>
      <c r="P7" s="474">
        <f>'20'!$S$26</f>
        <v>0</v>
      </c>
      <c r="Q7" s="474">
        <f>'20'!$T$26</f>
        <v>0</v>
      </c>
      <c r="R7" s="533">
        <f>'20'!$U$26</f>
        <v>0</v>
      </c>
      <c r="S7" s="473">
        <f>'21'!$R$26</f>
        <v>5</v>
      </c>
      <c r="T7" s="474">
        <f>'21'!$S$26</f>
        <v>5</v>
      </c>
      <c r="U7" s="474">
        <f>'21'!$T$26</f>
        <v>0</v>
      </c>
      <c r="V7" s="533">
        <f>'21'!$U$26</f>
        <v>0</v>
      </c>
      <c r="W7" s="473"/>
      <c r="X7" s="474"/>
      <c r="Y7" s="474"/>
      <c r="Z7" s="533"/>
      <c r="AA7" s="473"/>
      <c r="AB7" s="474"/>
      <c r="AC7" s="482"/>
      <c r="AD7" s="533"/>
      <c r="AE7" s="473"/>
      <c r="AF7" s="474"/>
      <c r="AG7" s="482"/>
      <c r="AH7" s="533"/>
      <c r="AI7" s="473"/>
      <c r="AJ7" s="474"/>
      <c r="AK7" s="482"/>
      <c r="AL7" s="533"/>
      <c r="AM7" s="473"/>
      <c r="AN7" s="474"/>
      <c r="AO7" s="482"/>
      <c r="AP7" s="533"/>
      <c r="AQ7" s="353">
        <f t="shared" si="4"/>
        <v>23</v>
      </c>
      <c r="AR7" s="353">
        <f t="shared" si="5"/>
        <v>5</v>
      </c>
      <c r="AS7" s="353">
        <f t="shared" si="6"/>
        <v>0</v>
      </c>
      <c r="AT7" s="353">
        <f t="shared" si="7"/>
        <v>0</v>
      </c>
      <c r="AU7" s="303">
        <f t="shared" si="8"/>
        <v>23</v>
      </c>
      <c r="AV7" s="1144">
        <f t="shared" si="9"/>
        <v>5</v>
      </c>
      <c r="AW7" s="1135">
        <f t="shared" si="10"/>
        <v>10</v>
      </c>
      <c r="AX7" s="1135">
        <f t="shared" si="11"/>
        <v>5</v>
      </c>
      <c r="AY7" s="1135">
        <f t="shared" si="12"/>
        <v>0</v>
      </c>
      <c r="AZ7" s="1150">
        <f t="shared" si="13"/>
        <v>0</v>
      </c>
      <c r="BB7" s="9" t="s">
        <v>6</v>
      </c>
      <c r="BC7" s="728">
        <v>5</v>
      </c>
      <c r="BD7" s="728">
        <v>10</v>
      </c>
      <c r="BE7" s="728">
        <v>10</v>
      </c>
      <c r="BF7" s="728">
        <v>15</v>
      </c>
      <c r="BG7" s="728">
        <v>15</v>
      </c>
      <c r="BH7" s="728"/>
      <c r="BI7" s="1179">
        <f t="shared" si="2"/>
        <v>55</v>
      </c>
      <c r="BJ7" s="1338">
        <f t="shared" si="3"/>
        <v>5.8448459086078638E-2</v>
      </c>
      <c r="BK7" s="1424"/>
      <c r="BL7" s="972"/>
    </row>
    <row r="8" spans="2:64" ht="20.100000000000001" customHeight="1" thickBot="1">
      <c r="B8" s="287" t="s">
        <v>7</v>
      </c>
      <c r="C8" s="473">
        <f>'17'!$V$26</f>
        <v>10</v>
      </c>
      <c r="D8" s="474">
        <f>'17'!$W$26</f>
        <v>2</v>
      </c>
      <c r="E8" s="474">
        <f>'17'!$X$26</f>
        <v>2</v>
      </c>
      <c r="F8" s="533">
        <f>'17'!$Y$26</f>
        <v>0</v>
      </c>
      <c r="G8" s="473">
        <f>'18'!$V$26</f>
        <v>10</v>
      </c>
      <c r="H8" s="474">
        <f>'18'!$W$26</f>
        <v>3.5</v>
      </c>
      <c r="I8" s="474">
        <f>'18'!$X$26</f>
        <v>3.5</v>
      </c>
      <c r="J8" s="533">
        <f>'18'!$Y$26</f>
        <v>0</v>
      </c>
      <c r="K8" s="473">
        <f>'19'!$V$26</f>
        <v>5</v>
      </c>
      <c r="L8" s="474">
        <f>'19'!$W$26</f>
        <v>1</v>
      </c>
      <c r="M8" s="474">
        <f>'19'!$X$26</f>
        <v>1</v>
      </c>
      <c r="N8" s="533">
        <f>'19'!$Y$26</f>
        <v>0</v>
      </c>
      <c r="O8" s="473">
        <f>'20'!$V$26</f>
        <v>5</v>
      </c>
      <c r="P8" s="474">
        <f>'20'!$W$26</f>
        <v>1</v>
      </c>
      <c r="Q8" s="474">
        <f>'20'!$X$26</f>
        <v>1</v>
      </c>
      <c r="R8" s="533">
        <f>'20'!$Y$26</f>
        <v>0</v>
      </c>
      <c r="S8" s="473">
        <f>'21'!$V$26</f>
        <v>5</v>
      </c>
      <c r="T8" s="474">
        <f>'21'!$W$26</f>
        <v>0</v>
      </c>
      <c r="U8" s="474">
        <f>'21'!$X$26</f>
        <v>0</v>
      </c>
      <c r="V8" s="533">
        <f>'21'!$Y$26</f>
        <v>0</v>
      </c>
      <c r="W8" s="473"/>
      <c r="X8" s="474"/>
      <c r="Y8" s="474"/>
      <c r="Z8" s="533"/>
      <c r="AA8" s="473"/>
      <c r="AB8" s="474"/>
      <c r="AC8" s="482"/>
      <c r="AD8" s="533"/>
      <c r="AE8" s="473"/>
      <c r="AF8" s="474"/>
      <c r="AG8" s="482"/>
      <c r="AH8" s="533"/>
      <c r="AI8" s="473"/>
      <c r="AJ8" s="474"/>
      <c r="AK8" s="482"/>
      <c r="AL8" s="533"/>
      <c r="AM8" s="473"/>
      <c r="AN8" s="474"/>
      <c r="AO8" s="482"/>
      <c r="AP8" s="533"/>
      <c r="AQ8" s="353">
        <f t="shared" si="4"/>
        <v>35</v>
      </c>
      <c r="AR8" s="353">
        <f t="shared" si="5"/>
        <v>7.5</v>
      </c>
      <c r="AS8" s="353">
        <f t="shared" si="6"/>
        <v>7.5</v>
      </c>
      <c r="AT8" s="353">
        <f t="shared" si="7"/>
        <v>0</v>
      </c>
      <c r="AU8" s="303">
        <f t="shared" si="8"/>
        <v>27.5</v>
      </c>
      <c r="AV8" s="1144">
        <f t="shared" si="9"/>
        <v>0</v>
      </c>
      <c r="AW8" s="1135">
        <f t="shared" si="10"/>
        <v>15</v>
      </c>
      <c r="AX8" s="1135">
        <f t="shared" si="11"/>
        <v>2</v>
      </c>
      <c r="AY8" s="1135">
        <f t="shared" si="12"/>
        <v>2</v>
      </c>
      <c r="AZ8" s="1150">
        <f t="shared" si="13"/>
        <v>0</v>
      </c>
      <c r="BB8" s="9" t="s">
        <v>7</v>
      </c>
      <c r="BC8" s="728">
        <v>10</v>
      </c>
      <c r="BD8" s="728">
        <v>12</v>
      </c>
      <c r="BE8" s="728">
        <v>12</v>
      </c>
      <c r="BF8" s="728">
        <v>15</v>
      </c>
      <c r="BG8" s="728">
        <v>16</v>
      </c>
      <c r="BH8" s="728"/>
      <c r="BI8" s="1179">
        <f t="shared" si="2"/>
        <v>65</v>
      </c>
      <c r="BJ8" s="1338">
        <f t="shared" si="3"/>
        <v>6.9075451647183844E-2</v>
      </c>
      <c r="BK8" s="1424"/>
      <c r="BL8" s="972"/>
    </row>
    <row r="9" spans="2:64" ht="20.100000000000001" customHeight="1" thickBot="1">
      <c r="B9" s="287" t="s">
        <v>8</v>
      </c>
      <c r="C9" s="473">
        <f>'17'!$Z$26</f>
        <v>1</v>
      </c>
      <c r="D9" s="474">
        <f>'17'!$AA$26</f>
        <v>0</v>
      </c>
      <c r="E9" s="474">
        <f>'17'!$AB$26</f>
        <v>0</v>
      </c>
      <c r="F9" s="533">
        <f>'17'!$AC$26</f>
        <v>0</v>
      </c>
      <c r="G9" s="473">
        <f>'18'!$Z$26</f>
        <v>2</v>
      </c>
      <c r="H9" s="474">
        <f>'18'!$AA$26</f>
        <v>0</v>
      </c>
      <c r="I9" s="474">
        <f>'18'!$AB$26</f>
        <v>0</v>
      </c>
      <c r="J9" s="533">
        <f>'18'!$AC$26</f>
        <v>0</v>
      </c>
      <c r="K9" s="473">
        <f>'19'!$Z$26</f>
        <v>0</v>
      </c>
      <c r="L9" s="474">
        <f>'19'!$AA$26</f>
        <v>0.5</v>
      </c>
      <c r="M9" s="474">
        <f>'19'!$AB$26</f>
        <v>0.5</v>
      </c>
      <c r="N9" s="533">
        <f>'19'!$AC$26</f>
        <v>0</v>
      </c>
      <c r="O9" s="473">
        <f>'20'!$Z$26</f>
        <v>0</v>
      </c>
      <c r="P9" s="474">
        <f>'20'!$AA$26</f>
        <v>0</v>
      </c>
      <c r="Q9" s="474">
        <f>'20'!$AB$26</f>
        <v>0</v>
      </c>
      <c r="R9" s="533">
        <f>'20'!$AC$26</f>
        <v>0</v>
      </c>
      <c r="S9" s="473">
        <f>'21'!$Z$26</f>
        <v>0</v>
      </c>
      <c r="T9" s="474">
        <f>'21'!$AA$26</f>
        <v>0</v>
      </c>
      <c r="U9" s="474">
        <f>'21'!$AB$26</f>
        <v>0</v>
      </c>
      <c r="V9" s="533">
        <f>'21'!$AC$26</f>
        <v>0</v>
      </c>
      <c r="W9" s="473"/>
      <c r="X9" s="474"/>
      <c r="Y9" s="474"/>
      <c r="Z9" s="533"/>
      <c r="AA9" s="473"/>
      <c r="AB9" s="474"/>
      <c r="AC9" s="482"/>
      <c r="AD9" s="533"/>
      <c r="AE9" s="473"/>
      <c r="AF9" s="474"/>
      <c r="AG9" s="482"/>
      <c r="AH9" s="533"/>
      <c r="AI9" s="473"/>
      <c r="AJ9" s="474"/>
      <c r="AK9" s="482"/>
      <c r="AL9" s="533"/>
      <c r="AM9" s="473"/>
      <c r="AN9" s="474"/>
      <c r="AO9" s="482"/>
      <c r="AP9" s="533"/>
      <c r="AQ9" s="353">
        <f t="shared" si="4"/>
        <v>3</v>
      </c>
      <c r="AR9" s="353">
        <f t="shared" si="5"/>
        <v>0.5</v>
      </c>
      <c r="AS9" s="353">
        <f t="shared" si="6"/>
        <v>0.5</v>
      </c>
      <c r="AT9" s="353">
        <f t="shared" si="7"/>
        <v>0</v>
      </c>
      <c r="AU9" s="303">
        <f t="shared" si="8"/>
        <v>2.5</v>
      </c>
      <c r="AV9" s="1144">
        <f t="shared" si="9"/>
        <v>0</v>
      </c>
      <c r="AW9" s="1135">
        <f t="shared" si="10"/>
        <v>0</v>
      </c>
      <c r="AX9" s="1135">
        <f t="shared" si="11"/>
        <v>0.5</v>
      </c>
      <c r="AY9" s="1135">
        <f t="shared" si="12"/>
        <v>0.5</v>
      </c>
      <c r="AZ9" s="1150">
        <f t="shared" si="13"/>
        <v>0</v>
      </c>
      <c r="BB9" s="9" t="s">
        <v>8</v>
      </c>
      <c r="BC9" s="728">
        <v>6</v>
      </c>
      <c r="BD9" s="728">
        <v>6</v>
      </c>
      <c r="BE9" s="728">
        <v>7</v>
      </c>
      <c r="BF9" s="728">
        <v>8</v>
      </c>
      <c r="BG9" s="728">
        <v>8</v>
      </c>
      <c r="BH9" s="728"/>
      <c r="BI9" s="1179">
        <f t="shared" si="2"/>
        <v>35</v>
      </c>
      <c r="BJ9" s="1338">
        <f t="shared" si="3"/>
        <v>3.7194473963868227E-2</v>
      </c>
      <c r="BK9" s="1424"/>
      <c r="BL9" s="972"/>
    </row>
    <row r="10" spans="2:64" ht="20.100000000000001" customHeight="1">
      <c r="B10" s="288" t="s">
        <v>9</v>
      </c>
      <c r="C10" s="475">
        <f>'17'!$AD$26</f>
        <v>10</v>
      </c>
      <c r="D10" s="484">
        <f>'17'!$AE$26</f>
        <v>0</v>
      </c>
      <c r="E10" s="484">
        <f>'17'!$AF$26</f>
        <v>0</v>
      </c>
      <c r="F10" s="534">
        <f>'17'!$AG$26</f>
        <v>0</v>
      </c>
      <c r="G10" s="475">
        <f>'18'!$AD$26</f>
        <v>20</v>
      </c>
      <c r="H10" s="484">
        <f>'18'!$AE$26</f>
        <v>0</v>
      </c>
      <c r="I10" s="484">
        <f>'18'!$AF$26</f>
        <v>0</v>
      </c>
      <c r="J10" s="534">
        <f>'18'!$AG$26</f>
        <v>0</v>
      </c>
      <c r="K10" s="475">
        <f>'19'!$AD$26</f>
        <v>20</v>
      </c>
      <c r="L10" s="484">
        <f>'19'!$AE$26</f>
        <v>22</v>
      </c>
      <c r="M10" s="484">
        <f>'19'!$AF$26</f>
        <v>22</v>
      </c>
      <c r="N10" s="534">
        <f>'19'!$AG$26</f>
        <v>0</v>
      </c>
      <c r="O10" s="475">
        <f>'20'!$AD$26</f>
        <v>10</v>
      </c>
      <c r="P10" s="484">
        <f>'20'!$AE$26</f>
        <v>0</v>
      </c>
      <c r="Q10" s="484">
        <f>'20'!$AF$26</f>
        <v>0</v>
      </c>
      <c r="R10" s="534">
        <f>'20'!$AG$26</f>
        <v>0</v>
      </c>
      <c r="S10" s="475">
        <f>'21'!$AD$26</f>
        <v>10</v>
      </c>
      <c r="T10" s="484">
        <f>'21'!$AE$26</f>
        <v>20</v>
      </c>
      <c r="U10" s="484">
        <f>'21'!$AF$26</f>
        <v>20</v>
      </c>
      <c r="V10" s="534">
        <f>'21'!$AG$26</f>
        <v>0</v>
      </c>
      <c r="W10" s="475"/>
      <c r="X10" s="484"/>
      <c r="Y10" s="484"/>
      <c r="Z10" s="534"/>
      <c r="AA10" s="475"/>
      <c r="AB10" s="484"/>
      <c r="AC10" s="483"/>
      <c r="AD10" s="534"/>
      <c r="AE10" s="475"/>
      <c r="AF10" s="484"/>
      <c r="AG10" s="483"/>
      <c r="AH10" s="534"/>
      <c r="AI10" s="475"/>
      <c r="AJ10" s="484"/>
      <c r="AK10" s="483"/>
      <c r="AL10" s="534"/>
      <c r="AM10" s="475"/>
      <c r="AN10" s="484"/>
      <c r="AO10" s="483"/>
      <c r="AP10" s="534"/>
      <c r="AQ10" s="353">
        <f t="shared" si="4"/>
        <v>70</v>
      </c>
      <c r="AR10" s="353">
        <f t="shared" si="5"/>
        <v>42</v>
      </c>
      <c r="AS10" s="353">
        <f t="shared" si="6"/>
        <v>42</v>
      </c>
      <c r="AT10" s="353">
        <f t="shared" si="7"/>
        <v>0</v>
      </c>
      <c r="AU10" s="303">
        <f t="shared" si="8"/>
        <v>28</v>
      </c>
      <c r="AV10" s="1144">
        <f t="shared" si="9"/>
        <v>0</v>
      </c>
      <c r="AW10" s="1136">
        <f t="shared" si="10"/>
        <v>40</v>
      </c>
      <c r="AX10" s="1136">
        <f t="shared" si="11"/>
        <v>42</v>
      </c>
      <c r="AY10" s="1136">
        <f t="shared" si="12"/>
        <v>42</v>
      </c>
      <c r="AZ10" s="1151">
        <f t="shared" si="13"/>
        <v>0</v>
      </c>
      <c r="BB10" s="12" t="s">
        <v>9</v>
      </c>
      <c r="BC10" s="745">
        <v>10</v>
      </c>
      <c r="BD10" s="745">
        <v>20</v>
      </c>
      <c r="BE10" s="745">
        <v>20</v>
      </c>
      <c r="BF10" s="745">
        <v>20</v>
      </c>
      <c r="BG10" s="745">
        <v>30</v>
      </c>
      <c r="BH10" s="745"/>
      <c r="BI10" s="1180">
        <f t="shared" si="2"/>
        <v>100</v>
      </c>
      <c r="BJ10" s="1417">
        <f t="shared" si="3"/>
        <v>0.10626992561105207</v>
      </c>
      <c r="BK10" s="1425"/>
      <c r="BL10" s="973"/>
    </row>
    <row r="11" spans="2:64" ht="20.100000000000001" customHeight="1" thickBot="1">
      <c r="B11" s="105" t="s">
        <v>10</v>
      </c>
      <c r="C11" s="531">
        <f>SUM(C5:C10)</f>
        <v>44</v>
      </c>
      <c r="D11" s="531">
        <f t="shared" ref="D11:F11" si="14">SUM(D5:D10)</f>
        <v>17</v>
      </c>
      <c r="E11" s="531">
        <f t="shared" si="14"/>
        <v>17</v>
      </c>
      <c r="F11" s="531">
        <f t="shared" si="14"/>
        <v>0</v>
      </c>
      <c r="G11" s="531">
        <f>SUM(G5:G10)</f>
        <v>65</v>
      </c>
      <c r="H11" s="531">
        <f t="shared" ref="H11:J11" si="15">SUM(H5:H10)</f>
        <v>10.5</v>
      </c>
      <c r="I11" s="531">
        <f t="shared" si="15"/>
        <v>3.5</v>
      </c>
      <c r="J11" s="531">
        <f t="shared" si="15"/>
        <v>0</v>
      </c>
      <c r="K11" s="531">
        <f>SUM(K5:K10)</f>
        <v>58</v>
      </c>
      <c r="L11" s="531">
        <f t="shared" ref="L11:N11" si="16">SUM(L5:L10)</f>
        <v>61.52</v>
      </c>
      <c r="M11" s="531">
        <f t="shared" si="16"/>
        <v>38.519999999999996</v>
      </c>
      <c r="N11" s="531">
        <f t="shared" si="16"/>
        <v>7.4</v>
      </c>
      <c r="O11" s="531">
        <f>SUM(O5:O10)</f>
        <v>39</v>
      </c>
      <c r="P11" s="531">
        <f t="shared" ref="P11:R11" si="17">SUM(P5:P10)</f>
        <v>23</v>
      </c>
      <c r="Q11" s="531">
        <f t="shared" si="17"/>
        <v>6</v>
      </c>
      <c r="R11" s="531">
        <f t="shared" si="17"/>
        <v>24</v>
      </c>
      <c r="S11" s="531">
        <f>SUM(S5:S10)</f>
        <v>45</v>
      </c>
      <c r="T11" s="531">
        <f t="shared" ref="T11:V11" si="18">SUM(T5:T10)</f>
        <v>40.1</v>
      </c>
      <c r="U11" s="531">
        <f t="shared" si="18"/>
        <v>35.1</v>
      </c>
      <c r="V11" s="531">
        <f t="shared" si="18"/>
        <v>0</v>
      </c>
      <c r="W11" s="531"/>
      <c r="X11" s="531"/>
      <c r="Y11" s="531"/>
      <c r="Z11" s="531"/>
      <c r="AA11" s="531"/>
      <c r="AB11" s="478"/>
      <c r="AC11" s="485"/>
      <c r="AD11" s="485"/>
      <c r="AE11" s="531"/>
      <c r="AF11" s="478"/>
      <c r="AG11" s="485"/>
      <c r="AH11" s="485"/>
      <c r="AI11" s="531"/>
      <c r="AJ11" s="478"/>
      <c r="AK11" s="485"/>
      <c r="AL11" s="485"/>
      <c r="AM11" s="531"/>
      <c r="AN11" s="478"/>
      <c r="AO11" s="485"/>
      <c r="AP11" s="485"/>
      <c r="AQ11" s="357">
        <f>SUM(AQ5:AQ10)</f>
        <v>251</v>
      </c>
      <c r="AR11" s="357">
        <f t="shared" ref="AR11:AT11" si="19">SUM(AR5:AR10)</f>
        <v>152.12</v>
      </c>
      <c r="AS11" s="357">
        <f t="shared" si="19"/>
        <v>100.12</v>
      </c>
      <c r="AT11" s="357">
        <f t="shared" si="19"/>
        <v>31.4</v>
      </c>
      <c r="AU11" s="106">
        <f t="shared" ref="AU11:AV11" si="20">SUM(AU5:AU10)</f>
        <v>150.88</v>
      </c>
      <c r="AV11" s="1145">
        <f t="shared" si="20"/>
        <v>52.000000000000007</v>
      </c>
      <c r="AW11" s="1137">
        <f>SUM(AW5:AW10)</f>
        <v>142</v>
      </c>
      <c r="AX11" s="1137">
        <f t="shared" ref="AX11:AZ11" si="21">SUM(AX5:AX10)</f>
        <v>124.62</v>
      </c>
      <c r="AY11" s="1137">
        <f t="shared" si="21"/>
        <v>79.62</v>
      </c>
      <c r="AZ11" s="1152">
        <f t="shared" si="21"/>
        <v>31.4</v>
      </c>
      <c r="BB11" s="170" t="s">
        <v>10</v>
      </c>
      <c r="BC11" s="747">
        <f>SUM(BC5:BC10)</f>
        <v>54</v>
      </c>
      <c r="BD11" s="747">
        <f t="shared" ref="BD11:BI11" si="22">SUM(BD5:BD10)</f>
        <v>83</v>
      </c>
      <c r="BE11" s="747">
        <f t="shared" si="22"/>
        <v>119</v>
      </c>
      <c r="BF11" s="747">
        <f t="shared" si="22"/>
        <v>138</v>
      </c>
      <c r="BG11" s="747">
        <f t="shared" si="22"/>
        <v>161</v>
      </c>
      <c r="BH11" s="747">
        <f t="shared" si="22"/>
        <v>0</v>
      </c>
      <c r="BI11" s="747">
        <f t="shared" si="22"/>
        <v>555</v>
      </c>
      <c r="BJ11" s="1418">
        <f>BI16/BI$18</f>
        <v>0.41020191285866098</v>
      </c>
      <c r="BK11" s="1426">
        <f>SUM(BK5:BK10)</f>
        <v>48</v>
      </c>
      <c r="BL11" s="974">
        <f>SUM(BL5:BL10)</f>
        <v>0</v>
      </c>
    </row>
    <row r="12" spans="2:64" ht="20.100000000000001" customHeight="1" thickBot="1">
      <c r="B12" s="286" t="s">
        <v>11</v>
      </c>
      <c r="C12" s="475">
        <f>'17'!$AL$26</f>
        <v>14</v>
      </c>
      <c r="D12" s="484">
        <f>'17'!$AM$26</f>
        <v>7.5</v>
      </c>
      <c r="E12" s="484">
        <f>'17'!$AN$26</f>
        <v>7.5</v>
      </c>
      <c r="F12" s="534">
        <f>'17'!$AO$26</f>
        <v>0</v>
      </c>
      <c r="G12" s="475">
        <f>'18'!$AL$26</f>
        <v>9</v>
      </c>
      <c r="H12" s="484">
        <f>'18'!$AM$26</f>
        <v>5</v>
      </c>
      <c r="I12" s="484">
        <f>'18'!$AN$26</f>
        <v>5</v>
      </c>
      <c r="J12" s="534">
        <f>'18'!$AO$26</f>
        <v>0</v>
      </c>
      <c r="K12" s="475">
        <f>'19'!$AL$26</f>
        <v>26</v>
      </c>
      <c r="L12" s="484">
        <f>'19'!$AM$26</f>
        <v>21.35</v>
      </c>
      <c r="M12" s="484">
        <f>'19'!$AN$26</f>
        <v>11.35</v>
      </c>
      <c r="N12" s="534">
        <f>'19'!$AO$26</f>
        <v>0</v>
      </c>
      <c r="O12" s="475">
        <f>'20'!$AL$26</f>
        <v>27.5</v>
      </c>
      <c r="P12" s="484">
        <f>'20'!$AM$26</f>
        <v>25.5</v>
      </c>
      <c r="Q12" s="484">
        <f>'20'!$AN$26</f>
        <v>0</v>
      </c>
      <c r="R12" s="534">
        <f>'20'!$AO$26</f>
        <v>0</v>
      </c>
      <c r="S12" s="475">
        <f>'21'!$AL$26</f>
        <v>21.85</v>
      </c>
      <c r="T12" s="484">
        <f>'21'!$AM$26</f>
        <v>11.85</v>
      </c>
      <c r="U12" s="484">
        <f>'21'!$AN$26</f>
        <v>4</v>
      </c>
      <c r="V12" s="534">
        <f>'21'!$AO$26</f>
        <v>0</v>
      </c>
      <c r="W12" s="475"/>
      <c r="X12" s="484"/>
      <c r="Y12" s="484"/>
      <c r="Z12" s="534"/>
      <c r="AA12" s="475"/>
      <c r="AB12" s="484"/>
      <c r="AC12" s="483"/>
      <c r="AD12" s="534"/>
      <c r="AE12" s="475"/>
      <c r="AF12" s="484"/>
      <c r="AG12" s="483"/>
      <c r="AH12" s="534"/>
      <c r="AI12" s="475"/>
      <c r="AJ12" s="484"/>
      <c r="AK12" s="483"/>
      <c r="AL12" s="534"/>
      <c r="AM12" s="475"/>
      <c r="AN12" s="484"/>
      <c r="AO12" s="483"/>
      <c r="AP12" s="534"/>
      <c r="AQ12" s="353">
        <f t="shared" ref="AQ12" si="23">C12+G12+K12+O12+S12+W12</f>
        <v>98.35</v>
      </c>
      <c r="AR12" s="353">
        <f t="shared" ref="AR12" si="24">D12+H12+L12+P12+T12+X12</f>
        <v>71.2</v>
      </c>
      <c r="AS12" s="353">
        <f t="shared" ref="AS12" si="25">E12+I12+M12+Q12+U12+Y12</f>
        <v>27.85</v>
      </c>
      <c r="AT12" s="353">
        <f t="shared" ref="AT12" si="26">F12+J12+N12+R12+V12+Z12</f>
        <v>0</v>
      </c>
      <c r="AU12" s="303">
        <f t="shared" si="8"/>
        <v>70.5</v>
      </c>
      <c r="AV12" s="1144">
        <f t="shared" si="9"/>
        <v>43.35</v>
      </c>
      <c r="AW12" s="1138">
        <f t="shared" si="10"/>
        <v>75.349999999999994</v>
      </c>
      <c r="AX12" s="1138">
        <f t="shared" ref="AX12" si="27">L12+P12+T12+X12</f>
        <v>58.7</v>
      </c>
      <c r="AY12" s="1138">
        <f t="shared" ref="AY12" si="28">M12+Q12+U12+Y12</f>
        <v>15.35</v>
      </c>
      <c r="AZ12" s="1153">
        <f t="shared" ref="AZ12" si="29">N12+R12+V12+Z12</f>
        <v>0</v>
      </c>
      <c r="BB12" s="6" t="s">
        <v>11</v>
      </c>
      <c r="BC12" s="727">
        <v>14</v>
      </c>
      <c r="BD12" s="727">
        <v>9</v>
      </c>
      <c r="BE12" s="727">
        <v>41</v>
      </c>
      <c r="BF12" s="727">
        <v>22</v>
      </c>
      <c r="BG12" s="727">
        <f>46+15</f>
        <v>61</v>
      </c>
      <c r="BH12" s="727"/>
      <c r="BI12" s="1178">
        <f t="shared" si="2"/>
        <v>147</v>
      </c>
      <c r="BJ12" s="1419">
        <f t="shared" si="3"/>
        <v>0.15621679064824653</v>
      </c>
      <c r="BK12" s="1427">
        <v>28</v>
      </c>
      <c r="BL12" s="975"/>
    </row>
    <row r="13" spans="2:64" ht="20.100000000000001" customHeight="1" thickBot="1">
      <c r="B13" s="287" t="s">
        <v>12</v>
      </c>
      <c r="C13" s="475">
        <f>'17'!$AP$26</f>
        <v>10</v>
      </c>
      <c r="D13" s="484">
        <f>'17'!$AQ$26</f>
        <v>1</v>
      </c>
      <c r="E13" s="484">
        <f>'17'!$AR$26</f>
        <v>1</v>
      </c>
      <c r="F13" s="534">
        <f>'17'!$AS$26</f>
        <v>4</v>
      </c>
      <c r="G13" s="475">
        <f>'18'!$AP$26</f>
        <v>10</v>
      </c>
      <c r="H13" s="484">
        <f>'18'!$AQ$26</f>
        <v>1</v>
      </c>
      <c r="I13" s="484">
        <f>'18'!$AR$26</f>
        <v>1</v>
      </c>
      <c r="J13" s="534">
        <f>'18'!$AS$26</f>
        <v>4</v>
      </c>
      <c r="K13" s="475">
        <f>'19'!$AP$26</f>
        <v>5</v>
      </c>
      <c r="L13" s="484">
        <f>'19'!$AQ$26</f>
        <v>0</v>
      </c>
      <c r="M13" s="484">
        <f>'19'!$AR$26</f>
        <v>0</v>
      </c>
      <c r="N13" s="534">
        <f>'19'!$AS$26</f>
        <v>0</v>
      </c>
      <c r="O13" s="475">
        <f>'20'!$AP$26</f>
        <v>10</v>
      </c>
      <c r="P13" s="484">
        <f>'20'!$AQ$26</f>
        <v>4</v>
      </c>
      <c r="Q13" s="484">
        <f>'20'!$AR$26</f>
        <v>4</v>
      </c>
      <c r="R13" s="534">
        <f>'20'!$AS$26</f>
        <v>0</v>
      </c>
      <c r="S13" s="475">
        <f>'21'!$AP$26</f>
        <v>5</v>
      </c>
      <c r="T13" s="484">
        <f>'21'!$AQ$26</f>
        <v>3.5</v>
      </c>
      <c r="U13" s="484">
        <f>'21'!$AR$26</f>
        <v>3.5</v>
      </c>
      <c r="V13" s="534">
        <f>'21'!$AS$26</f>
        <v>0</v>
      </c>
      <c r="W13" s="475"/>
      <c r="X13" s="484"/>
      <c r="Y13" s="484"/>
      <c r="Z13" s="534"/>
      <c r="AA13" s="475"/>
      <c r="AB13" s="484"/>
      <c r="AC13" s="483"/>
      <c r="AD13" s="534"/>
      <c r="AE13" s="475"/>
      <c r="AF13" s="484"/>
      <c r="AG13" s="483"/>
      <c r="AH13" s="534"/>
      <c r="AI13" s="475"/>
      <c r="AJ13" s="484"/>
      <c r="AK13" s="483"/>
      <c r="AL13" s="534"/>
      <c r="AM13" s="475"/>
      <c r="AN13" s="484"/>
      <c r="AO13" s="483"/>
      <c r="AP13" s="534"/>
      <c r="AQ13" s="353">
        <f t="shared" ref="AQ13:AQ15" si="30">C13+G13+K13+O13+S13+W13</f>
        <v>40</v>
      </c>
      <c r="AR13" s="353">
        <f t="shared" ref="AR13:AR15" si="31">D13+H13+L13+P13+T13+X13</f>
        <v>9.5</v>
      </c>
      <c r="AS13" s="353">
        <f t="shared" ref="AS13:AS15" si="32">E13+I13+M13+Q13+U13+Y13</f>
        <v>9.5</v>
      </c>
      <c r="AT13" s="353">
        <f t="shared" ref="AT13:AT15" si="33">F13+J13+N13+R13+V13+Z13</f>
        <v>8</v>
      </c>
      <c r="AU13" s="303">
        <f t="shared" si="8"/>
        <v>30.5</v>
      </c>
      <c r="AV13" s="1144">
        <f t="shared" si="9"/>
        <v>0</v>
      </c>
      <c r="AW13" s="1138">
        <f t="shared" ref="AW13:AW15" si="34">K13+O13+S13+W13</f>
        <v>20</v>
      </c>
      <c r="AX13" s="1138">
        <f t="shared" ref="AX13:AX15" si="35">L13+P13+T13+X13</f>
        <v>7.5</v>
      </c>
      <c r="AY13" s="1138">
        <f t="shared" ref="AY13:AY15" si="36">M13+Q13+U13+Y13</f>
        <v>7.5</v>
      </c>
      <c r="AZ13" s="1153">
        <f t="shared" ref="AZ13:AZ15" si="37">N13+R13+V13+Z13</f>
        <v>0</v>
      </c>
      <c r="BB13" s="9" t="s">
        <v>12</v>
      </c>
      <c r="BC13" s="1347">
        <v>10</v>
      </c>
      <c r="BD13" s="1347">
        <v>10</v>
      </c>
      <c r="BE13" s="1347">
        <v>15</v>
      </c>
      <c r="BF13" s="1347">
        <v>15</v>
      </c>
      <c r="BG13" s="1347">
        <v>10</v>
      </c>
      <c r="BH13" s="728"/>
      <c r="BI13" s="1179">
        <f t="shared" si="2"/>
        <v>60</v>
      </c>
      <c r="BJ13" s="1338">
        <f t="shared" si="3"/>
        <v>6.3761955366631248E-2</v>
      </c>
      <c r="BK13" s="1424"/>
      <c r="BL13" s="972"/>
    </row>
    <row r="14" spans="2:64" ht="20.100000000000001" customHeight="1" thickBot="1">
      <c r="B14" s="287" t="s">
        <v>13</v>
      </c>
      <c r="C14" s="475">
        <f>'17'!$AT$26</f>
        <v>20</v>
      </c>
      <c r="D14" s="484">
        <f>'17'!$AU$26</f>
        <v>24</v>
      </c>
      <c r="E14" s="484">
        <f>'17'!$AV$26</f>
        <v>12</v>
      </c>
      <c r="F14" s="534">
        <f>'17'!$AW$26</f>
        <v>0</v>
      </c>
      <c r="G14" s="475">
        <f>'18'!$AT$26</f>
        <v>15</v>
      </c>
      <c r="H14" s="484">
        <f>'18'!$AU$26</f>
        <v>0</v>
      </c>
      <c r="I14" s="484">
        <f>'18'!$AV$26</f>
        <v>0</v>
      </c>
      <c r="J14" s="534">
        <f>'18'!$AW$26</f>
        <v>9</v>
      </c>
      <c r="K14" s="475">
        <f>'19'!$AT$26</f>
        <v>10</v>
      </c>
      <c r="L14" s="484">
        <f>'19'!$AU$26</f>
        <v>29</v>
      </c>
      <c r="M14" s="484">
        <f>'19'!$AV$26</f>
        <v>29</v>
      </c>
      <c r="N14" s="534">
        <f>'19'!$AW$26</f>
        <v>12</v>
      </c>
      <c r="O14" s="475">
        <f>'20'!$AT$26</f>
        <v>25</v>
      </c>
      <c r="P14" s="484">
        <f>'20'!$AU$26</f>
        <v>21</v>
      </c>
      <c r="Q14" s="484">
        <f>'20'!$AV$26</f>
        <v>1</v>
      </c>
      <c r="R14" s="534">
        <f>'20'!$AW$26</f>
        <v>0</v>
      </c>
      <c r="S14" s="475">
        <f>'21'!$AT$26</f>
        <v>12</v>
      </c>
      <c r="T14" s="484">
        <f>'21'!$AU$26</f>
        <v>13.81</v>
      </c>
      <c r="U14" s="484">
        <f>'21'!$AV$26</f>
        <v>1</v>
      </c>
      <c r="V14" s="534">
        <f>'21'!$AW$26</f>
        <v>19.850000000000001</v>
      </c>
      <c r="W14" s="475"/>
      <c r="X14" s="484"/>
      <c r="Y14" s="484"/>
      <c r="Z14" s="534"/>
      <c r="AA14" s="475"/>
      <c r="AB14" s="484"/>
      <c r="AC14" s="483"/>
      <c r="AD14" s="534"/>
      <c r="AE14" s="475"/>
      <c r="AF14" s="484"/>
      <c r="AG14" s="483"/>
      <c r="AH14" s="534"/>
      <c r="AI14" s="475"/>
      <c r="AJ14" s="484"/>
      <c r="AK14" s="483"/>
      <c r="AL14" s="534"/>
      <c r="AM14" s="475"/>
      <c r="AN14" s="484"/>
      <c r="AO14" s="483"/>
      <c r="AP14" s="534"/>
      <c r="AQ14" s="353">
        <f t="shared" si="30"/>
        <v>82</v>
      </c>
      <c r="AR14" s="353">
        <f t="shared" si="31"/>
        <v>87.81</v>
      </c>
      <c r="AS14" s="353">
        <f t="shared" si="32"/>
        <v>43</v>
      </c>
      <c r="AT14" s="353">
        <f t="shared" si="33"/>
        <v>40.85</v>
      </c>
      <c r="AU14" s="303">
        <f t="shared" si="8"/>
        <v>39</v>
      </c>
      <c r="AV14" s="1144">
        <f t="shared" si="9"/>
        <v>44.81</v>
      </c>
      <c r="AW14" s="1138">
        <f t="shared" si="34"/>
        <v>47</v>
      </c>
      <c r="AX14" s="1136">
        <f t="shared" si="35"/>
        <v>63.81</v>
      </c>
      <c r="AY14" s="1138">
        <f t="shared" si="36"/>
        <v>31</v>
      </c>
      <c r="AZ14" s="1153">
        <f t="shared" si="37"/>
        <v>31.85</v>
      </c>
      <c r="BB14" s="9" t="s">
        <v>13</v>
      </c>
      <c r="BC14" s="728">
        <v>22</v>
      </c>
      <c r="BD14" s="728">
        <v>15</v>
      </c>
      <c r="BE14" s="728">
        <v>20</v>
      </c>
      <c r="BF14" s="728">
        <v>20</v>
      </c>
      <c r="BG14" s="728">
        <v>20</v>
      </c>
      <c r="BH14" s="728"/>
      <c r="BI14" s="1179">
        <f t="shared" si="2"/>
        <v>97</v>
      </c>
      <c r="BJ14" s="1338">
        <f t="shared" si="3"/>
        <v>0.10308182784272051</v>
      </c>
      <c r="BK14" s="1424"/>
      <c r="BL14" s="972"/>
    </row>
    <row r="15" spans="2:64" ht="20.100000000000001" customHeight="1">
      <c r="B15" s="288" t="s">
        <v>14</v>
      </c>
      <c r="C15" s="475">
        <f>'17'!$AX$26</f>
        <v>15</v>
      </c>
      <c r="D15" s="484">
        <f>'17'!$AY$26</f>
        <v>13</v>
      </c>
      <c r="E15" s="484">
        <f>'17'!$AZ$26</f>
        <v>13</v>
      </c>
      <c r="F15" s="534">
        <f>'17'!$BA$26</f>
        <v>0</v>
      </c>
      <c r="G15" s="475">
        <f>'18'!$AX$26</f>
        <v>0</v>
      </c>
      <c r="H15" s="484">
        <f>'18'!$AY$26</f>
        <v>0</v>
      </c>
      <c r="I15" s="484">
        <f>'18'!$AZ$26</f>
        <v>0</v>
      </c>
      <c r="J15" s="534">
        <f>'18'!$BA$26</f>
        <v>0</v>
      </c>
      <c r="K15" s="475">
        <f>'19'!$AX$26</f>
        <v>8</v>
      </c>
      <c r="L15" s="484">
        <f>'19'!$AY$26</f>
        <v>9.4</v>
      </c>
      <c r="M15" s="484">
        <f>'19'!$AZ$26</f>
        <v>9.4</v>
      </c>
      <c r="N15" s="534">
        <f>'19'!$BA$26</f>
        <v>0</v>
      </c>
      <c r="O15" s="475">
        <f>'20'!$AX$26</f>
        <v>0</v>
      </c>
      <c r="P15" s="484">
        <f>'20'!$AY$26</f>
        <v>0</v>
      </c>
      <c r="Q15" s="484">
        <f>'20'!$AZ$26</f>
        <v>0</v>
      </c>
      <c r="R15" s="534">
        <f>'20'!$BA$26</f>
        <v>0</v>
      </c>
      <c r="S15" s="475">
        <f>'21'!$AX$26</f>
        <v>20</v>
      </c>
      <c r="T15" s="484">
        <f>'21'!$AY$26</f>
        <v>0</v>
      </c>
      <c r="U15" s="484">
        <f>'21'!$AZ$26</f>
        <v>0</v>
      </c>
      <c r="V15" s="534">
        <f>'21'!$BA$26</f>
        <v>0</v>
      </c>
      <c r="W15" s="475"/>
      <c r="X15" s="484"/>
      <c r="Y15" s="484"/>
      <c r="Z15" s="534"/>
      <c r="AA15" s="475"/>
      <c r="AB15" s="484"/>
      <c r="AC15" s="483"/>
      <c r="AD15" s="534"/>
      <c r="AE15" s="475"/>
      <c r="AF15" s="484"/>
      <c r="AG15" s="483"/>
      <c r="AH15" s="534"/>
      <c r="AI15" s="475"/>
      <c r="AJ15" s="484"/>
      <c r="AK15" s="483"/>
      <c r="AL15" s="534"/>
      <c r="AM15" s="475"/>
      <c r="AN15" s="484"/>
      <c r="AO15" s="483"/>
      <c r="AP15" s="534"/>
      <c r="AQ15" s="353">
        <f t="shared" si="30"/>
        <v>43</v>
      </c>
      <c r="AR15" s="353">
        <f t="shared" si="31"/>
        <v>22.4</v>
      </c>
      <c r="AS15" s="353">
        <f t="shared" si="32"/>
        <v>22.4</v>
      </c>
      <c r="AT15" s="353">
        <f t="shared" si="33"/>
        <v>0</v>
      </c>
      <c r="AU15" s="303">
        <f t="shared" si="8"/>
        <v>20.6</v>
      </c>
      <c r="AV15" s="1144">
        <f t="shared" si="9"/>
        <v>0</v>
      </c>
      <c r="AW15" s="1138">
        <f t="shared" si="34"/>
        <v>28</v>
      </c>
      <c r="AX15" s="1138">
        <f t="shared" si="35"/>
        <v>9.4</v>
      </c>
      <c r="AY15" s="1138">
        <f t="shared" si="36"/>
        <v>9.4</v>
      </c>
      <c r="AZ15" s="1153">
        <f t="shared" si="37"/>
        <v>0</v>
      </c>
      <c r="BB15" s="12" t="s">
        <v>14</v>
      </c>
      <c r="BC15" s="745">
        <v>15</v>
      </c>
      <c r="BD15" s="745">
        <v>0</v>
      </c>
      <c r="BE15" s="745">
        <v>20</v>
      </c>
      <c r="BF15" s="745">
        <v>22</v>
      </c>
      <c r="BG15" s="745">
        <v>25</v>
      </c>
      <c r="BH15" s="745"/>
      <c r="BI15" s="1180">
        <f t="shared" si="2"/>
        <v>82</v>
      </c>
      <c r="BJ15" s="1417">
        <f t="shared" si="3"/>
        <v>8.7141339001062704E-2</v>
      </c>
      <c r="BK15" s="1425"/>
      <c r="BL15" s="973"/>
    </row>
    <row r="16" spans="2:64" ht="19.5" customHeight="1">
      <c r="B16" s="14" t="s">
        <v>15</v>
      </c>
      <c r="C16" s="488">
        <f>SUM(C12:C15)</f>
        <v>59</v>
      </c>
      <c r="D16" s="488">
        <f t="shared" ref="D16:F16" si="38">SUM(D12:D15)</f>
        <v>45.5</v>
      </c>
      <c r="E16" s="488">
        <f t="shared" si="38"/>
        <v>33.5</v>
      </c>
      <c r="F16" s="488">
        <f t="shared" si="38"/>
        <v>4</v>
      </c>
      <c r="G16" s="488">
        <f>SUM(G12:G15)</f>
        <v>34</v>
      </c>
      <c r="H16" s="488">
        <f t="shared" ref="H16:J16" si="39">SUM(H12:H15)</f>
        <v>6</v>
      </c>
      <c r="I16" s="488">
        <f t="shared" si="39"/>
        <v>6</v>
      </c>
      <c r="J16" s="488">
        <f t="shared" si="39"/>
        <v>13</v>
      </c>
      <c r="K16" s="488">
        <f>SUM(K12:K15)</f>
        <v>49</v>
      </c>
      <c r="L16" s="488">
        <f t="shared" ref="L16:N16" si="40">SUM(L12:L15)</f>
        <v>59.75</v>
      </c>
      <c r="M16" s="488">
        <f t="shared" si="40"/>
        <v>49.75</v>
      </c>
      <c r="N16" s="488">
        <f t="shared" si="40"/>
        <v>12</v>
      </c>
      <c r="O16" s="488">
        <f>SUM(O12:O15)</f>
        <v>62.5</v>
      </c>
      <c r="P16" s="488">
        <f t="shared" ref="P16:R16" si="41">SUM(P12:P15)</f>
        <v>50.5</v>
      </c>
      <c r="Q16" s="488">
        <f t="shared" si="41"/>
        <v>5</v>
      </c>
      <c r="R16" s="488">
        <f t="shared" si="41"/>
        <v>0</v>
      </c>
      <c r="S16" s="488">
        <f>SUM(S12:S15)</f>
        <v>58.85</v>
      </c>
      <c r="T16" s="488">
        <f t="shared" ref="T16:V16" si="42">SUM(T12:T15)</f>
        <v>29.16</v>
      </c>
      <c r="U16" s="488">
        <f t="shared" si="42"/>
        <v>8.5</v>
      </c>
      <c r="V16" s="488">
        <f t="shared" si="42"/>
        <v>19.850000000000001</v>
      </c>
      <c r="W16" s="488">
        <f>SUM(W12:W15)</f>
        <v>0</v>
      </c>
      <c r="X16" s="488">
        <f t="shared" ref="X16:Z16" si="43">SUM(X12:X15)</f>
        <v>0</v>
      </c>
      <c r="Y16" s="488">
        <f t="shared" si="43"/>
        <v>0</v>
      </c>
      <c r="Z16" s="488">
        <f t="shared" si="43"/>
        <v>0</v>
      </c>
      <c r="AA16" s="488">
        <f>SUM(AA12:AA15)</f>
        <v>0</v>
      </c>
      <c r="AB16" s="16">
        <f>SUM(AB12:AB15)</f>
        <v>0</v>
      </c>
      <c r="AC16" s="300">
        <f>SUM(AC12:AC15)</f>
        <v>0</v>
      </c>
      <c r="AD16" s="300">
        <f>SUM(AD12:AD15)</f>
        <v>0</v>
      </c>
      <c r="AE16" s="488">
        <f t="shared" ref="AE16:AL16" si="44">SUM(AE12:AE15)</f>
        <v>0</v>
      </c>
      <c r="AF16" s="16">
        <f t="shared" si="44"/>
        <v>0</v>
      </c>
      <c r="AG16" s="300">
        <f t="shared" si="44"/>
        <v>0</v>
      </c>
      <c r="AH16" s="300">
        <f t="shared" si="44"/>
        <v>0</v>
      </c>
      <c r="AI16" s="488">
        <f t="shared" si="44"/>
        <v>0</v>
      </c>
      <c r="AJ16" s="16">
        <f t="shared" si="44"/>
        <v>0</v>
      </c>
      <c r="AK16" s="300">
        <f t="shared" si="44"/>
        <v>0</v>
      </c>
      <c r="AL16" s="300">
        <f t="shared" si="44"/>
        <v>0</v>
      </c>
      <c r="AM16" s="488">
        <f>SUM(AM12:AM15)</f>
        <v>0</v>
      </c>
      <c r="AN16" s="16">
        <f>SUM(AN12:AN15)</f>
        <v>0</v>
      </c>
      <c r="AO16" s="300">
        <f>SUM(AO12:AO15)</f>
        <v>0</v>
      </c>
      <c r="AP16" s="300">
        <f>SUM(AP12:AP15)</f>
        <v>0</v>
      </c>
      <c r="AQ16" s="1316">
        <f>SUM(AQ12:AQ15)</f>
        <v>263.35000000000002</v>
      </c>
      <c r="AR16" s="1316">
        <f t="shared" ref="AR16:AT16" si="45">SUM(AR12:AR15)</f>
        <v>190.91</v>
      </c>
      <c r="AS16" s="1316">
        <f t="shared" si="45"/>
        <v>102.75</v>
      </c>
      <c r="AT16" s="1316">
        <f t="shared" si="45"/>
        <v>48.85</v>
      </c>
      <c r="AU16" s="305">
        <f t="shared" ref="AU16:AV16" si="46">SUM(AU12:AU15)</f>
        <v>160.6</v>
      </c>
      <c r="AV16" s="1146">
        <f t="shared" si="46"/>
        <v>88.16</v>
      </c>
      <c r="AW16" s="1139">
        <f>SUM(AW12:AW15)</f>
        <v>170.35</v>
      </c>
      <c r="AX16" s="1139">
        <f t="shared" ref="AX16:AZ16" si="47">SUM(AX12:AX15)</f>
        <v>139.41</v>
      </c>
      <c r="AY16" s="1139">
        <f t="shared" si="47"/>
        <v>63.25</v>
      </c>
      <c r="AZ16" s="1154">
        <f t="shared" si="47"/>
        <v>31.85</v>
      </c>
      <c r="BB16" s="17" t="s">
        <v>15</v>
      </c>
      <c r="BC16" s="611">
        <f>SUM(BC12:BC15)</f>
        <v>61</v>
      </c>
      <c r="BD16" s="611">
        <f t="shared" ref="BD16:BI16" si="48">SUM(BD12:BD15)</f>
        <v>34</v>
      </c>
      <c r="BE16" s="611">
        <f t="shared" si="48"/>
        <v>96</v>
      </c>
      <c r="BF16" s="611">
        <f t="shared" si="48"/>
        <v>79</v>
      </c>
      <c r="BG16" s="611">
        <f t="shared" si="48"/>
        <v>116</v>
      </c>
      <c r="BH16" s="611">
        <f t="shared" si="48"/>
        <v>0</v>
      </c>
      <c r="BI16" s="611">
        <f t="shared" si="48"/>
        <v>386</v>
      </c>
      <c r="BJ16" s="1420">
        <f t="shared" si="3"/>
        <v>0.41020191285866098</v>
      </c>
      <c r="BK16" s="1428">
        <f>SUM(BK12:BK15)</f>
        <v>28</v>
      </c>
      <c r="BL16" s="319">
        <f>SUM(BL12:BL15)</f>
        <v>0</v>
      </c>
    </row>
    <row r="17" spans="1:66" ht="15.75" hidden="1" customHeight="1" thickBot="1">
      <c r="B17" s="19" t="s">
        <v>16</v>
      </c>
      <c r="C17" s="290"/>
      <c r="D17" s="60"/>
      <c r="E17" s="60"/>
      <c r="F17" s="332"/>
      <c r="G17" s="290"/>
      <c r="H17" s="60"/>
      <c r="I17" s="60"/>
      <c r="J17" s="66"/>
      <c r="K17" s="977"/>
      <c r="L17" s="60"/>
      <c r="M17" s="60"/>
      <c r="N17" s="978"/>
      <c r="O17" s="290"/>
      <c r="P17" s="60"/>
      <c r="Q17" s="60"/>
      <c r="R17" s="332"/>
      <c r="S17" s="290"/>
      <c r="T17" s="60"/>
      <c r="U17" s="60"/>
      <c r="V17" s="332"/>
      <c r="W17" s="290"/>
      <c r="X17" s="60"/>
      <c r="Y17" s="60"/>
      <c r="Z17" s="332"/>
      <c r="AA17" s="290"/>
      <c r="AB17" s="60"/>
      <c r="AC17" s="332"/>
      <c r="AD17" s="332"/>
      <c r="AE17" s="290"/>
      <c r="AF17" s="60"/>
      <c r="AG17" s="332"/>
      <c r="AH17" s="332"/>
      <c r="AI17" s="290"/>
      <c r="AJ17" s="60"/>
      <c r="AK17" s="332"/>
      <c r="AL17" s="332"/>
      <c r="AM17" s="290"/>
      <c r="AN17" s="60"/>
      <c r="AO17" s="332"/>
      <c r="AP17" s="332"/>
      <c r="AQ17" s="348"/>
      <c r="AR17" s="349"/>
      <c r="AS17" s="350"/>
      <c r="AT17" s="350">
        <f t="shared" ref="AT17" si="49">F17+AD17+N17+R17+V17+J17+AH17+AL17+Z17+AP17</f>
        <v>0</v>
      </c>
      <c r="AU17" s="304"/>
      <c r="AV17" s="1144"/>
      <c r="AW17" s="1155"/>
      <c r="AX17" s="1140"/>
      <c r="AY17" s="1141"/>
      <c r="AZ17" s="1141">
        <f t="shared" ref="AZ17" si="50">L17+AJ17+T17+X17+AB17+P17+AN17+AR17+AF17+AV17</f>
        <v>0</v>
      </c>
      <c r="BB17" s="17"/>
      <c r="BC17" s="611"/>
      <c r="BD17" s="611"/>
      <c r="BE17" s="611"/>
      <c r="BF17" s="611"/>
      <c r="BG17" s="611"/>
      <c r="BH17" s="611"/>
      <c r="BI17" s="1193"/>
      <c r="BJ17" s="1421"/>
      <c r="BK17" s="1195"/>
      <c r="BL17" s="38"/>
    </row>
    <row r="18" spans="1:66" ht="20.100000000000001" customHeight="1" thickBot="1">
      <c r="B18" s="20" t="s">
        <v>17</v>
      </c>
      <c r="C18" s="532">
        <f>C11+C16</f>
        <v>103</v>
      </c>
      <c r="D18" s="532">
        <f t="shared" ref="D18:AH18" si="51">D11+D16</f>
        <v>62.5</v>
      </c>
      <c r="E18" s="532">
        <f t="shared" si="51"/>
        <v>50.5</v>
      </c>
      <c r="F18" s="532">
        <f t="shared" si="51"/>
        <v>4</v>
      </c>
      <c r="G18" s="532">
        <f>G11+G16</f>
        <v>99</v>
      </c>
      <c r="H18" s="532">
        <f t="shared" ref="H18:N18" si="52">H11+H16</f>
        <v>16.5</v>
      </c>
      <c r="I18" s="532">
        <f t="shared" si="52"/>
        <v>9.5</v>
      </c>
      <c r="J18" s="532">
        <f t="shared" si="52"/>
        <v>13</v>
      </c>
      <c r="K18" s="532">
        <f t="shared" si="52"/>
        <v>107</v>
      </c>
      <c r="L18" s="532">
        <f t="shared" si="52"/>
        <v>121.27000000000001</v>
      </c>
      <c r="M18" s="532">
        <f t="shared" si="52"/>
        <v>88.27</v>
      </c>
      <c r="N18" s="532">
        <f t="shared" si="52"/>
        <v>19.399999999999999</v>
      </c>
      <c r="O18" s="532">
        <f t="shared" si="51"/>
        <v>101.5</v>
      </c>
      <c r="P18" s="532">
        <f t="shared" si="51"/>
        <v>73.5</v>
      </c>
      <c r="Q18" s="532">
        <f t="shared" si="51"/>
        <v>11</v>
      </c>
      <c r="R18" s="532">
        <f t="shared" si="51"/>
        <v>24</v>
      </c>
      <c r="S18" s="532">
        <f t="shared" si="51"/>
        <v>103.85</v>
      </c>
      <c r="T18" s="532">
        <f t="shared" si="51"/>
        <v>69.260000000000005</v>
      </c>
      <c r="U18" s="532">
        <f t="shared" si="51"/>
        <v>43.6</v>
      </c>
      <c r="V18" s="532">
        <f t="shared" si="51"/>
        <v>19.850000000000001</v>
      </c>
      <c r="W18" s="532">
        <f t="shared" si="51"/>
        <v>0</v>
      </c>
      <c r="X18" s="532">
        <f t="shared" si="51"/>
        <v>0</v>
      </c>
      <c r="Y18" s="532">
        <f t="shared" si="51"/>
        <v>0</v>
      </c>
      <c r="Z18" s="532">
        <f t="shared" si="51"/>
        <v>0</v>
      </c>
      <c r="AA18" s="532">
        <f t="shared" si="51"/>
        <v>0</v>
      </c>
      <c r="AB18" s="532">
        <f t="shared" si="51"/>
        <v>0</v>
      </c>
      <c r="AC18" s="532">
        <f t="shared" si="51"/>
        <v>0</v>
      </c>
      <c r="AD18" s="532">
        <f t="shared" si="51"/>
        <v>0</v>
      </c>
      <c r="AE18" s="532">
        <f t="shared" si="51"/>
        <v>0</v>
      </c>
      <c r="AF18" s="532">
        <f t="shared" si="51"/>
        <v>0</v>
      </c>
      <c r="AG18" s="532">
        <f t="shared" si="51"/>
        <v>0</v>
      </c>
      <c r="AH18" s="532">
        <f t="shared" si="51"/>
        <v>0</v>
      </c>
      <c r="AI18" s="532">
        <f t="shared" ref="AI18:AP18" si="53">AI16+AI16+AI17</f>
        <v>0</v>
      </c>
      <c r="AJ18" s="491">
        <f t="shared" si="53"/>
        <v>0</v>
      </c>
      <c r="AK18" s="302">
        <f t="shared" si="53"/>
        <v>0</v>
      </c>
      <c r="AL18" s="302">
        <f t="shared" si="53"/>
        <v>0</v>
      </c>
      <c r="AM18" s="532">
        <f t="shared" si="53"/>
        <v>0</v>
      </c>
      <c r="AN18" s="491">
        <f t="shared" si="53"/>
        <v>0</v>
      </c>
      <c r="AO18" s="302">
        <f t="shared" si="53"/>
        <v>0</v>
      </c>
      <c r="AP18" s="302">
        <f t="shared" si="53"/>
        <v>0</v>
      </c>
      <c r="AQ18" s="1317">
        <f>AQ16+AQ11</f>
        <v>514.35</v>
      </c>
      <c r="AR18" s="1317">
        <f t="shared" ref="AR18:AT18" si="54">AR16+AR11</f>
        <v>343.03</v>
      </c>
      <c r="AS18" s="1317">
        <f t="shared" si="54"/>
        <v>202.87</v>
      </c>
      <c r="AT18" s="1317">
        <f t="shared" si="54"/>
        <v>80.25</v>
      </c>
      <c r="AU18" s="1355">
        <f t="shared" ref="AU18:AZ18" si="55">AU16+AU16</f>
        <v>321.2</v>
      </c>
      <c r="AV18" s="315">
        <f t="shared" si="55"/>
        <v>176.32</v>
      </c>
      <c r="AW18" s="1142">
        <f t="shared" si="55"/>
        <v>340.7</v>
      </c>
      <c r="AX18" s="1142">
        <f t="shared" si="55"/>
        <v>278.82</v>
      </c>
      <c r="AY18" s="1143">
        <f t="shared" si="55"/>
        <v>126.5</v>
      </c>
      <c r="AZ18" s="1156">
        <f t="shared" si="55"/>
        <v>63.7</v>
      </c>
      <c r="BB18" s="21" t="s">
        <v>17</v>
      </c>
      <c r="BC18" s="748">
        <f>BC16+BC11</f>
        <v>115</v>
      </c>
      <c r="BD18" s="748">
        <f t="shared" ref="BD18:BI18" si="56">BD16+BD11</f>
        <v>117</v>
      </c>
      <c r="BE18" s="748">
        <f t="shared" si="56"/>
        <v>215</v>
      </c>
      <c r="BF18" s="748">
        <f t="shared" si="56"/>
        <v>217</v>
      </c>
      <c r="BG18" s="748">
        <f t="shared" si="56"/>
        <v>277</v>
      </c>
      <c r="BH18" s="748">
        <f t="shared" si="56"/>
        <v>0</v>
      </c>
      <c r="BI18" s="748">
        <f t="shared" si="56"/>
        <v>941</v>
      </c>
      <c r="BJ18" s="1422"/>
      <c r="BK18" s="1196">
        <f>BK16+BK11</f>
        <v>76</v>
      </c>
      <c r="BL18" s="39">
        <f>BL16+BL16</f>
        <v>0</v>
      </c>
    </row>
    <row r="19" spans="1:66" s="625" customFormat="1" ht="24.75" customHeight="1" thickBot="1">
      <c r="A19" s="2"/>
      <c r="B19" s="677"/>
      <c r="C19" s="678"/>
      <c r="D19" s="678"/>
      <c r="E19" s="678"/>
      <c r="F19" s="678"/>
      <c r="G19" s="749"/>
      <c r="H19" s="749"/>
      <c r="I19" s="749"/>
      <c r="J19" s="749"/>
      <c r="K19" s="678"/>
      <c r="L19" s="678"/>
      <c r="M19" s="678"/>
      <c r="N19" s="678"/>
      <c r="O19" s="678"/>
      <c r="P19" s="678"/>
      <c r="Q19" s="678"/>
      <c r="R19" s="678"/>
      <c r="S19" s="749"/>
      <c r="T19" s="749"/>
      <c r="U19" s="749"/>
      <c r="V19" s="749"/>
      <c r="W19" s="749"/>
      <c r="X19" s="749"/>
      <c r="Y19" s="749"/>
      <c r="Z19" s="749"/>
      <c r="AA19" s="678"/>
      <c r="AB19" s="678"/>
      <c r="AC19" s="678"/>
      <c r="AD19" s="678"/>
      <c r="AE19" s="750"/>
      <c r="AF19" s="751"/>
      <c r="AG19" s="751"/>
      <c r="AH19" s="751"/>
      <c r="AI19" s="750"/>
      <c r="AJ19" s="751"/>
      <c r="AK19" s="751"/>
      <c r="AL19" s="751"/>
      <c r="AM19" s="750"/>
      <c r="AN19" s="624"/>
      <c r="AO19" s="624"/>
      <c r="AP19" s="624"/>
      <c r="AQ19" s="752"/>
      <c r="AR19" s="753"/>
      <c r="AS19" s="753"/>
      <c r="AT19" s="753"/>
      <c r="AU19" s="624"/>
      <c r="AV19" s="624"/>
      <c r="AW19" s="1157"/>
      <c r="AX19" s="1158"/>
      <c r="AY19" s="1692">
        <f>AY18+AZ18</f>
        <v>190.2</v>
      </c>
      <c r="AZ19" s="1693"/>
      <c r="BA19" s="624"/>
      <c r="BB19" s="1672" t="s">
        <v>248</v>
      </c>
      <c r="BC19" s="1673"/>
      <c r="BD19" s="1673"/>
      <c r="BE19" s="1673"/>
      <c r="BF19" s="1673"/>
      <c r="BG19" s="1673"/>
      <c r="BH19" s="1674"/>
      <c r="BI19" s="1672">
        <f>BI18</f>
        <v>941</v>
      </c>
      <c r="BJ19" s="1681"/>
      <c r="BK19" s="1681"/>
      <c r="BL19" s="1682"/>
    </row>
    <row r="20" spans="1:66" s="625" customFormat="1" ht="20.100000000000001" customHeight="1" thickBot="1">
      <c r="A20" s="2"/>
      <c r="B20" s="677"/>
      <c r="C20" s="678"/>
      <c r="D20" s="678"/>
      <c r="E20" s="678"/>
      <c r="F20" s="678"/>
      <c r="G20" s="749"/>
      <c r="H20" s="749"/>
      <c r="I20" s="749"/>
      <c r="J20" s="749"/>
      <c r="K20" s="678"/>
      <c r="L20" s="678"/>
      <c r="M20" s="678"/>
      <c r="N20" s="678"/>
      <c r="O20" s="678"/>
      <c r="P20" s="678"/>
      <c r="Q20" s="678"/>
      <c r="R20" s="678"/>
      <c r="S20" s="749"/>
      <c r="T20" s="749"/>
      <c r="U20" s="749"/>
      <c r="V20" s="749"/>
      <c r="W20" s="749"/>
      <c r="X20" s="749"/>
      <c r="Y20" s="749"/>
      <c r="Z20" s="749"/>
      <c r="AA20" s="678"/>
      <c r="AB20" s="678"/>
      <c r="AC20" s="678"/>
      <c r="AD20" s="678"/>
      <c r="AE20" s="624"/>
      <c r="AF20" s="751"/>
      <c r="AG20" s="751"/>
      <c r="AH20" s="751"/>
      <c r="AI20" s="624"/>
      <c r="AJ20" s="751"/>
      <c r="AK20" s="751"/>
      <c r="AL20" s="751"/>
      <c r="AM20" s="624"/>
      <c r="AN20" s="624"/>
      <c r="AO20" s="624"/>
      <c r="AP20" s="624"/>
      <c r="AQ20" s="752"/>
      <c r="AR20" s="753"/>
      <c r="AS20" s="753"/>
      <c r="AT20" s="753"/>
      <c r="AU20" s="624"/>
      <c r="AV20" s="624"/>
      <c r="AW20" s="624"/>
      <c r="AX20" s="624"/>
      <c r="AY20" s="624"/>
      <c r="AZ20" s="624"/>
      <c r="BA20" s="624"/>
      <c r="BB20" s="1672" t="s">
        <v>292</v>
      </c>
      <c r="BC20" s="1673"/>
      <c r="BD20" s="1673"/>
      <c r="BE20" s="1673"/>
      <c r="BF20" s="1673"/>
      <c r="BG20" s="1673"/>
      <c r="BH20" s="1674"/>
      <c r="BI20" s="1675">
        <v>76</v>
      </c>
      <c r="BJ20" s="1676"/>
      <c r="BK20" s="1676"/>
      <c r="BL20" s="1677"/>
    </row>
    <row r="21" spans="1:66" ht="21.75" thickBot="1">
      <c r="B21" s="624"/>
      <c r="C21" s="624"/>
      <c r="D21" s="751"/>
      <c r="E21" s="751"/>
      <c r="F21" s="751"/>
      <c r="G21" s="751"/>
      <c r="H21" s="751"/>
      <c r="I21" s="624"/>
      <c r="J21" s="624"/>
      <c r="K21" s="624"/>
      <c r="L21" s="751"/>
      <c r="M21" s="751"/>
      <c r="N21" s="751"/>
      <c r="O21" s="624"/>
      <c r="P21" s="751"/>
      <c r="Q21" s="751"/>
      <c r="R21" s="751"/>
      <c r="S21" s="624"/>
      <c r="T21" s="751"/>
      <c r="U21" s="751"/>
      <c r="V21" s="751"/>
      <c r="W21" s="624"/>
      <c r="X21" s="751"/>
      <c r="Y21" s="751"/>
      <c r="Z21" s="751"/>
      <c r="AA21" s="624"/>
      <c r="AB21" s="755"/>
      <c r="AC21" s="751"/>
      <c r="AD21" s="751"/>
      <c r="AE21" s="624"/>
      <c r="AF21" s="751"/>
      <c r="AG21" s="751"/>
      <c r="AH21" s="751"/>
      <c r="AI21" s="624"/>
      <c r="AJ21" s="751"/>
      <c r="AK21" s="751"/>
      <c r="AL21" s="751"/>
      <c r="AM21" s="624"/>
      <c r="AN21" s="624"/>
      <c r="AO21" s="624"/>
      <c r="AP21" s="624"/>
      <c r="AQ21" s="752"/>
      <c r="AR21" s="753"/>
      <c r="AS21" s="753"/>
      <c r="AT21" s="753"/>
      <c r="AU21" s="624"/>
      <c r="AV21" s="624"/>
      <c r="AW21" s="624"/>
      <c r="AX21" s="624"/>
      <c r="AY21" s="755"/>
      <c r="AZ21" s="624"/>
      <c r="BA21" s="624"/>
      <c r="BB21" s="1672" t="s">
        <v>124</v>
      </c>
      <c r="BC21" s="1673"/>
      <c r="BD21" s="1673"/>
      <c r="BE21" s="1673"/>
      <c r="BF21" s="1673"/>
      <c r="BG21" s="1673"/>
      <c r="BH21" s="1674"/>
      <c r="BI21" s="1675">
        <f>BI19+BI20</f>
        <v>1017</v>
      </c>
      <c r="BJ21" s="1676"/>
      <c r="BK21" s="1676"/>
      <c r="BL21" s="1677"/>
    </row>
    <row r="22" spans="1:66">
      <c r="B22" s="756"/>
      <c r="C22" s="624"/>
      <c r="D22" s="751"/>
      <c r="E22" s="751"/>
      <c r="F22" s="751"/>
      <c r="G22" s="751"/>
      <c r="H22" s="751"/>
      <c r="I22" s="624"/>
      <c r="J22" s="624"/>
      <c r="K22" s="750"/>
      <c r="L22" s="751"/>
      <c r="M22" s="751"/>
      <c r="N22" s="751"/>
      <c r="O22" s="750"/>
      <c r="P22" s="751"/>
      <c r="Q22" s="751"/>
      <c r="R22" s="751"/>
      <c r="S22" s="624"/>
      <c r="T22" s="751"/>
      <c r="U22" s="751"/>
      <c r="V22" s="751"/>
      <c r="W22" s="624"/>
      <c r="X22" s="751"/>
      <c r="Y22" s="751"/>
      <c r="Z22" s="751"/>
      <c r="AA22" s="750"/>
      <c r="AB22" s="751"/>
      <c r="AC22" s="661"/>
      <c r="AD22" s="661"/>
      <c r="AE22" s="624"/>
      <c r="AF22" s="751"/>
      <c r="AG22" s="751"/>
      <c r="AH22" s="751"/>
      <c r="AI22" s="624"/>
      <c r="AJ22" s="751"/>
      <c r="AK22" s="751"/>
      <c r="AL22" s="751"/>
      <c r="AM22" s="624"/>
      <c r="AN22" s="624"/>
      <c r="AO22" s="624"/>
      <c r="AP22" s="624"/>
      <c r="AQ22" s="737"/>
      <c r="AR22" s="753"/>
      <c r="AS22" s="753"/>
      <c r="AT22" s="753"/>
      <c r="AU22" s="624"/>
      <c r="AV22" s="624"/>
      <c r="AW22" s="624"/>
      <c r="AX22" s="624"/>
      <c r="AY22" s="624"/>
      <c r="AZ22" s="624"/>
      <c r="BA22" s="624"/>
      <c r="BB22" s="1258"/>
      <c r="BC22" s="736"/>
      <c r="BD22" s="736"/>
      <c r="BE22" s="736"/>
      <c r="BF22" s="736"/>
      <c r="BG22" s="736"/>
      <c r="BH22" s="736"/>
      <c r="BI22" s="736"/>
      <c r="BJ22" s="736"/>
      <c r="BK22" s="736"/>
      <c r="BL22" s="736"/>
      <c r="BM22" s="968"/>
    </row>
    <row r="23" spans="1:66">
      <c r="B23" s="756"/>
      <c r="C23" s="624"/>
      <c r="D23" s="751"/>
      <c r="E23" s="751"/>
      <c r="F23" s="751"/>
      <c r="G23" s="751"/>
      <c r="H23" s="751"/>
      <c r="I23" s="624"/>
      <c r="J23" s="624"/>
      <c r="K23" s="750"/>
      <c r="L23" s="751"/>
      <c r="M23" s="751"/>
      <c r="N23" s="751"/>
      <c r="O23" s="750"/>
      <c r="P23" s="751"/>
      <c r="Q23" s="751"/>
      <c r="R23" s="751"/>
      <c r="S23" s="624"/>
      <c r="T23" s="751"/>
      <c r="U23" s="751"/>
      <c r="V23" s="751"/>
      <c r="W23" s="624"/>
      <c r="X23" s="751"/>
      <c r="Y23" s="751"/>
      <c r="Z23" s="751"/>
      <c r="AA23" s="750"/>
      <c r="AB23" s="751"/>
      <c r="AC23" s="661"/>
      <c r="AD23" s="661"/>
      <c r="AE23" s="624"/>
      <c r="AF23" s="751"/>
      <c r="AG23" s="751"/>
      <c r="AH23" s="751"/>
      <c r="AI23" s="624"/>
      <c r="AJ23" s="751"/>
      <c r="AK23" s="751"/>
      <c r="AL23" s="751"/>
      <c r="AM23" s="624"/>
      <c r="AN23" s="624"/>
      <c r="AO23" s="624"/>
      <c r="AP23" s="624"/>
      <c r="AQ23" s="737"/>
      <c r="AR23" s="753"/>
      <c r="AS23" s="753"/>
      <c r="AT23" s="753"/>
      <c r="AU23" s="624"/>
      <c r="AV23" s="624"/>
      <c r="AX23" s="624"/>
      <c r="AY23" s="624"/>
      <c r="AZ23" s="624"/>
      <c r="BA23" s="624"/>
      <c r="BB23" s="647"/>
      <c r="BC23" s="738"/>
      <c r="BD23" s="738"/>
      <c r="BE23" s="738"/>
      <c r="BF23" s="738"/>
      <c r="BG23" s="738"/>
      <c r="BH23" s="738"/>
      <c r="BI23" s="738"/>
      <c r="BJ23" s="738"/>
      <c r="BK23" s="738"/>
      <c r="BL23" s="738"/>
      <c r="BM23" s="738"/>
    </row>
    <row r="24" spans="1:66">
      <c r="B24" s="756"/>
      <c r="C24" s="624"/>
      <c r="D24" s="751"/>
      <c r="E24" s="751"/>
      <c r="F24" s="751"/>
      <c r="G24" s="751"/>
      <c r="H24" s="751"/>
      <c r="I24" s="624"/>
      <c r="J24" s="624"/>
      <c r="K24" s="750"/>
      <c r="L24" s="751"/>
      <c r="M24" s="751"/>
      <c r="N24" s="751"/>
      <c r="O24" s="750"/>
      <c r="P24" s="751"/>
      <c r="Q24" s="751"/>
      <c r="R24" s="751"/>
      <c r="S24" s="624"/>
      <c r="T24" s="751"/>
      <c r="U24" s="751"/>
      <c r="V24" s="751"/>
      <c r="W24" s="624"/>
      <c r="X24" s="751"/>
      <c r="Y24" s="751"/>
      <c r="Z24" s="751"/>
      <c r="AA24" s="750"/>
      <c r="AB24" s="751"/>
      <c r="AC24" s="661"/>
      <c r="AD24" s="661"/>
      <c r="AE24" s="624"/>
      <c r="AF24" s="751"/>
      <c r="AG24" s="751"/>
      <c r="AH24" s="751"/>
      <c r="AI24" s="624"/>
      <c r="AJ24" s="751"/>
      <c r="AK24" s="751"/>
      <c r="AL24" s="751"/>
      <c r="AM24" s="624"/>
      <c r="AN24" s="624"/>
      <c r="AO24" s="624"/>
      <c r="AP24" s="624"/>
      <c r="AQ24" s="737"/>
      <c r="AR24" s="753"/>
      <c r="AS24" s="753"/>
      <c r="AT24" s="753"/>
      <c r="AU24" s="624"/>
      <c r="AV24" s="624"/>
      <c r="AW24" s="624"/>
      <c r="AX24" s="624"/>
      <c r="AY24" s="624"/>
      <c r="AZ24" s="624"/>
      <c r="BA24" s="624"/>
      <c r="BB24" s="647"/>
      <c r="BC24" s="738"/>
      <c r="BD24" s="738"/>
      <c r="BE24" s="738"/>
      <c r="BF24" s="738"/>
      <c r="BG24" s="738"/>
      <c r="BH24" s="738"/>
      <c r="BI24" s="738"/>
      <c r="BJ24" s="738"/>
      <c r="BK24" s="738"/>
      <c r="BL24" s="738"/>
      <c r="BM24" s="738"/>
    </row>
    <row r="25" spans="1:66">
      <c r="B25" s="756"/>
      <c r="C25" s="624"/>
      <c r="D25" s="751"/>
      <c r="E25" s="751"/>
      <c r="F25" s="751"/>
      <c r="G25" s="751"/>
      <c r="H25" s="751"/>
      <c r="I25" s="624"/>
      <c r="J25" s="624"/>
      <c r="K25" s="750"/>
      <c r="L25" s="751"/>
      <c r="M25" s="751"/>
      <c r="N25" s="751"/>
      <c r="O25" s="750"/>
      <c r="P25" s="751"/>
      <c r="Q25" s="751"/>
      <c r="R25" s="751"/>
      <c r="S25" s="624"/>
      <c r="T25" s="751"/>
      <c r="U25" s="751"/>
      <c r="V25" s="751"/>
      <c r="W25" s="624"/>
      <c r="X25" s="751"/>
      <c r="Y25" s="751"/>
      <c r="Z25" s="751"/>
      <c r="AA25" s="750"/>
      <c r="AB25" s="751"/>
      <c r="AC25" s="661"/>
      <c r="AD25" s="661"/>
      <c r="AE25" s="624"/>
      <c r="AF25" s="751"/>
      <c r="AG25" s="751"/>
      <c r="AH25" s="751"/>
      <c r="AI25" s="624"/>
      <c r="AJ25" s="751"/>
      <c r="AK25" s="751"/>
      <c r="AL25" s="751"/>
      <c r="AM25" s="624"/>
      <c r="AN25" s="624"/>
      <c r="AO25" s="624"/>
      <c r="AP25" s="624"/>
      <c r="AQ25" s="737"/>
      <c r="AR25" s="753"/>
      <c r="AS25" s="753"/>
      <c r="AT25" s="753"/>
      <c r="AU25" s="624"/>
      <c r="AV25" s="624"/>
      <c r="AW25" s="624"/>
      <c r="AX25" s="624"/>
      <c r="AY25" s="624"/>
      <c r="AZ25" s="624"/>
      <c r="BA25" s="624"/>
      <c r="BB25" s="647"/>
      <c r="BC25" s="738"/>
      <c r="BD25" s="738"/>
      <c r="BE25" s="738"/>
      <c r="BF25" s="738"/>
      <c r="BG25" s="738"/>
      <c r="BH25" s="738"/>
      <c r="BI25" s="738"/>
      <c r="BJ25" s="738"/>
      <c r="BK25" s="738"/>
      <c r="BL25" s="738"/>
      <c r="BM25" s="738"/>
    </row>
    <row r="26" spans="1:66">
      <c r="B26" s="756"/>
      <c r="C26" s="624"/>
      <c r="D26" s="751"/>
      <c r="E26" s="751"/>
      <c r="F26" s="751"/>
      <c r="G26" s="751"/>
      <c r="H26" s="751"/>
      <c r="I26" s="624"/>
      <c r="J26" s="624"/>
      <c r="K26" s="750"/>
      <c r="L26" s="751"/>
      <c r="M26" s="751"/>
      <c r="N26" s="751"/>
      <c r="O26" s="750"/>
      <c r="P26" s="751"/>
      <c r="Q26" s="751"/>
      <c r="R26" s="751"/>
      <c r="S26" s="624"/>
      <c r="T26" s="751"/>
      <c r="U26" s="751"/>
      <c r="V26" s="751"/>
      <c r="W26" s="624"/>
      <c r="X26" s="751"/>
      <c r="Y26" s="751"/>
      <c r="Z26" s="751"/>
      <c r="AA26" s="750"/>
      <c r="AB26" s="751"/>
      <c r="AC26" s="661"/>
      <c r="AD26" s="661"/>
      <c r="AE26" s="624"/>
      <c r="AF26" s="751"/>
      <c r="AG26" s="751"/>
      <c r="AH26" s="751"/>
      <c r="AI26" s="624"/>
      <c r="AJ26" s="751"/>
      <c r="AK26" s="751"/>
      <c r="AL26" s="751"/>
      <c r="AM26" s="624"/>
      <c r="AN26" s="624"/>
      <c r="AO26" s="624"/>
      <c r="AP26" s="624"/>
      <c r="AQ26" s="737"/>
      <c r="AR26" s="753"/>
      <c r="AS26" s="753"/>
      <c r="AT26" s="753"/>
      <c r="AU26" s="624"/>
      <c r="AV26" s="624"/>
      <c r="AW26" s="624"/>
      <c r="AX26" s="624"/>
      <c r="AY26" s="624"/>
      <c r="AZ26" s="624"/>
      <c r="BA26" s="624"/>
      <c r="BB26" s="647"/>
      <c r="BC26" s="738"/>
      <c r="BD26" s="738"/>
      <c r="BE26" s="738"/>
      <c r="BF26" s="738"/>
      <c r="BG26" s="738"/>
      <c r="BH26" s="738"/>
      <c r="BI26" s="738"/>
      <c r="BJ26" s="738"/>
      <c r="BK26" s="738"/>
      <c r="BL26" s="738"/>
      <c r="BM26" s="738"/>
    </row>
    <row r="27" spans="1:66">
      <c r="B27" s="756"/>
      <c r="C27" s="624"/>
      <c r="D27" s="751"/>
      <c r="E27" s="751"/>
      <c r="F27" s="751"/>
      <c r="G27" s="751"/>
      <c r="H27" s="751"/>
      <c r="I27" s="624"/>
      <c r="J27" s="624"/>
      <c r="K27" s="750"/>
      <c r="L27" s="751"/>
      <c r="M27" s="751"/>
      <c r="N27" s="751"/>
      <c r="O27" s="750"/>
      <c r="P27" s="751"/>
      <c r="Q27" s="751"/>
      <c r="R27" s="751"/>
      <c r="S27" s="624"/>
      <c r="T27" s="751"/>
      <c r="U27" s="751"/>
      <c r="V27" s="751"/>
      <c r="W27" s="624"/>
      <c r="X27" s="751"/>
      <c r="Y27" s="751"/>
      <c r="Z27" s="751"/>
      <c r="AA27" s="750"/>
      <c r="AB27" s="751"/>
      <c r="AC27" s="661"/>
      <c r="AD27" s="661"/>
      <c r="AE27" s="624"/>
      <c r="AF27" s="751"/>
      <c r="AG27" s="751"/>
      <c r="AH27" s="751"/>
      <c r="AI27" s="624"/>
      <c r="AJ27" s="751"/>
      <c r="AK27" s="751"/>
      <c r="AL27" s="751"/>
      <c r="AM27" s="624"/>
      <c r="AN27" s="624"/>
      <c r="AO27" s="624"/>
      <c r="AP27" s="624"/>
      <c r="AQ27" s="737"/>
      <c r="AR27" s="753"/>
      <c r="AS27" s="753"/>
      <c r="AT27" s="753"/>
      <c r="AU27" s="624"/>
      <c r="AV27" s="624"/>
      <c r="AW27" s="624"/>
      <c r="AX27" s="624"/>
      <c r="AY27" s="624"/>
      <c r="AZ27" s="624"/>
      <c r="BA27" s="624"/>
      <c r="BB27" s="647"/>
      <c r="BC27" s="738"/>
      <c r="BD27" s="738"/>
      <c r="BE27" s="738"/>
      <c r="BF27" s="738"/>
      <c r="BG27" s="738"/>
      <c r="BH27" s="738"/>
      <c r="BI27" s="738"/>
      <c r="BJ27" s="738"/>
      <c r="BK27" s="738"/>
      <c r="BL27" s="738"/>
      <c r="BM27" s="738"/>
    </row>
    <row r="28" spans="1:66">
      <c r="B28" s="756"/>
      <c r="C28" s="624"/>
      <c r="D28" s="751"/>
      <c r="E28" s="751"/>
      <c r="F28" s="751"/>
      <c r="G28" s="751"/>
      <c r="H28" s="751"/>
      <c r="I28" s="624"/>
      <c r="J28" s="624"/>
      <c r="K28" s="750"/>
      <c r="L28" s="751"/>
      <c r="M28" s="751"/>
      <c r="N28" s="751"/>
      <c r="O28" s="750"/>
      <c r="P28" s="751"/>
      <c r="Q28" s="751"/>
      <c r="R28" s="751"/>
      <c r="S28" s="624"/>
      <c r="T28" s="751"/>
      <c r="U28" s="751"/>
      <c r="V28" s="751"/>
      <c r="W28" s="624"/>
      <c r="X28" s="751"/>
      <c r="Y28" s="751"/>
      <c r="Z28" s="751"/>
      <c r="AA28" s="750"/>
      <c r="AB28" s="751"/>
      <c r="AC28" s="661"/>
      <c r="AD28" s="661"/>
      <c r="AE28" s="624"/>
      <c r="AF28" s="751"/>
      <c r="AG28" s="751"/>
      <c r="AH28" s="751"/>
      <c r="AI28" s="624"/>
      <c r="AJ28" s="751"/>
      <c r="AK28" s="751"/>
      <c r="AL28" s="751"/>
      <c r="AM28" s="624"/>
      <c r="AN28" s="624"/>
      <c r="AO28" s="624"/>
      <c r="AP28" s="624"/>
      <c r="AQ28" s="737"/>
      <c r="AR28" s="753"/>
      <c r="AS28" s="753"/>
      <c r="AT28" s="753"/>
      <c r="AU28" s="624"/>
      <c r="AV28" s="624"/>
      <c r="AW28" s="624"/>
      <c r="AX28" s="624"/>
      <c r="AY28" s="624"/>
      <c r="AZ28" s="624"/>
      <c r="BA28" s="624"/>
    </row>
    <row r="29" spans="1:66">
      <c r="B29" s="756"/>
      <c r="C29" s="624"/>
      <c r="D29" s="751"/>
      <c r="E29" s="751"/>
      <c r="F29" s="751"/>
      <c r="G29" s="751"/>
      <c r="H29" s="751"/>
      <c r="I29" s="624"/>
      <c r="J29" s="624"/>
      <c r="K29" s="750"/>
      <c r="L29" s="751"/>
      <c r="M29" s="751"/>
      <c r="N29" s="751"/>
      <c r="O29" s="750"/>
      <c r="P29" s="751"/>
      <c r="Q29" s="751"/>
      <c r="R29" s="751"/>
      <c r="S29" s="624"/>
      <c r="T29" s="751"/>
      <c r="U29" s="751"/>
      <c r="V29" s="751"/>
      <c r="W29" s="624"/>
      <c r="X29" s="751"/>
      <c r="Y29" s="751"/>
      <c r="Z29" s="751"/>
      <c r="AA29" s="750"/>
      <c r="AB29" s="751"/>
      <c r="AC29" s="661"/>
      <c r="AD29" s="661"/>
      <c r="AE29" s="624"/>
      <c r="AF29" s="751"/>
      <c r="AG29" s="751"/>
      <c r="AH29" s="751"/>
      <c r="AI29" s="624"/>
      <c r="AJ29" s="751"/>
      <c r="AK29" s="751"/>
      <c r="AL29" s="751"/>
      <c r="AM29" s="624"/>
      <c r="AN29" s="624"/>
      <c r="AO29" s="624"/>
      <c r="AP29" s="624"/>
      <c r="AQ29" s="737"/>
      <c r="AR29" s="753"/>
      <c r="AS29" s="753"/>
      <c r="AT29" s="753"/>
      <c r="AU29" s="624"/>
      <c r="AV29" s="624"/>
      <c r="AW29" s="624"/>
      <c r="AX29" s="624"/>
      <c r="AY29" s="624"/>
      <c r="AZ29" s="624"/>
      <c r="BA29" s="624"/>
    </row>
    <row r="30" spans="1:66">
      <c r="B30" s="756"/>
      <c r="C30" s="624"/>
      <c r="D30" s="751"/>
      <c r="E30" s="751"/>
      <c r="F30" s="751"/>
      <c r="G30" s="751"/>
      <c r="H30" s="751"/>
      <c r="I30" s="624"/>
      <c r="J30" s="624"/>
      <c r="K30" s="750"/>
      <c r="L30" s="751"/>
      <c r="M30" s="751"/>
      <c r="N30" s="751"/>
      <c r="O30" s="750"/>
      <c r="P30" s="751"/>
      <c r="Q30" s="751"/>
      <c r="R30" s="751"/>
      <c r="S30" s="624"/>
      <c r="T30" s="751"/>
      <c r="U30" s="751"/>
      <c r="V30" s="751"/>
      <c r="W30" s="624"/>
      <c r="X30" s="751"/>
      <c r="Y30" s="751"/>
      <c r="Z30" s="751"/>
      <c r="AA30" s="750"/>
      <c r="AB30" s="751"/>
      <c r="AC30" s="661"/>
      <c r="AD30" s="661"/>
      <c r="AE30" s="624"/>
      <c r="AF30" s="751"/>
      <c r="AG30" s="751"/>
      <c r="AH30" s="751"/>
      <c r="AI30" s="624"/>
      <c r="AJ30" s="751"/>
      <c r="AK30" s="751"/>
      <c r="AL30" s="751"/>
      <c r="AM30" s="624"/>
      <c r="AN30" s="624"/>
      <c r="AO30" s="624"/>
      <c r="AP30" s="624"/>
      <c r="AQ30" s="737"/>
      <c r="AR30" s="753"/>
      <c r="AS30" s="753"/>
      <c r="AT30" s="753"/>
      <c r="AU30" s="624"/>
      <c r="AV30" s="624"/>
      <c r="AW30" s="624"/>
      <c r="AX30" s="624"/>
      <c r="AY30" s="624"/>
      <c r="AZ30" s="624"/>
      <c r="BA30" s="624"/>
    </row>
    <row r="31" spans="1:66" ht="16.5" thickBot="1">
      <c r="B31" s="756"/>
      <c r="C31" s="624"/>
      <c r="D31" s="751"/>
      <c r="E31" s="751"/>
      <c r="F31" s="751"/>
      <c r="G31" s="751"/>
      <c r="H31" s="751"/>
      <c r="I31" s="624"/>
      <c r="J31" s="624"/>
      <c r="K31" s="750"/>
      <c r="L31" s="751"/>
      <c r="M31" s="751"/>
      <c r="N31" s="751"/>
      <c r="O31" s="750"/>
      <c r="P31" s="751"/>
      <c r="Q31" s="751"/>
      <c r="R31" s="751"/>
      <c r="S31" s="624"/>
      <c r="T31" s="751"/>
      <c r="U31" s="751"/>
      <c r="V31" s="751"/>
      <c r="W31" s="624"/>
      <c r="X31" s="751"/>
      <c r="Y31" s="751"/>
      <c r="Z31" s="751"/>
      <c r="AA31" s="750"/>
      <c r="AB31" s="751"/>
      <c r="AC31" s="661"/>
      <c r="AD31" s="661"/>
      <c r="AE31" s="624"/>
      <c r="AF31" s="751"/>
      <c r="AG31" s="751"/>
      <c r="AH31" s="751"/>
      <c r="AI31" s="624"/>
      <c r="AJ31" s="751"/>
      <c r="AK31" s="751"/>
      <c r="AL31" s="751"/>
      <c r="AM31" s="624"/>
      <c r="AN31" s="624"/>
      <c r="AO31" s="624"/>
      <c r="AP31" s="624"/>
      <c r="AQ31" s="737"/>
      <c r="AR31" s="753"/>
      <c r="AS31" s="753"/>
      <c r="AT31" s="753"/>
      <c r="AU31" s="624"/>
      <c r="AV31" s="624"/>
      <c r="AW31" s="624"/>
      <c r="AX31" s="624"/>
      <c r="AY31" s="624"/>
      <c r="AZ31" s="624"/>
      <c r="BA31" s="624"/>
    </row>
    <row r="32" spans="1:66" ht="24" thickBot="1">
      <c r="B32" s="756"/>
      <c r="C32" s="624"/>
      <c r="D32" s="751"/>
      <c r="E32" s="751"/>
      <c r="F32" s="751"/>
      <c r="G32" s="751"/>
      <c r="H32" s="751"/>
      <c r="I32" s="624"/>
      <c r="J32" s="624"/>
      <c r="K32" s="750"/>
      <c r="L32" s="751"/>
      <c r="M32" s="751"/>
      <c r="N32" s="751"/>
      <c r="O32" s="750"/>
      <c r="P32" s="751"/>
      <c r="Q32" s="751"/>
      <c r="R32" s="751"/>
      <c r="S32" s="624"/>
      <c r="T32" s="751"/>
      <c r="U32" s="751"/>
      <c r="V32" s="751"/>
      <c r="W32" s="624"/>
      <c r="X32" s="751"/>
      <c r="Y32" s="751"/>
      <c r="Z32" s="751"/>
      <c r="AA32" s="750"/>
      <c r="AB32" s="751"/>
      <c r="AC32" s="661"/>
      <c r="AD32" s="661"/>
      <c r="AE32" s="624"/>
      <c r="AF32" s="751"/>
      <c r="AG32" s="751"/>
      <c r="AH32" s="751"/>
      <c r="AI32" s="624"/>
      <c r="AJ32" s="751"/>
      <c r="AK32" s="751"/>
      <c r="AL32" s="751"/>
      <c r="AM32" s="624"/>
      <c r="AN32" s="624"/>
      <c r="AO32" s="624"/>
      <c r="AP32" s="624"/>
      <c r="AQ32" s="737"/>
      <c r="AR32" s="753"/>
      <c r="AS32" s="753"/>
      <c r="AT32" s="753"/>
      <c r="AU32" s="624"/>
      <c r="AV32" s="624"/>
      <c r="AW32" s="624"/>
      <c r="AX32" s="624"/>
      <c r="AY32" s="624"/>
      <c r="AZ32" s="624"/>
      <c r="BA32" s="624"/>
      <c r="BB32" s="1635" t="s">
        <v>339</v>
      </c>
      <c r="BC32" s="1636"/>
      <c r="BD32" s="1636"/>
      <c r="BE32" s="1636"/>
      <c r="BF32" s="1636"/>
      <c r="BG32" s="1636"/>
      <c r="BH32" s="1636"/>
      <c r="BI32" s="1636"/>
      <c r="BJ32" s="1636"/>
      <c r="BK32" s="1636"/>
      <c r="BL32" s="1636"/>
      <c r="BM32" s="1636"/>
      <c r="BN32" s="1637"/>
    </row>
    <row r="33" spans="2:66" ht="27" customHeight="1">
      <c r="B33" s="756"/>
      <c r="C33" s="624"/>
      <c r="D33" s="751"/>
      <c r="E33" s="751"/>
      <c r="F33" s="751"/>
      <c r="G33" s="751"/>
      <c r="H33" s="751"/>
      <c r="I33" s="624"/>
      <c r="J33" s="624"/>
      <c r="K33" s="750"/>
      <c r="L33" s="751"/>
      <c r="M33" s="751"/>
      <c r="N33" s="751"/>
      <c r="O33" s="750"/>
      <c r="P33" s="751"/>
      <c r="Q33" s="751"/>
      <c r="R33" s="751"/>
      <c r="S33" s="624"/>
      <c r="T33" s="751"/>
      <c r="U33" s="751"/>
      <c r="V33" s="751"/>
      <c r="W33" s="624"/>
      <c r="X33" s="751"/>
      <c r="Y33" s="751"/>
      <c r="Z33" s="751"/>
      <c r="AA33" s="750"/>
      <c r="AB33" s="751"/>
      <c r="AC33" s="661"/>
      <c r="AD33" s="661"/>
      <c r="AE33" s="624"/>
      <c r="AF33" s="751"/>
      <c r="AG33" s="751"/>
      <c r="AH33" s="751"/>
      <c r="AI33" s="624"/>
      <c r="AJ33" s="751"/>
      <c r="AK33" s="751"/>
      <c r="AL33" s="751"/>
      <c r="AM33" s="624"/>
      <c r="AN33" s="624"/>
      <c r="AO33" s="624"/>
      <c r="AP33" s="624"/>
      <c r="AQ33" s="737"/>
      <c r="AR33" s="753"/>
      <c r="AS33" s="753"/>
      <c r="AT33" s="753"/>
      <c r="AU33" s="624"/>
      <c r="AV33" s="624"/>
      <c r="AW33" s="624"/>
      <c r="AX33" s="624"/>
      <c r="AY33" s="624"/>
      <c r="AZ33" s="624"/>
      <c r="BA33" s="624"/>
      <c r="BB33" s="1678" t="s">
        <v>0</v>
      </c>
      <c r="BC33" s="1653" t="s">
        <v>79</v>
      </c>
      <c r="BD33" s="1653"/>
      <c r="BE33" s="1653" t="s">
        <v>80</v>
      </c>
      <c r="BF33" s="1653"/>
      <c r="BG33" s="1653" t="s">
        <v>81</v>
      </c>
      <c r="BH33" s="1653"/>
      <c r="BI33" s="1653" t="s">
        <v>82</v>
      </c>
      <c r="BJ33" s="1653"/>
      <c r="BK33" s="1653" t="s">
        <v>83</v>
      </c>
      <c r="BL33" s="1653"/>
      <c r="BM33" s="1437" t="s">
        <v>84</v>
      </c>
      <c r="BN33" s="1679" t="s">
        <v>338</v>
      </c>
    </row>
    <row r="34" spans="2:66" ht="27" customHeight="1">
      <c r="B34" s="756"/>
      <c r="C34" s="624"/>
      <c r="D34" s="751"/>
      <c r="E34" s="751"/>
      <c r="F34" s="751"/>
      <c r="G34" s="751"/>
      <c r="H34" s="751"/>
      <c r="I34" s="624"/>
      <c r="J34" s="624"/>
      <c r="K34" s="750"/>
      <c r="L34" s="751"/>
      <c r="M34" s="751"/>
      <c r="N34" s="751"/>
      <c r="O34" s="750"/>
      <c r="P34" s="751"/>
      <c r="Q34" s="751"/>
      <c r="R34" s="751"/>
      <c r="S34" s="624"/>
      <c r="T34" s="751"/>
      <c r="U34" s="751"/>
      <c r="V34" s="751"/>
      <c r="W34" s="624"/>
      <c r="X34" s="751"/>
      <c r="Y34" s="751"/>
      <c r="Z34" s="751"/>
      <c r="AA34" s="750"/>
      <c r="AB34" s="751"/>
      <c r="AC34" s="661"/>
      <c r="AD34" s="661"/>
      <c r="AE34" s="624"/>
      <c r="AF34" s="751"/>
      <c r="AG34" s="751"/>
      <c r="AH34" s="751"/>
      <c r="AI34" s="624"/>
      <c r="AJ34" s="751"/>
      <c r="AK34" s="751"/>
      <c r="AL34" s="751"/>
      <c r="AM34" s="624"/>
      <c r="AN34" s="624"/>
      <c r="AO34" s="624"/>
      <c r="AP34" s="624"/>
      <c r="AQ34" s="737"/>
      <c r="AR34" s="753"/>
      <c r="AS34" s="753"/>
      <c r="AT34" s="753"/>
      <c r="AU34" s="624"/>
      <c r="AV34" s="624"/>
      <c r="AW34" s="624"/>
      <c r="AX34" s="624"/>
      <c r="AY34" s="624"/>
      <c r="AZ34" s="624"/>
      <c r="BA34" s="624"/>
      <c r="BB34" s="1632"/>
      <c r="BC34" s="1346" t="s">
        <v>1</v>
      </c>
      <c r="BD34" s="1346" t="s">
        <v>194</v>
      </c>
      <c r="BE34" s="1346" t="s">
        <v>1</v>
      </c>
      <c r="BF34" s="1346" t="s">
        <v>194</v>
      </c>
      <c r="BG34" s="1346" t="s">
        <v>1</v>
      </c>
      <c r="BH34" s="1346" t="s">
        <v>194</v>
      </c>
      <c r="BI34" s="1346" t="s">
        <v>1</v>
      </c>
      <c r="BJ34" s="1346" t="s">
        <v>194</v>
      </c>
      <c r="BK34" s="1346" t="s">
        <v>1</v>
      </c>
      <c r="BL34" s="1346" t="s">
        <v>194</v>
      </c>
      <c r="BM34" s="1346" t="s">
        <v>1</v>
      </c>
      <c r="BN34" s="1680"/>
    </row>
    <row r="35" spans="2:66" ht="21">
      <c r="B35" s="756"/>
      <c r="C35" s="624"/>
      <c r="D35" s="751"/>
      <c r="E35" s="751"/>
      <c r="F35" s="751"/>
      <c r="G35" s="751"/>
      <c r="H35" s="751"/>
      <c r="I35" s="624"/>
      <c r="J35" s="624"/>
      <c r="K35" s="750"/>
      <c r="L35" s="751"/>
      <c r="M35" s="751"/>
      <c r="N35" s="751"/>
      <c r="O35" s="750"/>
      <c r="P35" s="751"/>
      <c r="Q35" s="751"/>
      <c r="R35" s="751"/>
      <c r="S35" s="624"/>
      <c r="T35" s="751"/>
      <c r="U35" s="751"/>
      <c r="V35" s="751"/>
      <c r="W35" s="624"/>
      <c r="X35" s="751"/>
      <c r="Y35" s="751"/>
      <c r="Z35" s="751"/>
      <c r="AA35" s="750"/>
      <c r="AB35" s="751"/>
      <c r="AC35" s="661"/>
      <c r="AD35" s="661"/>
      <c r="AE35" s="624"/>
      <c r="AF35" s="751"/>
      <c r="AG35" s="751"/>
      <c r="AH35" s="751"/>
      <c r="AI35" s="624"/>
      <c r="AJ35" s="751"/>
      <c r="AK35" s="751"/>
      <c r="AL35" s="751"/>
      <c r="AM35" s="624"/>
      <c r="AN35" s="624"/>
      <c r="AO35" s="624"/>
      <c r="AP35" s="624"/>
      <c r="AQ35" s="737"/>
      <c r="AR35" s="753"/>
      <c r="AS35" s="753"/>
      <c r="AT35" s="753"/>
      <c r="AU35" s="624"/>
      <c r="AV35" s="624"/>
      <c r="AW35" s="624"/>
      <c r="AX35" s="624"/>
      <c r="AY35" s="624"/>
      <c r="AZ35" s="624"/>
      <c r="BA35" s="624"/>
      <c r="BB35" s="1429" t="s">
        <v>4</v>
      </c>
      <c r="BC35" s="1347">
        <v>50</v>
      </c>
      <c r="BD35" s="1432">
        <v>49.04</v>
      </c>
      <c r="BE35" s="1347">
        <v>25</v>
      </c>
      <c r="BF35" s="1432">
        <v>10</v>
      </c>
      <c r="BG35" s="1347">
        <v>100</v>
      </c>
      <c r="BH35" s="1432">
        <v>49.910000000000004</v>
      </c>
      <c r="BI35" s="1347">
        <v>75</v>
      </c>
      <c r="BJ35" s="1432">
        <v>61.79</v>
      </c>
      <c r="BK35" s="1347">
        <v>125</v>
      </c>
      <c r="BL35" s="1432">
        <v>44.9</v>
      </c>
      <c r="BM35" s="1347"/>
      <c r="BN35" s="1433" t="e">
        <f>#REF!-#REF!</f>
        <v>#REF!</v>
      </c>
    </row>
    <row r="36" spans="2:66" ht="21">
      <c r="B36" s="756"/>
      <c r="C36" s="624"/>
      <c r="D36" s="751"/>
      <c r="E36" s="751"/>
      <c r="F36" s="751"/>
      <c r="G36" s="751"/>
      <c r="H36" s="751"/>
      <c r="I36" s="624"/>
      <c r="J36" s="624"/>
      <c r="K36" s="750"/>
      <c r="L36" s="751"/>
      <c r="M36" s="751"/>
      <c r="N36" s="751"/>
      <c r="O36" s="750"/>
      <c r="P36" s="751"/>
      <c r="Q36" s="751"/>
      <c r="R36" s="751"/>
      <c r="S36" s="624"/>
      <c r="T36" s="751"/>
      <c r="U36" s="751"/>
      <c r="V36" s="751"/>
      <c r="W36" s="624"/>
      <c r="X36" s="751"/>
      <c r="Y36" s="751"/>
      <c r="Z36" s="751"/>
      <c r="AA36" s="750"/>
      <c r="AB36" s="751"/>
      <c r="AC36" s="661"/>
      <c r="AD36" s="661"/>
      <c r="AE36" s="624"/>
      <c r="AF36" s="751"/>
      <c r="AG36" s="751"/>
      <c r="AH36" s="751"/>
      <c r="AI36" s="624"/>
      <c r="AJ36" s="751"/>
      <c r="AK36" s="751"/>
      <c r="AL36" s="751"/>
      <c r="AM36" s="624"/>
      <c r="AN36" s="624"/>
      <c r="AO36" s="624"/>
      <c r="AP36" s="624"/>
      <c r="AQ36" s="737"/>
      <c r="AR36" s="753"/>
      <c r="AS36" s="753"/>
      <c r="AT36" s="753"/>
      <c r="AU36" s="624"/>
      <c r="AV36" s="624"/>
      <c r="AW36" s="624"/>
      <c r="AX36" s="624"/>
      <c r="AY36" s="624"/>
      <c r="AZ36" s="624"/>
      <c r="BA36" s="624"/>
      <c r="BB36" s="1429" t="s">
        <v>5</v>
      </c>
      <c r="BC36" s="1347">
        <v>50</v>
      </c>
      <c r="BD36" s="1432">
        <v>41.35</v>
      </c>
      <c r="BE36" s="1347">
        <v>15</v>
      </c>
      <c r="BF36" s="1432">
        <v>0</v>
      </c>
      <c r="BG36" s="1347">
        <v>50</v>
      </c>
      <c r="BH36" s="1432">
        <v>39.5</v>
      </c>
      <c r="BI36" s="1347">
        <v>60</v>
      </c>
      <c r="BJ36" s="1432">
        <v>15</v>
      </c>
      <c r="BK36" s="1347">
        <v>70</v>
      </c>
      <c r="BL36" s="1432">
        <v>72.97999999999999</v>
      </c>
      <c r="BM36" s="1347"/>
      <c r="BN36" s="1433" t="e">
        <f>#REF!-#REF!</f>
        <v>#REF!</v>
      </c>
    </row>
    <row r="37" spans="2:66" ht="21">
      <c r="B37" s="756"/>
      <c r="C37" s="624"/>
      <c r="D37" s="751"/>
      <c r="E37" s="751"/>
      <c r="F37" s="751"/>
      <c r="G37" s="751"/>
      <c r="H37" s="751"/>
      <c r="I37" s="624"/>
      <c r="J37" s="624"/>
      <c r="K37" s="750"/>
      <c r="L37" s="751"/>
      <c r="M37" s="751"/>
      <c r="N37" s="751"/>
      <c r="O37" s="750"/>
      <c r="P37" s="751"/>
      <c r="Q37" s="751"/>
      <c r="R37" s="751"/>
      <c r="S37" s="624"/>
      <c r="T37" s="751"/>
      <c r="U37" s="751"/>
      <c r="V37" s="751"/>
      <c r="W37" s="624"/>
      <c r="X37" s="751"/>
      <c r="Y37" s="751"/>
      <c r="Z37" s="751"/>
      <c r="AA37" s="750"/>
      <c r="AB37" s="751"/>
      <c r="AC37" s="661"/>
      <c r="AD37" s="661"/>
      <c r="AE37" s="624"/>
      <c r="AF37" s="751"/>
      <c r="AG37" s="751"/>
      <c r="AH37" s="751"/>
      <c r="AI37" s="624"/>
      <c r="AJ37" s="751"/>
      <c r="AK37" s="751"/>
      <c r="AL37" s="751"/>
      <c r="AM37" s="624"/>
      <c r="AN37" s="624"/>
      <c r="AO37" s="624"/>
      <c r="AP37" s="624"/>
      <c r="AQ37" s="737"/>
      <c r="AR37" s="753"/>
      <c r="AS37" s="753"/>
      <c r="AT37" s="753"/>
      <c r="AU37" s="624"/>
      <c r="AV37" s="624"/>
      <c r="AW37" s="624"/>
      <c r="AX37" s="624"/>
      <c r="AY37" s="624"/>
      <c r="AZ37" s="624"/>
      <c r="BA37" s="624"/>
      <c r="BB37" s="1429" t="s">
        <v>6</v>
      </c>
      <c r="BC37" s="1347">
        <v>20</v>
      </c>
      <c r="BD37" s="1432">
        <v>0</v>
      </c>
      <c r="BE37" s="1347">
        <v>20</v>
      </c>
      <c r="BF37" s="1432">
        <v>0</v>
      </c>
      <c r="BG37" s="1347">
        <v>40</v>
      </c>
      <c r="BH37" s="1432">
        <v>20</v>
      </c>
      <c r="BI37" s="1347">
        <v>30</v>
      </c>
      <c r="BJ37" s="1432">
        <v>28.5</v>
      </c>
      <c r="BK37" s="1347">
        <v>30</v>
      </c>
      <c r="BL37" s="1432">
        <v>54</v>
      </c>
      <c r="BM37" s="1347"/>
      <c r="BN37" s="1433" t="e">
        <f>#REF!-#REF!</f>
        <v>#REF!</v>
      </c>
    </row>
    <row r="38" spans="2:66" ht="21">
      <c r="B38" s="756"/>
      <c r="C38" s="624"/>
      <c r="D38" s="751"/>
      <c r="E38" s="751"/>
      <c r="F38" s="751"/>
      <c r="G38" s="751"/>
      <c r="H38" s="751"/>
      <c r="I38" s="624"/>
      <c r="J38" s="624"/>
      <c r="K38" s="750"/>
      <c r="L38" s="751"/>
      <c r="M38" s="751"/>
      <c r="N38" s="751"/>
      <c r="O38" s="750"/>
      <c r="P38" s="751"/>
      <c r="Q38" s="751"/>
      <c r="R38" s="751"/>
      <c r="S38" s="624"/>
      <c r="T38" s="751"/>
      <c r="U38" s="751"/>
      <c r="V38" s="751"/>
      <c r="W38" s="624"/>
      <c r="X38" s="751"/>
      <c r="Y38" s="751"/>
      <c r="Z38" s="751"/>
      <c r="AA38" s="750"/>
      <c r="AB38" s="751"/>
      <c r="AC38" s="661"/>
      <c r="AD38" s="661"/>
      <c r="AE38" s="624"/>
      <c r="AF38" s="751"/>
      <c r="AG38" s="751"/>
      <c r="AH38" s="751"/>
      <c r="AI38" s="624"/>
      <c r="AJ38" s="751"/>
      <c r="AK38" s="751"/>
      <c r="AL38" s="751"/>
      <c r="AM38" s="624"/>
      <c r="AN38" s="624"/>
      <c r="AO38" s="624"/>
      <c r="AP38" s="624"/>
      <c r="AQ38" s="737"/>
      <c r="AR38" s="753"/>
      <c r="AS38" s="753"/>
      <c r="AT38" s="753"/>
      <c r="AU38" s="624"/>
      <c r="AV38" s="624"/>
      <c r="AW38" s="624"/>
      <c r="AX38" s="624"/>
      <c r="AY38" s="624"/>
      <c r="AZ38" s="624"/>
      <c r="BA38" s="624"/>
      <c r="BB38" s="1429" t="s">
        <v>7</v>
      </c>
      <c r="BC38" s="1347">
        <v>40</v>
      </c>
      <c r="BD38" s="1432">
        <v>49.4</v>
      </c>
      <c r="BE38" s="1347">
        <v>0</v>
      </c>
      <c r="BF38" s="1432">
        <v>0</v>
      </c>
      <c r="BG38" s="1347">
        <v>32</v>
      </c>
      <c r="BH38" s="1432">
        <v>23</v>
      </c>
      <c r="BI38" s="1347">
        <v>30</v>
      </c>
      <c r="BJ38" s="1432">
        <v>24.97</v>
      </c>
      <c r="BK38" s="1347">
        <v>100</v>
      </c>
      <c r="BL38" s="1432">
        <v>46.17</v>
      </c>
      <c r="BM38" s="1347"/>
      <c r="BN38" s="1433" t="e">
        <f>#REF!-#REF!</f>
        <v>#REF!</v>
      </c>
    </row>
    <row r="39" spans="2:66" ht="21">
      <c r="B39" s="756"/>
      <c r="C39" s="624"/>
      <c r="D39" s="751"/>
      <c r="E39" s="751"/>
      <c r="F39" s="751"/>
      <c r="G39" s="751"/>
      <c r="H39" s="751"/>
      <c r="I39" s="624"/>
      <c r="J39" s="624"/>
      <c r="K39" s="750"/>
      <c r="L39" s="751"/>
      <c r="M39" s="751"/>
      <c r="N39" s="751"/>
      <c r="O39" s="750"/>
      <c r="P39" s="751"/>
      <c r="Q39" s="751"/>
      <c r="R39" s="751"/>
      <c r="S39" s="624"/>
      <c r="T39" s="751"/>
      <c r="U39" s="751"/>
      <c r="V39" s="751"/>
      <c r="W39" s="624"/>
      <c r="X39" s="751"/>
      <c r="Y39" s="751"/>
      <c r="Z39" s="751"/>
      <c r="AA39" s="750"/>
      <c r="AB39" s="751"/>
      <c r="AC39" s="661"/>
      <c r="AD39" s="661"/>
      <c r="AE39" s="624"/>
      <c r="AF39" s="751"/>
      <c r="AG39" s="751"/>
      <c r="AH39" s="751"/>
      <c r="AI39" s="624"/>
      <c r="AJ39" s="751"/>
      <c r="AK39" s="751"/>
      <c r="AL39" s="751"/>
      <c r="AM39" s="624"/>
      <c r="AN39" s="624"/>
      <c r="AO39" s="624"/>
      <c r="AP39" s="624"/>
      <c r="AQ39" s="737"/>
      <c r="AR39" s="753"/>
      <c r="AS39" s="753"/>
      <c r="AT39" s="753"/>
      <c r="AU39" s="624"/>
      <c r="AV39" s="624"/>
      <c r="AW39" s="624"/>
      <c r="AX39" s="624"/>
      <c r="AY39" s="624"/>
      <c r="AZ39" s="624"/>
      <c r="BA39" s="624"/>
      <c r="BB39" s="1429" t="s">
        <v>8</v>
      </c>
      <c r="BC39" s="1347">
        <v>10</v>
      </c>
      <c r="BD39" s="1432">
        <v>0</v>
      </c>
      <c r="BE39" s="1347">
        <v>10</v>
      </c>
      <c r="BF39" s="1432">
        <v>0</v>
      </c>
      <c r="BG39" s="1347">
        <v>18</v>
      </c>
      <c r="BH39" s="1432">
        <v>0</v>
      </c>
      <c r="BI39" s="1347">
        <v>5</v>
      </c>
      <c r="BJ39" s="1432">
        <v>0</v>
      </c>
      <c r="BK39" s="1347">
        <v>25</v>
      </c>
      <c r="BL39" s="1432">
        <v>5</v>
      </c>
      <c r="BM39" s="1347"/>
      <c r="BN39" s="1433" t="e">
        <f>#REF!-#REF!</f>
        <v>#REF!</v>
      </c>
    </row>
    <row r="40" spans="2:66" ht="21">
      <c r="B40" s="756"/>
      <c r="C40" s="624"/>
      <c r="D40" s="751"/>
      <c r="E40" s="751"/>
      <c r="F40" s="751"/>
      <c r="G40" s="751"/>
      <c r="H40" s="751"/>
      <c r="I40" s="624"/>
      <c r="J40" s="624"/>
      <c r="K40" s="750"/>
      <c r="L40" s="751"/>
      <c r="M40" s="751"/>
      <c r="N40" s="751"/>
      <c r="O40" s="750"/>
      <c r="P40" s="751"/>
      <c r="Q40" s="751"/>
      <c r="R40" s="751"/>
      <c r="S40" s="624"/>
      <c r="T40" s="751"/>
      <c r="U40" s="751"/>
      <c r="V40" s="751"/>
      <c r="W40" s="624"/>
      <c r="X40" s="751"/>
      <c r="Y40" s="751"/>
      <c r="Z40" s="751"/>
      <c r="AA40" s="750"/>
      <c r="AB40" s="751"/>
      <c r="AC40" s="661"/>
      <c r="AD40" s="661"/>
      <c r="AE40" s="624"/>
      <c r="AF40" s="751"/>
      <c r="AG40" s="751"/>
      <c r="AH40" s="751"/>
      <c r="AI40" s="624"/>
      <c r="AJ40" s="751"/>
      <c r="AK40" s="751"/>
      <c r="AL40" s="751"/>
      <c r="AM40" s="624"/>
      <c r="AN40" s="624"/>
      <c r="AO40" s="624"/>
      <c r="AP40" s="624"/>
      <c r="AQ40" s="737"/>
      <c r="AR40" s="753"/>
      <c r="AS40" s="753"/>
      <c r="AT40" s="753"/>
      <c r="AU40" s="624"/>
      <c r="AV40" s="624"/>
      <c r="AW40" s="624"/>
      <c r="AX40" s="624"/>
      <c r="AY40" s="624"/>
      <c r="AZ40" s="624"/>
      <c r="BA40" s="624"/>
      <c r="BB40" s="1429" t="s">
        <v>9</v>
      </c>
      <c r="BC40" s="1347">
        <v>50</v>
      </c>
      <c r="BD40" s="1432">
        <v>30</v>
      </c>
      <c r="BE40" s="1347">
        <v>10</v>
      </c>
      <c r="BF40" s="1432">
        <v>5.8</v>
      </c>
      <c r="BG40" s="1347">
        <v>80</v>
      </c>
      <c r="BH40" s="1432">
        <v>36.01</v>
      </c>
      <c r="BI40" s="1347">
        <v>90</v>
      </c>
      <c r="BJ40" s="1432">
        <v>35</v>
      </c>
      <c r="BK40" s="1347">
        <v>100</v>
      </c>
      <c r="BL40" s="1432">
        <v>79.8</v>
      </c>
      <c r="BM40" s="1347">
        <v>30</v>
      </c>
      <c r="BN40" s="1433" t="e">
        <f>#REF!-#REF!</f>
        <v>#REF!</v>
      </c>
    </row>
    <row r="41" spans="2:66" ht="21">
      <c r="B41" s="756"/>
      <c r="C41" s="624"/>
      <c r="D41" s="751"/>
      <c r="E41" s="751"/>
      <c r="F41" s="751"/>
      <c r="G41" s="751"/>
      <c r="H41" s="751"/>
      <c r="I41" s="624"/>
      <c r="J41" s="624"/>
      <c r="K41" s="750"/>
      <c r="L41" s="751"/>
      <c r="M41" s="751"/>
      <c r="N41" s="751"/>
      <c r="O41" s="750"/>
      <c r="P41" s="751"/>
      <c r="Q41" s="751"/>
      <c r="R41" s="751"/>
      <c r="S41" s="624"/>
      <c r="T41" s="751"/>
      <c r="U41" s="751"/>
      <c r="V41" s="751"/>
      <c r="W41" s="624"/>
      <c r="X41" s="751"/>
      <c r="Y41" s="751"/>
      <c r="Z41" s="751"/>
      <c r="AA41" s="750"/>
      <c r="AB41" s="751"/>
      <c r="AC41" s="661"/>
      <c r="AD41" s="661"/>
      <c r="AE41" s="624"/>
      <c r="AF41" s="751"/>
      <c r="AG41" s="751"/>
      <c r="AH41" s="751"/>
      <c r="AI41" s="624"/>
      <c r="AJ41" s="751"/>
      <c r="AK41" s="751"/>
      <c r="AL41" s="751"/>
      <c r="AM41" s="624"/>
      <c r="AN41" s="624"/>
      <c r="AO41" s="624"/>
      <c r="AP41" s="624"/>
      <c r="AQ41" s="737"/>
      <c r="AR41" s="753"/>
      <c r="AS41" s="753"/>
      <c r="AT41" s="753"/>
      <c r="AU41" s="624"/>
      <c r="AV41" s="624"/>
      <c r="AW41" s="624"/>
      <c r="AX41" s="624"/>
      <c r="AY41" s="624"/>
      <c r="AZ41" s="624"/>
      <c r="BA41" s="624"/>
      <c r="BB41" s="1430" t="s">
        <v>10</v>
      </c>
      <c r="BC41" s="1262">
        <f>SUM(BC35:BC40)</f>
        <v>220</v>
      </c>
      <c r="BD41" s="1262">
        <v>169.79</v>
      </c>
      <c r="BE41" s="1262">
        <v>80</v>
      </c>
      <c r="BF41" s="1262">
        <v>15.8</v>
      </c>
      <c r="BG41" s="1262">
        <f>SUM(BG35:BG40)</f>
        <v>320</v>
      </c>
      <c r="BH41" s="1262">
        <v>168.42</v>
      </c>
      <c r="BI41" s="1262">
        <f>SUM(BI35:BI40)</f>
        <v>290</v>
      </c>
      <c r="BJ41" s="1262">
        <v>165.26</v>
      </c>
      <c r="BK41" s="1262">
        <f t="shared" ref="BK41:BM41" si="57">SUM(BK35:BK40)</f>
        <v>450</v>
      </c>
      <c r="BL41" s="1262">
        <v>302.85000000000002</v>
      </c>
      <c r="BM41" s="1262">
        <f t="shared" si="57"/>
        <v>30</v>
      </c>
      <c r="BN41" s="1434" t="e">
        <f>#REF!-#REF!</f>
        <v>#REF!</v>
      </c>
    </row>
    <row r="42" spans="2:66" ht="21">
      <c r="B42" s="756"/>
      <c r="C42" s="624"/>
      <c r="D42" s="751"/>
      <c r="E42" s="751"/>
      <c r="F42" s="751"/>
      <c r="G42" s="751"/>
      <c r="H42" s="751"/>
      <c r="I42" s="624"/>
      <c r="J42" s="624"/>
      <c r="K42" s="750"/>
      <c r="L42" s="751"/>
      <c r="M42" s="751"/>
      <c r="N42" s="751"/>
      <c r="O42" s="750"/>
      <c r="P42" s="751"/>
      <c r="Q42" s="751"/>
      <c r="R42" s="751"/>
      <c r="S42" s="624"/>
      <c r="T42" s="751"/>
      <c r="U42" s="751"/>
      <c r="V42" s="751"/>
      <c r="W42" s="624"/>
      <c r="X42" s="751"/>
      <c r="Y42" s="751"/>
      <c r="Z42" s="751"/>
      <c r="AA42" s="750"/>
      <c r="AB42" s="751"/>
      <c r="AC42" s="661"/>
      <c r="AD42" s="661"/>
      <c r="AE42" s="624"/>
      <c r="AF42" s="751"/>
      <c r="AG42" s="751"/>
      <c r="AH42" s="751"/>
      <c r="AI42" s="624"/>
      <c r="AJ42" s="751"/>
      <c r="AK42" s="751"/>
      <c r="AL42" s="751"/>
      <c r="AM42" s="624"/>
      <c r="AN42" s="624"/>
      <c r="AO42" s="624"/>
      <c r="AP42" s="624"/>
      <c r="AQ42" s="737"/>
      <c r="AR42" s="753"/>
      <c r="AS42" s="753"/>
      <c r="AT42" s="753"/>
      <c r="AU42" s="624"/>
      <c r="AV42" s="624"/>
      <c r="AW42" s="624"/>
      <c r="AX42" s="624"/>
      <c r="AY42" s="624"/>
      <c r="AZ42" s="624"/>
      <c r="BA42" s="624"/>
      <c r="BB42" s="1429" t="s">
        <v>11</v>
      </c>
      <c r="BC42" s="1347">
        <v>90</v>
      </c>
      <c r="BD42" s="1432">
        <v>92.38</v>
      </c>
      <c r="BE42" s="1347">
        <v>4</v>
      </c>
      <c r="BF42" s="1432">
        <v>0</v>
      </c>
      <c r="BG42" s="1347">
        <v>120</v>
      </c>
      <c r="BH42" s="1432">
        <v>92.78</v>
      </c>
      <c r="BI42" s="1347">
        <v>150</v>
      </c>
      <c r="BJ42" s="1432">
        <v>101.89999999999999</v>
      </c>
      <c r="BK42" s="1347">
        <v>110</v>
      </c>
      <c r="BL42" s="1432">
        <v>133.47</v>
      </c>
      <c r="BM42" s="1347">
        <v>20</v>
      </c>
      <c r="BN42" s="1433" t="e">
        <f>#REF!-#REF!</f>
        <v>#REF!</v>
      </c>
    </row>
    <row r="43" spans="2:66" ht="21">
      <c r="B43" s="756"/>
      <c r="C43" s="624"/>
      <c r="D43" s="751"/>
      <c r="E43" s="751"/>
      <c r="F43" s="751"/>
      <c r="G43" s="751"/>
      <c r="H43" s="751"/>
      <c r="I43" s="624"/>
      <c r="J43" s="624"/>
      <c r="K43" s="750"/>
      <c r="L43" s="751"/>
      <c r="M43" s="751"/>
      <c r="N43" s="751"/>
      <c r="O43" s="750"/>
      <c r="P43" s="751"/>
      <c r="Q43" s="751"/>
      <c r="R43" s="751"/>
      <c r="S43" s="624"/>
      <c r="T43" s="751"/>
      <c r="U43" s="751"/>
      <c r="V43" s="751"/>
      <c r="W43" s="624"/>
      <c r="X43" s="751"/>
      <c r="Y43" s="751"/>
      <c r="Z43" s="751"/>
      <c r="AA43" s="750"/>
      <c r="AB43" s="751"/>
      <c r="AC43" s="661"/>
      <c r="AD43" s="661"/>
      <c r="AE43" s="624"/>
      <c r="AF43" s="751"/>
      <c r="AG43" s="751"/>
      <c r="AH43" s="751"/>
      <c r="AI43" s="624"/>
      <c r="AJ43" s="751"/>
      <c r="AK43" s="751"/>
      <c r="AL43" s="751"/>
      <c r="AM43" s="624"/>
      <c r="AN43" s="624"/>
      <c r="AO43" s="624"/>
      <c r="AP43" s="624"/>
      <c r="AQ43" s="737"/>
      <c r="AR43" s="753"/>
      <c r="AS43" s="753"/>
      <c r="AT43" s="753"/>
      <c r="AU43" s="624"/>
      <c r="AV43" s="624"/>
      <c r="AW43" s="624"/>
      <c r="AX43" s="624"/>
      <c r="AY43" s="624"/>
      <c r="AZ43" s="624"/>
      <c r="BA43" s="624"/>
      <c r="BB43" s="1429" t="s">
        <v>12</v>
      </c>
      <c r="BC43" s="1347">
        <v>10</v>
      </c>
      <c r="BD43" s="1432">
        <v>4</v>
      </c>
      <c r="BE43" s="1347">
        <v>2</v>
      </c>
      <c r="BF43" s="1432">
        <v>0</v>
      </c>
      <c r="BG43" s="1347">
        <v>20</v>
      </c>
      <c r="BH43" s="1432">
        <v>12</v>
      </c>
      <c r="BI43" s="1347">
        <v>15</v>
      </c>
      <c r="BJ43" s="1432">
        <v>16</v>
      </c>
      <c r="BK43" s="1347">
        <v>10</v>
      </c>
      <c r="BL43" s="1432">
        <v>21.5</v>
      </c>
      <c r="BM43" s="1347"/>
      <c r="BN43" s="1433" t="e">
        <f>#REF!-#REF!</f>
        <v>#REF!</v>
      </c>
    </row>
    <row r="44" spans="2:66" ht="21">
      <c r="B44" s="756"/>
      <c r="C44" s="624"/>
      <c r="D44" s="751"/>
      <c r="E44" s="751"/>
      <c r="F44" s="751"/>
      <c r="G44" s="751"/>
      <c r="H44" s="751"/>
      <c r="I44" s="624"/>
      <c r="J44" s="624"/>
      <c r="K44" s="750"/>
      <c r="L44" s="751"/>
      <c r="M44" s="751"/>
      <c r="N44" s="751"/>
      <c r="O44" s="750"/>
      <c r="P44" s="751"/>
      <c r="Q44" s="751"/>
      <c r="R44" s="751"/>
      <c r="S44" s="624"/>
      <c r="T44" s="751"/>
      <c r="U44" s="751"/>
      <c r="V44" s="751"/>
      <c r="W44" s="624"/>
      <c r="X44" s="751"/>
      <c r="Y44" s="751"/>
      <c r="Z44" s="751"/>
      <c r="AA44" s="750"/>
      <c r="AB44" s="751"/>
      <c r="AC44" s="661"/>
      <c r="AD44" s="661"/>
      <c r="AE44" s="624"/>
      <c r="AF44" s="751"/>
      <c r="AG44" s="751"/>
      <c r="AH44" s="751"/>
      <c r="AI44" s="624"/>
      <c r="AJ44" s="751"/>
      <c r="AK44" s="751"/>
      <c r="AL44" s="751"/>
      <c r="AM44" s="624"/>
      <c r="AN44" s="624"/>
      <c r="AO44" s="624"/>
      <c r="AP44" s="624"/>
      <c r="AQ44" s="737"/>
      <c r="AR44" s="753"/>
      <c r="AS44" s="753"/>
      <c r="AT44" s="753"/>
      <c r="AU44" s="624"/>
      <c r="AV44" s="624"/>
      <c r="AW44" s="624"/>
      <c r="AX44" s="624"/>
      <c r="AY44" s="624"/>
      <c r="AZ44" s="624"/>
      <c r="BA44" s="624"/>
      <c r="BB44" s="1429" t="s">
        <v>13</v>
      </c>
      <c r="BC44" s="1347">
        <v>70</v>
      </c>
      <c r="BD44" s="1432">
        <v>24</v>
      </c>
      <c r="BE44" s="1347">
        <v>0</v>
      </c>
      <c r="BF44" s="1432">
        <v>5</v>
      </c>
      <c r="BG44" s="1347">
        <v>75</v>
      </c>
      <c r="BH44" s="1432">
        <v>67.8</v>
      </c>
      <c r="BI44" s="1347">
        <v>100</v>
      </c>
      <c r="BJ44" s="1432">
        <v>32.94</v>
      </c>
      <c r="BK44" s="1347">
        <v>100</v>
      </c>
      <c r="BL44" s="1432">
        <v>65</v>
      </c>
      <c r="BM44" s="1347"/>
      <c r="BN44" s="1433" t="e">
        <f>#REF!-#REF!</f>
        <v>#REF!</v>
      </c>
    </row>
    <row r="45" spans="2:66" ht="21">
      <c r="B45" s="756"/>
      <c r="C45" s="624"/>
      <c r="D45" s="751"/>
      <c r="E45" s="751"/>
      <c r="F45" s="751"/>
      <c r="G45" s="751"/>
      <c r="H45" s="751"/>
      <c r="I45" s="624"/>
      <c r="J45" s="624"/>
      <c r="K45" s="750"/>
      <c r="L45" s="751"/>
      <c r="M45" s="751"/>
      <c r="N45" s="751"/>
      <c r="O45" s="750"/>
      <c r="P45" s="751"/>
      <c r="Q45" s="751"/>
      <c r="R45" s="751"/>
      <c r="S45" s="624"/>
      <c r="T45" s="751"/>
      <c r="U45" s="751"/>
      <c r="V45" s="751"/>
      <c r="W45" s="624"/>
      <c r="X45" s="751"/>
      <c r="Y45" s="751"/>
      <c r="Z45" s="751"/>
      <c r="AA45" s="750"/>
      <c r="AB45" s="751"/>
      <c r="AC45" s="661"/>
      <c r="AD45" s="661"/>
      <c r="AE45" s="624"/>
      <c r="AF45" s="751"/>
      <c r="AG45" s="751"/>
      <c r="AH45" s="751"/>
      <c r="AI45" s="624"/>
      <c r="AJ45" s="751"/>
      <c r="AK45" s="751"/>
      <c r="AL45" s="751"/>
      <c r="AM45" s="624"/>
      <c r="AN45" s="624"/>
      <c r="AO45" s="624"/>
      <c r="AP45" s="624"/>
      <c r="AQ45" s="737"/>
      <c r="AR45" s="753"/>
      <c r="AS45" s="753"/>
      <c r="AT45" s="753"/>
      <c r="AU45" s="624"/>
      <c r="AV45" s="624"/>
      <c r="AW45" s="624">
        <f>1044</f>
        <v>1044</v>
      </c>
      <c r="AX45" s="624"/>
      <c r="AY45" s="624"/>
      <c r="AZ45" s="624"/>
      <c r="BA45" s="624"/>
      <c r="BB45" s="1429" t="s">
        <v>14</v>
      </c>
      <c r="BC45" s="1347">
        <v>15</v>
      </c>
      <c r="BD45" s="1432">
        <v>0</v>
      </c>
      <c r="BE45" s="1347">
        <v>0</v>
      </c>
      <c r="BF45" s="1432">
        <v>0</v>
      </c>
      <c r="BG45" s="1347">
        <v>35</v>
      </c>
      <c r="BH45" s="1432">
        <v>0</v>
      </c>
      <c r="BI45" s="1347">
        <v>20</v>
      </c>
      <c r="BJ45" s="1432">
        <v>0</v>
      </c>
      <c r="BK45" s="1347">
        <v>30</v>
      </c>
      <c r="BL45" s="1432">
        <v>0</v>
      </c>
      <c r="BM45" s="1347">
        <v>10</v>
      </c>
      <c r="BN45" s="1433" t="e">
        <f>#REF!-#REF!</f>
        <v>#REF!</v>
      </c>
    </row>
    <row r="46" spans="2:66" ht="21">
      <c r="B46" s="756"/>
      <c r="C46" s="624"/>
      <c r="D46" s="751"/>
      <c r="E46" s="751"/>
      <c r="F46" s="751"/>
      <c r="G46" s="751"/>
      <c r="H46" s="751"/>
      <c r="I46" s="624"/>
      <c r="J46" s="624"/>
      <c r="K46" s="750"/>
      <c r="L46" s="751"/>
      <c r="M46" s="751"/>
      <c r="N46" s="751"/>
      <c r="O46" s="750"/>
      <c r="P46" s="751"/>
      <c r="Q46" s="751"/>
      <c r="R46" s="751"/>
      <c r="S46" s="624"/>
      <c r="T46" s="751"/>
      <c r="U46" s="751"/>
      <c r="V46" s="751"/>
      <c r="W46" s="624"/>
      <c r="X46" s="751"/>
      <c r="Y46" s="751"/>
      <c r="Z46" s="751"/>
      <c r="AA46" s="750"/>
      <c r="AB46" s="751"/>
      <c r="AC46" s="661"/>
      <c r="AD46" s="661"/>
      <c r="AE46" s="624"/>
      <c r="AF46" s="751"/>
      <c r="AG46" s="751"/>
      <c r="AH46" s="751"/>
      <c r="AI46" s="624"/>
      <c r="AJ46" s="751"/>
      <c r="AK46" s="751"/>
      <c r="AL46" s="751"/>
      <c r="AM46" s="624"/>
      <c r="AN46" s="624"/>
      <c r="AO46" s="624"/>
      <c r="AP46" s="624"/>
      <c r="AQ46" s="737"/>
      <c r="AR46" s="753"/>
      <c r="AS46" s="753"/>
      <c r="AT46" s="753"/>
      <c r="AU46" s="624"/>
      <c r="AV46" s="624"/>
      <c r="AW46" s="624">
        <v>186</v>
      </c>
      <c r="AX46" s="624"/>
      <c r="AY46" s="624"/>
      <c r="AZ46" s="624"/>
      <c r="BA46" s="624"/>
      <c r="BB46" s="1431" t="s">
        <v>15</v>
      </c>
      <c r="BC46" s="1259">
        <f>SUM(BC42:BC45)</f>
        <v>185</v>
      </c>
      <c r="BD46" s="1259">
        <v>120.38</v>
      </c>
      <c r="BE46" s="1259">
        <v>6</v>
      </c>
      <c r="BF46" s="1259">
        <v>5</v>
      </c>
      <c r="BG46" s="1259">
        <f t="shared" ref="BG46:BM46" si="58">SUM(BG42:BG45)</f>
        <v>250</v>
      </c>
      <c r="BH46" s="1259">
        <v>172.57999999999998</v>
      </c>
      <c r="BI46" s="1259">
        <f>SUM(BI42:BI45)</f>
        <v>285</v>
      </c>
      <c r="BJ46" s="1259">
        <v>150.83999999999997</v>
      </c>
      <c r="BK46" s="1259">
        <f t="shared" si="58"/>
        <v>250</v>
      </c>
      <c r="BL46" s="1259">
        <v>219.97</v>
      </c>
      <c r="BM46" s="1259">
        <f t="shared" si="58"/>
        <v>30</v>
      </c>
      <c r="BN46" s="1435" t="e">
        <f>#REF!-#REF!</f>
        <v>#REF!</v>
      </c>
    </row>
    <row r="47" spans="2:66" ht="21.75" thickBot="1">
      <c r="B47" s="756"/>
      <c r="C47" s="624"/>
      <c r="D47" s="751"/>
      <c r="E47" s="751"/>
      <c r="F47" s="751"/>
      <c r="G47" s="751"/>
      <c r="H47" s="751"/>
      <c r="I47" s="624"/>
      <c r="J47" s="624"/>
      <c r="K47" s="750"/>
      <c r="L47" s="751"/>
      <c r="M47" s="751"/>
      <c r="N47" s="751"/>
      <c r="O47" s="750"/>
      <c r="P47" s="751"/>
      <c r="Q47" s="751"/>
      <c r="R47" s="751"/>
      <c r="S47" s="624"/>
      <c r="T47" s="751"/>
      <c r="U47" s="751"/>
      <c r="V47" s="751"/>
      <c r="W47" s="624"/>
      <c r="X47" s="751"/>
      <c r="Y47" s="751"/>
      <c r="Z47" s="751"/>
      <c r="AA47" s="750"/>
      <c r="AB47" s="751"/>
      <c r="AC47" s="661"/>
      <c r="AD47" s="661"/>
      <c r="AE47" s="624"/>
      <c r="AF47" s="751"/>
      <c r="AG47" s="751"/>
      <c r="AH47" s="751"/>
      <c r="AI47" s="624"/>
      <c r="AJ47" s="751"/>
      <c r="AK47" s="751"/>
      <c r="AL47" s="751"/>
      <c r="AM47" s="624"/>
      <c r="AN47" s="624"/>
      <c r="AO47" s="624"/>
      <c r="AP47" s="624"/>
      <c r="AQ47" s="737"/>
      <c r="AR47" s="753"/>
      <c r="AS47" s="753"/>
      <c r="AT47" s="753"/>
      <c r="AU47" s="624"/>
      <c r="AV47" s="624"/>
      <c r="AW47" s="624">
        <v>118</v>
      </c>
      <c r="AX47" s="624"/>
      <c r="AY47" s="624"/>
      <c r="AZ47" s="624"/>
      <c r="BA47" s="624"/>
      <c r="BB47" s="21" t="s">
        <v>17</v>
      </c>
      <c r="BC47" s="748">
        <f>BC46+BC41</f>
        <v>405</v>
      </c>
      <c r="BD47" s="748">
        <v>290.16999999999996</v>
      </c>
      <c r="BE47" s="748">
        <v>86</v>
      </c>
      <c r="BF47" s="748">
        <v>20.8</v>
      </c>
      <c r="BG47" s="748">
        <f>BG46+BG41</f>
        <v>570</v>
      </c>
      <c r="BH47" s="748">
        <v>341</v>
      </c>
      <c r="BI47" s="748">
        <f>BI46+BI41</f>
        <v>575</v>
      </c>
      <c r="BJ47" s="748">
        <f>BJ46+BJ41</f>
        <v>316.09999999999997</v>
      </c>
      <c r="BK47" s="748">
        <f>BK46+BK41</f>
        <v>700</v>
      </c>
      <c r="BL47" s="748">
        <f>BL46+BL41</f>
        <v>522.82000000000005</v>
      </c>
      <c r="BM47" s="748">
        <f>BM46+BM41</f>
        <v>60</v>
      </c>
      <c r="BN47" s="769" t="e">
        <f>#REF!-#REF!</f>
        <v>#REF!</v>
      </c>
    </row>
    <row r="48" spans="2:66" ht="21.75" thickBot="1">
      <c r="B48" s="756"/>
      <c r="C48" s="624"/>
      <c r="D48" s="751"/>
      <c r="E48" s="751"/>
      <c r="F48" s="751"/>
      <c r="G48" s="751"/>
      <c r="H48" s="751"/>
      <c r="I48" s="624"/>
      <c r="J48" s="624"/>
      <c r="K48" s="750"/>
      <c r="L48" s="751"/>
      <c r="M48" s="751"/>
      <c r="N48" s="751"/>
      <c r="O48" s="750"/>
      <c r="P48" s="751"/>
      <c r="Q48" s="751"/>
      <c r="R48" s="751"/>
      <c r="S48" s="624"/>
      <c r="T48" s="751"/>
      <c r="U48" s="751"/>
      <c r="V48" s="751"/>
      <c r="W48" s="624"/>
      <c r="X48" s="751"/>
      <c r="Y48" s="751"/>
      <c r="Z48" s="751"/>
      <c r="AA48" s="750"/>
      <c r="AB48" s="751"/>
      <c r="AC48" s="661"/>
      <c r="AD48" s="661"/>
      <c r="AE48" s="624"/>
      <c r="AF48" s="751"/>
      <c r="AG48" s="751"/>
      <c r="AH48" s="751"/>
      <c r="AI48" s="624"/>
      <c r="AJ48" s="751"/>
      <c r="AK48" s="751"/>
      <c r="AL48" s="751"/>
      <c r="AM48" s="624"/>
      <c r="AN48" s="624"/>
      <c r="AO48" s="624"/>
      <c r="AP48" s="624"/>
      <c r="AQ48" s="737"/>
      <c r="AR48" s="753"/>
      <c r="AS48" s="753"/>
      <c r="AT48" s="753">
        <v>40</v>
      </c>
      <c r="AU48" s="624"/>
      <c r="AV48" s="624"/>
      <c r="AW48" s="624"/>
      <c r="AX48" s="624"/>
      <c r="AY48" s="624"/>
      <c r="AZ48" s="624"/>
      <c r="BA48" s="624"/>
      <c r="BB48" s="1667" t="s">
        <v>248</v>
      </c>
      <c r="BC48" s="1668"/>
      <c r="BD48" s="1668"/>
      <c r="BE48" s="1668"/>
      <c r="BF48" s="1668"/>
      <c r="BG48" s="1668"/>
      <c r="BH48" s="1669"/>
      <c r="BI48" s="1667" t="e">
        <f>#REF!</f>
        <v>#REF!</v>
      </c>
      <c r="BJ48" s="1670"/>
      <c r="BK48" s="1670"/>
      <c r="BL48" s="1671"/>
    </row>
    <row r="49" spans="2:64" ht="21.75" thickBot="1">
      <c r="B49" s="756"/>
      <c r="C49" s="624"/>
      <c r="D49" s="751"/>
      <c r="E49" s="751"/>
      <c r="F49" s="751"/>
      <c r="G49" s="751"/>
      <c r="H49" s="751"/>
      <c r="I49" s="624"/>
      <c r="J49" s="624"/>
      <c r="K49" s="750"/>
      <c r="L49" s="751"/>
      <c r="M49" s="751"/>
      <c r="N49" s="751"/>
      <c r="O49" s="750"/>
      <c r="P49" s="751"/>
      <c r="Q49" s="751"/>
      <c r="R49" s="751"/>
      <c r="S49" s="624"/>
      <c r="T49" s="751"/>
      <c r="U49" s="751"/>
      <c r="V49" s="751"/>
      <c r="W49" s="624"/>
      <c r="X49" s="751"/>
      <c r="Y49" s="751"/>
      <c r="Z49" s="751"/>
      <c r="AA49" s="750"/>
      <c r="AB49" s="751"/>
      <c r="AC49" s="661"/>
      <c r="AD49" s="661"/>
      <c r="AE49" s="624"/>
      <c r="AF49" s="751"/>
      <c r="AG49" s="751"/>
      <c r="AH49" s="751"/>
      <c r="AI49" s="624"/>
      <c r="AJ49" s="751"/>
      <c r="AK49" s="751"/>
      <c r="AL49" s="751"/>
      <c r="AM49" s="624"/>
      <c r="AN49" s="624"/>
      <c r="AO49" s="624"/>
      <c r="AP49" s="624"/>
      <c r="AQ49" s="737"/>
      <c r="AR49" s="753"/>
      <c r="AS49" s="753"/>
      <c r="AT49" s="753">
        <v>40</v>
      </c>
      <c r="AU49" s="624"/>
      <c r="AV49" s="624"/>
      <c r="AW49" s="624"/>
      <c r="AX49" s="624">
        <f>1528-1348</f>
        <v>180</v>
      </c>
      <c r="AY49" s="624"/>
      <c r="AZ49" s="624"/>
      <c r="BA49" s="624"/>
      <c r="BB49" s="1672" t="s">
        <v>2</v>
      </c>
      <c r="BC49" s="1673"/>
      <c r="BD49" s="1673"/>
      <c r="BE49" s="1673"/>
      <c r="BF49" s="1673"/>
      <c r="BG49" s="1673"/>
      <c r="BH49" s="1674"/>
      <c r="BI49" s="1675" t="e">
        <f>#REF!+#REF!</f>
        <v>#REF!</v>
      </c>
      <c r="BJ49" s="1676"/>
      <c r="BK49" s="1676"/>
      <c r="BL49" s="1677"/>
    </row>
    <row r="50" spans="2:64">
      <c r="B50" s="756"/>
      <c r="C50" s="624"/>
      <c r="D50" s="751"/>
      <c r="E50" s="751"/>
      <c r="F50" s="751"/>
      <c r="G50" s="751"/>
      <c r="H50" s="751"/>
      <c r="I50" s="624"/>
      <c r="J50" s="624"/>
      <c r="K50" s="750"/>
      <c r="L50" s="751"/>
      <c r="M50" s="751"/>
      <c r="N50" s="751"/>
      <c r="O50" s="750"/>
      <c r="P50" s="751"/>
      <c r="Q50" s="751"/>
      <c r="R50" s="751"/>
      <c r="S50" s="624"/>
      <c r="T50" s="751"/>
      <c r="U50" s="751"/>
      <c r="V50" s="751"/>
      <c r="W50" s="624"/>
      <c r="X50" s="751"/>
      <c r="Y50" s="751"/>
      <c r="Z50" s="751"/>
      <c r="AA50" s="750"/>
      <c r="AB50" s="751"/>
      <c r="AC50" s="661"/>
      <c r="AD50" s="661"/>
      <c r="AE50" s="624"/>
      <c r="AF50" s="751"/>
      <c r="AG50" s="751"/>
      <c r="AH50" s="751"/>
      <c r="AI50" s="624"/>
      <c r="AJ50" s="751"/>
      <c r="AK50" s="751"/>
      <c r="AL50" s="751"/>
      <c r="AM50" s="624"/>
      <c r="AN50" s="624"/>
      <c r="AO50" s="624"/>
      <c r="AP50" s="624"/>
      <c r="AQ50" s="737"/>
      <c r="AR50" s="753"/>
      <c r="AS50" s="753"/>
      <c r="AT50" s="753"/>
      <c r="AU50" s="624"/>
      <c r="AV50" s="624"/>
      <c r="AW50" s="624"/>
      <c r="AX50" s="624"/>
      <c r="AY50" s="624"/>
      <c r="AZ50" s="624"/>
      <c r="BA50" s="624"/>
      <c r="BK50" s="1436" t="e">
        <f>BI49/BI48</f>
        <v>#REF!</v>
      </c>
    </row>
    <row r="51" spans="2:64">
      <c r="B51" s="756"/>
      <c r="C51" s="624"/>
      <c r="D51" s="751"/>
      <c r="E51" s="751"/>
      <c r="F51" s="751"/>
      <c r="G51" s="751"/>
      <c r="H51" s="751"/>
      <c r="I51" s="624"/>
      <c r="J51" s="624"/>
      <c r="K51" s="750"/>
      <c r="L51" s="751"/>
      <c r="M51" s="751"/>
      <c r="N51" s="751"/>
      <c r="O51" s="750"/>
      <c r="P51" s="751"/>
      <c r="Q51" s="751"/>
      <c r="R51" s="751"/>
      <c r="S51" s="624"/>
      <c r="T51" s="751"/>
      <c r="U51" s="751"/>
      <c r="V51" s="751"/>
      <c r="W51" s="624"/>
      <c r="X51" s="751"/>
      <c r="Y51" s="751"/>
      <c r="Z51" s="751"/>
      <c r="AA51" s="750"/>
      <c r="AB51" s="751"/>
      <c r="AC51" s="661"/>
      <c r="AD51" s="661"/>
      <c r="AE51" s="624"/>
      <c r="AF51" s="751"/>
      <c r="AG51" s="751"/>
      <c r="AH51" s="751"/>
      <c r="AI51" s="624"/>
      <c r="AJ51" s="751"/>
      <c r="AK51" s="751"/>
      <c r="AL51" s="751"/>
      <c r="AM51" s="624"/>
      <c r="AN51" s="624"/>
      <c r="AO51" s="624"/>
      <c r="AP51" s="624"/>
      <c r="AQ51" s="737"/>
      <c r="AR51" s="753"/>
      <c r="AS51" s="753"/>
      <c r="AT51" s="753"/>
      <c r="AU51" s="624"/>
      <c r="AV51" s="624"/>
      <c r="AW51" s="624"/>
      <c r="AX51" s="624"/>
      <c r="AY51" s="624"/>
      <c r="AZ51" s="624"/>
      <c r="BA51" s="624"/>
    </row>
    <row r="52" spans="2:64">
      <c r="B52" s="756"/>
      <c r="C52" s="624"/>
      <c r="D52" s="751"/>
      <c r="E52" s="751"/>
      <c r="F52" s="751"/>
      <c r="G52" s="751"/>
      <c r="H52" s="751"/>
      <c r="I52" s="624"/>
      <c r="J52" s="624"/>
      <c r="K52" s="750"/>
      <c r="L52" s="751"/>
      <c r="M52" s="751"/>
      <c r="N52" s="751"/>
      <c r="O52" s="750"/>
      <c r="P52" s="751"/>
      <c r="Q52" s="751"/>
      <c r="R52" s="751"/>
      <c r="S52" s="624"/>
      <c r="T52" s="751"/>
      <c r="U52" s="751"/>
      <c r="V52" s="751"/>
      <c r="W52" s="624"/>
      <c r="X52" s="751"/>
      <c r="Y52" s="751"/>
      <c r="Z52" s="751"/>
      <c r="AA52" s="750"/>
      <c r="AB52" s="751"/>
      <c r="AC52" s="661"/>
      <c r="AD52" s="661"/>
      <c r="AE52" s="624"/>
      <c r="AF52" s="751"/>
      <c r="AG52" s="751"/>
      <c r="AH52" s="751"/>
      <c r="AI52" s="624"/>
      <c r="AJ52" s="751"/>
      <c r="AK52" s="751"/>
      <c r="AL52" s="751"/>
      <c r="AM52" s="624"/>
      <c r="AN52" s="624"/>
      <c r="AO52" s="624"/>
      <c r="AP52" s="624"/>
      <c r="AQ52" s="737"/>
      <c r="AR52" s="753"/>
      <c r="AS52" s="753"/>
      <c r="AT52" s="753"/>
      <c r="AU52" s="624"/>
      <c r="AV52" s="624"/>
      <c r="AW52" s="624"/>
      <c r="AX52" s="624"/>
      <c r="AY52" s="624"/>
      <c r="AZ52" s="624"/>
      <c r="BA52" s="624"/>
    </row>
    <row r="53" spans="2:64">
      <c r="B53" s="756"/>
      <c r="C53" s="624"/>
      <c r="D53" s="751"/>
      <c r="E53" s="751"/>
      <c r="F53" s="751"/>
      <c r="G53" s="751"/>
      <c r="H53" s="751"/>
      <c r="I53" s="624"/>
      <c r="J53" s="624"/>
      <c r="K53" s="750"/>
      <c r="L53" s="751"/>
      <c r="M53" s="751"/>
      <c r="N53" s="751"/>
      <c r="O53" s="750"/>
      <c r="P53" s="751"/>
      <c r="Q53" s="751"/>
      <c r="R53" s="751"/>
      <c r="S53" s="624"/>
      <c r="T53" s="751"/>
      <c r="U53" s="751"/>
      <c r="V53" s="751"/>
      <c r="W53" s="624"/>
      <c r="X53" s="751"/>
      <c r="Y53" s="751"/>
      <c r="Z53" s="751"/>
      <c r="AA53" s="750"/>
      <c r="AB53" s="751"/>
      <c r="AC53" s="661"/>
      <c r="AD53" s="661"/>
      <c r="AE53" s="624"/>
      <c r="AF53" s="751"/>
      <c r="AG53" s="751"/>
      <c r="AH53" s="751"/>
      <c r="AI53" s="624"/>
      <c r="AJ53" s="751"/>
      <c r="AK53" s="751"/>
      <c r="AL53" s="751"/>
      <c r="AM53" s="624"/>
      <c r="AN53" s="624"/>
      <c r="AO53" s="624"/>
      <c r="AP53" s="624"/>
      <c r="AQ53" s="737"/>
      <c r="AR53" s="753"/>
      <c r="AS53" s="753"/>
      <c r="AT53" s="753"/>
      <c r="AU53" s="624"/>
      <c r="AV53" s="624"/>
      <c r="AW53" s="624"/>
      <c r="AX53" s="624"/>
      <c r="AY53" s="624"/>
      <c r="AZ53" s="624"/>
      <c r="BA53" s="624"/>
    </row>
    <row r="54" spans="2:64">
      <c r="B54" s="756"/>
      <c r="C54" s="624"/>
      <c r="D54" s="751"/>
      <c r="E54" s="751"/>
      <c r="F54" s="751"/>
      <c r="G54" s="751"/>
      <c r="H54" s="751"/>
      <c r="I54" s="624"/>
      <c r="J54" s="624"/>
      <c r="K54" s="750"/>
      <c r="L54" s="751"/>
      <c r="M54" s="751"/>
      <c r="N54" s="751"/>
      <c r="O54" s="750"/>
      <c r="P54" s="751"/>
      <c r="Q54" s="751"/>
      <c r="R54" s="751"/>
      <c r="S54" s="624"/>
      <c r="T54" s="751"/>
      <c r="U54" s="751"/>
      <c r="V54" s="751"/>
      <c r="W54" s="624"/>
      <c r="X54" s="751"/>
      <c r="Y54" s="751"/>
      <c r="Z54" s="751"/>
      <c r="AA54" s="750"/>
      <c r="AB54" s="751"/>
      <c r="AC54" s="661"/>
      <c r="AD54" s="661"/>
      <c r="AE54" s="624"/>
      <c r="AF54" s="751"/>
      <c r="AG54" s="751"/>
      <c r="AH54" s="751"/>
      <c r="AI54" s="624"/>
      <c r="AJ54" s="751"/>
      <c r="AK54" s="751"/>
      <c r="AL54" s="751"/>
      <c r="AM54" s="624"/>
      <c r="AN54" s="624"/>
      <c r="AO54" s="624"/>
      <c r="AP54" s="624"/>
      <c r="AQ54" s="737"/>
      <c r="AR54" s="753"/>
      <c r="AS54" s="753"/>
      <c r="AT54" s="753"/>
      <c r="AU54" s="624"/>
      <c r="AV54" s="624"/>
      <c r="AW54" s="624"/>
      <c r="AX54" s="624"/>
      <c r="AY54" s="624"/>
      <c r="AZ54" s="624"/>
      <c r="BA54" s="624"/>
    </row>
    <row r="55" spans="2:64">
      <c r="B55" s="756"/>
      <c r="C55" s="624"/>
      <c r="D55" s="751"/>
      <c r="E55" s="751"/>
      <c r="F55" s="751"/>
      <c r="G55" s="751"/>
      <c r="H55" s="751"/>
      <c r="I55" s="624"/>
      <c r="J55" s="624"/>
      <c r="K55" s="750"/>
      <c r="L55" s="751"/>
      <c r="M55" s="751"/>
      <c r="N55" s="751"/>
      <c r="O55" s="750"/>
      <c r="P55" s="751"/>
      <c r="Q55" s="751"/>
      <c r="R55" s="751"/>
      <c r="S55" s="624"/>
      <c r="T55" s="751"/>
      <c r="U55" s="751"/>
      <c r="V55" s="751"/>
      <c r="W55" s="624"/>
      <c r="X55" s="751"/>
      <c r="Y55" s="751"/>
      <c r="Z55" s="751"/>
      <c r="AA55" s="750"/>
      <c r="AB55" s="751"/>
      <c r="AC55" s="661"/>
      <c r="AD55" s="661"/>
      <c r="AE55" s="624"/>
      <c r="AF55" s="751"/>
      <c r="AG55" s="751"/>
      <c r="AH55" s="751"/>
      <c r="AI55" s="624"/>
      <c r="AJ55" s="751"/>
      <c r="AK55" s="751"/>
      <c r="AL55" s="751"/>
      <c r="AM55" s="624"/>
      <c r="AN55" s="624"/>
      <c r="AO55" s="624"/>
      <c r="AP55" s="624"/>
      <c r="AQ55" s="737"/>
      <c r="AR55" s="753"/>
      <c r="AS55" s="753"/>
      <c r="AT55" s="753"/>
      <c r="AU55" s="624"/>
      <c r="AV55" s="624"/>
      <c r="AW55" s="624"/>
      <c r="AX55" s="624"/>
      <c r="AY55" s="624"/>
      <c r="AZ55" s="624"/>
      <c r="BA55" s="624"/>
    </row>
    <row r="56" spans="2:64">
      <c r="B56" s="756"/>
      <c r="C56" s="624"/>
      <c r="D56" s="751"/>
      <c r="E56" s="751"/>
      <c r="F56" s="751"/>
      <c r="G56" s="751"/>
      <c r="H56" s="751"/>
      <c r="I56" s="624"/>
      <c r="J56" s="624"/>
      <c r="K56" s="750"/>
      <c r="L56" s="751"/>
      <c r="M56" s="751"/>
      <c r="N56" s="751"/>
      <c r="O56" s="750"/>
      <c r="P56" s="751"/>
      <c r="Q56" s="751"/>
      <c r="R56" s="751"/>
      <c r="S56" s="624"/>
      <c r="T56" s="751"/>
      <c r="U56" s="751"/>
      <c r="V56" s="751"/>
      <c r="W56" s="624"/>
      <c r="X56" s="751"/>
      <c r="Y56" s="751"/>
      <c r="Z56" s="751"/>
      <c r="AA56" s="750"/>
      <c r="AB56" s="751"/>
      <c r="AC56" s="661"/>
      <c r="AD56" s="661"/>
      <c r="AE56" s="624"/>
      <c r="AF56" s="751"/>
      <c r="AG56" s="751"/>
      <c r="AH56" s="751"/>
      <c r="AI56" s="624"/>
      <c r="AJ56" s="751"/>
      <c r="AK56" s="751"/>
      <c r="AL56" s="751"/>
      <c r="AM56" s="624"/>
      <c r="AN56" s="624"/>
      <c r="AO56" s="624"/>
      <c r="AP56" s="624"/>
      <c r="AQ56" s="737"/>
      <c r="AR56" s="753"/>
      <c r="AS56" s="753"/>
      <c r="AT56" s="753"/>
      <c r="AU56" s="624"/>
      <c r="AV56" s="624"/>
      <c r="AW56" s="624"/>
      <c r="AX56" s="624"/>
      <c r="AY56" s="624"/>
      <c r="AZ56" s="624"/>
      <c r="BA56" s="624"/>
    </row>
    <row r="57" spans="2:64">
      <c r="B57" s="756"/>
      <c r="C57" s="624"/>
      <c r="D57" s="751"/>
      <c r="E57" s="751"/>
      <c r="F57" s="751"/>
      <c r="G57" s="751"/>
      <c r="H57" s="751"/>
      <c r="I57" s="624"/>
      <c r="J57" s="624"/>
      <c r="K57" s="750"/>
      <c r="L57" s="751"/>
      <c r="M57" s="751"/>
      <c r="N57" s="751"/>
      <c r="O57" s="750"/>
      <c r="P57" s="751"/>
      <c r="Q57" s="751"/>
      <c r="R57" s="751"/>
      <c r="S57" s="624"/>
      <c r="T57" s="751"/>
      <c r="U57" s="751"/>
      <c r="V57" s="751"/>
      <c r="W57" s="624"/>
      <c r="X57" s="751"/>
      <c r="Y57" s="751"/>
      <c r="Z57" s="751"/>
      <c r="AA57" s="750"/>
      <c r="AB57" s="751"/>
      <c r="AC57" s="661"/>
      <c r="AD57" s="661"/>
      <c r="AE57" s="624"/>
      <c r="AF57" s="751"/>
      <c r="AG57" s="751"/>
      <c r="AH57" s="751"/>
      <c r="AI57" s="624"/>
      <c r="AJ57" s="751"/>
      <c r="AK57" s="751"/>
      <c r="AL57" s="751"/>
      <c r="AM57" s="624"/>
      <c r="AN57" s="624"/>
      <c r="AO57" s="624"/>
      <c r="AP57" s="624"/>
      <c r="AQ57" s="737"/>
      <c r="AR57" s="753"/>
      <c r="AS57" s="753"/>
      <c r="AT57" s="753"/>
      <c r="AU57" s="624"/>
      <c r="AV57" s="624"/>
      <c r="AW57" s="624"/>
      <c r="AX57" s="624"/>
      <c r="AY57" s="624"/>
      <c r="AZ57" s="624"/>
      <c r="BA57" s="624"/>
    </row>
    <row r="58" spans="2:64">
      <c r="B58" s="756"/>
      <c r="C58" s="624"/>
      <c r="D58" s="751"/>
      <c r="E58" s="751"/>
      <c r="F58" s="751"/>
      <c r="G58" s="751"/>
      <c r="H58" s="751"/>
      <c r="I58" s="624"/>
      <c r="J58" s="624"/>
      <c r="K58" s="750"/>
      <c r="L58" s="751"/>
      <c r="M58" s="751"/>
      <c r="N58" s="751"/>
      <c r="O58" s="750"/>
      <c r="P58" s="751"/>
      <c r="Q58" s="751"/>
      <c r="R58" s="751"/>
      <c r="S58" s="624"/>
      <c r="T58" s="751"/>
      <c r="U58" s="751"/>
      <c r="V58" s="751"/>
      <c r="W58" s="624"/>
      <c r="X58" s="751"/>
      <c r="Y58" s="751"/>
      <c r="Z58" s="751"/>
      <c r="AA58" s="750"/>
      <c r="AB58" s="751"/>
      <c r="AC58" s="661"/>
      <c r="AD58" s="661"/>
      <c r="AE58" s="624"/>
      <c r="AF58" s="751"/>
      <c r="AG58" s="751"/>
      <c r="AH58" s="751"/>
      <c r="AI58" s="624"/>
      <c r="AJ58" s="751"/>
      <c r="AK58" s="751"/>
      <c r="AL58" s="751"/>
      <c r="AM58" s="624"/>
      <c r="AN58" s="624"/>
      <c r="AO58" s="624"/>
      <c r="AP58" s="624"/>
      <c r="AQ58" s="737"/>
      <c r="AR58" s="753"/>
      <c r="AS58" s="753"/>
      <c r="AT58" s="753"/>
      <c r="AU58" s="624"/>
      <c r="AV58" s="624"/>
      <c r="AW58" s="624"/>
      <c r="AX58" s="624"/>
      <c r="AY58" s="624"/>
      <c r="AZ58" s="624"/>
      <c r="BA58" s="624"/>
    </row>
    <row r="59" spans="2:64">
      <c r="B59" s="756"/>
      <c r="C59" s="624"/>
      <c r="D59" s="751"/>
      <c r="E59" s="751"/>
      <c r="F59" s="751"/>
      <c r="G59" s="751"/>
      <c r="H59" s="751"/>
      <c r="I59" s="624"/>
      <c r="J59" s="624"/>
      <c r="K59" s="750"/>
      <c r="L59" s="751"/>
      <c r="M59" s="751"/>
      <c r="N59" s="751"/>
      <c r="O59" s="750"/>
      <c r="P59" s="751"/>
      <c r="Q59" s="751"/>
      <c r="R59" s="751"/>
      <c r="S59" s="624"/>
      <c r="T59" s="751"/>
      <c r="U59" s="751"/>
      <c r="V59" s="751"/>
      <c r="W59" s="624"/>
      <c r="X59" s="751"/>
      <c r="Y59" s="751"/>
      <c r="Z59" s="751"/>
      <c r="AA59" s="750"/>
      <c r="AB59" s="751"/>
      <c r="AC59" s="661"/>
      <c r="AD59" s="661"/>
      <c r="AE59" s="624"/>
      <c r="AF59" s="751"/>
      <c r="AG59" s="751"/>
      <c r="AH59" s="751"/>
      <c r="AI59" s="624"/>
      <c r="AJ59" s="751"/>
      <c r="AK59" s="751"/>
      <c r="AL59" s="751"/>
      <c r="AM59" s="624"/>
      <c r="AN59" s="624"/>
      <c r="AO59" s="624"/>
      <c r="AP59" s="624"/>
      <c r="AQ59" s="737"/>
      <c r="AR59" s="753"/>
      <c r="AS59" s="753"/>
      <c r="AT59" s="753"/>
      <c r="AU59" s="624"/>
      <c r="AV59" s="624"/>
      <c r="AW59" s="624"/>
      <c r="AX59" s="624"/>
      <c r="AY59" s="624"/>
      <c r="AZ59" s="624"/>
      <c r="BA59" s="624"/>
    </row>
    <row r="60" spans="2:64">
      <c r="B60" s="756"/>
      <c r="C60" s="624"/>
      <c r="D60" s="751"/>
      <c r="E60" s="751"/>
      <c r="F60" s="751"/>
      <c r="G60" s="751"/>
      <c r="H60" s="751"/>
      <c r="I60" s="624"/>
      <c r="J60" s="624"/>
      <c r="K60" s="750"/>
      <c r="L60" s="751"/>
      <c r="M60" s="751"/>
      <c r="N60" s="751"/>
      <c r="O60" s="750"/>
      <c r="P60" s="751"/>
      <c r="Q60" s="751"/>
      <c r="R60" s="751"/>
      <c r="S60" s="624"/>
      <c r="T60" s="751"/>
      <c r="U60" s="751"/>
      <c r="V60" s="751"/>
      <c r="W60" s="624"/>
      <c r="X60" s="751"/>
      <c r="Y60" s="751"/>
      <c r="Z60" s="751"/>
      <c r="AA60" s="750"/>
      <c r="AB60" s="751"/>
      <c r="AC60" s="661"/>
      <c r="AD60" s="661"/>
      <c r="AE60" s="624"/>
      <c r="AF60" s="751"/>
      <c r="AG60" s="751"/>
      <c r="AH60" s="751"/>
      <c r="AI60" s="624"/>
      <c r="AJ60" s="751"/>
      <c r="AK60" s="751"/>
      <c r="AL60" s="751"/>
      <c r="AM60" s="624"/>
      <c r="AN60" s="624"/>
      <c r="AO60" s="624"/>
      <c r="AP60" s="624"/>
      <c r="AQ60" s="737"/>
      <c r="AR60" s="753"/>
      <c r="AS60" s="753"/>
      <c r="AT60" s="753"/>
      <c r="AU60" s="624"/>
      <c r="AV60" s="624"/>
      <c r="AW60" s="624"/>
      <c r="AX60" s="624"/>
      <c r="AY60" s="624"/>
      <c r="AZ60" s="624"/>
      <c r="BA60" s="624"/>
    </row>
    <row r="61" spans="2:64">
      <c r="B61" s="756"/>
      <c r="C61" s="624"/>
      <c r="D61" s="751"/>
      <c r="E61" s="751"/>
      <c r="F61" s="751"/>
      <c r="G61" s="751"/>
      <c r="H61" s="751"/>
      <c r="I61" s="624"/>
      <c r="J61" s="624"/>
      <c r="K61" s="750"/>
      <c r="L61" s="751"/>
      <c r="M61" s="751"/>
      <c r="N61" s="751"/>
      <c r="O61" s="750"/>
      <c r="P61" s="751"/>
      <c r="Q61" s="751"/>
      <c r="R61" s="751"/>
      <c r="S61" s="624"/>
      <c r="T61" s="751"/>
      <c r="U61" s="751"/>
      <c r="V61" s="751"/>
      <c r="W61" s="624"/>
      <c r="X61" s="751"/>
      <c r="Y61" s="751"/>
      <c r="Z61" s="751"/>
      <c r="AA61" s="750"/>
      <c r="AB61" s="751"/>
      <c r="AC61" s="661"/>
      <c r="AD61" s="661"/>
      <c r="AE61" s="624"/>
      <c r="AF61" s="751"/>
      <c r="AG61" s="751"/>
      <c r="AH61" s="751"/>
      <c r="AI61" s="624"/>
      <c r="AJ61" s="751"/>
      <c r="AK61" s="751"/>
      <c r="AL61" s="751"/>
      <c r="AM61" s="624"/>
      <c r="AN61" s="624"/>
      <c r="AO61" s="624"/>
      <c r="AP61" s="624"/>
      <c r="AQ61" s="737"/>
      <c r="AR61" s="753"/>
      <c r="AS61" s="753"/>
      <c r="AT61" s="753"/>
      <c r="AU61" s="624"/>
      <c r="AV61" s="624"/>
      <c r="AW61" s="624"/>
      <c r="AX61" s="624"/>
      <c r="AY61" s="624"/>
      <c r="AZ61" s="624"/>
      <c r="BA61" s="624"/>
    </row>
    <row r="62" spans="2:64">
      <c r="B62" s="756"/>
      <c r="C62" s="624"/>
      <c r="D62" s="751"/>
      <c r="E62" s="751"/>
      <c r="F62" s="751"/>
      <c r="G62" s="751"/>
      <c r="H62" s="751"/>
      <c r="I62" s="624"/>
      <c r="J62" s="624"/>
      <c r="K62" s="750"/>
      <c r="L62" s="751"/>
      <c r="M62" s="751"/>
      <c r="N62" s="751"/>
      <c r="O62" s="750"/>
      <c r="P62" s="751"/>
      <c r="Q62" s="751"/>
      <c r="R62" s="751"/>
      <c r="S62" s="624"/>
      <c r="T62" s="751"/>
      <c r="U62" s="751"/>
      <c r="V62" s="751"/>
      <c r="W62" s="624"/>
      <c r="X62" s="751"/>
      <c r="Y62" s="751"/>
      <c r="Z62" s="751"/>
      <c r="AA62" s="750"/>
      <c r="AB62" s="751"/>
      <c r="AC62" s="661"/>
      <c r="AD62" s="661"/>
      <c r="AE62" s="624"/>
      <c r="AF62" s="751"/>
      <c r="AG62" s="751"/>
      <c r="AH62" s="751"/>
      <c r="AI62" s="624"/>
      <c r="AJ62" s="751"/>
      <c r="AK62" s="751"/>
      <c r="AL62" s="751"/>
      <c r="AM62" s="624"/>
      <c r="AN62" s="624"/>
      <c r="AO62" s="624"/>
      <c r="AP62" s="624"/>
      <c r="AQ62" s="737"/>
      <c r="AR62" s="753"/>
      <c r="AS62" s="753"/>
      <c r="AT62" s="753"/>
      <c r="AU62" s="624"/>
      <c r="AV62" s="624"/>
      <c r="AW62" s="624"/>
      <c r="AX62" s="624"/>
      <c r="AY62" s="624"/>
      <c r="AZ62" s="624"/>
      <c r="BA62" s="624"/>
    </row>
    <row r="63" spans="2:64">
      <c r="B63" s="756"/>
      <c r="C63" s="624"/>
      <c r="D63" s="751"/>
      <c r="E63" s="751"/>
      <c r="F63" s="751"/>
      <c r="G63" s="751"/>
      <c r="H63" s="751"/>
      <c r="I63" s="624"/>
      <c r="J63" s="624"/>
      <c r="K63" s="750"/>
      <c r="L63" s="751"/>
      <c r="M63" s="751"/>
      <c r="N63" s="751"/>
      <c r="O63" s="750"/>
      <c r="P63" s="751"/>
      <c r="Q63" s="751"/>
      <c r="R63" s="751"/>
      <c r="S63" s="624"/>
      <c r="T63" s="751"/>
      <c r="U63" s="751"/>
      <c r="V63" s="751"/>
      <c r="W63" s="624"/>
      <c r="X63" s="751"/>
      <c r="Y63" s="751"/>
      <c r="Z63" s="751"/>
      <c r="AA63" s="750"/>
      <c r="AB63" s="751"/>
      <c r="AC63" s="661"/>
      <c r="AD63" s="661"/>
      <c r="AE63" s="624"/>
      <c r="AF63" s="751"/>
      <c r="AG63" s="751"/>
      <c r="AH63" s="751"/>
      <c r="AI63" s="624"/>
      <c r="AJ63" s="751"/>
      <c r="AK63" s="751"/>
      <c r="AL63" s="751"/>
      <c r="AM63" s="624"/>
      <c r="AN63" s="624"/>
      <c r="AO63" s="624"/>
      <c r="AP63" s="624"/>
      <c r="AQ63" s="737"/>
      <c r="AR63" s="753"/>
      <c r="AS63" s="753"/>
      <c r="AT63" s="753"/>
      <c r="AU63" s="624"/>
      <c r="AV63" s="624"/>
      <c r="AW63" s="624"/>
      <c r="AX63" s="624"/>
      <c r="AY63" s="624"/>
      <c r="AZ63" s="624"/>
      <c r="BA63" s="624"/>
    </row>
    <row r="64" spans="2:64">
      <c r="B64" s="756"/>
      <c r="C64" s="624"/>
      <c r="D64" s="751"/>
      <c r="E64" s="751"/>
      <c r="F64" s="751"/>
      <c r="G64" s="751"/>
      <c r="H64" s="751"/>
      <c r="I64" s="624"/>
      <c r="J64" s="624"/>
      <c r="K64" s="750"/>
      <c r="L64" s="751"/>
      <c r="M64" s="751"/>
      <c r="N64" s="751"/>
      <c r="O64" s="750"/>
      <c r="P64" s="751"/>
      <c r="Q64" s="751"/>
      <c r="R64" s="751"/>
      <c r="S64" s="624"/>
      <c r="T64" s="751"/>
      <c r="U64" s="751"/>
      <c r="V64" s="751"/>
      <c r="W64" s="624"/>
      <c r="X64" s="751"/>
      <c r="Y64" s="751"/>
      <c r="Z64" s="751"/>
      <c r="AA64" s="750"/>
      <c r="AB64" s="751"/>
      <c r="AC64" s="661"/>
      <c r="AD64" s="661"/>
      <c r="AE64" s="624"/>
      <c r="AF64" s="751"/>
      <c r="AG64" s="751"/>
      <c r="AH64" s="751"/>
      <c r="AI64" s="624"/>
      <c r="AJ64" s="751"/>
      <c r="AK64" s="751"/>
      <c r="AL64" s="751"/>
      <c r="AM64" s="624"/>
      <c r="AN64" s="624"/>
      <c r="AO64" s="624"/>
      <c r="AP64" s="624"/>
      <c r="AQ64" s="737"/>
      <c r="AR64" s="753"/>
      <c r="AS64" s="753"/>
      <c r="AT64" s="753"/>
      <c r="AU64" s="624"/>
      <c r="AV64" s="624"/>
      <c r="AW64" s="624"/>
      <c r="AX64" s="624"/>
      <c r="AY64" s="624"/>
      <c r="AZ64" s="624"/>
      <c r="BA64" s="624"/>
    </row>
    <row r="65" spans="2:53">
      <c r="B65" s="756"/>
      <c r="C65" s="624"/>
      <c r="D65" s="751"/>
      <c r="E65" s="751"/>
      <c r="F65" s="751"/>
      <c r="G65" s="751"/>
      <c r="H65" s="751"/>
      <c r="I65" s="624"/>
      <c r="J65" s="624"/>
      <c r="K65" s="750"/>
      <c r="L65" s="751"/>
      <c r="M65" s="751"/>
      <c r="N65" s="751"/>
      <c r="O65" s="750"/>
      <c r="P65" s="751"/>
      <c r="Q65" s="751"/>
      <c r="R65" s="751"/>
      <c r="S65" s="624"/>
      <c r="T65" s="751"/>
      <c r="U65" s="751"/>
      <c r="V65" s="751"/>
      <c r="W65" s="624"/>
      <c r="X65" s="751"/>
      <c r="Y65" s="751"/>
      <c r="Z65" s="751"/>
      <c r="AA65" s="750"/>
      <c r="AB65" s="751"/>
      <c r="AC65" s="661"/>
      <c r="AD65" s="661"/>
      <c r="AE65" s="624"/>
      <c r="AF65" s="751"/>
      <c r="AG65" s="751"/>
      <c r="AH65" s="751"/>
      <c r="AI65" s="624"/>
      <c r="AJ65" s="751"/>
      <c r="AK65" s="751"/>
      <c r="AL65" s="751"/>
      <c r="AM65" s="624"/>
      <c r="AN65" s="624"/>
      <c r="AO65" s="624"/>
      <c r="AP65" s="624"/>
      <c r="AQ65" s="737"/>
      <c r="AR65" s="753"/>
      <c r="AS65" s="753"/>
      <c r="AT65" s="753"/>
      <c r="AU65" s="624"/>
      <c r="AV65" s="624"/>
      <c r="AW65" s="624"/>
      <c r="AX65" s="624"/>
      <c r="AY65" s="624"/>
      <c r="AZ65" s="624"/>
      <c r="BA65" s="624"/>
    </row>
    <row r="66" spans="2:53">
      <c r="B66" s="756"/>
      <c r="C66" s="624"/>
      <c r="D66" s="751"/>
      <c r="E66" s="751"/>
      <c r="F66" s="751"/>
      <c r="G66" s="751"/>
      <c r="H66" s="751"/>
      <c r="I66" s="624"/>
      <c r="J66" s="624"/>
      <c r="K66" s="750"/>
      <c r="L66" s="751"/>
      <c r="M66" s="751"/>
      <c r="N66" s="751"/>
      <c r="O66" s="750"/>
      <c r="P66" s="751"/>
      <c r="Q66" s="751"/>
      <c r="R66" s="751"/>
      <c r="S66" s="624"/>
      <c r="T66" s="751"/>
      <c r="U66" s="751"/>
      <c r="V66" s="751"/>
      <c r="W66" s="624"/>
      <c r="X66" s="751"/>
      <c r="Y66" s="751"/>
      <c r="Z66" s="751"/>
      <c r="AA66" s="750"/>
      <c r="AB66" s="751"/>
      <c r="AC66" s="661"/>
      <c r="AD66" s="661"/>
      <c r="AE66" s="624"/>
      <c r="AF66" s="751"/>
      <c r="AG66" s="751"/>
      <c r="AH66" s="751"/>
      <c r="AI66" s="624"/>
      <c r="AJ66" s="751"/>
      <c r="AK66" s="751"/>
      <c r="AL66" s="751"/>
      <c r="AM66" s="624"/>
      <c r="AN66" s="624"/>
      <c r="AO66" s="624"/>
      <c r="AP66" s="624"/>
      <c r="AQ66" s="737"/>
      <c r="AR66" s="753"/>
      <c r="AS66" s="753"/>
      <c r="AT66" s="753"/>
      <c r="AU66" s="624"/>
      <c r="AV66" s="624"/>
      <c r="AW66" s="624"/>
      <c r="AX66" s="624"/>
      <c r="AY66" s="624"/>
      <c r="AZ66" s="624"/>
      <c r="BA66" s="624"/>
    </row>
    <row r="67" spans="2:53">
      <c r="B67" s="756"/>
      <c r="C67" s="624"/>
      <c r="D67" s="751"/>
      <c r="E67" s="751"/>
      <c r="F67" s="751"/>
      <c r="G67" s="751"/>
      <c r="H67" s="751"/>
      <c r="I67" s="624"/>
      <c r="J67" s="624"/>
      <c r="K67" s="750"/>
      <c r="L67" s="751"/>
      <c r="M67" s="751"/>
      <c r="N67" s="751"/>
      <c r="O67" s="750"/>
      <c r="P67" s="751"/>
      <c r="Q67" s="751"/>
      <c r="R67" s="751"/>
      <c r="S67" s="624"/>
      <c r="T67" s="751"/>
      <c r="U67" s="751"/>
      <c r="V67" s="751"/>
      <c r="W67" s="624"/>
      <c r="X67" s="751"/>
      <c r="Y67" s="751"/>
      <c r="Z67" s="751"/>
      <c r="AA67" s="750"/>
      <c r="AB67" s="751"/>
      <c r="AC67" s="661"/>
      <c r="AD67" s="661"/>
      <c r="AE67" s="624"/>
      <c r="AF67" s="751"/>
      <c r="AG67" s="751"/>
      <c r="AH67" s="751"/>
      <c r="AI67" s="624"/>
      <c r="AJ67" s="751"/>
      <c r="AK67" s="751"/>
      <c r="AL67" s="751"/>
      <c r="AM67" s="624"/>
      <c r="AN67" s="624"/>
      <c r="AO67" s="624"/>
      <c r="AP67" s="624"/>
      <c r="AQ67" s="737"/>
      <c r="AR67" s="753"/>
      <c r="AS67" s="753"/>
      <c r="AT67" s="753"/>
      <c r="AU67" s="624"/>
      <c r="AV67" s="624"/>
      <c r="AW67" s="624"/>
      <c r="AX67" s="624"/>
      <c r="AY67" s="624"/>
      <c r="AZ67" s="624"/>
      <c r="BA67" s="624"/>
    </row>
    <row r="68" spans="2:53">
      <c r="B68" s="756"/>
      <c r="C68" s="624"/>
      <c r="D68" s="751"/>
      <c r="E68" s="751"/>
      <c r="F68" s="751"/>
      <c r="G68" s="751"/>
      <c r="H68" s="751"/>
      <c r="I68" s="624"/>
      <c r="J68" s="624"/>
      <c r="K68" s="750"/>
      <c r="L68" s="751"/>
      <c r="M68" s="751"/>
      <c r="N68" s="751"/>
      <c r="O68" s="750"/>
      <c r="P68" s="751"/>
      <c r="Q68" s="751"/>
      <c r="R68" s="751"/>
      <c r="S68" s="624"/>
      <c r="T68" s="751"/>
      <c r="U68" s="751"/>
      <c r="V68" s="751"/>
      <c r="W68" s="624"/>
      <c r="X68" s="751"/>
      <c r="Y68" s="751"/>
      <c r="Z68" s="751"/>
      <c r="AA68" s="750"/>
      <c r="AB68" s="751"/>
      <c r="AC68" s="661"/>
      <c r="AD68" s="661"/>
      <c r="AE68" s="624"/>
      <c r="AF68" s="751"/>
      <c r="AG68" s="751"/>
      <c r="AH68" s="751"/>
      <c r="AI68" s="624"/>
      <c r="AJ68" s="751"/>
      <c r="AK68" s="751"/>
      <c r="AL68" s="751"/>
      <c r="AM68" s="624"/>
      <c r="AN68" s="624"/>
      <c r="AO68" s="624"/>
      <c r="AP68" s="624"/>
      <c r="AQ68" s="737"/>
      <c r="AR68" s="753"/>
      <c r="AS68" s="753"/>
      <c r="AT68" s="753"/>
      <c r="AU68" s="624"/>
      <c r="AV68" s="624"/>
      <c r="AW68" s="624"/>
      <c r="AX68" s="624"/>
      <c r="AY68" s="624"/>
      <c r="AZ68" s="624"/>
      <c r="BA68" s="624"/>
    </row>
    <row r="69" spans="2:53">
      <c r="B69" s="756"/>
      <c r="C69" s="624"/>
      <c r="D69" s="751"/>
      <c r="E69" s="751"/>
      <c r="F69" s="751"/>
      <c r="G69" s="751"/>
      <c r="H69" s="751"/>
      <c r="I69" s="624"/>
      <c r="J69" s="624"/>
      <c r="K69" s="750"/>
      <c r="L69" s="751"/>
      <c r="M69" s="751"/>
      <c r="N69" s="751"/>
      <c r="O69" s="750"/>
      <c r="P69" s="751"/>
      <c r="Q69" s="751"/>
      <c r="R69" s="751"/>
      <c r="S69" s="624"/>
      <c r="T69" s="751"/>
      <c r="U69" s="751"/>
      <c r="V69" s="751"/>
      <c r="W69" s="624"/>
      <c r="X69" s="751"/>
      <c r="Y69" s="751"/>
      <c r="Z69" s="751"/>
      <c r="AA69" s="750"/>
      <c r="AB69" s="751"/>
      <c r="AC69" s="661"/>
      <c r="AD69" s="661"/>
      <c r="AE69" s="624"/>
      <c r="AF69" s="751"/>
      <c r="AG69" s="751"/>
      <c r="AH69" s="751"/>
      <c r="AI69" s="624"/>
      <c r="AJ69" s="751"/>
      <c r="AK69" s="751"/>
      <c r="AL69" s="751"/>
      <c r="AM69" s="624"/>
      <c r="AN69" s="624"/>
      <c r="AO69" s="624"/>
      <c r="AP69" s="624"/>
      <c r="AQ69" s="737"/>
      <c r="AR69" s="753"/>
      <c r="AS69" s="753"/>
      <c r="AT69" s="753"/>
      <c r="AU69" s="624"/>
      <c r="AV69" s="624"/>
      <c r="AW69" s="624"/>
      <c r="AX69" s="624"/>
      <c r="AY69" s="624"/>
      <c r="AZ69" s="624"/>
      <c r="BA69" s="624"/>
    </row>
    <row r="70" spans="2:53">
      <c r="B70" s="756"/>
      <c r="C70" s="624"/>
      <c r="D70" s="751"/>
      <c r="E70" s="751"/>
      <c r="F70" s="751"/>
      <c r="G70" s="751"/>
      <c r="H70" s="751"/>
      <c r="I70" s="624"/>
      <c r="J70" s="624"/>
      <c r="K70" s="750"/>
      <c r="L70" s="751"/>
      <c r="M70" s="751"/>
      <c r="N70" s="751"/>
      <c r="O70" s="750"/>
      <c r="P70" s="751"/>
      <c r="Q70" s="751"/>
      <c r="R70" s="751"/>
      <c r="S70" s="624"/>
      <c r="T70" s="751"/>
      <c r="U70" s="751"/>
      <c r="V70" s="751"/>
      <c r="W70" s="624"/>
      <c r="X70" s="751"/>
      <c r="Y70" s="751"/>
      <c r="Z70" s="751"/>
      <c r="AA70" s="750"/>
      <c r="AB70" s="751"/>
      <c r="AC70" s="661"/>
      <c r="AD70" s="661"/>
      <c r="AE70" s="624"/>
      <c r="AF70" s="751"/>
      <c r="AG70" s="751"/>
      <c r="AH70" s="751"/>
      <c r="AI70" s="624"/>
      <c r="AJ70" s="751"/>
      <c r="AK70" s="751"/>
      <c r="AL70" s="751"/>
      <c r="AM70" s="624"/>
      <c r="AN70" s="624"/>
      <c r="AO70" s="624"/>
      <c r="AP70" s="624"/>
      <c r="AQ70" s="737"/>
      <c r="AR70" s="753"/>
      <c r="AS70" s="753"/>
      <c r="AT70" s="753"/>
      <c r="AU70" s="624"/>
      <c r="AV70" s="624"/>
      <c r="AW70" s="624"/>
      <c r="AX70" s="624"/>
      <c r="AY70" s="624"/>
      <c r="AZ70" s="624"/>
      <c r="BA70" s="624"/>
    </row>
    <row r="71" spans="2:53">
      <c r="B71" s="756"/>
      <c r="C71" s="624"/>
      <c r="D71" s="751"/>
      <c r="E71" s="751"/>
      <c r="F71" s="751"/>
      <c r="G71" s="751"/>
      <c r="H71" s="751"/>
      <c r="I71" s="624"/>
      <c r="J71" s="624"/>
      <c r="K71" s="750"/>
      <c r="L71" s="751"/>
      <c r="M71" s="751"/>
      <c r="N71" s="751"/>
      <c r="O71" s="750"/>
      <c r="P71" s="751"/>
      <c r="Q71" s="751"/>
      <c r="R71" s="751"/>
      <c r="S71" s="624"/>
      <c r="T71" s="751"/>
      <c r="U71" s="751"/>
      <c r="V71" s="751"/>
      <c r="W71" s="624"/>
      <c r="X71" s="751"/>
      <c r="Y71" s="751"/>
      <c r="Z71" s="751"/>
      <c r="AA71" s="750"/>
      <c r="AB71" s="751"/>
      <c r="AC71" s="661"/>
      <c r="AD71" s="661"/>
      <c r="AE71" s="624"/>
      <c r="AF71" s="751"/>
      <c r="AG71" s="751"/>
      <c r="AH71" s="751"/>
      <c r="AI71" s="624"/>
      <c r="AJ71" s="751"/>
      <c r="AK71" s="751"/>
      <c r="AL71" s="751"/>
      <c r="AM71" s="624"/>
      <c r="AN71" s="624"/>
      <c r="AO71" s="624"/>
      <c r="AP71" s="624"/>
      <c r="AQ71" s="737"/>
      <c r="AR71" s="753"/>
      <c r="AS71" s="753"/>
      <c r="AT71" s="753"/>
      <c r="AU71" s="624"/>
      <c r="AV71" s="624"/>
      <c r="AW71" s="624"/>
      <c r="AX71" s="624"/>
      <c r="AY71" s="624"/>
      <c r="AZ71" s="624"/>
      <c r="BA71" s="624"/>
    </row>
    <row r="72" spans="2:53">
      <c r="B72" s="756"/>
      <c r="C72" s="624"/>
      <c r="D72" s="751"/>
      <c r="E72" s="751"/>
      <c r="F72" s="751"/>
      <c r="G72" s="751"/>
      <c r="H72" s="751"/>
      <c r="I72" s="624"/>
      <c r="J72" s="624"/>
      <c r="K72" s="750"/>
      <c r="L72" s="751"/>
      <c r="M72" s="751"/>
      <c r="N72" s="751"/>
      <c r="O72" s="750"/>
      <c r="P72" s="751"/>
      <c r="Q72" s="751"/>
      <c r="R72" s="751"/>
      <c r="S72" s="624"/>
      <c r="T72" s="751"/>
      <c r="U72" s="751"/>
      <c r="V72" s="751"/>
      <c r="W72" s="624"/>
      <c r="X72" s="751"/>
      <c r="Y72" s="751"/>
      <c r="Z72" s="751"/>
      <c r="AA72" s="750"/>
      <c r="AB72" s="751"/>
      <c r="AC72" s="661"/>
      <c r="AD72" s="661"/>
      <c r="AE72" s="624"/>
      <c r="AF72" s="751"/>
      <c r="AG72" s="751"/>
      <c r="AH72" s="751"/>
      <c r="AI72" s="624"/>
      <c r="AJ72" s="751"/>
      <c r="AK72" s="751"/>
      <c r="AL72" s="751"/>
      <c r="AM72" s="624"/>
      <c r="AN72" s="624"/>
      <c r="AO72" s="624"/>
      <c r="AP72" s="624"/>
      <c r="AQ72" s="737"/>
      <c r="AR72" s="753"/>
      <c r="AS72" s="753"/>
      <c r="AT72" s="753"/>
      <c r="AU72" s="624"/>
      <c r="AV72" s="624"/>
      <c r="AW72" s="624"/>
      <c r="AX72" s="624"/>
      <c r="AY72" s="624"/>
      <c r="AZ72" s="624"/>
      <c r="BA72" s="624"/>
    </row>
    <row r="73" spans="2:53">
      <c r="B73" s="756"/>
      <c r="C73" s="624"/>
      <c r="D73" s="751"/>
      <c r="E73" s="751"/>
      <c r="F73" s="751"/>
      <c r="G73" s="751"/>
      <c r="H73" s="751"/>
      <c r="I73" s="624"/>
      <c r="J73" s="624"/>
      <c r="K73" s="750"/>
      <c r="L73" s="751"/>
      <c r="M73" s="751"/>
      <c r="N73" s="751"/>
      <c r="O73" s="750"/>
      <c r="P73" s="751"/>
      <c r="Q73" s="751"/>
      <c r="R73" s="751"/>
      <c r="S73" s="624"/>
      <c r="T73" s="751"/>
      <c r="U73" s="751"/>
      <c r="V73" s="751"/>
      <c r="W73" s="624"/>
      <c r="X73" s="751"/>
      <c r="Y73" s="751"/>
      <c r="Z73" s="751"/>
      <c r="AA73" s="750"/>
      <c r="AB73" s="751"/>
      <c r="AC73" s="661"/>
      <c r="AD73" s="661"/>
      <c r="AE73" s="624"/>
      <c r="AF73" s="751"/>
      <c r="AG73" s="751"/>
      <c r="AH73" s="751"/>
      <c r="AI73" s="624"/>
      <c r="AJ73" s="751"/>
      <c r="AK73" s="751"/>
      <c r="AL73" s="751"/>
      <c r="AM73" s="624"/>
      <c r="AN73" s="624"/>
      <c r="AO73" s="624"/>
      <c r="AP73" s="624"/>
      <c r="AQ73" s="737"/>
      <c r="AR73" s="753"/>
      <c r="AS73" s="753"/>
      <c r="AT73" s="753"/>
      <c r="AU73" s="624"/>
      <c r="AV73" s="624"/>
      <c r="AW73" s="624"/>
      <c r="AX73" s="624"/>
      <c r="AY73" s="624"/>
      <c r="AZ73" s="624"/>
      <c r="BA73" s="624"/>
    </row>
    <row r="74" spans="2:53">
      <c r="B74" s="756"/>
      <c r="C74" s="624"/>
      <c r="D74" s="751"/>
      <c r="E74" s="751"/>
      <c r="F74" s="751"/>
      <c r="G74" s="751"/>
      <c r="H74" s="751"/>
      <c r="I74" s="624"/>
      <c r="J74" s="624"/>
      <c r="K74" s="750"/>
      <c r="L74" s="751"/>
      <c r="M74" s="751"/>
      <c r="N74" s="751"/>
      <c r="O74" s="750"/>
      <c r="P74" s="751"/>
      <c r="Q74" s="751"/>
      <c r="R74" s="751"/>
      <c r="S74" s="624"/>
      <c r="T74" s="751"/>
      <c r="U74" s="751"/>
      <c r="V74" s="751"/>
      <c r="W74" s="624"/>
      <c r="X74" s="751"/>
      <c r="Y74" s="751"/>
      <c r="Z74" s="751"/>
      <c r="AA74" s="750"/>
      <c r="AB74" s="751"/>
      <c r="AC74" s="661"/>
      <c r="AD74" s="661"/>
      <c r="AE74" s="624"/>
      <c r="AF74" s="751"/>
      <c r="AG74" s="751"/>
      <c r="AH74" s="751"/>
      <c r="AI74" s="624"/>
      <c r="AJ74" s="751"/>
      <c r="AK74" s="751"/>
      <c r="AL74" s="751"/>
      <c r="AM74" s="624"/>
      <c r="AN74" s="624"/>
      <c r="AO74" s="624"/>
      <c r="AP74" s="624"/>
      <c r="AQ74" s="737"/>
      <c r="AR74" s="753"/>
      <c r="AS74" s="753"/>
      <c r="AT74" s="753"/>
      <c r="AU74" s="624"/>
      <c r="AV74" s="624"/>
      <c r="AW74" s="624"/>
      <c r="AX74" s="624"/>
      <c r="AY74" s="624"/>
      <c r="AZ74" s="624"/>
      <c r="BA74" s="624"/>
    </row>
    <row r="75" spans="2:53">
      <c r="B75" s="756"/>
      <c r="C75" s="624"/>
      <c r="D75" s="751"/>
      <c r="E75" s="751"/>
      <c r="F75" s="751"/>
      <c r="G75" s="751"/>
      <c r="H75" s="751"/>
      <c r="I75" s="624"/>
      <c r="J75" s="624"/>
      <c r="K75" s="750"/>
      <c r="L75" s="751"/>
      <c r="M75" s="751"/>
      <c r="N75" s="751"/>
      <c r="O75" s="750"/>
      <c r="P75" s="751"/>
      <c r="Q75" s="751"/>
      <c r="R75" s="751"/>
      <c r="S75" s="624"/>
      <c r="T75" s="751"/>
      <c r="U75" s="751"/>
      <c r="V75" s="751"/>
      <c r="W75" s="624"/>
      <c r="X75" s="751"/>
      <c r="Y75" s="751"/>
      <c r="Z75" s="751"/>
      <c r="AA75" s="750"/>
      <c r="AB75" s="751"/>
      <c r="AC75" s="661"/>
      <c r="AD75" s="661"/>
      <c r="AE75" s="624"/>
      <c r="AF75" s="751"/>
      <c r="AG75" s="751"/>
      <c r="AH75" s="751"/>
      <c r="AI75" s="624"/>
      <c r="AJ75" s="751"/>
      <c r="AK75" s="751"/>
      <c r="AL75" s="751"/>
      <c r="AM75" s="624"/>
      <c r="AN75" s="624"/>
      <c r="AO75" s="624"/>
      <c r="AP75" s="624"/>
      <c r="AQ75" s="737"/>
      <c r="AR75" s="753"/>
      <c r="AS75" s="753"/>
      <c r="AT75" s="753"/>
      <c r="AU75" s="624"/>
      <c r="AV75" s="624"/>
      <c r="AW75" s="624"/>
      <c r="AX75" s="624"/>
      <c r="AY75" s="624"/>
      <c r="AZ75" s="624"/>
      <c r="BA75" s="624"/>
    </row>
    <row r="76" spans="2:53">
      <c r="B76" s="756"/>
      <c r="C76" s="624"/>
      <c r="D76" s="751"/>
      <c r="E76" s="751"/>
      <c r="F76" s="751"/>
      <c r="G76" s="751"/>
      <c r="H76" s="751"/>
      <c r="I76" s="624"/>
      <c r="J76" s="624"/>
      <c r="K76" s="750"/>
      <c r="L76" s="751"/>
      <c r="M76" s="751"/>
      <c r="N76" s="751"/>
      <c r="O76" s="750"/>
      <c r="P76" s="751"/>
      <c r="Q76" s="751"/>
      <c r="R76" s="751"/>
      <c r="S76" s="624"/>
      <c r="T76" s="751"/>
      <c r="U76" s="751"/>
      <c r="V76" s="751"/>
      <c r="W76" s="624"/>
      <c r="X76" s="751"/>
      <c r="Y76" s="751"/>
      <c r="Z76" s="751"/>
      <c r="AA76" s="750"/>
      <c r="AB76" s="751"/>
      <c r="AC76" s="661"/>
      <c r="AD76" s="661"/>
      <c r="AE76" s="624"/>
      <c r="AF76" s="751"/>
      <c r="AG76" s="751"/>
      <c r="AH76" s="751"/>
      <c r="AI76" s="624"/>
      <c r="AJ76" s="751"/>
      <c r="AK76" s="751"/>
      <c r="AL76" s="751"/>
      <c r="AM76" s="624"/>
      <c r="AN76" s="624"/>
      <c r="AO76" s="624"/>
      <c r="AP76" s="624"/>
      <c r="AQ76" s="737"/>
      <c r="AR76" s="753"/>
      <c r="AS76" s="753"/>
      <c r="AT76" s="753"/>
      <c r="AU76" s="624"/>
      <c r="AV76" s="624"/>
      <c r="AW76" s="624"/>
      <c r="AX76" s="624"/>
      <c r="AY76" s="624"/>
      <c r="AZ76" s="624"/>
      <c r="BA76" s="624"/>
    </row>
    <row r="77" spans="2:53">
      <c r="B77" s="756"/>
      <c r="C77" s="624"/>
      <c r="D77" s="751"/>
      <c r="E77" s="751"/>
      <c r="F77" s="751"/>
      <c r="G77" s="751"/>
      <c r="H77" s="751"/>
      <c r="I77" s="624"/>
      <c r="J77" s="624"/>
      <c r="K77" s="750"/>
      <c r="L77" s="751"/>
      <c r="M77" s="751"/>
      <c r="N77" s="751"/>
      <c r="O77" s="750"/>
      <c r="P77" s="751"/>
      <c r="Q77" s="751"/>
      <c r="R77" s="751"/>
      <c r="S77" s="624"/>
      <c r="T77" s="751"/>
      <c r="U77" s="751"/>
      <c r="V77" s="751"/>
      <c r="W77" s="624"/>
      <c r="X77" s="751"/>
      <c r="Y77" s="751"/>
      <c r="Z77" s="751"/>
      <c r="AA77" s="750"/>
      <c r="AB77" s="751"/>
      <c r="AC77" s="661"/>
      <c r="AD77" s="661"/>
      <c r="AE77" s="624"/>
      <c r="AF77" s="751"/>
      <c r="AG77" s="751"/>
      <c r="AH77" s="751"/>
      <c r="AI77" s="624"/>
      <c r="AJ77" s="751"/>
      <c r="AK77" s="751"/>
      <c r="AL77" s="751"/>
      <c r="AM77" s="624"/>
      <c r="AN77" s="624"/>
      <c r="AO77" s="624"/>
      <c r="AP77" s="624"/>
      <c r="AQ77" s="737"/>
      <c r="AR77" s="753"/>
      <c r="AS77" s="753"/>
      <c r="AT77" s="753"/>
      <c r="AU77" s="624"/>
      <c r="AV77" s="624"/>
      <c r="AW77" s="624"/>
      <c r="AX77" s="624"/>
      <c r="AY77" s="624"/>
      <c r="AZ77" s="624"/>
      <c r="BA77" s="624"/>
    </row>
    <row r="78" spans="2:53">
      <c r="B78" s="756"/>
      <c r="C78" s="624"/>
      <c r="D78" s="751"/>
      <c r="E78" s="751"/>
      <c r="F78" s="751"/>
      <c r="G78" s="751"/>
      <c r="H78" s="751"/>
      <c r="I78" s="624"/>
      <c r="J78" s="624"/>
      <c r="K78" s="750"/>
      <c r="L78" s="751"/>
      <c r="M78" s="751"/>
      <c r="N78" s="751"/>
      <c r="O78" s="750"/>
      <c r="P78" s="751"/>
      <c r="Q78" s="751"/>
      <c r="R78" s="751"/>
      <c r="S78" s="624"/>
      <c r="T78" s="751"/>
      <c r="U78" s="751"/>
      <c r="V78" s="751"/>
      <c r="W78" s="624"/>
      <c r="X78" s="751"/>
      <c r="Y78" s="751"/>
      <c r="Z78" s="751"/>
      <c r="AA78" s="750"/>
      <c r="AB78" s="751"/>
      <c r="AC78" s="661"/>
      <c r="AD78" s="661"/>
      <c r="AE78" s="624"/>
      <c r="AF78" s="751"/>
      <c r="AG78" s="751"/>
      <c r="AH78" s="751"/>
      <c r="AI78" s="624"/>
      <c r="AJ78" s="751"/>
      <c r="AK78" s="751"/>
      <c r="AL78" s="751"/>
      <c r="AM78" s="624"/>
      <c r="AN78" s="624"/>
      <c r="AO78" s="624"/>
      <c r="AP78" s="624"/>
      <c r="AQ78" s="737"/>
      <c r="AR78" s="753"/>
      <c r="AS78" s="753"/>
      <c r="AT78" s="753"/>
      <c r="AU78" s="624"/>
      <c r="AV78" s="624"/>
      <c r="AW78" s="624"/>
      <c r="AX78" s="624"/>
      <c r="AY78" s="624"/>
      <c r="AZ78" s="624"/>
      <c r="BA78" s="624"/>
    </row>
    <row r="79" spans="2:53">
      <c r="B79" s="756"/>
      <c r="C79" s="624"/>
      <c r="D79" s="751"/>
      <c r="E79" s="751"/>
      <c r="F79" s="751"/>
      <c r="G79" s="751"/>
      <c r="H79" s="751"/>
      <c r="I79" s="624"/>
      <c r="J79" s="624"/>
      <c r="K79" s="750"/>
      <c r="L79" s="751"/>
      <c r="M79" s="751"/>
      <c r="N79" s="751"/>
      <c r="O79" s="750"/>
      <c r="P79" s="751"/>
      <c r="Q79" s="751"/>
      <c r="R79" s="751"/>
      <c r="S79" s="624"/>
      <c r="T79" s="751"/>
      <c r="U79" s="751"/>
      <c r="V79" s="751"/>
      <c r="W79" s="624"/>
      <c r="X79" s="751"/>
      <c r="Y79" s="751"/>
      <c r="Z79" s="751"/>
      <c r="AA79" s="750"/>
      <c r="AB79" s="751"/>
      <c r="AC79" s="661"/>
      <c r="AD79" s="661"/>
      <c r="AE79" s="624"/>
      <c r="AF79" s="751"/>
      <c r="AG79" s="751"/>
      <c r="AH79" s="751"/>
      <c r="AI79" s="624"/>
      <c r="AJ79" s="751"/>
      <c r="AK79" s="751"/>
      <c r="AL79" s="751"/>
      <c r="AM79" s="624"/>
      <c r="AN79" s="624"/>
      <c r="AO79" s="624"/>
      <c r="AP79" s="624"/>
      <c r="AQ79" s="737"/>
      <c r="AR79" s="753"/>
      <c r="AS79" s="753"/>
      <c r="AT79" s="753"/>
      <c r="AU79" s="624"/>
      <c r="AV79" s="624"/>
      <c r="AW79" s="624"/>
      <c r="AX79" s="624"/>
      <c r="AY79" s="624"/>
      <c r="AZ79" s="624"/>
      <c r="BA79" s="624"/>
    </row>
    <row r="80" spans="2:53">
      <c r="B80" s="756"/>
      <c r="C80" s="624"/>
      <c r="D80" s="751"/>
      <c r="E80" s="751"/>
      <c r="F80" s="751"/>
      <c r="G80" s="751"/>
      <c r="H80" s="751"/>
      <c r="I80" s="624"/>
      <c r="J80" s="624"/>
      <c r="K80" s="750"/>
      <c r="L80" s="751"/>
      <c r="M80" s="751"/>
      <c r="N80" s="751"/>
      <c r="O80" s="750"/>
      <c r="P80" s="751"/>
      <c r="Q80" s="751"/>
      <c r="R80" s="751"/>
      <c r="S80" s="624"/>
      <c r="T80" s="751"/>
      <c r="U80" s="751"/>
      <c r="V80" s="751"/>
      <c r="W80" s="624"/>
      <c r="X80" s="751"/>
      <c r="Y80" s="751"/>
      <c r="Z80" s="751"/>
      <c r="AA80" s="750"/>
      <c r="AB80" s="751"/>
      <c r="AC80" s="661"/>
      <c r="AD80" s="661"/>
      <c r="AE80" s="624"/>
      <c r="AF80" s="751"/>
      <c r="AG80" s="751"/>
      <c r="AH80" s="751"/>
      <c r="AI80" s="624"/>
      <c r="AJ80" s="751"/>
      <c r="AK80" s="751"/>
      <c r="AL80" s="751"/>
      <c r="AM80" s="624"/>
      <c r="AN80" s="624"/>
      <c r="AO80" s="624"/>
      <c r="AP80" s="624"/>
      <c r="AQ80" s="737"/>
      <c r="AR80" s="753"/>
      <c r="AS80" s="753"/>
      <c r="AT80" s="753"/>
      <c r="AU80" s="624"/>
      <c r="AV80" s="624"/>
      <c r="AW80" s="624"/>
      <c r="AX80" s="624"/>
      <c r="AY80" s="624"/>
      <c r="AZ80" s="624"/>
      <c r="BA80" s="624"/>
    </row>
    <row r="81" spans="2:53">
      <c r="B81" s="756"/>
      <c r="C81" s="624"/>
      <c r="D81" s="751"/>
      <c r="E81" s="751"/>
      <c r="F81" s="751"/>
      <c r="G81" s="751"/>
      <c r="H81" s="751"/>
      <c r="I81" s="624"/>
      <c r="J81" s="624"/>
      <c r="K81" s="750"/>
      <c r="L81" s="751"/>
      <c r="M81" s="751"/>
      <c r="N81" s="751"/>
      <c r="O81" s="750"/>
      <c r="P81" s="751"/>
      <c r="Q81" s="751"/>
      <c r="R81" s="751"/>
      <c r="S81" s="624"/>
      <c r="T81" s="751"/>
      <c r="U81" s="751"/>
      <c r="V81" s="751"/>
      <c r="W81" s="624"/>
      <c r="X81" s="751"/>
      <c r="Y81" s="751"/>
      <c r="Z81" s="751"/>
      <c r="AA81" s="750"/>
      <c r="AB81" s="751"/>
      <c r="AC81" s="661"/>
      <c r="AD81" s="661"/>
      <c r="AE81" s="624"/>
      <c r="AF81" s="751"/>
      <c r="AG81" s="751"/>
      <c r="AH81" s="751"/>
      <c r="AI81" s="624"/>
      <c r="AJ81" s="751"/>
      <c r="AK81" s="751"/>
      <c r="AL81" s="751"/>
      <c r="AM81" s="624"/>
      <c r="AN81" s="624"/>
      <c r="AO81" s="624"/>
      <c r="AP81" s="624"/>
      <c r="AQ81" s="737"/>
      <c r="AR81" s="753"/>
      <c r="AS81" s="753"/>
      <c r="AT81" s="753"/>
      <c r="AU81" s="624"/>
      <c r="AV81" s="624"/>
      <c r="AW81" s="624"/>
      <c r="AX81" s="624"/>
      <c r="AY81" s="624"/>
      <c r="AZ81" s="624"/>
      <c r="BA81" s="624"/>
    </row>
    <row r="82" spans="2:53">
      <c r="B82" s="756"/>
      <c r="C82" s="624"/>
      <c r="D82" s="751"/>
      <c r="E82" s="751"/>
      <c r="F82" s="751"/>
      <c r="G82" s="751"/>
      <c r="H82" s="751"/>
      <c r="I82" s="624"/>
      <c r="J82" s="624"/>
      <c r="K82" s="750"/>
      <c r="L82" s="751"/>
      <c r="M82" s="751"/>
      <c r="N82" s="751"/>
      <c r="O82" s="750"/>
      <c r="P82" s="751"/>
      <c r="Q82" s="751"/>
      <c r="R82" s="751"/>
      <c r="S82" s="624"/>
      <c r="T82" s="751"/>
      <c r="U82" s="751"/>
      <c r="V82" s="751"/>
      <c r="W82" s="624"/>
      <c r="X82" s="751"/>
      <c r="Y82" s="751"/>
      <c r="Z82" s="751"/>
      <c r="AA82" s="750"/>
      <c r="AB82" s="751"/>
      <c r="AC82" s="661"/>
      <c r="AD82" s="661"/>
      <c r="AE82" s="624"/>
      <c r="AF82" s="751"/>
      <c r="AG82" s="751"/>
      <c r="AH82" s="751"/>
      <c r="AI82" s="624"/>
      <c r="AJ82" s="751"/>
      <c r="AK82" s="751"/>
      <c r="AL82" s="751"/>
      <c r="AM82" s="624"/>
      <c r="AN82" s="624"/>
      <c r="AO82" s="624"/>
      <c r="AP82" s="624"/>
      <c r="AQ82" s="737"/>
      <c r="AR82" s="753"/>
      <c r="AS82" s="753"/>
      <c r="AT82" s="753"/>
      <c r="AU82" s="624"/>
      <c r="AV82" s="624"/>
      <c r="AW82" s="624"/>
      <c r="AX82" s="624"/>
      <c r="AY82" s="624"/>
      <c r="AZ82" s="624"/>
      <c r="BA82" s="624"/>
    </row>
    <row r="83" spans="2:53">
      <c r="B83" s="756"/>
      <c r="C83" s="624"/>
      <c r="D83" s="751"/>
      <c r="E83" s="751"/>
      <c r="F83" s="751"/>
      <c r="G83" s="751"/>
      <c r="H83" s="751"/>
      <c r="I83" s="624"/>
      <c r="J83" s="624"/>
      <c r="K83" s="750"/>
      <c r="L83" s="751"/>
      <c r="M83" s="751"/>
      <c r="N83" s="751"/>
      <c r="O83" s="750"/>
      <c r="P83" s="751"/>
      <c r="Q83" s="751"/>
      <c r="R83" s="751"/>
      <c r="S83" s="624"/>
      <c r="T83" s="751"/>
      <c r="U83" s="751"/>
      <c r="V83" s="751"/>
      <c r="W83" s="624"/>
      <c r="X83" s="751"/>
      <c r="Y83" s="751"/>
      <c r="Z83" s="751"/>
      <c r="AA83" s="750"/>
      <c r="AB83" s="751"/>
      <c r="AC83" s="661"/>
      <c r="AD83" s="661"/>
      <c r="AE83" s="624"/>
      <c r="AF83" s="751"/>
      <c r="AG83" s="751"/>
      <c r="AH83" s="751"/>
      <c r="AI83" s="624"/>
      <c r="AJ83" s="751"/>
      <c r="AK83" s="751"/>
      <c r="AL83" s="751"/>
      <c r="AM83" s="624"/>
      <c r="AN83" s="624"/>
      <c r="AO83" s="624"/>
      <c r="AP83" s="624"/>
      <c r="AQ83" s="737"/>
      <c r="AR83" s="753"/>
      <c r="AS83" s="753"/>
      <c r="AT83" s="753"/>
      <c r="AU83" s="624"/>
      <c r="AV83" s="624"/>
      <c r="AW83" s="624"/>
      <c r="AX83" s="624"/>
      <c r="AY83" s="624"/>
      <c r="AZ83" s="624"/>
      <c r="BA83" s="624"/>
    </row>
    <row r="84" spans="2:53">
      <c r="B84" s="756"/>
      <c r="C84" s="624"/>
      <c r="D84" s="751"/>
      <c r="E84" s="751"/>
      <c r="F84" s="751"/>
      <c r="G84" s="751"/>
      <c r="H84" s="751"/>
      <c r="I84" s="624"/>
      <c r="J84" s="624"/>
      <c r="K84" s="750"/>
      <c r="L84" s="751"/>
      <c r="M84" s="751"/>
      <c r="N84" s="751"/>
      <c r="O84" s="750"/>
      <c r="P84" s="751"/>
      <c r="Q84" s="751"/>
      <c r="R84" s="751"/>
      <c r="S84" s="624"/>
      <c r="T84" s="751"/>
      <c r="U84" s="751"/>
      <c r="V84" s="751"/>
      <c r="W84" s="624"/>
      <c r="X84" s="751"/>
      <c r="Y84" s="751"/>
      <c r="Z84" s="751"/>
      <c r="AA84" s="750"/>
      <c r="AB84" s="751"/>
      <c r="AC84" s="661"/>
      <c r="AD84" s="661"/>
      <c r="AE84" s="624"/>
      <c r="AF84" s="751"/>
      <c r="AG84" s="751"/>
      <c r="AH84" s="751"/>
      <c r="AI84" s="624"/>
      <c r="AJ84" s="751"/>
      <c r="AK84" s="751"/>
      <c r="AL84" s="751"/>
      <c r="AM84" s="624"/>
      <c r="AN84" s="624"/>
      <c r="AO84" s="624"/>
      <c r="AP84" s="624"/>
      <c r="AQ84" s="737"/>
      <c r="AR84" s="753"/>
      <c r="AS84" s="753"/>
      <c r="AT84" s="753"/>
      <c r="AU84" s="624"/>
      <c r="AV84" s="624"/>
      <c r="AW84" s="624"/>
      <c r="AX84" s="624"/>
      <c r="AY84" s="624"/>
      <c r="AZ84" s="624"/>
      <c r="BA84" s="624"/>
    </row>
    <row r="85" spans="2:53">
      <c r="B85" s="756"/>
      <c r="C85" s="624"/>
      <c r="D85" s="751"/>
      <c r="E85" s="751"/>
      <c r="F85" s="751"/>
      <c r="G85" s="751"/>
      <c r="H85" s="751"/>
      <c r="I85" s="624"/>
      <c r="J85" s="624"/>
      <c r="K85" s="750"/>
      <c r="L85" s="751"/>
      <c r="M85" s="751"/>
      <c r="N85" s="751"/>
      <c r="O85" s="750"/>
      <c r="P85" s="751"/>
      <c r="Q85" s="751"/>
      <c r="R85" s="751"/>
      <c r="S85" s="624"/>
      <c r="T85" s="751"/>
      <c r="U85" s="751"/>
      <c r="V85" s="751"/>
      <c r="W85" s="624"/>
      <c r="X85" s="751"/>
      <c r="Y85" s="751"/>
      <c r="Z85" s="751"/>
      <c r="AA85" s="750"/>
      <c r="AB85" s="751"/>
      <c r="AC85" s="661"/>
      <c r="AD85" s="661"/>
      <c r="AE85" s="624"/>
      <c r="AF85" s="751"/>
      <c r="AG85" s="751"/>
      <c r="AH85" s="751"/>
      <c r="AI85" s="624"/>
      <c r="AJ85" s="751"/>
      <c r="AK85" s="751"/>
      <c r="AL85" s="751"/>
      <c r="AM85" s="624"/>
      <c r="AN85" s="624"/>
      <c r="AO85" s="624"/>
      <c r="AP85" s="624"/>
      <c r="AQ85" s="737"/>
      <c r="AR85" s="753"/>
      <c r="AS85" s="753"/>
      <c r="AT85" s="753"/>
      <c r="AU85" s="624"/>
      <c r="AV85" s="624"/>
      <c r="AW85" s="624"/>
      <c r="AX85" s="624"/>
      <c r="AY85" s="624"/>
      <c r="AZ85" s="624"/>
      <c r="BA85" s="624"/>
    </row>
    <row r="86" spans="2:53">
      <c r="B86" s="756"/>
      <c r="C86" s="624"/>
      <c r="D86" s="751"/>
      <c r="E86" s="751"/>
      <c r="F86" s="751"/>
      <c r="G86" s="751"/>
      <c r="H86" s="751"/>
      <c r="I86" s="624"/>
      <c r="J86" s="624"/>
      <c r="K86" s="750"/>
      <c r="L86" s="751"/>
      <c r="M86" s="751"/>
      <c r="N86" s="751"/>
      <c r="O86" s="750"/>
      <c r="P86" s="751"/>
      <c r="Q86" s="751"/>
      <c r="R86" s="751"/>
      <c r="S86" s="624"/>
      <c r="T86" s="751"/>
      <c r="U86" s="751"/>
      <c r="V86" s="751"/>
      <c r="W86" s="624"/>
      <c r="X86" s="751"/>
      <c r="Y86" s="751"/>
      <c r="Z86" s="751"/>
      <c r="AA86" s="750"/>
      <c r="AB86" s="751"/>
      <c r="AC86" s="661"/>
      <c r="AD86" s="661"/>
      <c r="AE86" s="624"/>
      <c r="AF86" s="751"/>
      <c r="AG86" s="751"/>
      <c r="AH86" s="751"/>
      <c r="AI86" s="624"/>
      <c r="AJ86" s="751"/>
      <c r="AK86" s="751"/>
      <c r="AL86" s="751"/>
      <c r="AM86" s="624"/>
      <c r="AN86" s="624"/>
      <c r="AO86" s="624"/>
      <c r="AP86" s="624"/>
      <c r="AQ86" s="737"/>
      <c r="AR86" s="753"/>
      <c r="AS86" s="753"/>
      <c r="AT86" s="753"/>
      <c r="AU86" s="624"/>
      <c r="AV86" s="624"/>
      <c r="AW86" s="624"/>
      <c r="AX86" s="624"/>
      <c r="AY86" s="624"/>
      <c r="AZ86" s="624"/>
      <c r="BA86" s="624"/>
    </row>
    <row r="87" spans="2:53">
      <c r="B87" s="756"/>
      <c r="C87" s="624"/>
      <c r="D87" s="751"/>
      <c r="E87" s="751"/>
      <c r="F87" s="751"/>
      <c r="G87" s="751"/>
      <c r="H87" s="751"/>
      <c r="I87" s="624"/>
      <c r="J87" s="624"/>
      <c r="K87" s="750"/>
      <c r="L87" s="751"/>
      <c r="M87" s="751"/>
      <c r="N87" s="751"/>
      <c r="O87" s="750"/>
      <c r="P87" s="751"/>
      <c r="Q87" s="751"/>
      <c r="R87" s="751"/>
      <c r="S87" s="624"/>
      <c r="T87" s="751"/>
      <c r="U87" s="751"/>
      <c r="V87" s="751"/>
      <c r="W87" s="624"/>
      <c r="X87" s="751"/>
      <c r="Y87" s="751"/>
      <c r="Z87" s="751"/>
      <c r="AA87" s="750"/>
      <c r="AB87" s="751"/>
      <c r="AC87" s="661"/>
      <c r="AD87" s="661"/>
      <c r="AE87" s="624"/>
      <c r="AF87" s="751"/>
      <c r="AG87" s="751"/>
      <c r="AH87" s="751"/>
      <c r="AI87" s="624"/>
      <c r="AJ87" s="751"/>
      <c r="AK87" s="751"/>
      <c r="AL87" s="751"/>
      <c r="AM87" s="624"/>
      <c r="AN87" s="624"/>
      <c r="AO87" s="624"/>
      <c r="AP87" s="624"/>
      <c r="AQ87" s="737"/>
      <c r="AR87" s="753"/>
      <c r="AS87" s="753"/>
      <c r="AT87" s="753"/>
      <c r="AU87" s="624"/>
      <c r="AV87" s="624"/>
      <c r="AW87" s="624"/>
      <c r="AX87" s="624"/>
      <c r="AY87" s="624"/>
      <c r="AZ87" s="624"/>
      <c r="BA87" s="624"/>
    </row>
    <row r="88" spans="2:53">
      <c r="B88" s="756"/>
      <c r="C88" s="624"/>
      <c r="D88" s="751"/>
      <c r="E88" s="751"/>
      <c r="F88" s="751"/>
      <c r="G88" s="751"/>
      <c r="H88" s="751"/>
      <c r="I88" s="624"/>
      <c r="J88" s="624"/>
      <c r="K88" s="750"/>
      <c r="L88" s="751"/>
      <c r="M88" s="751"/>
      <c r="N88" s="751"/>
      <c r="O88" s="750"/>
      <c r="P88" s="751"/>
      <c r="Q88" s="751"/>
      <c r="R88" s="751"/>
      <c r="S88" s="624"/>
      <c r="T88" s="751"/>
      <c r="U88" s="751"/>
      <c r="V88" s="751"/>
      <c r="W88" s="624"/>
      <c r="X88" s="751"/>
      <c r="Y88" s="751"/>
      <c r="Z88" s="751"/>
      <c r="AA88" s="750"/>
      <c r="AB88" s="751"/>
      <c r="AC88" s="661"/>
      <c r="AD88" s="661"/>
      <c r="AE88" s="624"/>
      <c r="AF88" s="751"/>
      <c r="AG88" s="751"/>
      <c r="AH88" s="751"/>
      <c r="AI88" s="624"/>
      <c r="AJ88" s="751"/>
      <c r="AK88" s="751"/>
      <c r="AL88" s="751"/>
      <c r="AM88" s="624"/>
      <c r="AN88" s="624"/>
      <c r="AO88" s="624"/>
      <c r="AP88" s="624"/>
      <c r="AQ88" s="737"/>
      <c r="AR88" s="753"/>
      <c r="AS88" s="753"/>
      <c r="AT88" s="753"/>
      <c r="AU88" s="624"/>
      <c r="AV88" s="624"/>
      <c r="AW88" s="624"/>
      <c r="AX88" s="624"/>
      <c r="AY88" s="624"/>
      <c r="AZ88" s="624"/>
      <c r="BA88" s="624"/>
    </row>
    <row r="89" spans="2:53">
      <c r="B89" s="756"/>
      <c r="C89" s="624"/>
      <c r="D89" s="751"/>
      <c r="E89" s="751"/>
      <c r="F89" s="751"/>
      <c r="G89" s="751"/>
      <c r="H89" s="751"/>
      <c r="I89" s="624"/>
      <c r="J89" s="624"/>
      <c r="K89" s="750"/>
      <c r="L89" s="751"/>
      <c r="M89" s="751"/>
      <c r="N89" s="751"/>
      <c r="O89" s="750"/>
      <c r="P89" s="751"/>
      <c r="Q89" s="751"/>
      <c r="R89" s="751"/>
      <c r="S89" s="624"/>
      <c r="T89" s="751"/>
      <c r="U89" s="751"/>
      <c r="V89" s="751"/>
      <c r="W89" s="624"/>
      <c r="X89" s="751"/>
      <c r="Y89" s="751"/>
      <c r="Z89" s="751"/>
      <c r="AA89" s="750"/>
      <c r="AB89" s="751"/>
      <c r="AC89" s="661"/>
      <c r="AD89" s="661"/>
      <c r="AE89" s="624"/>
      <c r="AF89" s="751"/>
      <c r="AG89" s="751"/>
      <c r="AH89" s="751"/>
      <c r="AI89" s="624"/>
      <c r="AJ89" s="751"/>
      <c r="AK89" s="751"/>
      <c r="AL89" s="751"/>
      <c r="AM89" s="624"/>
      <c r="AN89" s="624"/>
      <c r="AO89" s="624"/>
      <c r="AP89" s="624"/>
      <c r="AQ89" s="737"/>
      <c r="AR89" s="753"/>
      <c r="AS89" s="753"/>
      <c r="AT89" s="753"/>
      <c r="AU89" s="624"/>
      <c r="AV89" s="624"/>
      <c r="AW89" s="624"/>
      <c r="AX89" s="624"/>
      <c r="AY89" s="624"/>
      <c r="AZ89" s="624"/>
      <c r="BA89" s="624"/>
    </row>
    <row r="90" spans="2:53">
      <c r="B90" s="756"/>
      <c r="C90" s="624"/>
      <c r="D90" s="751"/>
      <c r="E90" s="751"/>
      <c r="F90" s="751"/>
      <c r="G90" s="751"/>
      <c r="H90" s="751"/>
      <c r="I90" s="624"/>
      <c r="J90" s="624"/>
      <c r="K90" s="750"/>
      <c r="L90" s="751"/>
      <c r="M90" s="751"/>
      <c r="N90" s="751"/>
      <c r="O90" s="750"/>
      <c r="P90" s="751"/>
      <c r="Q90" s="751"/>
      <c r="R90" s="751"/>
      <c r="S90" s="624"/>
      <c r="T90" s="751"/>
      <c r="U90" s="751"/>
      <c r="V90" s="751"/>
      <c r="W90" s="624"/>
      <c r="X90" s="751"/>
      <c r="Y90" s="751"/>
      <c r="Z90" s="751"/>
      <c r="AA90" s="750"/>
      <c r="AB90" s="751"/>
      <c r="AC90" s="661"/>
      <c r="AD90" s="661"/>
      <c r="AE90" s="624"/>
      <c r="AF90" s="751"/>
      <c r="AG90" s="751"/>
      <c r="AH90" s="751"/>
      <c r="AI90" s="624"/>
      <c r="AJ90" s="751"/>
      <c r="AK90" s="751"/>
      <c r="AL90" s="751"/>
      <c r="AM90" s="624"/>
      <c r="AN90" s="624"/>
      <c r="AO90" s="624"/>
      <c r="AP90" s="624"/>
      <c r="AQ90" s="737"/>
      <c r="AR90" s="753"/>
      <c r="AS90" s="753"/>
      <c r="AT90" s="753"/>
      <c r="AU90" s="624"/>
      <c r="AV90" s="624"/>
      <c r="AW90" s="624"/>
      <c r="AX90" s="624"/>
      <c r="AY90" s="624"/>
      <c r="AZ90" s="624"/>
      <c r="BA90" s="624"/>
    </row>
    <row r="91" spans="2:53">
      <c r="B91" s="756"/>
      <c r="C91" s="624"/>
      <c r="D91" s="751"/>
      <c r="E91" s="751"/>
      <c r="F91" s="751"/>
      <c r="G91" s="751"/>
      <c r="H91" s="751"/>
      <c r="I91" s="624"/>
      <c r="J91" s="624"/>
      <c r="K91" s="750"/>
      <c r="L91" s="751"/>
      <c r="M91" s="751"/>
      <c r="N91" s="751"/>
      <c r="O91" s="750"/>
      <c r="P91" s="751"/>
      <c r="Q91" s="751"/>
      <c r="R91" s="751"/>
      <c r="S91" s="624"/>
      <c r="T91" s="751"/>
      <c r="U91" s="751"/>
      <c r="V91" s="751"/>
      <c r="W91" s="624"/>
      <c r="X91" s="751"/>
      <c r="Y91" s="751"/>
      <c r="Z91" s="751"/>
      <c r="AA91" s="750"/>
      <c r="AB91" s="751"/>
      <c r="AC91" s="661"/>
      <c r="AD91" s="661"/>
      <c r="AE91" s="624"/>
      <c r="AF91" s="751"/>
      <c r="AG91" s="751"/>
      <c r="AH91" s="751"/>
      <c r="AI91" s="624"/>
      <c r="AJ91" s="751"/>
      <c r="AK91" s="751"/>
      <c r="AL91" s="751"/>
      <c r="AM91" s="624"/>
      <c r="AN91" s="624"/>
      <c r="AO91" s="624"/>
      <c r="AP91" s="624"/>
      <c r="AQ91" s="737"/>
      <c r="AR91" s="753"/>
      <c r="AS91" s="753"/>
      <c r="AT91" s="753"/>
      <c r="AU91" s="624"/>
      <c r="AV91" s="624"/>
      <c r="AW91" s="624"/>
      <c r="AX91" s="624"/>
      <c r="AY91" s="624"/>
      <c r="AZ91" s="624"/>
      <c r="BA91" s="624"/>
    </row>
    <row r="92" spans="2:53">
      <c r="B92" s="756"/>
      <c r="C92" s="624"/>
      <c r="D92" s="751"/>
      <c r="E92" s="751"/>
      <c r="F92" s="751"/>
      <c r="G92" s="751"/>
      <c r="H92" s="751"/>
      <c r="I92" s="624"/>
      <c r="J92" s="624"/>
      <c r="K92" s="750"/>
      <c r="L92" s="751"/>
      <c r="M92" s="751"/>
      <c r="N92" s="751"/>
      <c r="O92" s="750"/>
      <c r="P92" s="751"/>
      <c r="Q92" s="751"/>
      <c r="R92" s="751"/>
      <c r="S92" s="624"/>
      <c r="T92" s="751"/>
      <c r="U92" s="751"/>
      <c r="V92" s="751"/>
      <c r="W92" s="624"/>
      <c r="X92" s="751"/>
      <c r="Y92" s="751"/>
      <c r="Z92" s="751"/>
      <c r="AA92" s="750"/>
      <c r="AB92" s="751"/>
      <c r="AC92" s="661"/>
      <c r="AD92" s="661"/>
      <c r="AE92" s="624"/>
      <c r="AF92" s="751"/>
      <c r="AG92" s="751"/>
      <c r="AH92" s="751"/>
      <c r="AI92" s="624"/>
      <c r="AJ92" s="751"/>
      <c r="AK92" s="751"/>
      <c r="AL92" s="751"/>
      <c r="AM92" s="624"/>
      <c r="AN92" s="624"/>
      <c r="AO92" s="624"/>
      <c r="AP92" s="624"/>
      <c r="AQ92" s="737"/>
      <c r="AR92" s="753"/>
      <c r="AS92" s="753"/>
      <c r="AT92" s="753"/>
      <c r="AU92" s="624"/>
      <c r="AV92" s="624"/>
      <c r="AW92" s="624"/>
      <c r="AX92" s="624"/>
      <c r="AY92" s="624"/>
      <c r="AZ92" s="624"/>
      <c r="BA92" s="624"/>
    </row>
    <row r="93" spans="2:53">
      <c r="B93" s="756"/>
      <c r="C93" s="624"/>
      <c r="D93" s="751"/>
      <c r="E93" s="751"/>
      <c r="F93" s="751"/>
      <c r="G93" s="751"/>
      <c r="H93" s="751"/>
      <c r="I93" s="624"/>
      <c r="J93" s="624"/>
      <c r="K93" s="750"/>
      <c r="L93" s="751"/>
      <c r="M93" s="751"/>
      <c r="N93" s="751"/>
      <c r="O93" s="750"/>
      <c r="P93" s="751"/>
      <c r="Q93" s="751"/>
      <c r="R93" s="751"/>
      <c r="S93" s="624"/>
      <c r="T93" s="751"/>
      <c r="U93" s="751"/>
      <c r="V93" s="751"/>
      <c r="W93" s="624"/>
      <c r="X93" s="751"/>
      <c r="Y93" s="751"/>
      <c r="Z93" s="751"/>
      <c r="AA93" s="750"/>
      <c r="AB93" s="751"/>
      <c r="AC93" s="661"/>
      <c r="AD93" s="661"/>
      <c r="AE93" s="624"/>
      <c r="AF93" s="751"/>
      <c r="AG93" s="751"/>
      <c r="AH93" s="751"/>
      <c r="AI93" s="624"/>
      <c r="AJ93" s="751"/>
      <c r="AK93" s="751"/>
      <c r="AL93" s="751"/>
      <c r="AM93" s="624"/>
      <c r="AN93" s="624"/>
      <c r="AO93" s="624"/>
      <c r="AP93" s="624"/>
      <c r="AQ93" s="737"/>
      <c r="AR93" s="753"/>
      <c r="AS93" s="753"/>
      <c r="AT93" s="753"/>
      <c r="AU93" s="624"/>
      <c r="AV93" s="624"/>
      <c r="AW93" s="624"/>
      <c r="AX93" s="624"/>
      <c r="AY93" s="624"/>
      <c r="AZ93" s="624"/>
      <c r="BA93" s="624"/>
    </row>
    <row r="94" spans="2:53">
      <c r="B94" s="756"/>
      <c r="C94" s="624"/>
      <c r="D94" s="751"/>
      <c r="E94" s="751"/>
      <c r="F94" s="751"/>
      <c r="G94" s="751"/>
      <c r="H94" s="751"/>
      <c r="I94" s="624"/>
      <c r="J94" s="624"/>
      <c r="K94" s="750"/>
      <c r="L94" s="751"/>
      <c r="M94" s="751"/>
      <c r="N94" s="751"/>
      <c r="O94" s="750"/>
      <c r="P94" s="751"/>
      <c r="Q94" s="751"/>
      <c r="R94" s="751"/>
      <c r="S94" s="624"/>
      <c r="T94" s="751"/>
      <c r="U94" s="751"/>
      <c r="V94" s="751"/>
      <c r="W94" s="624"/>
      <c r="X94" s="751"/>
      <c r="Y94" s="751"/>
      <c r="Z94" s="751"/>
      <c r="AA94" s="750"/>
      <c r="AB94" s="751"/>
      <c r="AC94" s="661"/>
      <c r="AD94" s="661"/>
      <c r="AE94" s="624"/>
      <c r="AF94" s="751"/>
      <c r="AG94" s="751"/>
      <c r="AH94" s="751"/>
      <c r="AI94" s="624"/>
      <c r="AJ94" s="751"/>
      <c r="AK94" s="751"/>
      <c r="AL94" s="751"/>
      <c r="AM94" s="624"/>
      <c r="AN94" s="624"/>
      <c r="AO94" s="624"/>
      <c r="AP94" s="624"/>
      <c r="AQ94" s="737"/>
      <c r="AR94" s="753"/>
      <c r="AS94" s="753"/>
      <c r="AT94" s="753"/>
      <c r="AU94" s="624"/>
      <c r="AV94" s="624"/>
      <c r="AW94" s="624"/>
      <c r="AX94" s="624"/>
      <c r="AY94" s="624"/>
      <c r="AZ94" s="624"/>
      <c r="BA94" s="624"/>
    </row>
    <row r="95" spans="2:53">
      <c r="B95" s="756"/>
      <c r="C95" s="624"/>
      <c r="D95" s="751"/>
      <c r="E95" s="751"/>
      <c r="F95" s="751"/>
      <c r="G95" s="751"/>
      <c r="H95" s="751"/>
      <c r="I95" s="624"/>
      <c r="J95" s="624"/>
      <c r="K95" s="750"/>
      <c r="L95" s="751"/>
      <c r="M95" s="751"/>
      <c r="N95" s="751"/>
      <c r="O95" s="750"/>
      <c r="P95" s="751"/>
      <c r="Q95" s="751"/>
      <c r="R95" s="751"/>
      <c r="S95" s="624"/>
      <c r="T95" s="751"/>
      <c r="U95" s="751"/>
      <c r="V95" s="751"/>
      <c r="W95" s="624"/>
      <c r="X95" s="751"/>
      <c r="Y95" s="751"/>
      <c r="Z95" s="751"/>
      <c r="AA95" s="750"/>
      <c r="AB95" s="751"/>
      <c r="AC95" s="661"/>
      <c r="AD95" s="661"/>
      <c r="AE95" s="624"/>
      <c r="AF95" s="751"/>
      <c r="AG95" s="751"/>
      <c r="AH95" s="751"/>
      <c r="AI95" s="624"/>
      <c r="AJ95" s="751"/>
      <c r="AK95" s="751"/>
      <c r="AL95" s="751"/>
      <c r="AM95" s="624"/>
      <c r="AN95" s="624"/>
      <c r="AO95" s="624"/>
      <c r="AP95" s="624"/>
      <c r="AQ95" s="737"/>
      <c r="AR95" s="753"/>
      <c r="AS95" s="753"/>
      <c r="AT95" s="753"/>
      <c r="AU95" s="624"/>
      <c r="AV95" s="624"/>
      <c r="AW95" s="624"/>
      <c r="AX95" s="624"/>
      <c r="AY95" s="624"/>
      <c r="AZ95" s="624"/>
      <c r="BA95" s="624"/>
    </row>
    <row r="96" spans="2:53">
      <c r="B96" s="756"/>
      <c r="C96" s="624"/>
      <c r="D96" s="751"/>
      <c r="E96" s="751"/>
      <c r="F96" s="751"/>
      <c r="G96" s="751"/>
      <c r="H96" s="751"/>
      <c r="I96" s="624"/>
      <c r="J96" s="624"/>
      <c r="K96" s="750"/>
      <c r="L96" s="751"/>
      <c r="M96" s="751"/>
      <c r="N96" s="751"/>
      <c r="O96" s="750"/>
      <c r="P96" s="751"/>
      <c r="Q96" s="751"/>
      <c r="R96" s="751"/>
      <c r="S96" s="624"/>
      <c r="T96" s="751"/>
      <c r="U96" s="751"/>
      <c r="V96" s="751"/>
      <c r="W96" s="624"/>
      <c r="X96" s="751"/>
      <c r="Y96" s="751"/>
      <c r="Z96" s="751"/>
      <c r="AA96" s="750"/>
      <c r="AB96" s="751"/>
      <c r="AC96" s="661"/>
      <c r="AD96" s="661"/>
      <c r="AE96" s="624"/>
      <c r="AF96" s="751"/>
      <c r="AG96" s="751"/>
      <c r="AH96" s="751"/>
      <c r="AI96" s="624"/>
      <c r="AJ96" s="751"/>
      <c r="AK96" s="751"/>
      <c r="AL96" s="751"/>
      <c r="AM96" s="624"/>
      <c r="AN96" s="624"/>
      <c r="AO96" s="624"/>
      <c r="AP96" s="624"/>
      <c r="AQ96" s="737"/>
      <c r="AR96" s="753"/>
      <c r="AS96" s="753"/>
      <c r="AT96" s="753"/>
      <c r="AU96" s="624"/>
      <c r="AV96" s="624"/>
      <c r="AW96" s="624"/>
      <c r="AX96" s="624"/>
      <c r="AY96" s="624"/>
      <c r="AZ96" s="624"/>
      <c r="BA96" s="624"/>
    </row>
    <row r="97" spans="2:53">
      <c r="B97" s="756"/>
      <c r="C97" s="624"/>
      <c r="D97" s="751"/>
      <c r="E97" s="751"/>
      <c r="F97" s="751"/>
      <c r="G97" s="751"/>
      <c r="H97" s="751"/>
      <c r="I97" s="624"/>
      <c r="J97" s="624"/>
      <c r="K97" s="750"/>
      <c r="L97" s="751"/>
      <c r="M97" s="751"/>
      <c r="N97" s="751"/>
      <c r="O97" s="750"/>
      <c r="P97" s="751"/>
      <c r="Q97" s="751"/>
      <c r="R97" s="751"/>
      <c r="S97" s="624"/>
      <c r="T97" s="751"/>
      <c r="U97" s="751"/>
      <c r="V97" s="751"/>
      <c r="W97" s="624"/>
      <c r="X97" s="751"/>
      <c r="Y97" s="751"/>
      <c r="Z97" s="751"/>
      <c r="AA97" s="750"/>
      <c r="AB97" s="751"/>
      <c r="AC97" s="661"/>
      <c r="AD97" s="661"/>
      <c r="AE97" s="624"/>
      <c r="AF97" s="751"/>
      <c r="AG97" s="751"/>
      <c r="AH97" s="751"/>
      <c r="AI97" s="624"/>
      <c r="AJ97" s="751"/>
      <c r="AK97" s="751"/>
      <c r="AL97" s="751"/>
      <c r="AM97" s="624"/>
      <c r="AN97" s="624"/>
      <c r="AO97" s="624"/>
      <c r="AP97" s="624"/>
      <c r="AQ97" s="737"/>
      <c r="AR97" s="753"/>
      <c r="AS97" s="753"/>
      <c r="AT97" s="753"/>
      <c r="AU97" s="624"/>
      <c r="AV97" s="624"/>
      <c r="AW97" s="624"/>
      <c r="AX97" s="624"/>
      <c r="AY97" s="624"/>
      <c r="AZ97" s="624"/>
      <c r="BA97" s="624"/>
    </row>
    <row r="98" spans="2:53">
      <c r="B98" s="756"/>
      <c r="C98" s="624"/>
      <c r="D98" s="751"/>
      <c r="E98" s="751"/>
      <c r="F98" s="751"/>
      <c r="G98" s="751"/>
      <c r="H98" s="751"/>
      <c r="I98" s="624"/>
      <c r="J98" s="624"/>
      <c r="K98" s="750"/>
      <c r="L98" s="751"/>
      <c r="M98" s="751"/>
      <c r="N98" s="751"/>
      <c r="O98" s="750"/>
      <c r="P98" s="751"/>
      <c r="Q98" s="751"/>
      <c r="R98" s="751"/>
      <c r="S98" s="624"/>
      <c r="T98" s="751"/>
      <c r="U98" s="751"/>
      <c r="V98" s="751"/>
      <c r="W98" s="624"/>
      <c r="X98" s="751"/>
      <c r="Y98" s="751"/>
      <c r="Z98" s="751"/>
      <c r="AA98" s="750"/>
      <c r="AB98" s="751"/>
      <c r="AC98" s="661"/>
      <c r="AD98" s="661"/>
      <c r="AE98" s="624"/>
      <c r="AF98" s="751"/>
      <c r="AG98" s="751"/>
      <c r="AH98" s="751"/>
      <c r="AI98" s="624"/>
      <c r="AJ98" s="751"/>
      <c r="AK98" s="751"/>
      <c r="AL98" s="751"/>
      <c r="AM98" s="624"/>
      <c r="AN98" s="624"/>
      <c r="AO98" s="624"/>
      <c r="AP98" s="624"/>
      <c r="AQ98" s="737"/>
      <c r="AR98" s="753"/>
      <c r="AS98" s="753"/>
      <c r="AT98" s="753"/>
      <c r="AU98" s="624"/>
      <c r="AV98" s="624"/>
      <c r="AW98" s="624"/>
      <c r="AX98" s="624"/>
      <c r="AY98" s="624"/>
      <c r="AZ98" s="624"/>
      <c r="BA98" s="624"/>
    </row>
    <row r="99" spans="2:53">
      <c r="B99" s="756"/>
      <c r="C99" s="624"/>
      <c r="D99" s="751"/>
      <c r="E99" s="751"/>
      <c r="F99" s="751"/>
      <c r="G99" s="751"/>
      <c r="H99" s="751"/>
      <c r="I99" s="624"/>
      <c r="J99" s="624"/>
      <c r="K99" s="750"/>
      <c r="L99" s="751"/>
      <c r="M99" s="751"/>
      <c r="N99" s="751"/>
      <c r="O99" s="750"/>
      <c r="P99" s="751"/>
      <c r="Q99" s="751"/>
      <c r="R99" s="751"/>
      <c r="S99" s="624"/>
      <c r="T99" s="751"/>
      <c r="U99" s="751"/>
      <c r="V99" s="751"/>
      <c r="W99" s="624"/>
      <c r="X99" s="751"/>
      <c r="Y99" s="751"/>
      <c r="Z99" s="751"/>
      <c r="AA99" s="750"/>
      <c r="AB99" s="751"/>
      <c r="AC99" s="661"/>
      <c r="AD99" s="661"/>
      <c r="AE99" s="624"/>
      <c r="AF99" s="751"/>
      <c r="AG99" s="751"/>
      <c r="AH99" s="751"/>
      <c r="AI99" s="624"/>
      <c r="AJ99" s="751"/>
      <c r="AK99" s="751"/>
      <c r="AL99" s="751"/>
      <c r="AM99" s="624"/>
      <c r="AN99" s="624"/>
      <c r="AO99" s="624"/>
      <c r="AP99" s="624"/>
      <c r="AQ99" s="737"/>
      <c r="AR99" s="753"/>
      <c r="AS99" s="753"/>
      <c r="AT99" s="753"/>
      <c r="AU99" s="624"/>
      <c r="AV99" s="624"/>
      <c r="AW99" s="624"/>
      <c r="AX99" s="624"/>
      <c r="AY99" s="624"/>
      <c r="AZ99" s="624"/>
      <c r="BA99" s="624"/>
    </row>
    <row r="100" spans="2:53">
      <c r="B100" s="756"/>
      <c r="C100" s="624"/>
      <c r="D100" s="751"/>
      <c r="E100" s="751"/>
      <c r="F100" s="751"/>
      <c r="G100" s="751"/>
      <c r="H100" s="751"/>
      <c r="I100" s="624"/>
      <c r="J100" s="624"/>
      <c r="K100" s="750"/>
      <c r="L100" s="751"/>
      <c r="M100" s="751"/>
      <c r="N100" s="751"/>
      <c r="O100" s="750"/>
      <c r="P100" s="751"/>
      <c r="Q100" s="751"/>
      <c r="R100" s="751"/>
      <c r="S100" s="624"/>
      <c r="T100" s="751"/>
      <c r="U100" s="751"/>
      <c r="V100" s="751"/>
      <c r="W100" s="624"/>
      <c r="X100" s="751"/>
      <c r="Y100" s="751"/>
      <c r="Z100" s="751"/>
      <c r="AA100" s="750"/>
      <c r="AB100" s="751"/>
      <c r="AC100" s="661"/>
      <c r="AD100" s="661"/>
      <c r="AE100" s="624"/>
      <c r="AF100" s="751"/>
      <c r="AG100" s="751"/>
      <c r="AH100" s="751"/>
      <c r="AI100" s="624"/>
      <c r="AJ100" s="751"/>
      <c r="AK100" s="751"/>
      <c r="AL100" s="751"/>
      <c r="AM100" s="624"/>
      <c r="AN100" s="624"/>
      <c r="AO100" s="624"/>
      <c r="AP100" s="624"/>
      <c r="AQ100" s="737"/>
      <c r="AR100" s="753"/>
      <c r="AS100" s="753"/>
      <c r="AT100" s="753"/>
      <c r="AU100" s="624"/>
      <c r="AV100" s="624"/>
      <c r="AW100" s="624"/>
      <c r="AX100" s="624"/>
      <c r="AY100" s="624"/>
      <c r="AZ100" s="624"/>
      <c r="BA100" s="624"/>
    </row>
    <row r="101" spans="2:53">
      <c r="B101" s="756"/>
      <c r="C101" s="624"/>
      <c r="D101" s="751"/>
      <c r="E101" s="751"/>
      <c r="F101" s="751"/>
      <c r="G101" s="751"/>
      <c r="H101" s="751"/>
      <c r="I101" s="624"/>
      <c r="J101" s="624"/>
      <c r="K101" s="750"/>
      <c r="L101" s="751"/>
      <c r="M101" s="751"/>
      <c r="N101" s="751"/>
      <c r="O101" s="750"/>
      <c r="P101" s="751"/>
      <c r="Q101" s="751"/>
      <c r="R101" s="751"/>
      <c r="S101" s="624"/>
      <c r="T101" s="751"/>
      <c r="U101" s="751"/>
      <c r="V101" s="751"/>
      <c r="W101" s="624"/>
      <c r="X101" s="751"/>
      <c r="Y101" s="751"/>
      <c r="Z101" s="751"/>
      <c r="AA101" s="750"/>
      <c r="AB101" s="751"/>
      <c r="AC101" s="661"/>
      <c r="AD101" s="661"/>
      <c r="AE101" s="624"/>
      <c r="AF101" s="751"/>
      <c r="AG101" s="751"/>
      <c r="AH101" s="751"/>
      <c r="AI101" s="624"/>
      <c r="AJ101" s="751"/>
      <c r="AK101" s="751"/>
      <c r="AL101" s="751"/>
      <c r="AM101" s="624"/>
      <c r="AN101" s="624"/>
      <c r="AO101" s="624"/>
      <c r="AP101" s="624"/>
      <c r="AQ101" s="737"/>
      <c r="AR101" s="753"/>
      <c r="AS101" s="753"/>
      <c r="AT101" s="753"/>
      <c r="AU101" s="624"/>
      <c r="AV101" s="624"/>
      <c r="AW101" s="624"/>
      <c r="AX101" s="624"/>
      <c r="AY101" s="624"/>
      <c r="AZ101" s="624"/>
      <c r="BA101" s="624"/>
    </row>
    <row r="102" spans="2:53">
      <c r="B102" s="756"/>
      <c r="C102" s="624"/>
      <c r="D102" s="751"/>
      <c r="E102" s="751"/>
      <c r="F102" s="751"/>
      <c r="G102" s="751"/>
      <c r="H102" s="751"/>
      <c r="I102" s="624"/>
      <c r="J102" s="624"/>
      <c r="K102" s="750"/>
      <c r="L102" s="751"/>
      <c r="M102" s="751"/>
      <c r="N102" s="751"/>
      <c r="O102" s="750"/>
      <c r="P102" s="751"/>
      <c r="Q102" s="751"/>
      <c r="R102" s="751"/>
      <c r="S102" s="624"/>
      <c r="T102" s="751"/>
      <c r="U102" s="751"/>
      <c r="V102" s="751"/>
      <c r="W102" s="624"/>
      <c r="X102" s="751"/>
      <c r="Y102" s="751"/>
      <c r="Z102" s="751"/>
      <c r="AA102" s="750"/>
      <c r="AB102" s="751"/>
      <c r="AC102" s="661"/>
      <c r="AD102" s="661"/>
      <c r="AE102" s="624"/>
      <c r="AF102" s="751"/>
      <c r="AG102" s="751"/>
      <c r="AH102" s="751"/>
      <c r="AI102" s="624"/>
      <c r="AJ102" s="751"/>
      <c r="AK102" s="751"/>
      <c r="AL102" s="751"/>
      <c r="AM102" s="624"/>
      <c r="AN102" s="624"/>
      <c r="AO102" s="624"/>
      <c r="AP102" s="624"/>
      <c r="AQ102" s="737"/>
      <c r="AR102" s="753"/>
      <c r="AS102" s="753"/>
      <c r="AT102" s="753"/>
      <c r="AU102" s="624"/>
      <c r="AV102" s="624"/>
      <c r="AW102" s="624"/>
      <c r="AX102" s="624"/>
      <c r="AY102" s="624"/>
      <c r="AZ102" s="624"/>
      <c r="BA102" s="624"/>
    </row>
    <row r="103" spans="2:53">
      <c r="B103" s="756"/>
      <c r="C103" s="624"/>
      <c r="D103" s="751"/>
      <c r="E103" s="751"/>
      <c r="F103" s="751"/>
      <c r="G103" s="751"/>
      <c r="H103" s="751"/>
      <c r="I103" s="624"/>
      <c r="J103" s="624"/>
      <c r="K103" s="750"/>
      <c r="L103" s="751"/>
      <c r="M103" s="751"/>
      <c r="N103" s="751"/>
      <c r="O103" s="750"/>
      <c r="P103" s="751"/>
      <c r="Q103" s="751"/>
      <c r="R103" s="751"/>
      <c r="S103" s="624"/>
      <c r="T103" s="751"/>
      <c r="U103" s="751"/>
      <c r="V103" s="751"/>
      <c r="W103" s="624"/>
      <c r="X103" s="751"/>
      <c r="Y103" s="751"/>
      <c r="Z103" s="751"/>
      <c r="AA103" s="750"/>
      <c r="AB103" s="751"/>
      <c r="AC103" s="661"/>
      <c r="AD103" s="661"/>
      <c r="AE103" s="624"/>
      <c r="AF103" s="751"/>
      <c r="AG103" s="751"/>
      <c r="AH103" s="751"/>
      <c r="AI103" s="624"/>
      <c r="AJ103" s="751"/>
      <c r="AK103" s="751"/>
      <c r="AL103" s="751"/>
      <c r="AM103" s="624"/>
      <c r="AN103" s="624"/>
      <c r="AO103" s="624"/>
      <c r="AP103" s="624"/>
      <c r="AQ103" s="737"/>
      <c r="AR103" s="753"/>
      <c r="AS103" s="753"/>
      <c r="AT103" s="753"/>
      <c r="AU103" s="624"/>
      <c r="AV103" s="624"/>
      <c r="AW103" s="624"/>
      <c r="AX103" s="624"/>
      <c r="AY103" s="624"/>
      <c r="AZ103" s="624"/>
      <c r="BA103" s="624"/>
    </row>
    <row r="104" spans="2:53">
      <c r="B104" s="756"/>
      <c r="C104" s="624"/>
      <c r="D104" s="751"/>
      <c r="E104" s="751"/>
      <c r="F104" s="751"/>
      <c r="G104" s="751"/>
      <c r="H104" s="751"/>
      <c r="I104" s="624"/>
      <c r="J104" s="624"/>
      <c r="K104" s="750"/>
      <c r="L104" s="751"/>
      <c r="M104" s="751"/>
      <c r="N104" s="751"/>
      <c r="O104" s="750"/>
      <c r="P104" s="751"/>
      <c r="Q104" s="751"/>
      <c r="R104" s="751"/>
      <c r="S104" s="624"/>
      <c r="T104" s="751"/>
      <c r="U104" s="751"/>
      <c r="V104" s="751"/>
      <c r="W104" s="624"/>
      <c r="X104" s="751"/>
      <c r="Y104" s="751"/>
      <c r="Z104" s="751"/>
      <c r="AA104" s="750"/>
      <c r="AB104" s="751"/>
      <c r="AC104" s="661"/>
      <c r="AD104" s="661"/>
      <c r="AE104" s="624"/>
      <c r="AF104" s="751"/>
      <c r="AG104" s="751"/>
      <c r="AH104" s="751"/>
      <c r="AI104" s="624"/>
      <c r="AJ104" s="751"/>
      <c r="AK104" s="751"/>
      <c r="AL104" s="751"/>
      <c r="AM104" s="624"/>
      <c r="AN104" s="624"/>
      <c r="AO104" s="624"/>
      <c r="AP104" s="624"/>
      <c r="AQ104" s="737"/>
      <c r="AR104" s="753"/>
      <c r="AS104" s="753"/>
      <c r="AT104" s="753"/>
      <c r="AU104" s="624"/>
      <c r="AV104" s="624"/>
      <c r="AW104" s="624"/>
      <c r="AX104" s="624"/>
      <c r="AY104" s="624"/>
      <c r="AZ104" s="624"/>
      <c r="BA104" s="624"/>
    </row>
    <row r="105" spans="2:53">
      <c r="B105" s="756"/>
      <c r="C105" s="624"/>
      <c r="D105" s="751"/>
      <c r="E105" s="751"/>
      <c r="F105" s="751"/>
      <c r="G105" s="751"/>
      <c r="H105" s="751"/>
      <c r="I105" s="624"/>
      <c r="J105" s="624"/>
      <c r="K105" s="750"/>
      <c r="L105" s="751"/>
      <c r="M105" s="751"/>
      <c r="N105" s="751"/>
      <c r="O105" s="750"/>
      <c r="P105" s="751"/>
      <c r="Q105" s="751"/>
      <c r="R105" s="751"/>
      <c r="S105" s="624"/>
      <c r="T105" s="751"/>
      <c r="U105" s="751"/>
      <c r="V105" s="751"/>
      <c r="W105" s="624"/>
      <c r="X105" s="751"/>
      <c r="Y105" s="751"/>
      <c r="Z105" s="751"/>
      <c r="AA105" s="750"/>
      <c r="AB105" s="751"/>
      <c r="AC105" s="661"/>
      <c r="AD105" s="661"/>
      <c r="AE105" s="624"/>
      <c r="AF105" s="751"/>
      <c r="AG105" s="751"/>
      <c r="AH105" s="751"/>
      <c r="AI105" s="624"/>
      <c r="AJ105" s="751"/>
      <c r="AK105" s="751"/>
      <c r="AL105" s="751"/>
      <c r="AM105" s="624"/>
      <c r="AN105" s="624"/>
      <c r="AO105" s="624"/>
      <c r="AP105" s="624"/>
      <c r="AQ105" s="737"/>
      <c r="AR105" s="753"/>
      <c r="AS105" s="753"/>
      <c r="AT105" s="753"/>
      <c r="AU105" s="624"/>
      <c r="AV105" s="624"/>
      <c r="AW105" s="624"/>
      <c r="AX105" s="624"/>
      <c r="AY105" s="624"/>
      <c r="AZ105" s="624"/>
      <c r="BA105" s="624"/>
    </row>
    <row r="106" spans="2:53">
      <c r="B106" s="756"/>
      <c r="C106" s="624"/>
      <c r="D106" s="751"/>
      <c r="E106" s="751"/>
      <c r="F106" s="751"/>
      <c r="G106" s="751"/>
      <c r="H106" s="751"/>
      <c r="I106" s="624"/>
      <c r="J106" s="624"/>
      <c r="K106" s="750"/>
      <c r="L106" s="751"/>
      <c r="M106" s="751"/>
      <c r="N106" s="751"/>
      <c r="O106" s="750"/>
      <c r="P106" s="751"/>
      <c r="Q106" s="751"/>
      <c r="R106" s="751"/>
      <c r="S106" s="624"/>
      <c r="T106" s="751"/>
      <c r="U106" s="751"/>
      <c r="V106" s="751"/>
      <c r="W106" s="624"/>
      <c r="X106" s="751"/>
      <c r="Y106" s="751"/>
      <c r="Z106" s="751"/>
      <c r="AA106" s="750"/>
      <c r="AB106" s="751"/>
      <c r="AC106" s="661"/>
      <c r="AD106" s="661"/>
      <c r="AE106" s="624"/>
      <c r="AF106" s="751"/>
      <c r="AG106" s="751"/>
      <c r="AH106" s="751"/>
      <c r="AI106" s="624"/>
      <c r="AJ106" s="751"/>
      <c r="AK106" s="751"/>
      <c r="AL106" s="751"/>
      <c r="AM106" s="624"/>
      <c r="AN106" s="624"/>
      <c r="AO106" s="624"/>
      <c r="AP106" s="624"/>
      <c r="AQ106" s="737"/>
      <c r="AR106" s="753"/>
      <c r="AS106" s="753"/>
      <c r="AT106" s="753"/>
      <c r="AU106" s="624"/>
      <c r="AV106" s="624"/>
      <c r="AW106" s="624"/>
      <c r="AX106" s="624"/>
      <c r="AY106" s="624"/>
      <c r="AZ106" s="624"/>
      <c r="BA106" s="624"/>
    </row>
    <row r="107" spans="2:53">
      <c r="B107" s="756"/>
      <c r="C107" s="624"/>
      <c r="D107" s="751"/>
      <c r="E107" s="751"/>
      <c r="F107" s="751"/>
      <c r="G107" s="751"/>
      <c r="H107" s="751"/>
      <c r="I107" s="624"/>
      <c r="J107" s="624"/>
      <c r="K107" s="750"/>
      <c r="L107" s="751"/>
      <c r="M107" s="751"/>
      <c r="N107" s="751"/>
      <c r="O107" s="750"/>
      <c r="P107" s="751"/>
      <c r="Q107" s="751"/>
      <c r="R107" s="751"/>
      <c r="S107" s="624"/>
      <c r="T107" s="751"/>
      <c r="U107" s="751"/>
      <c r="V107" s="751"/>
      <c r="W107" s="624"/>
      <c r="X107" s="751"/>
      <c r="Y107" s="751"/>
      <c r="Z107" s="751"/>
      <c r="AA107" s="750"/>
      <c r="AB107" s="751"/>
      <c r="AC107" s="661"/>
      <c r="AD107" s="661"/>
      <c r="AE107" s="624"/>
      <c r="AF107" s="751"/>
      <c r="AG107" s="751"/>
      <c r="AH107" s="751"/>
      <c r="AI107" s="624"/>
      <c r="AJ107" s="751"/>
      <c r="AK107" s="751"/>
      <c r="AL107" s="751"/>
      <c r="AM107" s="624"/>
      <c r="AN107" s="624"/>
      <c r="AO107" s="624"/>
      <c r="AP107" s="624"/>
      <c r="AQ107" s="737"/>
      <c r="AR107" s="753"/>
      <c r="AS107" s="753"/>
      <c r="AT107" s="753"/>
      <c r="AU107" s="624"/>
      <c r="AV107" s="624"/>
      <c r="AW107" s="624"/>
      <c r="AX107" s="624"/>
      <c r="AY107" s="624"/>
      <c r="AZ107" s="624"/>
      <c r="BA107" s="624"/>
    </row>
    <row r="108" spans="2:53">
      <c r="B108" s="756"/>
      <c r="C108" s="624"/>
      <c r="D108" s="751"/>
      <c r="E108" s="751"/>
      <c r="F108" s="751"/>
      <c r="G108" s="751"/>
      <c r="H108" s="751"/>
      <c r="I108" s="624"/>
      <c r="J108" s="624"/>
      <c r="K108" s="750"/>
      <c r="L108" s="751"/>
      <c r="M108" s="751"/>
      <c r="N108" s="751"/>
      <c r="O108" s="750"/>
      <c r="P108" s="751"/>
      <c r="Q108" s="751"/>
      <c r="R108" s="751"/>
      <c r="S108" s="624"/>
      <c r="T108" s="751"/>
      <c r="U108" s="751"/>
      <c r="V108" s="751"/>
      <c r="W108" s="624"/>
      <c r="X108" s="751"/>
      <c r="Y108" s="751"/>
      <c r="Z108" s="751"/>
      <c r="AA108" s="750"/>
      <c r="AB108" s="751"/>
      <c r="AC108" s="661"/>
      <c r="AD108" s="661"/>
      <c r="AE108" s="624"/>
      <c r="AF108" s="751"/>
      <c r="AG108" s="751"/>
      <c r="AH108" s="751"/>
      <c r="AI108" s="624"/>
      <c r="AJ108" s="751"/>
      <c r="AK108" s="751"/>
      <c r="AL108" s="751"/>
      <c r="AM108" s="624"/>
      <c r="AN108" s="624"/>
      <c r="AO108" s="624"/>
      <c r="AP108" s="624"/>
      <c r="AQ108" s="737"/>
      <c r="AR108" s="753"/>
      <c r="AS108" s="753"/>
      <c r="AT108" s="753"/>
      <c r="AU108" s="624"/>
      <c r="AV108" s="624"/>
      <c r="AW108" s="624"/>
      <c r="AX108" s="624"/>
      <c r="AY108" s="624"/>
      <c r="AZ108" s="624"/>
      <c r="BA108" s="624"/>
    </row>
    <row r="109" spans="2:53">
      <c r="B109" s="756"/>
      <c r="C109" s="624"/>
      <c r="D109" s="751"/>
      <c r="E109" s="751"/>
      <c r="F109" s="751"/>
      <c r="G109" s="751"/>
      <c r="H109" s="751"/>
      <c r="I109" s="624"/>
      <c r="J109" s="624"/>
      <c r="K109" s="750"/>
      <c r="L109" s="751"/>
      <c r="M109" s="751"/>
      <c r="N109" s="751"/>
      <c r="O109" s="750"/>
      <c r="P109" s="751"/>
      <c r="Q109" s="751"/>
      <c r="R109" s="751"/>
      <c r="S109" s="624"/>
      <c r="T109" s="751"/>
      <c r="U109" s="751"/>
      <c r="V109" s="751"/>
      <c r="W109" s="624"/>
      <c r="X109" s="751"/>
      <c r="Y109" s="751"/>
      <c r="Z109" s="751"/>
      <c r="AA109" s="750"/>
      <c r="AB109" s="751"/>
      <c r="AC109" s="661"/>
      <c r="AD109" s="661"/>
      <c r="AE109" s="624"/>
      <c r="AF109" s="751"/>
      <c r="AG109" s="751"/>
      <c r="AH109" s="751"/>
      <c r="AI109" s="624"/>
      <c r="AJ109" s="751"/>
      <c r="AK109" s="751"/>
      <c r="AL109" s="751"/>
      <c r="AM109" s="624"/>
      <c r="AN109" s="624"/>
      <c r="AO109" s="624"/>
      <c r="AP109" s="624"/>
      <c r="AQ109" s="737"/>
      <c r="AR109" s="753"/>
      <c r="AS109" s="753"/>
      <c r="AT109" s="753"/>
      <c r="AU109" s="624"/>
      <c r="AV109" s="624"/>
      <c r="AW109" s="624"/>
      <c r="AX109" s="624"/>
      <c r="AY109" s="624"/>
      <c r="AZ109" s="624"/>
      <c r="BA109" s="624"/>
    </row>
    <row r="110" spans="2:53">
      <c r="B110" s="756"/>
      <c r="C110" s="624"/>
      <c r="D110" s="751"/>
      <c r="E110" s="751"/>
      <c r="F110" s="751"/>
      <c r="G110" s="751"/>
      <c r="H110" s="751"/>
      <c r="I110" s="624"/>
      <c r="J110" s="624"/>
      <c r="K110" s="750"/>
      <c r="L110" s="751"/>
      <c r="M110" s="751"/>
      <c r="N110" s="751"/>
      <c r="O110" s="750"/>
      <c r="P110" s="751"/>
      <c r="Q110" s="751"/>
      <c r="R110" s="751"/>
      <c r="S110" s="624"/>
      <c r="T110" s="751"/>
      <c r="U110" s="751"/>
      <c r="V110" s="751"/>
      <c r="W110" s="624"/>
      <c r="X110" s="751"/>
      <c r="Y110" s="751"/>
      <c r="Z110" s="751"/>
      <c r="AA110" s="750"/>
      <c r="AB110" s="751"/>
      <c r="AC110" s="661"/>
      <c r="AD110" s="661"/>
      <c r="AE110" s="624"/>
      <c r="AF110" s="751"/>
      <c r="AG110" s="751"/>
      <c r="AH110" s="751"/>
      <c r="AI110" s="624"/>
      <c r="AJ110" s="751"/>
      <c r="AK110" s="751"/>
      <c r="AL110" s="751"/>
      <c r="AM110" s="624"/>
      <c r="AN110" s="624"/>
      <c r="AO110" s="624"/>
      <c r="AP110" s="624"/>
      <c r="AQ110" s="737"/>
      <c r="AR110" s="753"/>
      <c r="AS110" s="753"/>
      <c r="AT110" s="753"/>
      <c r="AU110" s="624"/>
      <c r="AV110" s="624"/>
      <c r="AW110" s="624"/>
      <c r="AX110" s="624"/>
      <c r="AY110" s="624"/>
      <c r="AZ110" s="624"/>
      <c r="BA110" s="624"/>
    </row>
    <row r="111" spans="2:53">
      <c r="B111" s="756"/>
      <c r="C111" s="624"/>
      <c r="D111" s="751"/>
      <c r="E111" s="751"/>
      <c r="F111" s="751"/>
      <c r="G111" s="751"/>
      <c r="H111" s="751"/>
      <c r="I111" s="624"/>
      <c r="J111" s="624"/>
      <c r="K111" s="750"/>
      <c r="L111" s="751"/>
      <c r="M111" s="751"/>
      <c r="N111" s="751"/>
      <c r="O111" s="750"/>
      <c r="P111" s="751"/>
      <c r="Q111" s="751"/>
      <c r="R111" s="751"/>
      <c r="S111" s="624"/>
      <c r="T111" s="751"/>
      <c r="U111" s="751"/>
      <c r="V111" s="751"/>
      <c r="W111" s="624"/>
      <c r="X111" s="751"/>
      <c r="Y111" s="751"/>
      <c r="Z111" s="751"/>
      <c r="AA111" s="750"/>
      <c r="AB111" s="751"/>
      <c r="AC111" s="661"/>
      <c r="AD111" s="661"/>
      <c r="AE111" s="624"/>
      <c r="AF111" s="751"/>
      <c r="AG111" s="751"/>
      <c r="AH111" s="751"/>
      <c r="AI111" s="624"/>
      <c r="AJ111" s="751"/>
      <c r="AK111" s="751"/>
      <c r="AL111" s="751"/>
      <c r="AM111" s="624"/>
      <c r="AN111" s="624"/>
      <c r="AO111" s="624"/>
      <c r="AP111" s="624"/>
      <c r="AQ111" s="737"/>
      <c r="AR111" s="753"/>
      <c r="AS111" s="753"/>
      <c r="AT111" s="753"/>
      <c r="AU111" s="624"/>
      <c r="AV111" s="624"/>
      <c r="AW111" s="624"/>
      <c r="AX111" s="624"/>
      <c r="AY111" s="624"/>
      <c r="AZ111" s="624"/>
      <c r="BA111" s="624"/>
    </row>
    <row r="112" spans="2:53">
      <c r="B112" s="756"/>
      <c r="C112" s="624"/>
      <c r="D112" s="751"/>
      <c r="E112" s="751"/>
      <c r="F112" s="751"/>
      <c r="G112" s="751"/>
      <c r="H112" s="751"/>
      <c r="I112" s="624"/>
      <c r="J112" s="624"/>
      <c r="K112" s="750"/>
      <c r="L112" s="751"/>
      <c r="M112" s="751"/>
      <c r="N112" s="751"/>
      <c r="O112" s="750"/>
      <c r="P112" s="751"/>
      <c r="Q112" s="751"/>
      <c r="R112" s="751"/>
      <c r="S112" s="624"/>
      <c r="T112" s="751"/>
      <c r="U112" s="751"/>
      <c r="V112" s="751"/>
      <c r="W112" s="624"/>
      <c r="X112" s="751"/>
      <c r="Y112" s="751"/>
      <c r="Z112" s="751"/>
      <c r="AA112" s="750"/>
      <c r="AB112" s="751"/>
      <c r="AC112" s="661"/>
      <c r="AD112" s="661"/>
      <c r="AE112" s="624"/>
      <c r="AF112" s="751"/>
      <c r="AG112" s="751"/>
      <c r="AH112" s="751"/>
      <c r="AI112" s="624"/>
      <c r="AJ112" s="751"/>
      <c r="AK112" s="751"/>
      <c r="AL112" s="751"/>
      <c r="AM112" s="624"/>
      <c r="AN112" s="624"/>
      <c r="AO112" s="624"/>
      <c r="AP112" s="624"/>
      <c r="AQ112" s="737"/>
      <c r="AR112" s="753"/>
      <c r="AS112" s="753"/>
      <c r="AT112" s="753"/>
      <c r="AU112" s="624"/>
      <c r="AV112" s="624"/>
      <c r="AW112" s="624"/>
      <c r="AX112" s="624"/>
      <c r="AY112" s="624"/>
      <c r="AZ112" s="624"/>
      <c r="BA112" s="624"/>
    </row>
    <row r="113" spans="2:53">
      <c r="B113" s="756"/>
      <c r="C113" s="624"/>
      <c r="D113" s="751"/>
      <c r="E113" s="751"/>
      <c r="F113" s="751"/>
      <c r="G113" s="751"/>
      <c r="H113" s="751"/>
      <c r="I113" s="624"/>
      <c r="J113" s="624"/>
      <c r="K113" s="750"/>
      <c r="L113" s="751"/>
      <c r="M113" s="751"/>
      <c r="N113" s="751"/>
      <c r="O113" s="750"/>
      <c r="P113" s="751"/>
      <c r="Q113" s="751"/>
      <c r="R113" s="751"/>
      <c r="S113" s="624"/>
      <c r="T113" s="751"/>
      <c r="U113" s="751"/>
      <c r="V113" s="751"/>
      <c r="W113" s="624"/>
      <c r="X113" s="751"/>
      <c r="Y113" s="751"/>
      <c r="Z113" s="751"/>
      <c r="AA113" s="750"/>
      <c r="AB113" s="751"/>
      <c r="AC113" s="661"/>
      <c r="AD113" s="661"/>
      <c r="AE113" s="624"/>
      <c r="AF113" s="751"/>
      <c r="AG113" s="751"/>
      <c r="AH113" s="751"/>
      <c r="AI113" s="624"/>
      <c r="AJ113" s="751"/>
      <c r="AK113" s="751"/>
      <c r="AL113" s="751"/>
      <c r="AM113" s="624"/>
      <c r="AN113" s="624"/>
      <c r="AO113" s="624"/>
      <c r="AP113" s="624"/>
      <c r="AQ113" s="737"/>
      <c r="AR113" s="753"/>
      <c r="AS113" s="753"/>
      <c r="AT113" s="753"/>
      <c r="AU113" s="624"/>
      <c r="AV113" s="624"/>
      <c r="AW113" s="624"/>
      <c r="AX113" s="624"/>
      <c r="AY113" s="624"/>
      <c r="AZ113" s="624"/>
      <c r="BA113" s="624"/>
    </row>
    <row r="114" spans="2:53">
      <c r="B114" s="756"/>
      <c r="C114" s="624"/>
      <c r="D114" s="751"/>
      <c r="E114" s="751"/>
      <c r="F114" s="751"/>
      <c r="G114" s="751"/>
      <c r="H114" s="751"/>
      <c r="I114" s="624"/>
      <c r="J114" s="624"/>
      <c r="K114" s="750"/>
      <c r="L114" s="751"/>
      <c r="M114" s="751"/>
      <c r="N114" s="751"/>
      <c r="O114" s="750"/>
      <c r="P114" s="751"/>
      <c r="Q114" s="751"/>
      <c r="R114" s="751"/>
      <c r="S114" s="624"/>
      <c r="T114" s="751"/>
      <c r="U114" s="751"/>
      <c r="V114" s="751"/>
      <c r="W114" s="624"/>
      <c r="X114" s="751"/>
      <c r="Y114" s="751"/>
      <c r="Z114" s="751"/>
      <c r="AA114" s="750"/>
      <c r="AB114" s="751"/>
      <c r="AC114" s="661"/>
      <c r="AD114" s="661"/>
      <c r="AE114" s="624"/>
      <c r="AF114" s="751"/>
      <c r="AG114" s="751"/>
      <c r="AH114" s="751"/>
      <c r="AI114" s="624"/>
      <c r="AJ114" s="751"/>
      <c r="AK114" s="751"/>
      <c r="AL114" s="751"/>
      <c r="AM114" s="624"/>
      <c r="AN114" s="624"/>
      <c r="AO114" s="624"/>
      <c r="AP114" s="624"/>
      <c r="AQ114" s="737"/>
      <c r="AR114" s="753"/>
      <c r="AS114" s="753"/>
      <c r="AT114" s="753"/>
      <c r="AU114" s="624"/>
      <c r="AV114" s="624"/>
      <c r="AW114" s="624"/>
      <c r="AX114" s="624"/>
      <c r="AY114" s="624"/>
      <c r="AZ114" s="624"/>
      <c r="BA114" s="624"/>
    </row>
    <row r="115" spans="2:53">
      <c r="B115" s="756"/>
      <c r="C115" s="624"/>
      <c r="D115" s="751"/>
      <c r="E115" s="751"/>
      <c r="F115" s="751"/>
      <c r="G115" s="751"/>
      <c r="H115" s="751"/>
      <c r="I115" s="624"/>
      <c r="J115" s="624"/>
      <c r="K115" s="750"/>
      <c r="L115" s="751"/>
      <c r="M115" s="751"/>
      <c r="N115" s="751"/>
      <c r="O115" s="750"/>
      <c r="P115" s="751"/>
      <c r="Q115" s="751"/>
      <c r="R115" s="751"/>
      <c r="S115" s="624"/>
      <c r="T115" s="751"/>
      <c r="U115" s="751"/>
      <c r="V115" s="751"/>
      <c r="W115" s="624"/>
      <c r="X115" s="751"/>
      <c r="Y115" s="751"/>
      <c r="Z115" s="751"/>
      <c r="AA115" s="750"/>
      <c r="AB115" s="751"/>
      <c r="AC115" s="661"/>
      <c r="AD115" s="661"/>
      <c r="AE115" s="624"/>
      <c r="AF115" s="751"/>
      <c r="AG115" s="751"/>
      <c r="AH115" s="751"/>
      <c r="AI115" s="624"/>
      <c r="AJ115" s="751"/>
      <c r="AK115" s="751"/>
      <c r="AL115" s="751"/>
      <c r="AM115" s="624"/>
      <c r="AN115" s="624"/>
      <c r="AO115" s="624"/>
      <c r="AP115" s="624"/>
      <c r="AQ115" s="737"/>
      <c r="AR115" s="753"/>
      <c r="AS115" s="753"/>
      <c r="AT115" s="753"/>
      <c r="AU115" s="624"/>
      <c r="AV115" s="624"/>
      <c r="AW115" s="624"/>
      <c r="AX115" s="624"/>
      <c r="AY115" s="624"/>
      <c r="AZ115" s="624"/>
      <c r="BA115" s="624"/>
    </row>
    <row r="116" spans="2:53">
      <c r="B116" s="756"/>
      <c r="C116" s="624"/>
      <c r="D116" s="751"/>
      <c r="E116" s="751"/>
      <c r="F116" s="751"/>
      <c r="G116" s="751"/>
      <c r="H116" s="751"/>
      <c r="I116" s="624"/>
      <c r="J116" s="624"/>
      <c r="K116" s="750"/>
      <c r="L116" s="751"/>
      <c r="M116" s="751"/>
      <c r="N116" s="751"/>
      <c r="O116" s="750"/>
      <c r="P116" s="751"/>
      <c r="Q116" s="751"/>
      <c r="R116" s="751"/>
      <c r="S116" s="624"/>
      <c r="T116" s="751"/>
      <c r="U116" s="751"/>
      <c r="V116" s="751"/>
      <c r="W116" s="624"/>
      <c r="X116" s="751"/>
      <c r="Y116" s="751"/>
      <c r="Z116" s="751"/>
      <c r="AA116" s="750"/>
      <c r="AB116" s="751"/>
      <c r="AC116" s="661"/>
      <c r="AD116" s="661"/>
      <c r="AE116" s="624"/>
      <c r="AF116" s="751"/>
      <c r="AG116" s="751"/>
      <c r="AH116" s="751"/>
      <c r="AI116" s="624"/>
      <c r="AJ116" s="751"/>
      <c r="AK116" s="751"/>
      <c r="AL116" s="751"/>
      <c r="AM116" s="624"/>
      <c r="AN116" s="624"/>
      <c r="AO116" s="624"/>
      <c r="AP116" s="624"/>
      <c r="AQ116" s="737"/>
      <c r="AR116" s="753"/>
      <c r="AS116" s="753"/>
      <c r="AT116" s="753"/>
      <c r="AU116" s="624"/>
      <c r="AV116" s="624"/>
      <c r="AW116" s="624"/>
      <c r="AX116" s="624"/>
      <c r="AY116" s="624"/>
      <c r="AZ116" s="624"/>
      <c r="BA116" s="624"/>
    </row>
    <row r="117" spans="2:53">
      <c r="B117" s="756"/>
      <c r="C117" s="624"/>
      <c r="D117" s="751"/>
      <c r="E117" s="751"/>
      <c r="F117" s="751"/>
      <c r="G117" s="751"/>
      <c r="H117" s="751"/>
      <c r="I117" s="624"/>
      <c r="J117" s="624"/>
      <c r="K117" s="750"/>
      <c r="L117" s="751"/>
      <c r="M117" s="751"/>
      <c r="N117" s="751"/>
      <c r="O117" s="750"/>
      <c r="P117" s="751"/>
      <c r="Q117" s="751"/>
      <c r="R117" s="751"/>
      <c r="S117" s="624"/>
      <c r="T117" s="751"/>
      <c r="U117" s="751"/>
      <c r="V117" s="751"/>
      <c r="W117" s="624"/>
      <c r="X117" s="751"/>
      <c r="Y117" s="751"/>
      <c r="Z117" s="751"/>
      <c r="AA117" s="750"/>
      <c r="AB117" s="751"/>
      <c r="AC117" s="661"/>
      <c r="AD117" s="661"/>
      <c r="AE117" s="624"/>
      <c r="AF117" s="751"/>
      <c r="AG117" s="751"/>
      <c r="AH117" s="751"/>
      <c r="AI117" s="624"/>
      <c r="AJ117" s="751"/>
      <c r="AK117" s="751"/>
      <c r="AL117" s="751"/>
      <c r="AM117" s="624"/>
      <c r="AN117" s="624"/>
      <c r="AO117" s="624"/>
      <c r="AP117" s="624"/>
      <c r="AQ117" s="737"/>
      <c r="AR117" s="753"/>
      <c r="AS117" s="753"/>
      <c r="AT117" s="753"/>
      <c r="AU117" s="624"/>
      <c r="AV117" s="624"/>
      <c r="AW117" s="624"/>
      <c r="AX117" s="624"/>
      <c r="AY117" s="624"/>
      <c r="AZ117" s="624"/>
      <c r="BA117" s="624"/>
    </row>
    <row r="118" spans="2:53">
      <c r="B118" s="756"/>
      <c r="C118" s="624"/>
      <c r="D118" s="751"/>
      <c r="E118" s="751"/>
      <c r="F118" s="751"/>
      <c r="G118" s="751"/>
      <c r="H118" s="751"/>
      <c r="I118" s="624"/>
      <c r="J118" s="624"/>
      <c r="K118" s="750"/>
      <c r="L118" s="751"/>
      <c r="M118" s="751"/>
      <c r="N118" s="751"/>
      <c r="O118" s="750"/>
      <c r="P118" s="751"/>
      <c r="Q118" s="751"/>
      <c r="R118" s="751"/>
      <c r="S118" s="624"/>
      <c r="T118" s="751"/>
      <c r="U118" s="751"/>
      <c r="V118" s="751"/>
      <c r="W118" s="624"/>
      <c r="X118" s="751"/>
      <c r="Y118" s="751"/>
      <c r="Z118" s="751"/>
      <c r="AA118" s="750"/>
      <c r="AB118" s="751"/>
      <c r="AC118" s="661"/>
      <c r="AD118" s="661"/>
      <c r="AE118" s="624"/>
      <c r="AF118" s="751"/>
      <c r="AG118" s="751"/>
      <c r="AH118" s="751"/>
      <c r="AI118" s="624"/>
      <c r="AJ118" s="751"/>
      <c r="AK118" s="751"/>
      <c r="AL118" s="751"/>
      <c r="AM118" s="624"/>
      <c r="AN118" s="624"/>
      <c r="AO118" s="624"/>
      <c r="AP118" s="624"/>
      <c r="AQ118" s="737"/>
      <c r="AR118" s="753"/>
      <c r="AS118" s="753"/>
      <c r="AT118" s="753"/>
      <c r="AU118" s="624"/>
      <c r="AV118" s="624"/>
      <c r="AW118" s="624"/>
      <c r="AX118" s="624"/>
      <c r="AY118" s="624"/>
      <c r="AZ118" s="624"/>
      <c r="BA118" s="624"/>
    </row>
    <row r="119" spans="2:53">
      <c r="B119" s="756"/>
      <c r="C119" s="624"/>
      <c r="D119" s="751"/>
      <c r="E119" s="751"/>
      <c r="F119" s="751"/>
      <c r="G119" s="751"/>
      <c r="H119" s="751"/>
      <c r="I119" s="624"/>
      <c r="J119" s="624"/>
      <c r="K119" s="750"/>
      <c r="L119" s="751"/>
      <c r="M119" s="751"/>
      <c r="N119" s="751"/>
      <c r="O119" s="750"/>
      <c r="P119" s="751"/>
      <c r="Q119" s="751"/>
      <c r="R119" s="751"/>
      <c r="S119" s="624"/>
      <c r="T119" s="751"/>
      <c r="U119" s="751"/>
      <c r="V119" s="751"/>
      <c r="W119" s="624"/>
      <c r="X119" s="751"/>
      <c r="Y119" s="751"/>
      <c r="Z119" s="751"/>
      <c r="AA119" s="750"/>
      <c r="AB119" s="751"/>
      <c r="AC119" s="661"/>
      <c r="AD119" s="661"/>
      <c r="AE119" s="624"/>
      <c r="AF119" s="751"/>
      <c r="AG119" s="751"/>
      <c r="AH119" s="751"/>
      <c r="AI119" s="624"/>
      <c r="AJ119" s="751"/>
      <c r="AK119" s="751"/>
      <c r="AL119" s="751"/>
      <c r="AM119" s="624"/>
      <c r="AN119" s="624"/>
      <c r="AO119" s="624"/>
      <c r="AP119" s="624"/>
      <c r="AQ119" s="737"/>
      <c r="AR119" s="753"/>
      <c r="AS119" s="753"/>
      <c r="AT119" s="753"/>
      <c r="AU119" s="624"/>
      <c r="AV119" s="624"/>
      <c r="AW119" s="624"/>
      <c r="AX119" s="624"/>
      <c r="AY119" s="624"/>
      <c r="AZ119" s="624"/>
      <c r="BA119" s="624"/>
    </row>
    <row r="120" spans="2:53">
      <c r="B120" s="756"/>
      <c r="C120" s="624"/>
      <c r="D120" s="751"/>
      <c r="E120" s="751"/>
      <c r="F120" s="751"/>
      <c r="G120" s="751"/>
      <c r="H120" s="751"/>
      <c r="I120" s="624"/>
      <c r="J120" s="624"/>
      <c r="K120" s="750"/>
      <c r="L120" s="751"/>
      <c r="M120" s="751"/>
      <c r="N120" s="751"/>
      <c r="O120" s="750"/>
      <c r="P120" s="751"/>
      <c r="Q120" s="751"/>
      <c r="R120" s="751"/>
      <c r="S120" s="624"/>
      <c r="T120" s="751"/>
      <c r="U120" s="751"/>
      <c r="V120" s="751"/>
      <c r="W120" s="624"/>
      <c r="X120" s="751"/>
      <c r="Y120" s="751"/>
      <c r="Z120" s="751"/>
      <c r="AA120" s="750"/>
      <c r="AB120" s="751"/>
      <c r="AC120" s="661"/>
      <c r="AD120" s="661"/>
      <c r="AE120" s="624"/>
      <c r="AF120" s="751"/>
      <c r="AG120" s="751"/>
      <c r="AH120" s="751"/>
      <c r="AI120" s="624"/>
      <c r="AJ120" s="751"/>
      <c r="AK120" s="751"/>
      <c r="AL120" s="751"/>
      <c r="AM120" s="624"/>
      <c r="AN120" s="624"/>
      <c r="AO120" s="624"/>
      <c r="AP120" s="624"/>
      <c r="AQ120" s="737"/>
      <c r="AR120" s="753"/>
      <c r="AS120" s="753"/>
      <c r="AT120" s="753"/>
      <c r="AU120" s="624"/>
      <c r="AV120" s="624"/>
      <c r="AW120" s="624"/>
      <c r="AX120" s="624"/>
      <c r="AY120" s="624"/>
      <c r="AZ120" s="624"/>
      <c r="BA120" s="624"/>
    </row>
    <row r="121" spans="2:53">
      <c r="B121" s="756"/>
      <c r="C121" s="624"/>
      <c r="D121" s="751"/>
      <c r="E121" s="751"/>
      <c r="F121" s="751"/>
      <c r="G121" s="751"/>
      <c r="H121" s="751"/>
      <c r="I121" s="624"/>
      <c r="J121" s="624"/>
      <c r="K121" s="750"/>
      <c r="L121" s="751"/>
      <c r="M121" s="751"/>
      <c r="N121" s="751"/>
      <c r="O121" s="750"/>
      <c r="P121" s="751"/>
      <c r="Q121" s="751"/>
      <c r="R121" s="751"/>
      <c r="S121" s="624"/>
      <c r="T121" s="751"/>
      <c r="U121" s="751"/>
      <c r="V121" s="751"/>
      <c r="W121" s="624"/>
      <c r="X121" s="751"/>
      <c r="Y121" s="751"/>
      <c r="Z121" s="751"/>
      <c r="AA121" s="750"/>
      <c r="AB121" s="751"/>
      <c r="AC121" s="661"/>
      <c r="AD121" s="661"/>
      <c r="AE121" s="624"/>
      <c r="AF121" s="751"/>
      <c r="AG121" s="751"/>
      <c r="AH121" s="751"/>
      <c r="AI121" s="624"/>
      <c r="AJ121" s="751"/>
      <c r="AK121" s="751"/>
      <c r="AL121" s="751"/>
      <c r="AM121" s="624"/>
      <c r="AN121" s="624"/>
      <c r="AO121" s="624"/>
      <c r="AP121" s="624"/>
      <c r="AQ121" s="737"/>
      <c r="AR121" s="753"/>
      <c r="AS121" s="753"/>
      <c r="AT121" s="753"/>
      <c r="AU121" s="624"/>
      <c r="AV121" s="624"/>
      <c r="AW121" s="624"/>
      <c r="AX121" s="624"/>
      <c r="AY121" s="624"/>
      <c r="AZ121" s="624"/>
      <c r="BA121" s="624"/>
    </row>
    <row r="122" spans="2:53">
      <c r="B122" s="756"/>
      <c r="C122" s="624"/>
      <c r="D122" s="751"/>
      <c r="E122" s="751"/>
      <c r="F122" s="751"/>
      <c r="G122" s="751"/>
      <c r="H122" s="751"/>
      <c r="I122" s="624"/>
      <c r="J122" s="624"/>
      <c r="K122" s="750"/>
      <c r="L122" s="751"/>
      <c r="M122" s="751"/>
      <c r="N122" s="751"/>
      <c r="O122" s="750"/>
      <c r="P122" s="751"/>
      <c r="Q122" s="751"/>
      <c r="R122" s="751"/>
      <c r="S122" s="624"/>
      <c r="T122" s="751"/>
      <c r="U122" s="751"/>
      <c r="V122" s="751"/>
      <c r="W122" s="624"/>
      <c r="X122" s="751"/>
      <c r="Y122" s="751"/>
      <c r="Z122" s="751"/>
      <c r="AA122" s="750"/>
      <c r="AB122" s="751"/>
      <c r="AC122" s="661"/>
      <c r="AD122" s="661"/>
      <c r="AE122" s="624"/>
      <c r="AF122" s="751"/>
      <c r="AG122" s="751"/>
      <c r="AH122" s="751"/>
      <c r="AI122" s="624"/>
      <c r="AJ122" s="751"/>
      <c r="AK122" s="751"/>
      <c r="AL122" s="751"/>
      <c r="AM122" s="624"/>
      <c r="AN122" s="624"/>
      <c r="AO122" s="624"/>
      <c r="AP122" s="624"/>
      <c r="AQ122" s="737"/>
      <c r="AR122" s="753"/>
      <c r="AS122" s="753"/>
      <c r="AT122" s="753"/>
      <c r="AU122" s="624"/>
      <c r="AV122" s="624"/>
      <c r="AW122" s="624"/>
      <c r="AX122" s="624"/>
      <c r="AY122" s="624"/>
      <c r="AZ122" s="624"/>
      <c r="BA122" s="624"/>
    </row>
    <row r="123" spans="2:53">
      <c r="B123" s="756"/>
      <c r="C123" s="624"/>
      <c r="D123" s="751"/>
      <c r="E123" s="751"/>
      <c r="F123" s="751"/>
      <c r="G123" s="751"/>
      <c r="H123" s="751"/>
      <c r="I123" s="624"/>
      <c r="J123" s="624"/>
      <c r="K123" s="750"/>
      <c r="L123" s="751"/>
      <c r="M123" s="751"/>
      <c r="N123" s="751"/>
      <c r="O123" s="750"/>
      <c r="P123" s="751"/>
      <c r="Q123" s="751"/>
      <c r="R123" s="751"/>
      <c r="S123" s="624"/>
      <c r="T123" s="751"/>
      <c r="U123" s="751"/>
      <c r="V123" s="751"/>
      <c r="W123" s="624"/>
      <c r="X123" s="751"/>
      <c r="Y123" s="751"/>
      <c r="Z123" s="751"/>
      <c r="AA123" s="750"/>
      <c r="AB123" s="751"/>
      <c r="AC123" s="661"/>
      <c r="AD123" s="661"/>
      <c r="AE123" s="624"/>
      <c r="AF123" s="751"/>
      <c r="AG123" s="751"/>
      <c r="AH123" s="751"/>
      <c r="AI123" s="624"/>
      <c r="AJ123" s="751"/>
      <c r="AK123" s="751"/>
      <c r="AL123" s="751"/>
      <c r="AM123" s="624"/>
      <c r="AN123" s="624"/>
      <c r="AO123" s="624"/>
      <c r="AP123" s="624"/>
      <c r="AQ123" s="737"/>
      <c r="AR123" s="753"/>
      <c r="AS123" s="753"/>
      <c r="AT123" s="753"/>
      <c r="AU123" s="624"/>
      <c r="AV123" s="624"/>
      <c r="AW123" s="624"/>
      <c r="AX123" s="624"/>
      <c r="AY123" s="624"/>
      <c r="AZ123" s="624"/>
      <c r="BA123" s="624"/>
    </row>
    <row r="124" spans="2:53">
      <c r="B124" s="756"/>
      <c r="C124" s="624"/>
      <c r="D124" s="751"/>
      <c r="E124" s="751"/>
      <c r="F124" s="751"/>
      <c r="G124" s="751"/>
      <c r="H124" s="751"/>
      <c r="I124" s="624"/>
      <c r="J124" s="624"/>
      <c r="K124" s="750"/>
      <c r="L124" s="751"/>
      <c r="M124" s="751"/>
      <c r="N124" s="751"/>
      <c r="O124" s="750"/>
      <c r="P124" s="751"/>
      <c r="Q124" s="751"/>
      <c r="R124" s="751"/>
      <c r="S124" s="624"/>
      <c r="T124" s="751"/>
      <c r="U124" s="751"/>
      <c r="V124" s="751"/>
      <c r="W124" s="624"/>
      <c r="X124" s="751"/>
      <c r="Y124" s="751"/>
      <c r="Z124" s="751"/>
      <c r="AA124" s="750"/>
      <c r="AB124" s="751"/>
      <c r="AC124" s="661"/>
      <c r="AD124" s="661"/>
      <c r="AE124" s="624"/>
      <c r="AF124" s="751"/>
      <c r="AG124" s="751"/>
      <c r="AH124" s="751"/>
      <c r="AI124" s="624"/>
      <c r="AJ124" s="751"/>
      <c r="AK124" s="751"/>
      <c r="AL124" s="751"/>
      <c r="AM124" s="624"/>
      <c r="AN124" s="624"/>
      <c r="AO124" s="624"/>
      <c r="AP124" s="624"/>
      <c r="AQ124" s="737"/>
      <c r="AR124" s="753"/>
      <c r="AS124" s="753"/>
      <c r="AT124" s="753"/>
      <c r="AU124" s="624"/>
      <c r="AV124" s="624"/>
      <c r="AW124" s="624"/>
      <c r="AX124" s="624"/>
      <c r="AY124" s="624"/>
      <c r="AZ124" s="624"/>
      <c r="BA124" s="624"/>
    </row>
    <row r="125" spans="2:53">
      <c r="B125" s="756"/>
      <c r="C125" s="624"/>
      <c r="D125" s="751"/>
      <c r="E125" s="751"/>
      <c r="F125" s="751"/>
      <c r="G125" s="751"/>
      <c r="H125" s="751"/>
      <c r="I125" s="624"/>
      <c r="J125" s="624"/>
      <c r="K125" s="750"/>
      <c r="L125" s="751"/>
      <c r="M125" s="751"/>
      <c r="N125" s="751"/>
      <c r="O125" s="750"/>
      <c r="P125" s="751"/>
      <c r="Q125" s="751"/>
      <c r="R125" s="751"/>
      <c r="S125" s="624"/>
      <c r="T125" s="751"/>
      <c r="U125" s="751"/>
      <c r="V125" s="751"/>
      <c r="W125" s="624"/>
      <c r="X125" s="751"/>
      <c r="Y125" s="751"/>
      <c r="Z125" s="751"/>
      <c r="AA125" s="750"/>
      <c r="AB125" s="751"/>
      <c r="AC125" s="661"/>
      <c r="AD125" s="661"/>
      <c r="AE125" s="624"/>
      <c r="AF125" s="751"/>
      <c r="AG125" s="751"/>
      <c r="AH125" s="751"/>
      <c r="AI125" s="624"/>
      <c r="AJ125" s="751"/>
      <c r="AK125" s="751"/>
      <c r="AL125" s="751"/>
      <c r="AM125" s="624"/>
      <c r="AN125" s="624"/>
      <c r="AO125" s="624"/>
      <c r="AP125" s="624"/>
      <c r="AQ125" s="737"/>
      <c r="AR125" s="753"/>
      <c r="AS125" s="753"/>
      <c r="AT125" s="753"/>
      <c r="AU125" s="624"/>
      <c r="AV125" s="624"/>
      <c r="AW125" s="624"/>
      <c r="AX125" s="624"/>
      <c r="AY125" s="624"/>
      <c r="AZ125" s="624"/>
      <c r="BA125" s="624"/>
    </row>
    <row r="126" spans="2:53">
      <c r="B126" s="756"/>
      <c r="C126" s="624"/>
      <c r="D126" s="751"/>
      <c r="E126" s="751"/>
      <c r="F126" s="751"/>
      <c r="G126" s="751"/>
      <c r="H126" s="751"/>
      <c r="I126" s="624"/>
      <c r="J126" s="624"/>
      <c r="K126" s="750"/>
      <c r="L126" s="751"/>
      <c r="M126" s="751"/>
      <c r="N126" s="751"/>
      <c r="O126" s="750"/>
      <c r="P126" s="751"/>
      <c r="Q126" s="751"/>
      <c r="R126" s="751"/>
      <c r="S126" s="624"/>
      <c r="T126" s="751"/>
      <c r="U126" s="751"/>
      <c r="V126" s="751"/>
      <c r="W126" s="624"/>
      <c r="X126" s="751"/>
      <c r="Y126" s="751"/>
      <c r="Z126" s="751"/>
      <c r="AA126" s="750"/>
      <c r="AB126" s="751"/>
      <c r="AC126" s="661"/>
      <c r="AD126" s="661"/>
      <c r="AE126" s="624"/>
      <c r="AF126" s="751"/>
      <c r="AG126" s="751"/>
      <c r="AH126" s="751"/>
      <c r="AI126" s="624"/>
      <c r="AJ126" s="751"/>
      <c r="AK126" s="751"/>
      <c r="AL126" s="751"/>
      <c r="AM126" s="624"/>
      <c r="AN126" s="624"/>
      <c r="AO126" s="624"/>
      <c r="AP126" s="624"/>
      <c r="AQ126" s="737"/>
      <c r="AR126" s="753"/>
      <c r="AS126" s="753"/>
      <c r="AT126" s="753"/>
      <c r="AU126" s="624"/>
      <c r="AV126" s="624"/>
      <c r="AW126" s="624"/>
      <c r="AX126" s="624"/>
      <c r="AY126" s="624"/>
      <c r="AZ126" s="624"/>
      <c r="BA126" s="624"/>
    </row>
    <row r="127" spans="2:53">
      <c r="B127" s="756"/>
      <c r="C127" s="624"/>
      <c r="D127" s="751"/>
      <c r="E127" s="751"/>
      <c r="F127" s="751"/>
      <c r="G127" s="751"/>
      <c r="H127" s="751"/>
      <c r="I127" s="624"/>
      <c r="J127" s="624"/>
      <c r="K127" s="750"/>
      <c r="L127" s="751"/>
      <c r="M127" s="751"/>
      <c r="N127" s="751"/>
      <c r="O127" s="750"/>
      <c r="P127" s="751"/>
      <c r="Q127" s="751"/>
      <c r="R127" s="751"/>
      <c r="S127" s="624"/>
      <c r="T127" s="751"/>
      <c r="U127" s="751"/>
      <c r="V127" s="751"/>
      <c r="W127" s="624"/>
      <c r="X127" s="751"/>
      <c r="Y127" s="751"/>
      <c r="Z127" s="751"/>
      <c r="AA127" s="750"/>
      <c r="AB127" s="751"/>
      <c r="AC127" s="661"/>
      <c r="AD127" s="661"/>
      <c r="AE127" s="624"/>
      <c r="AF127" s="751"/>
      <c r="AG127" s="751"/>
      <c r="AH127" s="751"/>
      <c r="AI127" s="624"/>
      <c r="AJ127" s="751"/>
      <c r="AK127" s="751"/>
      <c r="AL127" s="751"/>
      <c r="AM127" s="624"/>
      <c r="AN127" s="624"/>
      <c r="AO127" s="624"/>
      <c r="AP127" s="624"/>
      <c r="AQ127" s="737"/>
      <c r="AR127" s="753"/>
      <c r="AS127" s="753"/>
      <c r="AT127" s="753"/>
      <c r="AU127" s="624"/>
      <c r="AV127" s="624"/>
      <c r="AW127" s="624"/>
      <c r="AX127" s="624"/>
      <c r="AY127" s="624"/>
      <c r="AZ127" s="624"/>
      <c r="BA127" s="624"/>
    </row>
    <row r="128" spans="2:53">
      <c r="B128" s="756"/>
      <c r="C128" s="624"/>
      <c r="D128" s="751"/>
      <c r="E128" s="751"/>
      <c r="F128" s="751"/>
      <c r="G128" s="751"/>
      <c r="H128" s="751"/>
      <c r="I128" s="624"/>
      <c r="J128" s="624"/>
      <c r="K128" s="750"/>
      <c r="L128" s="751"/>
      <c r="M128" s="751"/>
      <c r="N128" s="751"/>
      <c r="O128" s="750"/>
      <c r="P128" s="751"/>
      <c r="Q128" s="751"/>
      <c r="R128" s="751"/>
      <c r="S128" s="624"/>
      <c r="T128" s="751"/>
      <c r="U128" s="751"/>
      <c r="V128" s="751"/>
      <c r="W128" s="624"/>
      <c r="X128" s="751"/>
      <c r="Y128" s="751"/>
      <c r="Z128" s="751"/>
      <c r="AA128" s="750"/>
      <c r="AB128" s="751"/>
      <c r="AC128" s="661"/>
      <c r="AD128" s="661"/>
      <c r="AE128" s="624"/>
      <c r="AF128" s="751"/>
      <c r="AG128" s="751"/>
      <c r="AH128" s="751"/>
      <c r="AI128" s="624"/>
      <c r="AJ128" s="751"/>
      <c r="AK128" s="751"/>
      <c r="AL128" s="751"/>
      <c r="AM128" s="624"/>
      <c r="AN128" s="624"/>
      <c r="AO128" s="624"/>
      <c r="AP128" s="624"/>
      <c r="AQ128" s="737"/>
      <c r="AR128" s="753"/>
      <c r="AS128" s="753"/>
      <c r="AT128" s="753"/>
      <c r="AU128" s="624"/>
      <c r="AV128" s="624"/>
      <c r="AW128" s="624"/>
      <c r="AX128" s="624"/>
      <c r="AY128" s="624"/>
      <c r="AZ128" s="624"/>
      <c r="BA128" s="624"/>
    </row>
    <row r="129" spans="2:53">
      <c r="B129" s="756"/>
      <c r="C129" s="624"/>
      <c r="D129" s="751"/>
      <c r="E129" s="751"/>
      <c r="F129" s="751"/>
      <c r="G129" s="751"/>
      <c r="H129" s="751"/>
      <c r="I129" s="624"/>
      <c r="J129" s="624"/>
      <c r="K129" s="750"/>
      <c r="L129" s="751"/>
      <c r="M129" s="751"/>
      <c r="N129" s="751"/>
      <c r="O129" s="750"/>
      <c r="P129" s="751"/>
      <c r="Q129" s="751"/>
      <c r="R129" s="751"/>
      <c r="S129" s="624"/>
      <c r="T129" s="751"/>
      <c r="U129" s="751"/>
      <c r="V129" s="751"/>
      <c r="W129" s="624"/>
      <c r="X129" s="751"/>
      <c r="Y129" s="751"/>
      <c r="Z129" s="751"/>
      <c r="AA129" s="750"/>
      <c r="AB129" s="751"/>
      <c r="AC129" s="661"/>
      <c r="AD129" s="661"/>
      <c r="AE129" s="624"/>
      <c r="AF129" s="751"/>
      <c r="AG129" s="751"/>
      <c r="AH129" s="751"/>
      <c r="AI129" s="624"/>
      <c r="AJ129" s="751"/>
      <c r="AK129" s="751"/>
      <c r="AL129" s="751"/>
      <c r="AM129" s="624"/>
      <c r="AN129" s="624"/>
      <c r="AO129" s="624"/>
      <c r="AP129" s="624"/>
      <c r="AQ129" s="737"/>
      <c r="AR129" s="753"/>
      <c r="AS129" s="753"/>
      <c r="AT129" s="753"/>
      <c r="AU129" s="624"/>
      <c r="AV129" s="624"/>
      <c r="AW129" s="624"/>
      <c r="AX129" s="624"/>
      <c r="AY129" s="624"/>
      <c r="AZ129" s="624"/>
      <c r="BA129" s="624"/>
    </row>
    <row r="130" spans="2:53">
      <c r="B130" s="756"/>
      <c r="C130" s="624"/>
      <c r="D130" s="751"/>
      <c r="E130" s="751"/>
      <c r="F130" s="751"/>
      <c r="G130" s="751"/>
      <c r="H130" s="751"/>
      <c r="I130" s="624"/>
      <c r="J130" s="624"/>
      <c r="K130" s="750"/>
      <c r="L130" s="751"/>
      <c r="M130" s="751"/>
      <c r="N130" s="751"/>
      <c r="O130" s="750"/>
      <c r="P130" s="751"/>
      <c r="Q130" s="751"/>
      <c r="R130" s="751"/>
      <c r="S130" s="624"/>
      <c r="T130" s="751"/>
      <c r="U130" s="751"/>
      <c r="V130" s="751"/>
      <c r="W130" s="624"/>
      <c r="X130" s="751"/>
      <c r="Y130" s="751"/>
      <c r="Z130" s="751"/>
      <c r="AA130" s="750"/>
      <c r="AB130" s="751"/>
      <c r="AC130" s="661"/>
      <c r="AD130" s="661"/>
      <c r="AE130" s="624"/>
      <c r="AF130" s="751"/>
      <c r="AG130" s="751"/>
      <c r="AH130" s="751"/>
      <c r="AI130" s="624"/>
      <c r="AJ130" s="751"/>
      <c r="AK130" s="751"/>
      <c r="AL130" s="751"/>
      <c r="AM130" s="624"/>
      <c r="AN130" s="624"/>
      <c r="AO130" s="624"/>
      <c r="AP130" s="624"/>
      <c r="AQ130" s="737"/>
      <c r="AR130" s="753"/>
      <c r="AS130" s="753"/>
      <c r="AT130" s="753"/>
      <c r="AU130" s="624"/>
      <c r="AV130" s="624"/>
      <c r="AW130" s="624"/>
      <c r="AX130" s="624"/>
      <c r="AY130" s="624"/>
      <c r="AZ130" s="624"/>
      <c r="BA130" s="624"/>
    </row>
    <row r="131" spans="2:53">
      <c r="B131" s="756"/>
      <c r="C131" s="624"/>
      <c r="D131" s="751"/>
      <c r="E131" s="751"/>
      <c r="F131" s="751"/>
      <c r="G131" s="751"/>
      <c r="H131" s="751"/>
      <c r="I131" s="624"/>
      <c r="J131" s="624"/>
      <c r="K131" s="750"/>
      <c r="L131" s="751"/>
      <c r="M131" s="751"/>
      <c r="N131" s="751"/>
      <c r="O131" s="750"/>
      <c r="P131" s="751"/>
      <c r="Q131" s="751"/>
      <c r="R131" s="751"/>
      <c r="S131" s="624"/>
      <c r="T131" s="751"/>
      <c r="U131" s="751"/>
      <c r="V131" s="751"/>
      <c r="W131" s="624"/>
      <c r="X131" s="751"/>
      <c r="Y131" s="751"/>
      <c r="Z131" s="751"/>
      <c r="AA131" s="750"/>
      <c r="AB131" s="751"/>
      <c r="AC131" s="661"/>
      <c r="AD131" s="661"/>
      <c r="AE131" s="624"/>
      <c r="AF131" s="751"/>
      <c r="AG131" s="751"/>
      <c r="AH131" s="751"/>
      <c r="AI131" s="624"/>
      <c r="AJ131" s="751"/>
      <c r="AK131" s="751"/>
      <c r="AL131" s="751"/>
      <c r="AM131" s="624"/>
      <c r="AN131" s="624"/>
      <c r="AO131" s="624"/>
      <c r="AP131" s="624"/>
      <c r="AQ131" s="737"/>
      <c r="AR131" s="753"/>
      <c r="AS131" s="753"/>
      <c r="AT131" s="753"/>
      <c r="AU131" s="624"/>
      <c r="AV131" s="624"/>
      <c r="AW131" s="624"/>
      <c r="AX131" s="624"/>
      <c r="AY131" s="624"/>
      <c r="AZ131" s="624"/>
      <c r="BA131" s="624"/>
    </row>
    <row r="132" spans="2:53">
      <c r="B132" s="756"/>
      <c r="C132" s="624"/>
      <c r="D132" s="751"/>
      <c r="E132" s="751"/>
      <c r="F132" s="751"/>
      <c r="G132" s="751"/>
      <c r="H132" s="751"/>
      <c r="I132" s="624"/>
      <c r="J132" s="624"/>
      <c r="K132" s="750"/>
      <c r="L132" s="751"/>
      <c r="M132" s="751"/>
      <c r="N132" s="751"/>
      <c r="O132" s="750"/>
      <c r="P132" s="751"/>
      <c r="Q132" s="751"/>
      <c r="R132" s="751"/>
      <c r="S132" s="624"/>
      <c r="T132" s="751"/>
      <c r="U132" s="751"/>
      <c r="V132" s="751"/>
      <c r="W132" s="624"/>
      <c r="X132" s="751"/>
      <c r="Y132" s="751"/>
      <c r="Z132" s="751"/>
      <c r="AA132" s="750"/>
      <c r="AB132" s="751"/>
      <c r="AC132" s="661"/>
      <c r="AD132" s="661"/>
      <c r="AE132" s="624"/>
      <c r="AF132" s="751"/>
      <c r="AG132" s="751"/>
      <c r="AH132" s="751"/>
      <c r="AI132" s="624"/>
      <c r="AJ132" s="751"/>
      <c r="AK132" s="751"/>
      <c r="AL132" s="751"/>
      <c r="AM132" s="624"/>
      <c r="AN132" s="624"/>
      <c r="AO132" s="624"/>
      <c r="AP132" s="624"/>
      <c r="AQ132" s="737"/>
      <c r="AR132" s="753"/>
      <c r="AS132" s="753"/>
      <c r="AT132" s="753"/>
      <c r="AU132" s="624"/>
      <c r="AV132" s="624"/>
      <c r="AW132" s="624"/>
      <c r="AX132" s="624"/>
      <c r="AY132" s="624"/>
      <c r="AZ132" s="624"/>
      <c r="BA132" s="624"/>
    </row>
    <row r="133" spans="2:53">
      <c r="B133" s="756"/>
      <c r="C133" s="624"/>
      <c r="D133" s="751"/>
      <c r="E133" s="751"/>
      <c r="F133" s="751"/>
      <c r="G133" s="751"/>
      <c r="H133" s="751"/>
      <c r="I133" s="624"/>
      <c r="J133" s="624"/>
      <c r="K133" s="750"/>
      <c r="L133" s="751"/>
      <c r="M133" s="751"/>
      <c r="N133" s="751"/>
      <c r="O133" s="750"/>
      <c r="P133" s="751"/>
      <c r="Q133" s="751"/>
      <c r="R133" s="751"/>
      <c r="S133" s="624"/>
      <c r="T133" s="751"/>
      <c r="U133" s="751"/>
      <c r="V133" s="751"/>
      <c r="W133" s="624"/>
      <c r="X133" s="751"/>
      <c r="Y133" s="751"/>
      <c r="Z133" s="751"/>
      <c r="AA133" s="750"/>
      <c r="AB133" s="751"/>
      <c r="AC133" s="661"/>
      <c r="AD133" s="661"/>
      <c r="AE133" s="624"/>
      <c r="AF133" s="751"/>
      <c r="AG133" s="751"/>
      <c r="AH133" s="751"/>
      <c r="AI133" s="624"/>
      <c r="AJ133" s="751"/>
      <c r="AK133" s="751"/>
      <c r="AL133" s="751"/>
      <c r="AM133" s="624"/>
      <c r="AN133" s="624"/>
      <c r="AO133" s="624"/>
      <c r="AP133" s="624"/>
      <c r="AQ133" s="737"/>
      <c r="AR133" s="753"/>
      <c r="AS133" s="753"/>
      <c r="AT133" s="753"/>
      <c r="AU133" s="624"/>
      <c r="AV133" s="624"/>
      <c r="AW133" s="624"/>
      <c r="AX133" s="624"/>
      <c r="AY133" s="624"/>
      <c r="AZ133" s="624"/>
      <c r="BA133" s="624"/>
    </row>
    <row r="134" spans="2:53">
      <c r="B134" s="756"/>
      <c r="C134" s="624"/>
      <c r="D134" s="751"/>
      <c r="E134" s="751"/>
      <c r="F134" s="751"/>
      <c r="G134" s="751"/>
      <c r="H134" s="751"/>
      <c r="I134" s="624"/>
      <c r="J134" s="624"/>
      <c r="K134" s="750"/>
      <c r="L134" s="751"/>
      <c r="M134" s="751"/>
      <c r="N134" s="751"/>
      <c r="O134" s="750"/>
      <c r="P134" s="751"/>
      <c r="Q134" s="751"/>
      <c r="R134" s="751"/>
      <c r="S134" s="624"/>
      <c r="T134" s="751"/>
      <c r="U134" s="751"/>
      <c r="V134" s="751"/>
      <c r="W134" s="624"/>
      <c r="X134" s="751"/>
      <c r="Y134" s="751"/>
      <c r="Z134" s="751"/>
      <c r="AA134" s="750"/>
      <c r="AB134" s="751"/>
      <c r="AC134" s="661"/>
      <c r="AD134" s="661"/>
      <c r="AE134" s="624"/>
      <c r="AF134" s="751"/>
      <c r="AG134" s="751"/>
      <c r="AH134" s="751"/>
      <c r="AI134" s="624"/>
      <c r="AJ134" s="751"/>
      <c r="AK134" s="751"/>
      <c r="AL134" s="751"/>
      <c r="AM134" s="624"/>
      <c r="AN134" s="624"/>
      <c r="AO134" s="624"/>
      <c r="AP134" s="624"/>
      <c r="AQ134" s="737"/>
      <c r="AR134" s="753"/>
      <c r="AS134" s="753"/>
      <c r="AT134" s="753"/>
      <c r="AU134" s="624"/>
      <c r="AV134" s="624"/>
      <c r="AW134" s="624"/>
      <c r="AX134" s="624"/>
      <c r="AY134" s="624"/>
      <c r="AZ134" s="624"/>
      <c r="BA134" s="624"/>
    </row>
    <row r="135" spans="2:53">
      <c r="B135" s="756"/>
      <c r="C135" s="624"/>
      <c r="D135" s="751"/>
      <c r="E135" s="751"/>
      <c r="F135" s="751"/>
      <c r="G135" s="751"/>
      <c r="H135" s="751"/>
      <c r="I135" s="624"/>
      <c r="J135" s="624"/>
      <c r="K135" s="750"/>
      <c r="L135" s="751"/>
      <c r="M135" s="751"/>
      <c r="N135" s="751"/>
      <c r="O135" s="750"/>
      <c r="P135" s="751"/>
      <c r="Q135" s="751"/>
      <c r="R135" s="751"/>
      <c r="S135" s="624"/>
      <c r="T135" s="751"/>
      <c r="U135" s="751"/>
      <c r="V135" s="751"/>
      <c r="W135" s="624"/>
      <c r="X135" s="751"/>
      <c r="Y135" s="751"/>
      <c r="Z135" s="751"/>
      <c r="AA135" s="750"/>
      <c r="AB135" s="751"/>
      <c r="AC135" s="661"/>
      <c r="AD135" s="661"/>
      <c r="AE135" s="624"/>
      <c r="AF135" s="751"/>
      <c r="AG135" s="751"/>
      <c r="AH135" s="751"/>
      <c r="AI135" s="624"/>
      <c r="AJ135" s="751"/>
      <c r="AK135" s="751"/>
      <c r="AL135" s="751"/>
      <c r="AM135" s="624"/>
      <c r="AN135" s="624"/>
      <c r="AO135" s="624"/>
      <c r="AP135" s="624"/>
      <c r="AQ135" s="737"/>
      <c r="AR135" s="753"/>
      <c r="AS135" s="753"/>
      <c r="AT135" s="753"/>
      <c r="AU135" s="624"/>
      <c r="AV135" s="624"/>
      <c r="AW135" s="624"/>
      <c r="AX135" s="624"/>
      <c r="AY135" s="624"/>
      <c r="AZ135" s="624"/>
      <c r="BA135" s="624"/>
    </row>
    <row r="136" spans="2:53">
      <c r="B136" s="756"/>
      <c r="C136" s="624"/>
      <c r="D136" s="751"/>
      <c r="E136" s="751"/>
      <c r="F136" s="751"/>
      <c r="G136" s="751"/>
      <c r="H136" s="751"/>
      <c r="I136" s="624"/>
      <c r="J136" s="624"/>
      <c r="K136" s="750"/>
      <c r="L136" s="751"/>
      <c r="M136" s="751"/>
      <c r="N136" s="751"/>
      <c r="O136" s="750"/>
      <c r="P136" s="751"/>
      <c r="Q136" s="751"/>
      <c r="R136" s="751"/>
      <c r="S136" s="624"/>
      <c r="T136" s="751"/>
      <c r="U136" s="751"/>
      <c r="V136" s="751"/>
      <c r="W136" s="624"/>
      <c r="X136" s="751"/>
      <c r="Y136" s="751"/>
      <c r="Z136" s="751"/>
      <c r="AA136" s="750"/>
      <c r="AB136" s="751"/>
      <c r="AC136" s="661"/>
      <c r="AD136" s="661"/>
      <c r="AE136" s="624"/>
      <c r="AF136" s="751"/>
      <c r="AG136" s="751"/>
      <c r="AH136" s="751"/>
      <c r="AI136" s="624"/>
      <c r="AJ136" s="751"/>
      <c r="AK136" s="751"/>
      <c r="AL136" s="751"/>
      <c r="AM136" s="624"/>
      <c r="AN136" s="624"/>
      <c r="AO136" s="624"/>
      <c r="AP136" s="624"/>
      <c r="AQ136" s="737"/>
      <c r="AR136" s="753"/>
      <c r="AS136" s="753"/>
      <c r="AT136" s="753"/>
      <c r="AU136" s="624"/>
      <c r="AV136" s="624"/>
      <c r="AW136" s="624"/>
      <c r="AX136" s="624"/>
      <c r="AY136" s="624"/>
      <c r="AZ136" s="624"/>
      <c r="BA136" s="624"/>
    </row>
    <row r="137" spans="2:53">
      <c r="B137" s="756"/>
      <c r="C137" s="624"/>
      <c r="D137" s="751"/>
      <c r="E137" s="751"/>
      <c r="F137" s="751"/>
      <c r="G137" s="751"/>
      <c r="H137" s="751"/>
      <c r="I137" s="624"/>
      <c r="J137" s="624"/>
      <c r="K137" s="750"/>
      <c r="L137" s="751"/>
      <c r="M137" s="751"/>
      <c r="N137" s="751"/>
      <c r="O137" s="750"/>
      <c r="P137" s="751"/>
      <c r="Q137" s="751"/>
      <c r="R137" s="751"/>
      <c r="S137" s="624"/>
      <c r="T137" s="751"/>
      <c r="U137" s="751"/>
      <c r="V137" s="751"/>
      <c r="W137" s="624"/>
      <c r="X137" s="751"/>
      <c r="Y137" s="751"/>
      <c r="Z137" s="751"/>
      <c r="AA137" s="750"/>
      <c r="AB137" s="751"/>
      <c r="AC137" s="661"/>
      <c r="AD137" s="661"/>
      <c r="AE137" s="624"/>
      <c r="AF137" s="751"/>
      <c r="AG137" s="751"/>
      <c r="AH137" s="751"/>
      <c r="AI137" s="624"/>
      <c r="AJ137" s="751"/>
      <c r="AK137" s="751"/>
      <c r="AL137" s="751"/>
      <c r="AM137" s="624"/>
      <c r="AN137" s="624"/>
      <c r="AO137" s="624"/>
      <c r="AP137" s="624"/>
      <c r="AQ137" s="737"/>
      <c r="AR137" s="753"/>
      <c r="AS137" s="753"/>
      <c r="AT137" s="753"/>
      <c r="AU137" s="624"/>
      <c r="AV137" s="624"/>
      <c r="AW137" s="624"/>
      <c r="AX137" s="624"/>
      <c r="AY137" s="624"/>
      <c r="AZ137" s="624"/>
      <c r="BA137" s="624"/>
    </row>
    <row r="138" spans="2:53">
      <c r="B138" s="756"/>
      <c r="C138" s="624"/>
      <c r="D138" s="751"/>
      <c r="E138" s="751"/>
      <c r="F138" s="751"/>
      <c r="G138" s="751"/>
      <c r="H138" s="751"/>
      <c r="I138" s="624"/>
      <c r="J138" s="624"/>
      <c r="K138" s="750"/>
      <c r="L138" s="751"/>
      <c r="M138" s="751"/>
      <c r="N138" s="751"/>
      <c r="O138" s="750"/>
      <c r="P138" s="751"/>
      <c r="Q138" s="751"/>
      <c r="R138" s="751"/>
      <c r="S138" s="624"/>
      <c r="T138" s="751"/>
      <c r="U138" s="751"/>
      <c r="V138" s="751"/>
      <c r="W138" s="624"/>
      <c r="X138" s="751"/>
      <c r="Y138" s="751"/>
      <c r="Z138" s="751"/>
      <c r="AA138" s="750"/>
      <c r="AB138" s="751"/>
      <c r="AC138" s="661"/>
      <c r="AD138" s="661"/>
      <c r="AE138" s="624"/>
      <c r="AF138" s="751"/>
      <c r="AG138" s="751"/>
      <c r="AH138" s="751"/>
      <c r="AI138" s="624"/>
      <c r="AJ138" s="751"/>
      <c r="AK138" s="751"/>
      <c r="AL138" s="751"/>
      <c r="AM138" s="624"/>
      <c r="AN138" s="624"/>
      <c r="AO138" s="624"/>
      <c r="AP138" s="624"/>
      <c r="AQ138" s="737"/>
      <c r="AR138" s="753"/>
      <c r="AS138" s="753"/>
      <c r="AT138" s="753"/>
      <c r="AU138" s="624"/>
      <c r="AV138" s="624"/>
      <c r="AW138" s="624"/>
      <c r="AX138" s="624"/>
      <c r="AY138" s="624"/>
      <c r="AZ138" s="624"/>
      <c r="BA138" s="624"/>
    </row>
    <row r="139" spans="2:53">
      <c r="B139" s="756"/>
      <c r="C139" s="624"/>
      <c r="D139" s="751"/>
      <c r="E139" s="751"/>
      <c r="F139" s="751"/>
      <c r="G139" s="751"/>
      <c r="H139" s="751"/>
      <c r="I139" s="624"/>
      <c r="J139" s="624"/>
      <c r="K139" s="750"/>
      <c r="L139" s="751"/>
      <c r="M139" s="751"/>
      <c r="N139" s="751"/>
      <c r="O139" s="750"/>
      <c r="P139" s="751"/>
      <c r="Q139" s="751"/>
      <c r="R139" s="751"/>
      <c r="S139" s="624"/>
      <c r="T139" s="751"/>
      <c r="U139" s="751"/>
      <c r="V139" s="751"/>
      <c r="W139" s="624"/>
      <c r="X139" s="751"/>
      <c r="Y139" s="751"/>
      <c r="Z139" s="751"/>
      <c r="AA139" s="750"/>
      <c r="AB139" s="751"/>
      <c r="AC139" s="661"/>
      <c r="AD139" s="661"/>
      <c r="AE139" s="624"/>
      <c r="AF139" s="751"/>
      <c r="AG139" s="751"/>
      <c r="AH139" s="751"/>
      <c r="AI139" s="624"/>
      <c r="AJ139" s="751"/>
      <c r="AK139" s="751"/>
      <c r="AL139" s="751"/>
      <c r="AM139" s="624"/>
      <c r="AN139" s="624"/>
      <c r="AO139" s="624"/>
      <c r="AP139" s="624"/>
      <c r="AQ139" s="737"/>
      <c r="AR139" s="753"/>
      <c r="AS139" s="753"/>
      <c r="AT139" s="753"/>
      <c r="AU139" s="624"/>
      <c r="AV139" s="624"/>
      <c r="AW139" s="624"/>
      <c r="AX139" s="624"/>
      <c r="AY139" s="624"/>
      <c r="AZ139" s="624"/>
      <c r="BA139" s="624"/>
    </row>
    <row r="140" spans="2:53">
      <c r="B140" s="756"/>
      <c r="C140" s="624"/>
      <c r="D140" s="751"/>
      <c r="E140" s="751"/>
      <c r="F140" s="751"/>
      <c r="G140" s="751"/>
      <c r="H140" s="751"/>
      <c r="I140" s="624"/>
      <c r="J140" s="624"/>
      <c r="K140" s="750"/>
      <c r="L140" s="751"/>
      <c r="M140" s="751"/>
      <c r="N140" s="751"/>
      <c r="O140" s="750"/>
      <c r="P140" s="751"/>
      <c r="Q140" s="751"/>
      <c r="R140" s="751"/>
      <c r="S140" s="624"/>
      <c r="T140" s="751"/>
      <c r="U140" s="751"/>
      <c r="V140" s="751"/>
      <c r="W140" s="624"/>
      <c r="X140" s="751"/>
      <c r="Y140" s="751"/>
      <c r="Z140" s="751"/>
      <c r="AA140" s="750"/>
      <c r="AB140" s="751"/>
      <c r="AC140" s="661"/>
      <c r="AD140" s="661"/>
      <c r="AE140" s="624"/>
      <c r="AF140" s="751"/>
      <c r="AG140" s="751"/>
      <c r="AH140" s="751"/>
      <c r="AI140" s="624"/>
      <c r="AJ140" s="751"/>
      <c r="AK140" s="751"/>
      <c r="AL140" s="751"/>
      <c r="AM140" s="624"/>
      <c r="AN140" s="624"/>
      <c r="AO140" s="624"/>
      <c r="AP140" s="624"/>
      <c r="AQ140" s="737"/>
      <c r="AR140" s="753"/>
      <c r="AS140" s="753"/>
      <c r="AT140" s="753"/>
      <c r="AU140" s="624"/>
      <c r="AV140" s="624"/>
      <c r="AW140" s="624"/>
      <c r="AX140" s="624"/>
      <c r="AY140" s="624"/>
      <c r="AZ140" s="624"/>
      <c r="BA140" s="624"/>
    </row>
    <row r="141" spans="2:53">
      <c r="B141" s="756"/>
      <c r="C141" s="624"/>
      <c r="D141" s="751"/>
      <c r="E141" s="751"/>
      <c r="F141" s="751"/>
      <c r="G141" s="751"/>
      <c r="H141" s="751"/>
      <c r="I141" s="624"/>
      <c r="J141" s="624"/>
      <c r="K141" s="750"/>
      <c r="L141" s="751"/>
      <c r="M141" s="751"/>
      <c r="N141" s="751"/>
      <c r="O141" s="750"/>
      <c r="P141" s="751"/>
      <c r="Q141" s="751"/>
      <c r="R141" s="751"/>
      <c r="S141" s="624"/>
      <c r="T141" s="751"/>
      <c r="U141" s="751"/>
      <c r="V141" s="751"/>
      <c r="W141" s="624"/>
      <c r="X141" s="751"/>
      <c r="Y141" s="751"/>
      <c r="Z141" s="751"/>
      <c r="AA141" s="750"/>
      <c r="AB141" s="751"/>
      <c r="AC141" s="661"/>
      <c r="AD141" s="661"/>
      <c r="AE141" s="624"/>
      <c r="AF141" s="751"/>
      <c r="AG141" s="751"/>
      <c r="AH141" s="751"/>
      <c r="AI141" s="624"/>
      <c r="AJ141" s="751"/>
      <c r="AK141" s="751"/>
      <c r="AL141" s="751"/>
      <c r="AM141" s="624"/>
      <c r="AN141" s="624"/>
      <c r="AO141" s="624"/>
      <c r="AP141" s="624"/>
      <c r="AQ141" s="737"/>
      <c r="AR141" s="753"/>
      <c r="AS141" s="753"/>
      <c r="AT141" s="753"/>
      <c r="AU141" s="624"/>
      <c r="AV141" s="624"/>
      <c r="AW141" s="624"/>
      <c r="AX141" s="624"/>
      <c r="AY141" s="624"/>
      <c r="AZ141" s="624"/>
      <c r="BA141" s="624"/>
    </row>
    <row r="142" spans="2:53">
      <c r="B142" s="756"/>
      <c r="C142" s="624"/>
      <c r="D142" s="751"/>
      <c r="E142" s="751"/>
      <c r="F142" s="751"/>
      <c r="G142" s="751"/>
      <c r="H142" s="751"/>
      <c r="I142" s="624"/>
      <c r="J142" s="624"/>
      <c r="K142" s="750"/>
      <c r="L142" s="751"/>
      <c r="M142" s="751"/>
      <c r="N142" s="751"/>
      <c r="O142" s="750"/>
      <c r="P142" s="751"/>
      <c r="Q142" s="751"/>
      <c r="R142" s="751"/>
      <c r="S142" s="624"/>
      <c r="T142" s="751"/>
      <c r="U142" s="751"/>
      <c r="V142" s="751"/>
      <c r="W142" s="624"/>
      <c r="X142" s="751"/>
      <c r="Y142" s="751"/>
      <c r="Z142" s="751"/>
      <c r="AA142" s="750"/>
      <c r="AB142" s="751"/>
      <c r="AC142" s="661"/>
      <c r="AD142" s="661"/>
      <c r="AE142" s="624"/>
      <c r="AF142" s="751"/>
      <c r="AG142" s="751"/>
      <c r="AH142" s="751"/>
      <c r="AI142" s="624"/>
      <c r="AJ142" s="751"/>
      <c r="AK142" s="751"/>
      <c r="AL142" s="751"/>
      <c r="AM142" s="624"/>
      <c r="AN142" s="624"/>
      <c r="AO142" s="624"/>
      <c r="AP142" s="624"/>
      <c r="AQ142" s="737"/>
      <c r="AR142" s="753"/>
      <c r="AS142" s="753"/>
      <c r="AT142" s="753"/>
      <c r="AU142" s="624"/>
      <c r="AV142" s="624"/>
      <c r="AW142" s="624"/>
      <c r="AX142" s="624"/>
      <c r="AY142" s="624"/>
      <c r="AZ142" s="624"/>
      <c r="BA142" s="624"/>
    </row>
    <row r="143" spans="2:53">
      <c r="B143" s="756"/>
      <c r="C143" s="624"/>
      <c r="D143" s="751"/>
      <c r="E143" s="751"/>
      <c r="F143" s="751"/>
      <c r="G143" s="751"/>
      <c r="H143" s="751"/>
      <c r="I143" s="624"/>
      <c r="J143" s="624"/>
      <c r="K143" s="750"/>
      <c r="L143" s="751"/>
      <c r="M143" s="751"/>
      <c r="N143" s="751"/>
      <c r="O143" s="750"/>
      <c r="P143" s="751"/>
      <c r="Q143" s="751"/>
      <c r="R143" s="751"/>
      <c r="S143" s="624"/>
      <c r="T143" s="751"/>
      <c r="U143" s="751"/>
      <c r="V143" s="751"/>
      <c r="W143" s="624"/>
      <c r="X143" s="751"/>
      <c r="Y143" s="751"/>
      <c r="Z143" s="751"/>
      <c r="AA143" s="750"/>
      <c r="AB143" s="751"/>
      <c r="AC143" s="661"/>
      <c r="AD143" s="661"/>
      <c r="AE143" s="624"/>
      <c r="AF143" s="751"/>
      <c r="AG143" s="751"/>
      <c r="AH143" s="751"/>
      <c r="AI143" s="624"/>
      <c r="AJ143" s="751"/>
      <c r="AK143" s="751"/>
      <c r="AL143" s="751"/>
      <c r="AM143" s="624"/>
      <c r="AN143" s="624"/>
      <c r="AO143" s="624"/>
      <c r="AP143" s="624"/>
      <c r="AQ143" s="737"/>
      <c r="AR143" s="753"/>
      <c r="AS143" s="753"/>
      <c r="AT143" s="753"/>
      <c r="AU143" s="624"/>
      <c r="AV143" s="624"/>
      <c r="AW143" s="624"/>
      <c r="AX143" s="624"/>
      <c r="AY143" s="624"/>
      <c r="AZ143" s="624"/>
      <c r="BA143" s="624"/>
    </row>
    <row r="144" spans="2:53">
      <c r="B144" s="756"/>
      <c r="C144" s="624"/>
      <c r="D144" s="751"/>
      <c r="E144" s="751"/>
      <c r="F144" s="751"/>
      <c r="G144" s="751"/>
      <c r="H144" s="751"/>
      <c r="I144" s="624"/>
      <c r="J144" s="624"/>
      <c r="K144" s="750"/>
      <c r="L144" s="751"/>
      <c r="M144" s="751"/>
      <c r="N144" s="751"/>
      <c r="O144" s="750"/>
      <c r="P144" s="751"/>
      <c r="Q144" s="751"/>
      <c r="R144" s="751"/>
      <c r="S144" s="624"/>
      <c r="T144" s="751"/>
      <c r="U144" s="751"/>
      <c r="V144" s="751"/>
      <c r="W144" s="624"/>
      <c r="X144" s="751"/>
      <c r="Y144" s="751"/>
      <c r="Z144" s="751"/>
      <c r="AA144" s="750"/>
      <c r="AB144" s="751"/>
      <c r="AC144" s="661"/>
      <c r="AD144" s="661"/>
      <c r="AE144" s="624"/>
      <c r="AF144" s="751"/>
      <c r="AG144" s="751"/>
      <c r="AH144" s="751"/>
      <c r="AI144" s="624"/>
      <c r="AJ144" s="751"/>
      <c r="AK144" s="751"/>
      <c r="AL144" s="751"/>
      <c r="AM144" s="624"/>
      <c r="AN144" s="624"/>
      <c r="AO144" s="624"/>
      <c r="AP144" s="624"/>
      <c r="AQ144" s="737"/>
      <c r="AR144" s="753"/>
      <c r="AS144" s="753"/>
      <c r="AT144" s="753"/>
      <c r="AU144" s="624"/>
      <c r="AV144" s="624"/>
      <c r="AW144" s="624"/>
      <c r="AX144" s="624"/>
      <c r="AY144" s="624"/>
      <c r="AZ144" s="624"/>
      <c r="BA144" s="624"/>
    </row>
    <row r="145" spans="2:53">
      <c r="B145" s="756"/>
      <c r="C145" s="624"/>
      <c r="D145" s="751"/>
      <c r="E145" s="751"/>
      <c r="F145" s="751"/>
      <c r="G145" s="751"/>
      <c r="H145" s="751"/>
      <c r="I145" s="624"/>
      <c r="J145" s="624"/>
      <c r="K145" s="750"/>
      <c r="L145" s="751"/>
      <c r="M145" s="751"/>
      <c r="N145" s="751"/>
      <c r="O145" s="750"/>
      <c r="P145" s="751"/>
      <c r="Q145" s="751"/>
      <c r="R145" s="751"/>
      <c r="S145" s="624"/>
      <c r="T145" s="751"/>
      <c r="U145" s="751"/>
      <c r="V145" s="751"/>
      <c r="W145" s="624"/>
      <c r="X145" s="751"/>
      <c r="Y145" s="751"/>
      <c r="Z145" s="751"/>
      <c r="AA145" s="750"/>
      <c r="AB145" s="751"/>
      <c r="AC145" s="661"/>
      <c r="AD145" s="661"/>
      <c r="AE145" s="624"/>
      <c r="AF145" s="751"/>
      <c r="AG145" s="751"/>
      <c r="AH145" s="751"/>
      <c r="AI145" s="624"/>
      <c r="AJ145" s="751"/>
      <c r="AK145" s="751"/>
      <c r="AL145" s="751"/>
      <c r="AM145" s="624"/>
      <c r="AN145" s="624"/>
      <c r="AO145" s="624"/>
      <c r="AP145" s="624"/>
      <c r="AQ145" s="737"/>
      <c r="AR145" s="753"/>
      <c r="AS145" s="753"/>
      <c r="AT145" s="753"/>
      <c r="AU145" s="624"/>
      <c r="AV145" s="624"/>
      <c r="AW145" s="624"/>
      <c r="AX145" s="624"/>
      <c r="AY145" s="624"/>
      <c r="AZ145" s="624"/>
      <c r="BA145" s="624"/>
    </row>
    <row r="146" spans="2:53">
      <c r="B146" s="756"/>
      <c r="C146" s="624"/>
      <c r="D146" s="751"/>
      <c r="E146" s="751"/>
      <c r="F146" s="751"/>
      <c r="G146" s="751"/>
      <c r="H146" s="751"/>
      <c r="I146" s="624"/>
      <c r="J146" s="624"/>
      <c r="K146" s="750"/>
      <c r="L146" s="751"/>
      <c r="M146" s="751"/>
      <c r="N146" s="751"/>
      <c r="O146" s="750"/>
      <c r="P146" s="751"/>
      <c r="Q146" s="751"/>
      <c r="R146" s="751"/>
      <c r="S146" s="624"/>
      <c r="T146" s="751"/>
      <c r="U146" s="751"/>
      <c r="V146" s="751"/>
      <c r="W146" s="624"/>
      <c r="X146" s="751"/>
      <c r="Y146" s="751"/>
      <c r="Z146" s="751"/>
      <c r="AA146" s="750"/>
      <c r="AB146" s="751"/>
      <c r="AC146" s="661"/>
      <c r="AD146" s="661"/>
      <c r="AE146" s="624"/>
      <c r="AF146" s="751"/>
      <c r="AG146" s="751"/>
      <c r="AH146" s="751"/>
      <c r="AI146" s="624"/>
      <c r="AJ146" s="751"/>
      <c r="AK146" s="751"/>
      <c r="AL146" s="751"/>
      <c r="AM146" s="624"/>
      <c r="AN146" s="624"/>
      <c r="AO146" s="624"/>
      <c r="AP146" s="624"/>
      <c r="AQ146" s="737"/>
      <c r="AR146" s="753"/>
      <c r="AS146" s="753"/>
      <c r="AT146" s="753"/>
      <c r="AU146" s="624"/>
      <c r="AV146" s="624"/>
      <c r="AW146" s="624"/>
      <c r="AX146" s="624"/>
      <c r="AY146" s="624"/>
      <c r="AZ146" s="624"/>
      <c r="BA146" s="624"/>
    </row>
    <row r="147" spans="2:53">
      <c r="B147" s="756"/>
      <c r="C147" s="624"/>
      <c r="D147" s="751"/>
      <c r="E147" s="751"/>
      <c r="F147" s="751"/>
      <c r="G147" s="751"/>
      <c r="H147" s="751"/>
      <c r="I147" s="624"/>
      <c r="J147" s="624"/>
      <c r="K147" s="750"/>
      <c r="L147" s="751"/>
      <c r="M147" s="751"/>
      <c r="N147" s="751"/>
      <c r="O147" s="750"/>
      <c r="P147" s="751"/>
      <c r="Q147" s="751"/>
      <c r="R147" s="751"/>
      <c r="S147" s="624"/>
      <c r="T147" s="751"/>
      <c r="U147" s="751"/>
      <c r="V147" s="751"/>
      <c r="W147" s="624"/>
      <c r="X147" s="751"/>
      <c r="Y147" s="751"/>
      <c r="Z147" s="751"/>
      <c r="AA147" s="750"/>
      <c r="AB147" s="751"/>
      <c r="AC147" s="661"/>
      <c r="AD147" s="661"/>
      <c r="AE147" s="624"/>
      <c r="AF147" s="751"/>
      <c r="AG147" s="751"/>
      <c r="AH147" s="751"/>
      <c r="AI147" s="624"/>
      <c r="AJ147" s="751"/>
      <c r="AK147" s="751"/>
      <c r="AL147" s="751"/>
      <c r="AM147" s="624"/>
      <c r="AN147" s="624"/>
      <c r="AO147" s="624"/>
      <c r="AP147" s="624"/>
      <c r="AQ147" s="737"/>
      <c r="AR147" s="753"/>
      <c r="AS147" s="753"/>
      <c r="AT147" s="753"/>
      <c r="AU147" s="624"/>
      <c r="AV147" s="624"/>
      <c r="AW147" s="624"/>
      <c r="AX147" s="624"/>
      <c r="AY147" s="624"/>
      <c r="AZ147" s="624"/>
      <c r="BA147" s="624"/>
    </row>
    <row r="148" spans="2:53">
      <c r="B148" s="756"/>
      <c r="C148" s="624"/>
      <c r="D148" s="751"/>
      <c r="E148" s="751"/>
      <c r="F148" s="751"/>
      <c r="G148" s="751"/>
      <c r="H148" s="751"/>
      <c r="I148" s="624"/>
      <c r="J148" s="624"/>
      <c r="K148" s="750"/>
      <c r="L148" s="751"/>
      <c r="M148" s="751"/>
      <c r="N148" s="751"/>
      <c r="O148" s="750"/>
      <c r="P148" s="751"/>
      <c r="Q148" s="751"/>
      <c r="R148" s="751"/>
      <c r="S148" s="624"/>
      <c r="T148" s="751"/>
      <c r="U148" s="751"/>
      <c r="V148" s="751"/>
      <c r="W148" s="624"/>
      <c r="X148" s="751"/>
      <c r="Y148" s="751"/>
      <c r="Z148" s="751"/>
      <c r="AA148" s="750"/>
      <c r="AB148" s="751"/>
      <c r="AC148" s="661"/>
      <c r="AD148" s="661"/>
      <c r="AE148" s="624"/>
      <c r="AF148" s="751"/>
      <c r="AG148" s="751"/>
      <c r="AH148" s="751"/>
      <c r="AI148" s="624"/>
      <c r="AJ148" s="751"/>
      <c r="AK148" s="751"/>
      <c r="AL148" s="751"/>
      <c r="AM148" s="624"/>
      <c r="AN148" s="624"/>
      <c r="AO148" s="624"/>
      <c r="AP148" s="624"/>
      <c r="AQ148" s="737"/>
      <c r="AR148" s="753"/>
      <c r="AS148" s="753"/>
      <c r="AT148" s="753"/>
      <c r="AU148" s="624"/>
      <c r="AV148" s="624"/>
      <c r="AW148" s="624"/>
      <c r="AX148" s="624"/>
      <c r="AY148" s="624"/>
      <c r="AZ148" s="624"/>
      <c r="BA148" s="624"/>
    </row>
    <row r="149" spans="2:53">
      <c r="B149" s="756"/>
      <c r="C149" s="624"/>
      <c r="D149" s="751"/>
      <c r="E149" s="751"/>
      <c r="F149" s="751"/>
      <c r="G149" s="751"/>
      <c r="H149" s="751"/>
      <c r="I149" s="624"/>
      <c r="J149" s="624"/>
      <c r="K149" s="750"/>
      <c r="L149" s="751"/>
      <c r="M149" s="751"/>
      <c r="N149" s="751"/>
      <c r="O149" s="750"/>
      <c r="P149" s="751"/>
      <c r="Q149" s="751"/>
      <c r="R149" s="751"/>
      <c r="S149" s="624"/>
      <c r="T149" s="751"/>
      <c r="U149" s="751"/>
      <c r="V149" s="751"/>
      <c r="W149" s="624"/>
      <c r="X149" s="751"/>
      <c r="Y149" s="751"/>
      <c r="Z149" s="751"/>
      <c r="AA149" s="750"/>
      <c r="AB149" s="751"/>
      <c r="AC149" s="661"/>
      <c r="AD149" s="661"/>
      <c r="AE149" s="624"/>
      <c r="AF149" s="751"/>
      <c r="AG149" s="751"/>
      <c r="AH149" s="751"/>
      <c r="AI149" s="624"/>
      <c r="AJ149" s="751"/>
      <c r="AK149" s="751"/>
      <c r="AL149" s="751"/>
      <c r="AM149" s="624"/>
      <c r="AN149" s="624"/>
      <c r="AO149" s="624"/>
      <c r="AP149" s="624"/>
      <c r="AQ149" s="737"/>
      <c r="AR149" s="753"/>
      <c r="AS149" s="753"/>
      <c r="AT149" s="753"/>
      <c r="AU149" s="624"/>
      <c r="AV149" s="624"/>
      <c r="AW149" s="624"/>
      <c r="AX149" s="624"/>
      <c r="AY149" s="624"/>
      <c r="AZ149" s="624"/>
      <c r="BA149" s="624"/>
    </row>
    <row r="150" spans="2:53">
      <c r="B150" s="756"/>
      <c r="C150" s="624"/>
      <c r="D150" s="751"/>
      <c r="E150" s="751"/>
      <c r="F150" s="751"/>
      <c r="G150" s="751"/>
      <c r="H150" s="751"/>
      <c r="I150" s="624"/>
      <c r="J150" s="624"/>
      <c r="K150" s="750"/>
      <c r="L150" s="751"/>
      <c r="M150" s="751"/>
      <c r="N150" s="751"/>
      <c r="O150" s="750"/>
      <c r="P150" s="751"/>
      <c r="Q150" s="751"/>
      <c r="R150" s="751"/>
      <c r="S150" s="624"/>
      <c r="T150" s="751"/>
      <c r="U150" s="751"/>
      <c r="V150" s="751"/>
      <c r="W150" s="624"/>
      <c r="X150" s="751"/>
      <c r="Y150" s="751"/>
      <c r="Z150" s="751"/>
      <c r="AA150" s="750"/>
      <c r="AB150" s="751"/>
      <c r="AC150" s="661"/>
      <c r="AD150" s="661"/>
      <c r="AE150" s="624"/>
      <c r="AF150" s="751"/>
      <c r="AG150" s="751"/>
      <c r="AH150" s="751"/>
      <c r="AI150" s="624"/>
      <c r="AJ150" s="751"/>
      <c r="AK150" s="751"/>
      <c r="AL150" s="751"/>
      <c r="AM150" s="624"/>
      <c r="AN150" s="624"/>
      <c r="AO150" s="624"/>
      <c r="AP150" s="624"/>
      <c r="AQ150" s="737"/>
      <c r="AR150" s="753"/>
      <c r="AS150" s="753"/>
      <c r="AT150" s="753"/>
      <c r="AU150" s="624"/>
      <c r="AV150" s="624"/>
      <c r="AW150" s="624"/>
      <c r="AX150" s="624"/>
      <c r="AY150" s="624"/>
      <c r="AZ150" s="624"/>
      <c r="BA150" s="624"/>
    </row>
    <row r="151" spans="2:53">
      <c r="B151" s="756"/>
      <c r="C151" s="624"/>
      <c r="D151" s="751"/>
      <c r="E151" s="751"/>
      <c r="F151" s="751"/>
      <c r="G151" s="751"/>
      <c r="H151" s="751"/>
      <c r="I151" s="624"/>
      <c r="J151" s="624"/>
      <c r="K151" s="750"/>
      <c r="L151" s="751"/>
      <c r="M151" s="751"/>
      <c r="N151" s="751"/>
      <c r="O151" s="750"/>
      <c r="P151" s="751"/>
      <c r="Q151" s="751"/>
      <c r="R151" s="751"/>
      <c r="S151" s="624"/>
      <c r="T151" s="751"/>
      <c r="U151" s="751"/>
      <c r="V151" s="751"/>
      <c r="W151" s="624"/>
      <c r="X151" s="751"/>
      <c r="Y151" s="751"/>
      <c r="Z151" s="751"/>
      <c r="AA151" s="750"/>
      <c r="AB151" s="751"/>
      <c r="AC151" s="661"/>
      <c r="AD151" s="661"/>
      <c r="AE151" s="624"/>
      <c r="AF151" s="751"/>
      <c r="AG151" s="751"/>
      <c r="AH151" s="751"/>
      <c r="AI151" s="624"/>
      <c r="AJ151" s="751"/>
      <c r="AK151" s="751"/>
      <c r="AL151" s="751"/>
      <c r="AM151" s="624"/>
      <c r="AN151" s="624"/>
      <c r="AO151" s="624"/>
      <c r="AP151" s="624"/>
      <c r="AQ151" s="737"/>
      <c r="AR151" s="753"/>
      <c r="AS151" s="753"/>
      <c r="AT151" s="753"/>
      <c r="AU151" s="624"/>
      <c r="AV151" s="624"/>
      <c r="AW151" s="624"/>
      <c r="AX151" s="624"/>
      <c r="AY151" s="624"/>
      <c r="AZ151" s="624"/>
      <c r="BA151" s="624"/>
    </row>
    <row r="152" spans="2:53">
      <c r="B152" s="756"/>
      <c r="C152" s="624"/>
      <c r="D152" s="751"/>
      <c r="E152" s="751"/>
      <c r="F152" s="751"/>
      <c r="G152" s="751"/>
      <c r="H152" s="751"/>
      <c r="I152" s="624"/>
      <c r="J152" s="624"/>
      <c r="K152" s="750"/>
      <c r="L152" s="751"/>
      <c r="M152" s="751"/>
      <c r="N152" s="751"/>
      <c r="O152" s="750"/>
      <c r="P152" s="751"/>
      <c r="Q152" s="751"/>
      <c r="R152" s="751"/>
      <c r="S152" s="624"/>
      <c r="T152" s="751"/>
      <c r="U152" s="751"/>
      <c r="V152" s="751"/>
      <c r="W152" s="624"/>
      <c r="X152" s="751"/>
      <c r="Y152" s="751"/>
      <c r="Z152" s="751"/>
      <c r="AA152" s="750"/>
      <c r="AB152" s="751"/>
      <c r="AC152" s="661"/>
      <c r="AD152" s="661"/>
      <c r="AE152" s="624"/>
      <c r="AF152" s="751"/>
      <c r="AG152" s="751"/>
      <c r="AH152" s="751"/>
      <c r="AI152" s="624"/>
      <c r="AJ152" s="751"/>
      <c r="AK152" s="751"/>
      <c r="AL152" s="751"/>
      <c r="AM152" s="624"/>
      <c r="AN152" s="624"/>
      <c r="AO152" s="624"/>
      <c r="AP152" s="624"/>
      <c r="AQ152" s="737"/>
      <c r="AR152" s="753"/>
      <c r="AS152" s="753"/>
      <c r="AT152" s="753"/>
      <c r="AU152" s="624"/>
      <c r="AV152" s="624"/>
      <c r="AW152" s="624"/>
      <c r="AX152" s="624"/>
      <c r="AY152" s="624"/>
      <c r="AZ152" s="624"/>
      <c r="BA152" s="624"/>
    </row>
    <row r="153" spans="2:53">
      <c r="B153" s="756"/>
      <c r="C153" s="624"/>
      <c r="D153" s="751"/>
      <c r="E153" s="751"/>
      <c r="F153" s="751"/>
      <c r="G153" s="751"/>
      <c r="H153" s="751"/>
      <c r="I153" s="624"/>
      <c r="J153" s="624"/>
      <c r="K153" s="750"/>
      <c r="L153" s="751"/>
      <c r="M153" s="751"/>
      <c r="N153" s="751"/>
      <c r="O153" s="750"/>
      <c r="P153" s="751"/>
      <c r="Q153" s="751"/>
      <c r="R153" s="751"/>
      <c r="S153" s="624"/>
      <c r="T153" s="751"/>
      <c r="U153" s="751"/>
      <c r="V153" s="751"/>
      <c r="W153" s="624"/>
      <c r="X153" s="751"/>
      <c r="Y153" s="751"/>
      <c r="Z153" s="751"/>
      <c r="AA153" s="750"/>
      <c r="AB153" s="751"/>
      <c r="AC153" s="661"/>
      <c r="AD153" s="661"/>
      <c r="AE153" s="624"/>
      <c r="AF153" s="751"/>
      <c r="AG153" s="751"/>
      <c r="AH153" s="751"/>
      <c r="AI153" s="624"/>
      <c r="AJ153" s="751"/>
      <c r="AK153" s="751"/>
      <c r="AL153" s="751"/>
      <c r="AM153" s="624"/>
      <c r="AN153" s="624"/>
      <c r="AO153" s="624"/>
      <c r="AP153" s="624"/>
      <c r="AQ153" s="737"/>
      <c r="AR153" s="753"/>
      <c r="AS153" s="753"/>
      <c r="AT153" s="753"/>
      <c r="AU153" s="624"/>
      <c r="AV153" s="624"/>
      <c r="AW153" s="624"/>
      <c r="AX153" s="624"/>
      <c r="AY153" s="624"/>
      <c r="AZ153" s="624"/>
      <c r="BA153" s="624"/>
    </row>
    <row r="154" spans="2:53">
      <c r="B154" s="756"/>
      <c r="C154" s="624"/>
      <c r="D154" s="751"/>
      <c r="E154" s="751"/>
      <c r="F154" s="751"/>
      <c r="G154" s="751"/>
      <c r="H154" s="751"/>
      <c r="I154" s="624"/>
      <c r="J154" s="624"/>
      <c r="K154" s="750"/>
      <c r="L154" s="751"/>
      <c r="M154" s="751"/>
      <c r="N154" s="751"/>
      <c r="O154" s="750"/>
      <c r="P154" s="751"/>
      <c r="Q154" s="751"/>
      <c r="R154" s="751"/>
      <c r="S154" s="624"/>
      <c r="T154" s="751"/>
      <c r="U154" s="751"/>
      <c r="V154" s="751"/>
      <c r="W154" s="624"/>
      <c r="X154" s="751"/>
      <c r="Y154" s="751"/>
      <c r="Z154" s="751"/>
      <c r="AA154" s="750"/>
      <c r="AB154" s="751"/>
      <c r="AC154" s="661"/>
      <c r="AD154" s="661"/>
      <c r="AE154" s="624"/>
      <c r="AF154" s="751"/>
      <c r="AG154" s="751"/>
      <c r="AH154" s="751"/>
      <c r="AI154" s="624"/>
      <c r="AJ154" s="751"/>
      <c r="AK154" s="751"/>
      <c r="AL154" s="751"/>
      <c r="AM154" s="624"/>
      <c r="AN154" s="624"/>
      <c r="AO154" s="624"/>
      <c r="AP154" s="624"/>
      <c r="AQ154" s="737"/>
      <c r="AR154" s="753"/>
      <c r="AS154" s="753"/>
      <c r="AT154" s="753"/>
      <c r="AU154" s="624"/>
      <c r="AV154" s="624"/>
      <c r="AW154" s="624"/>
      <c r="AX154" s="624"/>
      <c r="AY154" s="624"/>
      <c r="AZ154" s="624"/>
      <c r="BA154" s="624"/>
    </row>
    <row r="155" spans="2:53">
      <c r="B155" s="756"/>
      <c r="C155" s="624"/>
      <c r="D155" s="751"/>
      <c r="E155" s="751"/>
      <c r="F155" s="751"/>
      <c r="G155" s="751"/>
      <c r="H155" s="751"/>
      <c r="I155" s="624"/>
      <c r="J155" s="624"/>
      <c r="K155" s="750"/>
      <c r="L155" s="751"/>
      <c r="M155" s="751"/>
      <c r="N155" s="751"/>
      <c r="O155" s="750"/>
      <c r="P155" s="751"/>
      <c r="Q155" s="751"/>
      <c r="R155" s="751"/>
      <c r="S155" s="624"/>
      <c r="T155" s="751"/>
      <c r="U155" s="751"/>
      <c r="V155" s="751"/>
      <c r="W155" s="624"/>
      <c r="X155" s="751"/>
      <c r="Y155" s="751"/>
      <c r="Z155" s="751"/>
      <c r="AA155" s="750"/>
      <c r="AB155" s="751"/>
      <c r="AC155" s="661"/>
      <c r="AD155" s="661"/>
      <c r="AE155" s="624"/>
      <c r="AF155" s="751"/>
      <c r="AG155" s="751"/>
      <c r="AH155" s="751"/>
      <c r="AI155" s="624"/>
      <c r="AJ155" s="751"/>
      <c r="AK155" s="751"/>
      <c r="AL155" s="751"/>
      <c r="AM155" s="624"/>
      <c r="AN155" s="624"/>
      <c r="AO155" s="624"/>
      <c r="AP155" s="624"/>
      <c r="AQ155" s="737"/>
      <c r="AR155" s="753"/>
      <c r="AS155" s="753"/>
      <c r="AT155" s="753"/>
      <c r="AU155" s="624"/>
      <c r="AV155" s="624"/>
      <c r="AW155" s="624"/>
      <c r="AX155" s="624"/>
      <c r="AY155" s="624"/>
      <c r="AZ155" s="624"/>
      <c r="BA155" s="624"/>
    </row>
    <row r="156" spans="2:53">
      <c r="B156" s="756"/>
      <c r="C156" s="624"/>
      <c r="D156" s="751"/>
      <c r="E156" s="751"/>
      <c r="F156" s="751"/>
      <c r="G156" s="751"/>
      <c r="H156" s="751"/>
      <c r="I156" s="624"/>
      <c r="J156" s="624"/>
      <c r="K156" s="750"/>
      <c r="L156" s="751"/>
      <c r="M156" s="751"/>
      <c r="N156" s="751"/>
      <c r="O156" s="750"/>
      <c r="P156" s="751"/>
      <c r="Q156" s="751"/>
      <c r="R156" s="751"/>
      <c r="S156" s="624"/>
      <c r="T156" s="751"/>
      <c r="U156" s="751"/>
      <c r="V156" s="751"/>
      <c r="W156" s="624"/>
      <c r="X156" s="751"/>
      <c r="Y156" s="751"/>
      <c r="Z156" s="751"/>
      <c r="AA156" s="750"/>
      <c r="AB156" s="751"/>
      <c r="AC156" s="661"/>
      <c r="AD156" s="661"/>
      <c r="AE156" s="624"/>
      <c r="AF156" s="751"/>
      <c r="AG156" s="751"/>
      <c r="AH156" s="751"/>
      <c r="AI156" s="624"/>
      <c r="AJ156" s="751"/>
      <c r="AK156" s="751"/>
      <c r="AL156" s="751"/>
      <c r="AM156" s="624"/>
      <c r="AN156" s="624"/>
      <c r="AO156" s="624"/>
      <c r="AP156" s="624"/>
      <c r="AQ156" s="737"/>
      <c r="AR156" s="753"/>
      <c r="AS156" s="753"/>
      <c r="AT156" s="753"/>
      <c r="AU156" s="624"/>
      <c r="AV156" s="624"/>
      <c r="AW156" s="624"/>
      <c r="AX156" s="624"/>
      <c r="AY156" s="624"/>
      <c r="AZ156" s="624"/>
      <c r="BA156" s="624"/>
    </row>
    <row r="157" spans="2:53">
      <c r="B157" s="756"/>
      <c r="C157" s="624"/>
      <c r="D157" s="751"/>
      <c r="E157" s="751"/>
      <c r="F157" s="751"/>
      <c r="G157" s="751"/>
      <c r="H157" s="751"/>
      <c r="I157" s="624"/>
      <c r="J157" s="624"/>
      <c r="K157" s="750"/>
      <c r="L157" s="751"/>
      <c r="M157" s="751"/>
      <c r="N157" s="751"/>
      <c r="O157" s="750"/>
      <c r="P157" s="751"/>
      <c r="Q157" s="751"/>
      <c r="R157" s="751"/>
      <c r="S157" s="624"/>
      <c r="T157" s="751"/>
      <c r="U157" s="751"/>
      <c r="V157" s="751"/>
      <c r="W157" s="624"/>
      <c r="X157" s="751"/>
      <c r="Y157" s="751"/>
      <c r="Z157" s="751"/>
      <c r="AA157" s="750"/>
      <c r="AB157" s="751"/>
      <c r="AC157" s="661"/>
      <c r="AD157" s="661"/>
      <c r="AE157" s="624"/>
      <c r="AF157" s="751"/>
      <c r="AG157" s="751"/>
      <c r="AH157" s="751"/>
      <c r="AI157" s="624"/>
      <c r="AJ157" s="751"/>
      <c r="AK157" s="751"/>
      <c r="AL157" s="751"/>
      <c r="AM157" s="624"/>
      <c r="AN157" s="624"/>
      <c r="AO157" s="624"/>
      <c r="AP157" s="624"/>
      <c r="AQ157" s="737"/>
      <c r="AR157" s="753"/>
      <c r="AS157" s="753"/>
      <c r="AT157" s="753"/>
      <c r="AU157" s="624"/>
      <c r="AV157" s="624"/>
      <c r="AW157" s="624"/>
      <c r="AX157" s="624"/>
      <c r="AY157" s="624"/>
      <c r="AZ157" s="624"/>
      <c r="BA157" s="624"/>
    </row>
    <row r="158" spans="2:53">
      <c r="B158" s="756"/>
      <c r="C158" s="624"/>
      <c r="D158" s="751"/>
      <c r="E158" s="751"/>
      <c r="F158" s="751"/>
      <c r="G158" s="751"/>
      <c r="H158" s="751"/>
      <c r="I158" s="624"/>
      <c r="J158" s="624"/>
      <c r="K158" s="750"/>
      <c r="L158" s="751"/>
      <c r="M158" s="751"/>
      <c r="N158" s="751"/>
      <c r="O158" s="750"/>
      <c r="P158" s="751"/>
      <c r="Q158" s="751"/>
      <c r="R158" s="751"/>
      <c r="S158" s="624"/>
      <c r="T158" s="751"/>
      <c r="U158" s="751"/>
      <c r="V158" s="751"/>
      <c r="W158" s="624"/>
      <c r="X158" s="751"/>
      <c r="Y158" s="751"/>
      <c r="Z158" s="751"/>
      <c r="AA158" s="750"/>
      <c r="AB158" s="751"/>
      <c r="AC158" s="661"/>
      <c r="AD158" s="661"/>
      <c r="AE158" s="624"/>
      <c r="AF158" s="751"/>
      <c r="AG158" s="751"/>
      <c r="AH158" s="751"/>
      <c r="AI158" s="624"/>
      <c r="AJ158" s="751"/>
      <c r="AK158" s="751"/>
      <c r="AL158" s="751"/>
      <c r="AM158" s="624"/>
      <c r="AN158" s="624"/>
      <c r="AO158" s="624"/>
      <c r="AP158" s="624"/>
      <c r="AQ158" s="737"/>
      <c r="AR158" s="753"/>
      <c r="AS158" s="753"/>
      <c r="AT158" s="753"/>
      <c r="AU158" s="624"/>
      <c r="AV158" s="624"/>
      <c r="AW158" s="624"/>
      <c r="AX158" s="624"/>
      <c r="AY158" s="624"/>
      <c r="AZ158" s="624"/>
      <c r="BA158" s="624"/>
    </row>
    <row r="159" spans="2:53">
      <c r="B159" s="756"/>
      <c r="C159" s="624"/>
      <c r="D159" s="751"/>
      <c r="E159" s="751"/>
      <c r="F159" s="751"/>
      <c r="G159" s="751"/>
      <c r="H159" s="751"/>
      <c r="I159" s="624"/>
      <c r="J159" s="624"/>
      <c r="K159" s="750"/>
      <c r="L159" s="751"/>
      <c r="M159" s="751"/>
      <c r="N159" s="751"/>
      <c r="O159" s="750"/>
      <c r="P159" s="751"/>
      <c r="Q159" s="751"/>
      <c r="R159" s="751"/>
      <c r="S159" s="624"/>
      <c r="T159" s="751"/>
      <c r="U159" s="751"/>
      <c r="V159" s="751"/>
      <c r="W159" s="624"/>
      <c r="X159" s="751"/>
      <c r="Y159" s="751"/>
      <c r="Z159" s="751"/>
      <c r="AA159" s="750"/>
      <c r="AB159" s="751"/>
      <c r="AC159" s="661"/>
      <c r="AD159" s="661"/>
      <c r="AE159" s="624"/>
      <c r="AF159" s="751"/>
      <c r="AG159" s="751"/>
      <c r="AH159" s="751"/>
      <c r="AI159" s="624"/>
      <c r="AJ159" s="751"/>
      <c r="AK159" s="751"/>
      <c r="AL159" s="751"/>
      <c r="AM159" s="624"/>
      <c r="AN159" s="624"/>
      <c r="AO159" s="624"/>
      <c r="AP159" s="624"/>
      <c r="AQ159" s="737"/>
      <c r="AR159" s="753"/>
      <c r="AS159" s="753"/>
      <c r="AT159" s="753"/>
      <c r="AU159" s="624"/>
      <c r="AV159" s="624"/>
      <c r="AW159" s="624"/>
      <c r="AX159" s="624"/>
      <c r="AY159" s="624"/>
      <c r="AZ159" s="624"/>
      <c r="BA159" s="624"/>
    </row>
    <row r="160" spans="2:53">
      <c r="B160" s="756"/>
      <c r="C160" s="624"/>
      <c r="D160" s="751"/>
      <c r="E160" s="751"/>
      <c r="F160" s="751"/>
      <c r="G160" s="751"/>
      <c r="H160" s="751"/>
      <c r="I160" s="624"/>
      <c r="J160" s="624"/>
      <c r="K160" s="750"/>
      <c r="L160" s="751"/>
      <c r="M160" s="751"/>
      <c r="N160" s="751"/>
      <c r="O160" s="750"/>
      <c r="P160" s="751"/>
      <c r="Q160" s="751"/>
      <c r="R160" s="751"/>
      <c r="S160" s="624"/>
      <c r="T160" s="751"/>
      <c r="U160" s="751"/>
      <c r="V160" s="751"/>
      <c r="W160" s="624"/>
      <c r="X160" s="751"/>
      <c r="Y160" s="751"/>
      <c r="Z160" s="751"/>
      <c r="AA160" s="750"/>
      <c r="AB160" s="751"/>
      <c r="AC160" s="661"/>
      <c r="AD160" s="661"/>
      <c r="AE160" s="624"/>
      <c r="AF160" s="751"/>
      <c r="AG160" s="751"/>
      <c r="AH160" s="751"/>
      <c r="AI160" s="624"/>
      <c r="AJ160" s="751"/>
      <c r="AK160" s="751"/>
      <c r="AL160" s="751"/>
      <c r="AM160" s="624"/>
      <c r="AN160" s="624"/>
      <c r="AO160" s="624"/>
      <c r="AP160" s="624"/>
      <c r="AQ160" s="737"/>
      <c r="AR160" s="753"/>
      <c r="AS160" s="753"/>
      <c r="AT160" s="753"/>
      <c r="AU160" s="624"/>
      <c r="AV160" s="624"/>
      <c r="AW160" s="624"/>
      <c r="AX160" s="624"/>
      <c r="AY160" s="624"/>
      <c r="AZ160" s="624"/>
      <c r="BA160" s="624"/>
    </row>
    <row r="161" spans="2:53">
      <c r="B161" s="756"/>
      <c r="C161" s="624"/>
      <c r="D161" s="751"/>
      <c r="E161" s="751"/>
      <c r="F161" s="751"/>
      <c r="G161" s="751"/>
      <c r="H161" s="751"/>
      <c r="I161" s="624"/>
      <c r="J161" s="624"/>
      <c r="K161" s="750"/>
      <c r="L161" s="751"/>
      <c r="M161" s="751"/>
      <c r="N161" s="751"/>
      <c r="O161" s="750"/>
      <c r="P161" s="751"/>
      <c r="Q161" s="751"/>
      <c r="R161" s="751"/>
      <c r="S161" s="624"/>
      <c r="T161" s="751"/>
      <c r="U161" s="751"/>
      <c r="V161" s="751"/>
      <c r="W161" s="624"/>
      <c r="X161" s="751"/>
      <c r="Y161" s="751"/>
      <c r="Z161" s="751"/>
      <c r="AA161" s="750"/>
      <c r="AB161" s="751"/>
      <c r="AC161" s="661"/>
      <c r="AD161" s="661"/>
      <c r="AE161" s="624"/>
      <c r="AF161" s="751"/>
      <c r="AG161" s="751"/>
      <c r="AH161" s="751"/>
      <c r="AI161" s="624"/>
      <c r="AJ161" s="751"/>
      <c r="AK161" s="751"/>
      <c r="AL161" s="751"/>
      <c r="AM161" s="624"/>
      <c r="AN161" s="624"/>
      <c r="AO161" s="624"/>
      <c r="AP161" s="624"/>
      <c r="AQ161" s="737"/>
      <c r="AR161" s="753"/>
      <c r="AS161" s="753"/>
      <c r="AT161" s="753"/>
      <c r="AU161" s="624"/>
      <c r="AV161" s="624"/>
      <c r="AW161" s="624"/>
      <c r="AX161" s="624"/>
      <c r="AY161" s="624"/>
      <c r="AZ161" s="624"/>
      <c r="BA161" s="624"/>
    </row>
    <row r="162" spans="2:53">
      <c r="B162" s="756"/>
      <c r="C162" s="624"/>
      <c r="D162" s="751"/>
      <c r="E162" s="751"/>
      <c r="F162" s="751"/>
      <c r="G162" s="751"/>
      <c r="H162" s="751"/>
      <c r="I162" s="624"/>
      <c r="J162" s="624"/>
      <c r="K162" s="750"/>
      <c r="L162" s="751"/>
      <c r="M162" s="751"/>
      <c r="N162" s="751"/>
      <c r="O162" s="750"/>
      <c r="P162" s="751"/>
      <c r="Q162" s="751"/>
      <c r="R162" s="751"/>
      <c r="S162" s="624"/>
      <c r="T162" s="751"/>
      <c r="U162" s="751"/>
      <c r="V162" s="751"/>
      <c r="W162" s="624"/>
      <c r="X162" s="751"/>
      <c r="Y162" s="751"/>
      <c r="Z162" s="751"/>
      <c r="AA162" s="750"/>
      <c r="AB162" s="751"/>
      <c r="AC162" s="661"/>
      <c r="AD162" s="661"/>
      <c r="AE162" s="624"/>
      <c r="AF162" s="751"/>
      <c r="AG162" s="751"/>
      <c r="AH162" s="751"/>
      <c r="AI162" s="624"/>
      <c r="AJ162" s="751"/>
      <c r="AK162" s="751"/>
      <c r="AL162" s="751"/>
      <c r="AM162" s="624"/>
      <c r="AN162" s="624"/>
      <c r="AO162" s="624"/>
      <c r="AP162" s="624"/>
      <c r="AQ162" s="737"/>
      <c r="AR162" s="753"/>
      <c r="AS162" s="753"/>
      <c r="AT162" s="753"/>
      <c r="AU162" s="624"/>
      <c r="AV162" s="624"/>
      <c r="AW162" s="624"/>
      <c r="AX162" s="624"/>
      <c r="AY162" s="624"/>
      <c r="AZ162" s="624"/>
      <c r="BA162" s="624"/>
    </row>
    <row r="163" spans="2:53">
      <c r="B163" s="756"/>
      <c r="C163" s="624"/>
      <c r="D163" s="751"/>
      <c r="E163" s="751"/>
      <c r="F163" s="751"/>
      <c r="G163" s="751"/>
      <c r="H163" s="751"/>
      <c r="I163" s="624"/>
      <c r="J163" s="624"/>
      <c r="K163" s="750"/>
      <c r="L163" s="751"/>
      <c r="M163" s="751"/>
      <c r="N163" s="751"/>
      <c r="O163" s="750"/>
      <c r="P163" s="751"/>
      <c r="Q163" s="751"/>
      <c r="R163" s="751"/>
      <c r="S163" s="624"/>
      <c r="T163" s="751"/>
      <c r="U163" s="751"/>
      <c r="V163" s="751"/>
      <c r="W163" s="624"/>
      <c r="X163" s="751"/>
      <c r="Y163" s="751"/>
      <c r="Z163" s="751"/>
      <c r="AA163" s="750"/>
      <c r="AB163" s="751"/>
      <c r="AC163" s="661"/>
      <c r="AD163" s="661"/>
      <c r="AE163" s="624"/>
      <c r="AF163" s="751"/>
      <c r="AG163" s="751"/>
      <c r="AH163" s="751"/>
      <c r="AI163" s="624"/>
      <c r="AJ163" s="751"/>
      <c r="AK163" s="751"/>
      <c r="AL163" s="751"/>
      <c r="AM163" s="624"/>
      <c r="AN163" s="624"/>
      <c r="AO163" s="624"/>
      <c r="AP163" s="624"/>
      <c r="AQ163" s="737"/>
      <c r="AR163" s="753"/>
      <c r="AS163" s="753"/>
      <c r="AT163" s="753"/>
      <c r="AU163" s="624"/>
      <c r="AV163" s="624"/>
      <c r="AW163" s="624"/>
      <c r="AX163" s="624"/>
      <c r="AY163" s="624"/>
      <c r="AZ163" s="624"/>
      <c r="BA163" s="624"/>
    </row>
    <row r="164" spans="2:53">
      <c r="B164" s="756"/>
      <c r="C164" s="624"/>
      <c r="D164" s="751"/>
      <c r="E164" s="751"/>
      <c r="F164" s="751"/>
      <c r="G164" s="751"/>
      <c r="H164" s="751"/>
      <c r="I164" s="624"/>
      <c r="J164" s="624"/>
      <c r="K164" s="750"/>
      <c r="L164" s="751"/>
      <c r="M164" s="751"/>
      <c r="N164" s="751"/>
      <c r="O164" s="750"/>
      <c r="P164" s="751"/>
      <c r="Q164" s="751"/>
      <c r="R164" s="751"/>
      <c r="S164" s="624"/>
      <c r="T164" s="751"/>
      <c r="U164" s="751"/>
      <c r="V164" s="751"/>
      <c r="W164" s="624"/>
      <c r="X164" s="751"/>
      <c r="Y164" s="751"/>
      <c r="Z164" s="751"/>
      <c r="AA164" s="750"/>
      <c r="AB164" s="751"/>
      <c r="AC164" s="661"/>
      <c r="AD164" s="661"/>
      <c r="AE164" s="624"/>
      <c r="AF164" s="751"/>
      <c r="AG164" s="751"/>
      <c r="AH164" s="751"/>
      <c r="AI164" s="624"/>
      <c r="AJ164" s="751"/>
      <c r="AK164" s="751"/>
      <c r="AL164" s="751"/>
      <c r="AM164" s="624"/>
      <c r="AN164" s="624"/>
      <c r="AO164" s="624"/>
      <c r="AP164" s="624"/>
      <c r="AQ164" s="737"/>
      <c r="AR164" s="753"/>
      <c r="AS164" s="753"/>
      <c r="AT164" s="753"/>
      <c r="AU164" s="624"/>
      <c r="AV164" s="624"/>
      <c r="AW164" s="624"/>
      <c r="AX164" s="624"/>
      <c r="AY164" s="624"/>
      <c r="AZ164" s="624"/>
      <c r="BA164" s="624"/>
    </row>
    <row r="165" spans="2:53">
      <c r="B165" s="756"/>
      <c r="C165" s="624"/>
      <c r="D165" s="751"/>
      <c r="E165" s="751"/>
      <c r="F165" s="751"/>
      <c r="G165" s="751"/>
      <c r="H165" s="751"/>
      <c r="I165" s="624"/>
      <c r="J165" s="624"/>
      <c r="K165" s="750"/>
      <c r="L165" s="751"/>
      <c r="M165" s="751"/>
      <c r="N165" s="751"/>
      <c r="O165" s="750"/>
      <c r="P165" s="751"/>
      <c r="Q165" s="751"/>
      <c r="R165" s="751"/>
      <c r="S165" s="624"/>
      <c r="T165" s="751"/>
      <c r="U165" s="751"/>
      <c r="V165" s="751"/>
      <c r="W165" s="624"/>
      <c r="X165" s="751"/>
      <c r="Y165" s="751"/>
      <c r="Z165" s="751"/>
      <c r="AA165" s="750"/>
      <c r="AB165" s="751"/>
      <c r="AC165" s="661"/>
      <c r="AD165" s="661"/>
      <c r="AE165" s="624"/>
      <c r="AF165" s="751"/>
      <c r="AG165" s="751"/>
      <c r="AH165" s="751"/>
      <c r="AI165" s="624"/>
      <c r="AJ165" s="751"/>
      <c r="AK165" s="751"/>
      <c r="AL165" s="751"/>
      <c r="AM165" s="624"/>
      <c r="AN165" s="624"/>
      <c r="AO165" s="624"/>
      <c r="AP165" s="624"/>
      <c r="AQ165" s="737"/>
      <c r="AR165" s="753"/>
      <c r="AS165" s="753"/>
      <c r="AT165" s="753"/>
      <c r="AU165" s="624"/>
      <c r="AV165" s="624"/>
      <c r="AW165" s="624"/>
      <c r="AX165" s="624"/>
      <c r="AY165" s="624"/>
      <c r="AZ165" s="624"/>
      <c r="BA165" s="624"/>
    </row>
    <row r="166" spans="2:53">
      <c r="B166" s="756"/>
      <c r="C166" s="624"/>
      <c r="D166" s="751"/>
      <c r="E166" s="751"/>
      <c r="F166" s="751"/>
      <c r="G166" s="751"/>
      <c r="H166" s="751"/>
      <c r="I166" s="624"/>
      <c r="J166" s="624"/>
      <c r="K166" s="750"/>
      <c r="L166" s="751"/>
      <c r="M166" s="751"/>
      <c r="N166" s="751"/>
      <c r="O166" s="750"/>
      <c r="P166" s="751"/>
      <c r="Q166" s="751"/>
      <c r="R166" s="751"/>
      <c r="S166" s="624"/>
      <c r="T166" s="751"/>
      <c r="U166" s="751"/>
      <c r="V166" s="751"/>
      <c r="W166" s="624"/>
      <c r="X166" s="751"/>
      <c r="Y166" s="751"/>
      <c r="Z166" s="751"/>
      <c r="AA166" s="750"/>
      <c r="AB166" s="751"/>
      <c r="AC166" s="661"/>
      <c r="AD166" s="661"/>
      <c r="AE166" s="624"/>
      <c r="AF166" s="751"/>
      <c r="AG166" s="751"/>
      <c r="AH166" s="751"/>
      <c r="AI166" s="624"/>
      <c r="AJ166" s="751"/>
      <c r="AK166" s="751"/>
      <c r="AL166" s="751"/>
      <c r="AM166" s="624"/>
      <c r="AN166" s="624"/>
      <c r="AO166" s="624"/>
      <c r="AP166" s="624"/>
      <c r="AQ166" s="737"/>
      <c r="AR166" s="753"/>
      <c r="AS166" s="753"/>
      <c r="AT166" s="753"/>
      <c r="AU166" s="624"/>
      <c r="AV166" s="624"/>
      <c r="AW166" s="624"/>
      <c r="AX166" s="624"/>
      <c r="AY166" s="624"/>
      <c r="AZ166" s="624"/>
      <c r="BA166" s="624"/>
    </row>
    <row r="167" spans="2:53">
      <c r="B167" s="756"/>
      <c r="C167" s="624"/>
      <c r="D167" s="751"/>
      <c r="E167" s="751"/>
      <c r="F167" s="751"/>
      <c r="G167" s="751"/>
      <c r="H167" s="751"/>
      <c r="I167" s="624"/>
      <c r="J167" s="624"/>
      <c r="K167" s="750"/>
      <c r="L167" s="751"/>
      <c r="M167" s="751"/>
      <c r="N167" s="751"/>
      <c r="O167" s="750"/>
      <c r="P167" s="751"/>
      <c r="Q167" s="751"/>
      <c r="R167" s="751"/>
      <c r="S167" s="624"/>
      <c r="T167" s="751"/>
      <c r="U167" s="751"/>
      <c r="V167" s="751"/>
      <c r="W167" s="624"/>
      <c r="X167" s="751"/>
      <c r="Y167" s="751"/>
      <c r="Z167" s="751"/>
      <c r="AA167" s="750"/>
      <c r="AB167" s="751"/>
      <c r="AC167" s="661"/>
      <c r="AD167" s="661"/>
      <c r="AE167" s="624"/>
      <c r="AF167" s="751"/>
      <c r="AG167" s="751"/>
      <c r="AH167" s="751"/>
      <c r="AI167" s="624"/>
      <c r="AJ167" s="751"/>
      <c r="AK167" s="751"/>
      <c r="AL167" s="751"/>
      <c r="AM167" s="624"/>
      <c r="AN167" s="624"/>
      <c r="AO167" s="624"/>
      <c r="AP167" s="624"/>
      <c r="AQ167" s="737"/>
      <c r="AR167" s="753"/>
      <c r="AS167" s="753"/>
      <c r="AT167" s="753"/>
      <c r="AU167" s="624"/>
      <c r="AV167" s="624"/>
      <c r="AW167" s="624"/>
      <c r="AX167" s="624"/>
      <c r="AY167" s="624"/>
      <c r="AZ167" s="624"/>
      <c r="BA167" s="624"/>
    </row>
    <row r="168" spans="2:53">
      <c r="B168" s="756"/>
      <c r="C168" s="624"/>
      <c r="D168" s="751"/>
      <c r="E168" s="751"/>
      <c r="F168" s="751"/>
      <c r="G168" s="751"/>
      <c r="H168" s="751"/>
      <c r="I168" s="624"/>
      <c r="J168" s="624"/>
      <c r="K168" s="750"/>
      <c r="L168" s="751"/>
      <c r="M168" s="751"/>
      <c r="N168" s="751"/>
      <c r="O168" s="750"/>
      <c r="P168" s="751"/>
      <c r="Q168" s="751"/>
      <c r="R168" s="751"/>
      <c r="S168" s="624"/>
      <c r="T168" s="751"/>
      <c r="U168" s="751"/>
      <c r="V168" s="751"/>
      <c r="W168" s="624"/>
      <c r="X168" s="751"/>
      <c r="Y168" s="751"/>
      <c r="Z168" s="751"/>
      <c r="AA168" s="750"/>
      <c r="AB168" s="751"/>
      <c r="AC168" s="661"/>
      <c r="AD168" s="661"/>
      <c r="AE168" s="624"/>
      <c r="AF168" s="751"/>
      <c r="AG168" s="751"/>
      <c r="AH168" s="751"/>
      <c r="AI168" s="624"/>
      <c r="AJ168" s="751"/>
      <c r="AK168" s="751"/>
      <c r="AL168" s="751"/>
      <c r="AM168" s="624"/>
      <c r="AN168" s="624"/>
      <c r="AO168" s="624"/>
      <c r="AP168" s="624"/>
      <c r="AQ168" s="737"/>
      <c r="AR168" s="753"/>
      <c r="AS168" s="753"/>
      <c r="AT168" s="753"/>
      <c r="AU168" s="624"/>
      <c r="AV168" s="624"/>
      <c r="AW168" s="624"/>
      <c r="AX168" s="624"/>
      <c r="AY168" s="624"/>
      <c r="AZ168" s="624"/>
      <c r="BA168" s="624"/>
    </row>
    <row r="169" spans="2:53">
      <c r="B169" s="756"/>
      <c r="C169" s="624"/>
      <c r="D169" s="751"/>
      <c r="E169" s="751"/>
      <c r="F169" s="751"/>
      <c r="G169" s="751"/>
      <c r="H169" s="751"/>
      <c r="I169" s="624"/>
      <c r="J169" s="624"/>
      <c r="K169" s="750"/>
      <c r="L169" s="751"/>
      <c r="M169" s="751"/>
      <c r="N169" s="751"/>
      <c r="O169" s="750"/>
      <c r="P169" s="751"/>
      <c r="Q169" s="751"/>
      <c r="R169" s="751"/>
      <c r="S169" s="624"/>
      <c r="T169" s="751"/>
      <c r="U169" s="751"/>
      <c r="V169" s="751"/>
      <c r="W169" s="624"/>
      <c r="X169" s="751"/>
      <c r="Y169" s="751"/>
      <c r="Z169" s="751"/>
      <c r="AA169" s="750"/>
      <c r="AB169" s="751"/>
      <c r="AC169" s="661"/>
      <c r="AD169" s="661"/>
      <c r="AE169" s="624"/>
      <c r="AF169" s="751"/>
      <c r="AG169" s="751"/>
      <c r="AH169" s="751"/>
      <c r="AI169" s="624"/>
      <c r="AJ169" s="751"/>
      <c r="AK169" s="751"/>
      <c r="AL169" s="751"/>
      <c r="AM169" s="624"/>
      <c r="AN169" s="624"/>
      <c r="AO169" s="624"/>
      <c r="AP169" s="624"/>
      <c r="AQ169" s="737"/>
      <c r="AR169" s="753"/>
      <c r="AS169" s="753"/>
      <c r="AT169" s="753"/>
      <c r="AU169" s="624"/>
      <c r="AV169" s="624"/>
      <c r="AW169" s="624"/>
      <c r="AX169" s="624"/>
      <c r="AY169" s="624"/>
      <c r="AZ169" s="624"/>
      <c r="BA169" s="624"/>
    </row>
    <row r="170" spans="2:53">
      <c r="B170" s="756"/>
      <c r="C170" s="624"/>
      <c r="D170" s="751"/>
      <c r="E170" s="751"/>
      <c r="F170" s="751"/>
      <c r="G170" s="751"/>
      <c r="H170" s="751"/>
      <c r="I170" s="624"/>
      <c r="J170" s="624"/>
      <c r="K170" s="750"/>
      <c r="L170" s="751"/>
      <c r="M170" s="751"/>
      <c r="N170" s="751"/>
      <c r="O170" s="750"/>
      <c r="P170" s="751"/>
      <c r="Q170" s="751"/>
      <c r="R170" s="751"/>
      <c r="S170" s="624"/>
      <c r="T170" s="751"/>
      <c r="U170" s="751"/>
      <c r="V170" s="751"/>
      <c r="W170" s="624"/>
      <c r="X170" s="751"/>
      <c r="Y170" s="751"/>
      <c r="Z170" s="751"/>
      <c r="AA170" s="750"/>
      <c r="AB170" s="751"/>
      <c r="AC170" s="661"/>
      <c r="AD170" s="661"/>
      <c r="AE170" s="624"/>
      <c r="AF170" s="751"/>
      <c r="AG170" s="751"/>
      <c r="AH170" s="751"/>
      <c r="AI170" s="624"/>
      <c r="AJ170" s="751"/>
      <c r="AK170" s="751"/>
      <c r="AL170" s="751"/>
      <c r="AM170" s="624"/>
      <c r="AN170" s="624"/>
      <c r="AO170" s="624"/>
      <c r="AP170" s="624"/>
      <c r="AQ170" s="737"/>
      <c r="AR170" s="753"/>
      <c r="AS170" s="753"/>
      <c r="AT170" s="753"/>
      <c r="AU170" s="624"/>
      <c r="AV170" s="624"/>
      <c r="AW170" s="624"/>
      <c r="AX170" s="624"/>
      <c r="AY170" s="624"/>
      <c r="AZ170" s="624"/>
      <c r="BA170" s="624"/>
    </row>
    <row r="171" spans="2:53">
      <c r="B171" s="756"/>
      <c r="C171" s="624"/>
      <c r="D171" s="751"/>
      <c r="E171" s="751"/>
      <c r="F171" s="751"/>
      <c r="G171" s="751"/>
      <c r="H171" s="751"/>
      <c r="I171" s="624"/>
      <c r="J171" s="624"/>
      <c r="K171" s="750"/>
      <c r="L171" s="751"/>
      <c r="M171" s="751"/>
      <c r="N171" s="751"/>
      <c r="O171" s="750"/>
      <c r="P171" s="751"/>
      <c r="Q171" s="751"/>
      <c r="R171" s="751"/>
      <c r="S171" s="624"/>
      <c r="T171" s="751"/>
      <c r="U171" s="751"/>
      <c r="V171" s="751"/>
      <c r="W171" s="624"/>
      <c r="X171" s="751"/>
      <c r="Y171" s="751"/>
      <c r="Z171" s="751"/>
      <c r="AA171" s="750"/>
      <c r="AB171" s="751"/>
      <c r="AC171" s="661"/>
      <c r="AD171" s="661"/>
      <c r="AE171" s="624"/>
      <c r="AF171" s="751"/>
      <c r="AG171" s="751"/>
      <c r="AH171" s="751"/>
      <c r="AI171" s="624"/>
      <c r="AJ171" s="751"/>
      <c r="AK171" s="751"/>
      <c r="AL171" s="751"/>
      <c r="AM171" s="624"/>
      <c r="AN171" s="624"/>
      <c r="AO171" s="624"/>
      <c r="AP171" s="624"/>
      <c r="AQ171" s="737"/>
      <c r="AR171" s="753"/>
      <c r="AS171" s="753"/>
      <c r="AT171" s="753"/>
      <c r="AU171" s="624"/>
      <c r="AV171" s="624"/>
      <c r="AW171" s="624"/>
      <c r="AX171" s="624"/>
      <c r="AY171" s="624"/>
      <c r="AZ171" s="624"/>
      <c r="BA171" s="624"/>
    </row>
    <row r="172" spans="2:53">
      <c r="B172" s="756"/>
      <c r="C172" s="624"/>
      <c r="D172" s="751"/>
      <c r="E172" s="751"/>
      <c r="F172" s="751"/>
      <c r="G172" s="751"/>
      <c r="H172" s="751"/>
      <c r="I172" s="624"/>
      <c r="J172" s="624"/>
      <c r="K172" s="750"/>
      <c r="L172" s="751"/>
      <c r="M172" s="751"/>
      <c r="N172" s="751"/>
      <c r="O172" s="750"/>
      <c r="P172" s="751"/>
      <c r="Q172" s="751"/>
      <c r="R172" s="751"/>
      <c r="S172" s="624"/>
      <c r="T172" s="751"/>
      <c r="U172" s="751"/>
      <c r="V172" s="751"/>
      <c r="W172" s="624"/>
      <c r="X172" s="751"/>
      <c r="Y172" s="751"/>
      <c r="Z172" s="751"/>
      <c r="AA172" s="750"/>
      <c r="AB172" s="751"/>
      <c r="AC172" s="661"/>
      <c r="AD172" s="661"/>
      <c r="AE172" s="624"/>
      <c r="AF172" s="751"/>
      <c r="AG172" s="751"/>
      <c r="AH172" s="751"/>
      <c r="AI172" s="624"/>
      <c r="AJ172" s="751"/>
      <c r="AK172" s="751"/>
      <c r="AL172" s="751"/>
      <c r="AM172" s="624"/>
      <c r="AN172" s="624"/>
      <c r="AO172" s="624"/>
      <c r="AP172" s="624"/>
      <c r="AQ172" s="737"/>
      <c r="AR172" s="753"/>
      <c r="AS172" s="753"/>
      <c r="AT172" s="753"/>
      <c r="AU172" s="624"/>
      <c r="AV172" s="624"/>
      <c r="AW172" s="624"/>
      <c r="AX172" s="624"/>
      <c r="AY172" s="624"/>
      <c r="AZ172" s="624"/>
      <c r="BA172" s="624"/>
    </row>
    <row r="173" spans="2:53">
      <c r="B173" s="756"/>
      <c r="C173" s="624"/>
      <c r="D173" s="751"/>
      <c r="E173" s="751"/>
      <c r="F173" s="751"/>
      <c r="G173" s="751"/>
      <c r="H173" s="751"/>
      <c r="I173" s="624"/>
      <c r="J173" s="624"/>
      <c r="K173" s="750"/>
      <c r="L173" s="751"/>
      <c r="M173" s="751"/>
      <c r="N173" s="751"/>
      <c r="O173" s="750"/>
      <c r="P173" s="751"/>
      <c r="Q173" s="751"/>
      <c r="R173" s="751"/>
      <c r="S173" s="624"/>
      <c r="T173" s="751"/>
      <c r="U173" s="751"/>
      <c r="V173" s="751"/>
      <c r="W173" s="624"/>
      <c r="X173" s="751"/>
      <c r="Y173" s="751"/>
      <c r="Z173" s="751"/>
      <c r="AA173" s="750"/>
      <c r="AB173" s="751"/>
      <c r="AC173" s="661"/>
      <c r="AD173" s="661"/>
      <c r="AE173" s="624"/>
      <c r="AF173" s="751"/>
      <c r="AG173" s="751"/>
      <c r="AH173" s="751"/>
      <c r="AI173" s="624"/>
      <c r="AJ173" s="751"/>
      <c r="AK173" s="751"/>
      <c r="AL173" s="751"/>
      <c r="AM173" s="624"/>
      <c r="AN173" s="624"/>
      <c r="AO173" s="624"/>
      <c r="AP173" s="624"/>
      <c r="AQ173" s="737"/>
      <c r="AR173" s="753"/>
      <c r="AS173" s="753"/>
      <c r="AT173" s="753"/>
      <c r="AU173" s="624"/>
      <c r="AV173" s="624"/>
      <c r="AW173" s="624"/>
      <c r="AX173" s="624"/>
      <c r="AY173" s="624"/>
      <c r="AZ173" s="624"/>
      <c r="BA173" s="624"/>
    </row>
    <row r="174" spans="2:53">
      <c r="B174" s="756"/>
      <c r="C174" s="624"/>
      <c r="D174" s="751"/>
      <c r="E174" s="751"/>
      <c r="F174" s="751"/>
      <c r="G174" s="751"/>
      <c r="H174" s="751"/>
      <c r="I174" s="624"/>
      <c r="J174" s="624"/>
      <c r="K174" s="750"/>
      <c r="L174" s="751"/>
      <c r="M174" s="751"/>
      <c r="N174" s="751"/>
      <c r="O174" s="750"/>
      <c r="P174" s="751"/>
      <c r="Q174" s="751"/>
      <c r="R174" s="751"/>
      <c r="S174" s="624"/>
      <c r="T174" s="751"/>
      <c r="U174" s="751"/>
      <c r="V174" s="751"/>
      <c r="W174" s="624"/>
      <c r="X174" s="751"/>
      <c r="Y174" s="751"/>
      <c r="Z174" s="751"/>
      <c r="AA174" s="750"/>
      <c r="AB174" s="751"/>
      <c r="AC174" s="661"/>
      <c r="AD174" s="661"/>
      <c r="AE174" s="624"/>
      <c r="AF174" s="751"/>
      <c r="AG174" s="751"/>
      <c r="AH174" s="751"/>
      <c r="AI174" s="624"/>
      <c r="AJ174" s="751"/>
      <c r="AK174" s="751"/>
      <c r="AL174" s="751"/>
      <c r="AM174" s="624"/>
      <c r="AN174" s="624"/>
      <c r="AO174" s="624"/>
      <c r="AP174" s="624"/>
      <c r="AQ174" s="737"/>
      <c r="AR174" s="753"/>
      <c r="AS174" s="753"/>
      <c r="AT174" s="753"/>
      <c r="AU174" s="624"/>
      <c r="AV174" s="624"/>
      <c r="AW174" s="624"/>
      <c r="AX174" s="624"/>
      <c r="AY174" s="624"/>
      <c r="AZ174" s="624"/>
      <c r="BA174" s="624"/>
    </row>
    <row r="175" spans="2:53">
      <c r="B175" s="756"/>
      <c r="C175" s="624"/>
      <c r="D175" s="751"/>
      <c r="E175" s="751"/>
      <c r="F175" s="751"/>
      <c r="G175" s="751"/>
      <c r="H175" s="751"/>
      <c r="I175" s="624"/>
      <c r="J175" s="624"/>
      <c r="K175" s="750"/>
      <c r="L175" s="751"/>
      <c r="M175" s="751"/>
      <c r="N175" s="751"/>
      <c r="O175" s="750"/>
      <c r="P175" s="751"/>
      <c r="Q175" s="751"/>
      <c r="R175" s="751"/>
      <c r="S175" s="624"/>
      <c r="T175" s="751"/>
      <c r="U175" s="751"/>
      <c r="V175" s="751"/>
      <c r="W175" s="624"/>
      <c r="X175" s="751"/>
      <c r="Y175" s="751"/>
      <c r="Z175" s="751"/>
      <c r="AA175" s="750"/>
      <c r="AB175" s="751"/>
      <c r="AC175" s="661"/>
      <c r="AD175" s="661"/>
      <c r="AE175" s="624"/>
      <c r="AF175" s="751"/>
      <c r="AG175" s="751"/>
      <c r="AH175" s="751"/>
      <c r="AI175" s="624"/>
      <c r="AJ175" s="751"/>
      <c r="AK175" s="751"/>
      <c r="AL175" s="751"/>
      <c r="AM175" s="624"/>
      <c r="AN175" s="624"/>
      <c r="AO175" s="624"/>
      <c r="AP175" s="624"/>
      <c r="AQ175" s="737"/>
      <c r="AR175" s="753"/>
      <c r="AS175" s="753"/>
      <c r="AT175" s="753"/>
      <c r="AU175" s="624"/>
      <c r="AV175" s="624"/>
      <c r="AW175" s="624"/>
      <c r="AX175" s="624"/>
      <c r="AY175" s="624"/>
      <c r="AZ175" s="624"/>
      <c r="BA175" s="624"/>
    </row>
    <row r="176" spans="2:53">
      <c r="B176" s="756"/>
      <c r="C176" s="624"/>
      <c r="D176" s="751"/>
      <c r="E176" s="751"/>
      <c r="F176" s="751"/>
      <c r="G176" s="751"/>
      <c r="H176" s="751"/>
      <c r="I176" s="624"/>
      <c r="J176" s="624"/>
      <c r="K176" s="750"/>
      <c r="L176" s="751"/>
      <c r="M176" s="751"/>
      <c r="N176" s="751"/>
      <c r="O176" s="750"/>
      <c r="P176" s="751"/>
      <c r="Q176" s="751"/>
      <c r="R176" s="751"/>
      <c r="S176" s="624"/>
      <c r="T176" s="751"/>
      <c r="U176" s="751"/>
      <c r="V176" s="751"/>
      <c r="W176" s="624"/>
      <c r="X176" s="751"/>
      <c r="Y176" s="751"/>
      <c r="Z176" s="751"/>
      <c r="AA176" s="750"/>
      <c r="AB176" s="751"/>
      <c r="AC176" s="661"/>
      <c r="AD176" s="661"/>
      <c r="AE176" s="624"/>
      <c r="AF176" s="751"/>
      <c r="AG176" s="751"/>
      <c r="AH176" s="751"/>
      <c r="AI176" s="624"/>
      <c r="AJ176" s="751"/>
      <c r="AK176" s="751"/>
      <c r="AL176" s="751"/>
      <c r="AM176" s="624"/>
      <c r="AN176" s="624"/>
      <c r="AO176" s="624"/>
      <c r="AP176" s="624"/>
      <c r="AQ176" s="737"/>
      <c r="AR176" s="753"/>
      <c r="AS176" s="753"/>
      <c r="AT176" s="753"/>
      <c r="AU176" s="624"/>
      <c r="AV176" s="624"/>
      <c r="AW176" s="624"/>
      <c r="AX176" s="624"/>
      <c r="AY176" s="624"/>
      <c r="AZ176" s="624"/>
      <c r="BA176" s="624"/>
    </row>
    <row r="177" spans="2:53">
      <c r="B177" s="756"/>
      <c r="C177" s="624"/>
      <c r="D177" s="751"/>
      <c r="E177" s="751"/>
      <c r="F177" s="751"/>
      <c r="G177" s="751"/>
      <c r="H177" s="751"/>
      <c r="I177" s="624"/>
      <c r="J177" s="624"/>
      <c r="K177" s="750"/>
      <c r="L177" s="751"/>
      <c r="M177" s="751"/>
      <c r="N177" s="751"/>
      <c r="O177" s="750"/>
      <c r="P177" s="751"/>
      <c r="Q177" s="751"/>
      <c r="R177" s="751"/>
      <c r="S177" s="624"/>
      <c r="T177" s="751"/>
      <c r="U177" s="751"/>
      <c r="V177" s="751"/>
      <c r="W177" s="624"/>
      <c r="X177" s="751"/>
      <c r="Y177" s="751"/>
      <c r="Z177" s="751"/>
      <c r="AA177" s="750"/>
      <c r="AB177" s="751"/>
      <c r="AC177" s="661"/>
      <c r="AD177" s="661"/>
      <c r="AE177" s="624"/>
      <c r="AF177" s="751"/>
      <c r="AG177" s="751"/>
      <c r="AH177" s="751"/>
      <c r="AI177" s="624"/>
      <c r="AJ177" s="751"/>
      <c r="AK177" s="751"/>
      <c r="AL177" s="751"/>
      <c r="AM177" s="624"/>
      <c r="AN177" s="624"/>
      <c r="AO177" s="624"/>
      <c r="AP177" s="624"/>
      <c r="AQ177" s="737"/>
      <c r="AR177" s="753"/>
      <c r="AS177" s="753"/>
      <c r="AT177" s="753"/>
      <c r="AU177" s="624"/>
      <c r="AV177" s="624"/>
      <c r="AW177" s="624"/>
      <c r="AX177" s="624"/>
      <c r="AY177" s="624"/>
      <c r="AZ177" s="624"/>
      <c r="BA177" s="624"/>
    </row>
    <row r="178" spans="2:53">
      <c r="B178" s="756"/>
      <c r="C178" s="624"/>
      <c r="D178" s="751"/>
      <c r="E178" s="751"/>
      <c r="F178" s="751"/>
      <c r="G178" s="751"/>
      <c r="H178" s="751"/>
      <c r="I178" s="624"/>
      <c r="J178" s="624"/>
      <c r="K178" s="750"/>
      <c r="L178" s="751"/>
      <c r="M178" s="751"/>
      <c r="N178" s="751"/>
      <c r="O178" s="750"/>
      <c r="P178" s="751"/>
      <c r="Q178" s="751"/>
      <c r="R178" s="751"/>
      <c r="S178" s="624"/>
      <c r="T178" s="751"/>
      <c r="U178" s="751"/>
      <c r="V178" s="751"/>
      <c r="W178" s="624"/>
      <c r="X178" s="751"/>
      <c r="Y178" s="751"/>
      <c r="Z178" s="751"/>
      <c r="AA178" s="750"/>
      <c r="AB178" s="751"/>
      <c r="AC178" s="661"/>
      <c r="AD178" s="661"/>
      <c r="AE178" s="624"/>
      <c r="AF178" s="751"/>
      <c r="AG178" s="751"/>
      <c r="AH178" s="751"/>
      <c r="AI178" s="624"/>
      <c r="AJ178" s="751"/>
      <c r="AK178" s="751"/>
      <c r="AL178" s="751"/>
      <c r="AM178" s="624"/>
      <c r="AN178" s="624"/>
      <c r="AO178" s="624"/>
      <c r="AP178" s="624"/>
      <c r="AQ178" s="737"/>
      <c r="AR178" s="753"/>
      <c r="AS178" s="753"/>
      <c r="AT178" s="753"/>
      <c r="AU178" s="624"/>
      <c r="AV178" s="624"/>
      <c r="AW178" s="624"/>
      <c r="AX178" s="624"/>
      <c r="AY178" s="624"/>
      <c r="AZ178" s="624"/>
      <c r="BA178" s="624"/>
    </row>
    <row r="179" spans="2:53">
      <c r="B179" s="756"/>
      <c r="C179" s="624"/>
      <c r="D179" s="751"/>
      <c r="E179" s="751"/>
      <c r="F179" s="751"/>
      <c r="G179" s="751"/>
      <c r="H179" s="751"/>
      <c r="I179" s="624"/>
      <c r="J179" s="624"/>
      <c r="K179" s="750"/>
      <c r="L179" s="751"/>
      <c r="M179" s="751"/>
      <c r="N179" s="751"/>
      <c r="O179" s="750"/>
      <c r="P179" s="751"/>
      <c r="Q179" s="751"/>
      <c r="R179" s="751"/>
      <c r="S179" s="624"/>
      <c r="T179" s="751"/>
      <c r="U179" s="751"/>
      <c r="V179" s="751"/>
      <c r="W179" s="624"/>
      <c r="X179" s="751"/>
      <c r="Y179" s="751"/>
      <c r="Z179" s="751"/>
      <c r="AA179" s="750"/>
      <c r="AB179" s="751"/>
      <c r="AC179" s="661"/>
      <c r="AD179" s="661"/>
      <c r="AE179" s="624"/>
      <c r="AF179" s="751"/>
      <c r="AG179" s="751"/>
      <c r="AH179" s="751"/>
      <c r="AI179" s="624"/>
      <c r="AJ179" s="751"/>
      <c r="AK179" s="751"/>
      <c r="AL179" s="751"/>
      <c r="AM179" s="624"/>
      <c r="AN179" s="624"/>
      <c r="AO179" s="624"/>
      <c r="AP179" s="624"/>
      <c r="AQ179" s="737"/>
      <c r="AR179" s="753"/>
      <c r="AS179" s="753"/>
      <c r="AT179" s="753"/>
      <c r="AU179" s="624"/>
      <c r="AV179" s="624"/>
      <c r="AW179" s="624"/>
      <c r="AX179" s="624"/>
      <c r="AY179" s="624"/>
      <c r="AZ179" s="624"/>
      <c r="BA179" s="624"/>
    </row>
    <row r="180" spans="2:53">
      <c r="B180" s="756"/>
      <c r="C180" s="624"/>
      <c r="D180" s="751"/>
      <c r="E180" s="751"/>
      <c r="F180" s="751"/>
      <c r="G180" s="751"/>
      <c r="H180" s="751"/>
      <c r="I180" s="624"/>
      <c r="J180" s="624"/>
      <c r="K180" s="750"/>
      <c r="L180" s="751"/>
      <c r="M180" s="751"/>
      <c r="N180" s="751"/>
      <c r="O180" s="750"/>
      <c r="P180" s="751"/>
      <c r="Q180" s="751"/>
      <c r="R180" s="751"/>
      <c r="S180" s="624"/>
      <c r="T180" s="751"/>
      <c r="U180" s="751"/>
      <c r="V180" s="751"/>
      <c r="W180" s="624"/>
      <c r="X180" s="751"/>
      <c r="Y180" s="751"/>
      <c r="Z180" s="751"/>
      <c r="AA180" s="750"/>
      <c r="AB180" s="751"/>
      <c r="AC180" s="661"/>
      <c r="AD180" s="661"/>
      <c r="AE180" s="624"/>
      <c r="AF180" s="751"/>
      <c r="AG180" s="751"/>
      <c r="AH180" s="751"/>
      <c r="AI180" s="624"/>
      <c r="AJ180" s="751"/>
      <c r="AK180" s="751"/>
      <c r="AL180" s="751"/>
      <c r="AM180" s="624"/>
      <c r="AN180" s="624"/>
      <c r="AO180" s="624"/>
      <c r="AP180" s="624"/>
      <c r="AQ180" s="737"/>
      <c r="AR180" s="753"/>
      <c r="AS180" s="753"/>
      <c r="AT180" s="753"/>
      <c r="AU180" s="624"/>
      <c r="AV180" s="624"/>
      <c r="AW180" s="624"/>
      <c r="AX180" s="624"/>
      <c r="AY180" s="624"/>
      <c r="AZ180" s="624"/>
      <c r="BA180" s="624"/>
    </row>
    <row r="181" spans="2:53">
      <c r="B181" s="756"/>
      <c r="C181" s="624"/>
      <c r="D181" s="751"/>
      <c r="E181" s="751"/>
      <c r="F181" s="751"/>
      <c r="G181" s="751"/>
      <c r="H181" s="751"/>
      <c r="I181" s="624"/>
      <c r="J181" s="624"/>
      <c r="K181" s="750"/>
      <c r="L181" s="751"/>
      <c r="M181" s="751"/>
      <c r="N181" s="751"/>
      <c r="O181" s="750"/>
      <c r="P181" s="751"/>
      <c r="Q181" s="751"/>
      <c r="R181" s="751"/>
      <c r="S181" s="624"/>
      <c r="T181" s="751"/>
      <c r="U181" s="751"/>
      <c r="V181" s="751"/>
      <c r="W181" s="624"/>
      <c r="X181" s="751"/>
      <c r="Y181" s="751"/>
      <c r="Z181" s="751"/>
      <c r="AA181" s="750"/>
      <c r="AB181" s="751"/>
      <c r="AC181" s="661"/>
      <c r="AD181" s="661"/>
      <c r="AE181" s="624"/>
      <c r="AF181" s="751"/>
      <c r="AG181" s="751"/>
      <c r="AH181" s="751"/>
      <c r="AI181" s="624"/>
      <c r="AJ181" s="751"/>
      <c r="AK181" s="751"/>
      <c r="AL181" s="751"/>
      <c r="AM181" s="624"/>
      <c r="AN181" s="624"/>
      <c r="AO181" s="624"/>
      <c r="AP181" s="624"/>
      <c r="AQ181" s="737"/>
      <c r="AR181" s="753"/>
      <c r="AS181" s="753"/>
      <c r="AT181" s="753"/>
      <c r="AU181" s="624"/>
      <c r="AV181" s="624"/>
      <c r="AW181" s="624"/>
      <c r="AX181" s="624"/>
      <c r="AY181" s="624"/>
      <c r="AZ181" s="624"/>
      <c r="BA181" s="624"/>
    </row>
    <row r="182" spans="2:53">
      <c r="B182" s="756"/>
      <c r="C182" s="624"/>
      <c r="D182" s="751"/>
      <c r="E182" s="751"/>
      <c r="F182" s="751"/>
      <c r="G182" s="751"/>
      <c r="H182" s="751"/>
      <c r="I182" s="624"/>
      <c r="J182" s="624"/>
      <c r="K182" s="750"/>
      <c r="L182" s="751"/>
      <c r="M182" s="751"/>
      <c r="N182" s="751"/>
      <c r="O182" s="750"/>
      <c r="P182" s="751"/>
      <c r="Q182" s="751"/>
      <c r="R182" s="751"/>
      <c r="S182" s="624"/>
      <c r="T182" s="751"/>
      <c r="U182" s="751"/>
      <c r="V182" s="751"/>
      <c r="W182" s="624"/>
      <c r="X182" s="751"/>
      <c r="Y182" s="751"/>
      <c r="Z182" s="751"/>
      <c r="AA182" s="750"/>
      <c r="AB182" s="751"/>
      <c r="AC182" s="661"/>
      <c r="AD182" s="661"/>
      <c r="AE182" s="624"/>
      <c r="AF182" s="751"/>
      <c r="AG182" s="751"/>
      <c r="AH182" s="751"/>
      <c r="AI182" s="624"/>
      <c r="AJ182" s="751"/>
      <c r="AK182" s="751"/>
      <c r="AL182" s="751"/>
      <c r="AM182" s="624"/>
      <c r="AN182" s="624"/>
      <c r="AO182" s="624"/>
      <c r="AP182" s="624"/>
      <c r="AQ182" s="737"/>
      <c r="AR182" s="753"/>
      <c r="AS182" s="753"/>
      <c r="AT182" s="753"/>
      <c r="AU182" s="624"/>
      <c r="AV182" s="624"/>
      <c r="AW182" s="624"/>
      <c r="AX182" s="624"/>
      <c r="AY182" s="624"/>
      <c r="AZ182" s="624"/>
      <c r="BA182" s="624"/>
    </row>
    <row r="183" spans="2:53">
      <c r="B183" s="756"/>
      <c r="C183" s="624"/>
      <c r="D183" s="751"/>
      <c r="E183" s="751"/>
      <c r="F183" s="751"/>
      <c r="G183" s="751"/>
      <c r="H183" s="751"/>
      <c r="I183" s="624"/>
      <c r="J183" s="624"/>
      <c r="K183" s="750"/>
      <c r="L183" s="751"/>
      <c r="M183" s="751"/>
      <c r="N183" s="751"/>
      <c r="O183" s="750"/>
      <c r="P183" s="751"/>
      <c r="Q183" s="751"/>
      <c r="R183" s="751"/>
      <c r="S183" s="624"/>
      <c r="T183" s="751"/>
      <c r="U183" s="751"/>
      <c r="V183" s="751"/>
      <c r="W183" s="624"/>
      <c r="X183" s="751"/>
      <c r="Y183" s="751"/>
      <c r="Z183" s="751"/>
      <c r="AA183" s="750"/>
      <c r="AB183" s="751"/>
      <c r="AC183" s="661"/>
      <c r="AD183" s="661"/>
      <c r="AE183" s="624"/>
      <c r="AF183" s="751"/>
      <c r="AG183" s="751"/>
      <c r="AH183" s="751"/>
      <c r="AI183" s="624"/>
      <c r="AJ183" s="751"/>
      <c r="AK183" s="751"/>
      <c r="AL183" s="751"/>
      <c r="AM183" s="624"/>
      <c r="AN183" s="624"/>
      <c r="AO183" s="624"/>
      <c r="AP183" s="624"/>
      <c r="AQ183" s="737"/>
      <c r="AR183" s="753"/>
      <c r="AS183" s="753"/>
      <c r="AT183" s="753"/>
      <c r="AU183" s="624"/>
      <c r="AV183" s="624"/>
      <c r="AW183" s="624"/>
      <c r="AX183" s="624"/>
      <c r="AY183" s="624"/>
      <c r="AZ183" s="624"/>
      <c r="BA183" s="624"/>
    </row>
    <row r="184" spans="2:53">
      <c r="B184" s="756"/>
      <c r="C184" s="624"/>
      <c r="D184" s="751"/>
      <c r="E184" s="751"/>
      <c r="F184" s="751"/>
      <c r="G184" s="751"/>
      <c r="H184" s="751"/>
      <c r="I184" s="624"/>
      <c r="J184" s="624"/>
      <c r="K184" s="750"/>
      <c r="L184" s="751"/>
      <c r="M184" s="751"/>
      <c r="N184" s="751"/>
      <c r="O184" s="750"/>
      <c r="P184" s="751"/>
      <c r="Q184" s="751"/>
      <c r="R184" s="751"/>
      <c r="S184" s="624"/>
      <c r="T184" s="751"/>
      <c r="U184" s="751"/>
      <c r="V184" s="751"/>
      <c r="W184" s="624"/>
      <c r="X184" s="751"/>
      <c r="Y184" s="751"/>
      <c r="Z184" s="751"/>
      <c r="AA184" s="750"/>
      <c r="AB184" s="751"/>
      <c r="AC184" s="661"/>
      <c r="AD184" s="661"/>
      <c r="AE184" s="624"/>
      <c r="AF184" s="751"/>
      <c r="AG184" s="751"/>
      <c r="AH184" s="751"/>
      <c r="AI184" s="624"/>
      <c r="AJ184" s="751"/>
      <c r="AK184" s="751"/>
      <c r="AL184" s="751"/>
      <c r="AM184" s="624"/>
      <c r="AN184" s="624"/>
      <c r="AO184" s="624"/>
      <c r="AP184" s="624"/>
      <c r="AQ184" s="737"/>
      <c r="AR184" s="753"/>
      <c r="AS184" s="753"/>
      <c r="AT184" s="753"/>
      <c r="AU184" s="624"/>
      <c r="AV184" s="624"/>
      <c r="AW184" s="624"/>
      <c r="AX184" s="624"/>
      <c r="AY184" s="624"/>
      <c r="AZ184" s="624"/>
      <c r="BA184" s="624"/>
    </row>
    <row r="185" spans="2:53">
      <c r="B185" s="756"/>
      <c r="C185" s="624"/>
      <c r="D185" s="751"/>
      <c r="E185" s="751"/>
      <c r="F185" s="751"/>
      <c r="G185" s="751"/>
      <c r="H185" s="751"/>
      <c r="I185" s="624"/>
      <c r="J185" s="624"/>
      <c r="K185" s="750"/>
      <c r="L185" s="751"/>
      <c r="M185" s="751"/>
      <c r="N185" s="751"/>
      <c r="O185" s="750"/>
      <c r="P185" s="751"/>
      <c r="Q185" s="751"/>
      <c r="R185" s="751"/>
      <c r="S185" s="624"/>
      <c r="T185" s="751"/>
      <c r="U185" s="751"/>
      <c r="V185" s="751"/>
      <c r="W185" s="624"/>
      <c r="X185" s="751"/>
      <c r="Y185" s="751"/>
      <c r="Z185" s="751"/>
      <c r="AA185" s="750"/>
      <c r="AB185" s="751"/>
      <c r="AC185" s="661"/>
      <c r="AD185" s="661"/>
      <c r="AE185" s="624"/>
      <c r="AF185" s="751"/>
      <c r="AG185" s="751"/>
      <c r="AH185" s="751"/>
      <c r="AI185" s="624"/>
      <c r="AJ185" s="751"/>
      <c r="AK185" s="751"/>
      <c r="AL185" s="751"/>
      <c r="AM185" s="624"/>
      <c r="AN185" s="624"/>
      <c r="AO185" s="624"/>
      <c r="AP185" s="624"/>
      <c r="AQ185" s="737"/>
      <c r="AR185" s="753"/>
      <c r="AS185" s="753"/>
      <c r="AT185" s="753"/>
      <c r="AU185" s="624"/>
      <c r="AV185" s="624"/>
      <c r="AW185" s="624"/>
      <c r="AX185" s="624"/>
      <c r="AY185" s="624"/>
      <c r="AZ185" s="624"/>
      <c r="BA185" s="624"/>
    </row>
    <row r="186" spans="2:53">
      <c r="B186" s="756"/>
      <c r="C186" s="624"/>
      <c r="D186" s="751"/>
      <c r="E186" s="751"/>
      <c r="F186" s="751"/>
      <c r="G186" s="751"/>
      <c r="H186" s="751"/>
      <c r="I186" s="624"/>
      <c r="J186" s="624"/>
      <c r="K186" s="750"/>
      <c r="L186" s="751"/>
      <c r="M186" s="751"/>
      <c r="N186" s="751"/>
      <c r="O186" s="750"/>
      <c r="P186" s="751"/>
      <c r="Q186" s="751"/>
      <c r="R186" s="751"/>
      <c r="S186" s="624"/>
      <c r="T186" s="751"/>
      <c r="U186" s="751"/>
      <c r="V186" s="751"/>
      <c r="W186" s="624"/>
      <c r="X186" s="751"/>
      <c r="Y186" s="751"/>
      <c r="Z186" s="751"/>
      <c r="AA186" s="750"/>
      <c r="AB186" s="751"/>
      <c r="AC186" s="661"/>
      <c r="AD186" s="661"/>
      <c r="AE186" s="624"/>
      <c r="AF186" s="751"/>
      <c r="AG186" s="751"/>
      <c r="AH186" s="751"/>
      <c r="AI186" s="624"/>
      <c r="AJ186" s="751"/>
      <c r="AK186" s="751"/>
      <c r="AL186" s="751"/>
      <c r="AM186" s="624"/>
      <c r="AN186" s="624"/>
      <c r="AO186" s="624"/>
      <c r="AP186" s="624"/>
      <c r="AQ186" s="737"/>
      <c r="AR186" s="753"/>
      <c r="AS186" s="753"/>
      <c r="AT186" s="753"/>
      <c r="AU186" s="624"/>
      <c r="AV186" s="624"/>
      <c r="AW186" s="624"/>
      <c r="AX186" s="624"/>
      <c r="AY186" s="624"/>
      <c r="AZ186" s="624"/>
      <c r="BA186" s="624"/>
    </row>
    <row r="187" spans="2:53">
      <c r="B187" s="756"/>
      <c r="C187" s="624"/>
      <c r="D187" s="751"/>
      <c r="E187" s="751"/>
      <c r="F187" s="751"/>
      <c r="G187" s="751"/>
      <c r="H187" s="751"/>
      <c r="I187" s="624"/>
      <c r="J187" s="624"/>
      <c r="K187" s="750"/>
      <c r="L187" s="751"/>
      <c r="M187" s="751"/>
      <c r="N187" s="751"/>
      <c r="O187" s="750"/>
      <c r="P187" s="751"/>
      <c r="Q187" s="751"/>
      <c r="R187" s="751"/>
      <c r="S187" s="624"/>
      <c r="T187" s="751"/>
      <c r="U187" s="751"/>
      <c r="V187" s="751"/>
      <c r="W187" s="624"/>
      <c r="X187" s="751"/>
      <c r="Y187" s="751"/>
      <c r="Z187" s="751"/>
      <c r="AA187" s="750"/>
      <c r="AB187" s="751"/>
      <c r="AC187" s="661"/>
      <c r="AD187" s="661"/>
      <c r="AE187" s="624"/>
      <c r="AF187" s="751"/>
      <c r="AG187" s="751"/>
      <c r="AH187" s="751"/>
      <c r="AI187" s="624"/>
      <c r="AJ187" s="751"/>
      <c r="AK187" s="751"/>
      <c r="AL187" s="751"/>
      <c r="AM187" s="624"/>
      <c r="AN187" s="624"/>
      <c r="AO187" s="624"/>
      <c r="AP187" s="624"/>
      <c r="AQ187" s="737"/>
      <c r="AR187" s="753"/>
      <c r="AS187" s="753"/>
      <c r="AT187" s="753"/>
      <c r="AU187" s="624"/>
      <c r="AV187" s="624"/>
      <c r="AW187" s="624"/>
      <c r="AX187" s="624"/>
      <c r="AY187" s="624"/>
      <c r="AZ187" s="624"/>
      <c r="BA187" s="624"/>
    </row>
    <row r="188" spans="2:53">
      <c r="B188" s="756"/>
      <c r="C188" s="624"/>
      <c r="D188" s="751"/>
      <c r="E188" s="751"/>
      <c r="F188" s="751"/>
      <c r="G188" s="751"/>
      <c r="H188" s="751"/>
      <c r="I188" s="624"/>
      <c r="J188" s="624"/>
      <c r="K188" s="750"/>
      <c r="L188" s="751"/>
      <c r="M188" s="751"/>
      <c r="N188" s="751"/>
      <c r="O188" s="750"/>
      <c r="P188" s="751"/>
      <c r="Q188" s="751"/>
      <c r="R188" s="751"/>
      <c r="S188" s="624"/>
      <c r="T188" s="751"/>
      <c r="U188" s="751"/>
      <c r="V188" s="751"/>
      <c r="W188" s="624"/>
      <c r="X188" s="751"/>
      <c r="Y188" s="751"/>
      <c r="Z188" s="751"/>
      <c r="AA188" s="750"/>
      <c r="AB188" s="751"/>
      <c r="AC188" s="661"/>
      <c r="AD188" s="661"/>
      <c r="AE188" s="624"/>
      <c r="AF188" s="751"/>
      <c r="AG188" s="751"/>
      <c r="AH188" s="751"/>
      <c r="AI188" s="624"/>
      <c r="AJ188" s="751"/>
      <c r="AK188" s="751"/>
      <c r="AL188" s="751"/>
      <c r="AM188" s="624"/>
      <c r="AN188" s="624"/>
      <c r="AO188" s="624"/>
      <c r="AP188" s="624"/>
      <c r="AQ188" s="737"/>
      <c r="AR188" s="753"/>
      <c r="AS188" s="753"/>
      <c r="AT188" s="753"/>
      <c r="AU188" s="624"/>
      <c r="AV188" s="624"/>
      <c r="AW188" s="624"/>
      <c r="AX188" s="624"/>
      <c r="AY188" s="624"/>
      <c r="AZ188" s="624"/>
      <c r="BA188" s="624"/>
    </row>
    <row r="189" spans="2:53">
      <c r="B189" s="756"/>
      <c r="C189" s="624"/>
      <c r="D189" s="751"/>
      <c r="E189" s="751"/>
      <c r="F189" s="751"/>
      <c r="G189" s="751"/>
      <c r="H189" s="751"/>
      <c r="I189" s="624"/>
      <c r="J189" s="624"/>
      <c r="K189" s="750"/>
      <c r="L189" s="751"/>
      <c r="M189" s="751"/>
      <c r="N189" s="751"/>
      <c r="O189" s="750"/>
      <c r="P189" s="751"/>
      <c r="Q189" s="751"/>
      <c r="R189" s="751"/>
      <c r="S189" s="624"/>
      <c r="T189" s="751"/>
      <c r="U189" s="751"/>
      <c r="V189" s="751"/>
      <c r="W189" s="624"/>
      <c r="X189" s="751"/>
      <c r="Y189" s="751"/>
      <c r="Z189" s="751"/>
      <c r="AA189" s="750"/>
      <c r="AB189" s="751"/>
      <c r="AC189" s="661"/>
      <c r="AD189" s="661"/>
      <c r="AE189" s="624"/>
      <c r="AF189" s="751"/>
      <c r="AG189" s="751"/>
      <c r="AH189" s="751"/>
      <c r="AI189" s="624"/>
      <c r="AJ189" s="751"/>
      <c r="AK189" s="751"/>
      <c r="AL189" s="751"/>
      <c r="AM189" s="624"/>
      <c r="AN189" s="624"/>
      <c r="AO189" s="624"/>
      <c r="AP189" s="624"/>
      <c r="AQ189" s="737"/>
      <c r="AR189" s="753"/>
      <c r="AS189" s="753"/>
      <c r="AT189" s="753"/>
      <c r="AU189" s="624"/>
      <c r="AV189" s="624"/>
      <c r="AW189" s="624"/>
      <c r="AX189" s="624"/>
      <c r="AY189" s="624"/>
      <c r="AZ189" s="624"/>
      <c r="BA189" s="624"/>
    </row>
    <row r="190" spans="2:53">
      <c r="B190" s="756"/>
      <c r="C190" s="624"/>
      <c r="D190" s="751"/>
      <c r="E190" s="751"/>
      <c r="F190" s="751"/>
      <c r="G190" s="751"/>
      <c r="H190" s="751"/>
      <c r="I190" s="624"/>
      <c r="J190" s="624"/>
      <c r="K190" s="750"/>
      <c r="L190" s="751"/>
      <c r="M190" s="751"/>
      <c r="N190" s="751"/>
      <c r="O190" s="750"/>
      <c r="P190" s="751"/>
      <c r="Q190" s="751"/>
      <c r="R190" s="751"/>
      <c r="S190" s="624"/>
      <c r="T190" s="751"/>
      <c r="U190" s="751"/>
      <c r="V190" s="751"/>
      <c r="W190" s="624"/>
      <c r="X190" s="751"/>
      <c r="Y190" s="751"/>
      <c r="Z190" s="751"/>
      <c r="AA190" s="750"/>
      <c r="AB190" s="751"/>
      <c r="AC190" s="661"/>
      <c r="AD190" s="661"/>
      <c r="AE190" s="624"/>
      <c r="AF190" s="751"/>
      <c r="AG190" s="751"/>
      <c r="AH190" s="751"/>
      <c r="AI190" s="624"/>
      <c r="AJ190" s="751"/>
      <c r="AK190" s="751"/>
      <c r="AL190" s="751"/>
      <c r="AM190" s="624"/>
      <c r="AN190" s="624"/>
      <c r="AO190" s="624"/>
      <c r="AP190" s="624"/>
      <c r="AQ190" s="737"/>
      <c r="AR190" s="753"/>
      <c r="AS190" s="753"/>
      <c r="AT190" s="753"/>
      <c r="AU190" s="624"/>
      <c r="AV190" s="624"/>
      <c r="AW190" s="624"/>
      <c r="AX190" s="624"/>
      <c r="AY190" s="624"/>
      <c r="AZ190" s="624"/>
      <c r="BA190" s="624"/>
    </row>
    <row r="191" spans="2:53">
      <c r="B191" s="756"/>
      <c r="C191" s="624"/>
      <c r="D191" s="751"/>
      <c r="E191" s="751"/>
      <c r="F191" s="751"/>
      <c r="G191" s="751"/>
      <c r="H191" s="751"/>
      <c r="I191" s="624"/>
      <c r="J191" s="624"/>
      <c r="K191" s="750"/>
      <c r="L191" s="751"/>
      <c r="M191" s="751"/>
      <c r="N191" s="751"/>
      <c r="O191" s="750"/>
      <c r="P191" s="751"/>
      <c r="Q191" s="751"/>
      <c r="R191" s="751"/>
      <c r="S191" s="624"/>
      <c r="T191" s="751"/>
      <c r="U191" s="751"/>
      <c r="V191" s="751"/>
      <c r="W191" s="624"/>
      <c r="X191" s="751"/>
      <c r="Y191" s="751"/>
      <c r="Z191" s="751"/>
      <c r="AA191" s="750"/>
      <c r="AB191" s="751"/>
      <c r="AC191" s="661"/>
      <c r="AD191" s="661"/>
      <c r="AE191" s="624"/>
      <c r="AF191" s="751"/>
      <c r="AG191" s="751"/>
      <c r="AH191" s="751"/>
      <c r="AI191" s="624"/>
      <c r="AJ191" s="751"/>
      <c r="AK191" s="751"/>
      <c r="AL191" s="751"/>
      <c r="AM191" s="624"/>
      <c r="AN191" s="624"/>
      <c r="AO191" s="624"/>
      <c r="AP191" s="624"/>
      <c r="AQ191" s="737"/>
      <c r="AR191" s="753"/>
      <c r="AS191" s="753"/>
      <c r="AT191" s="753"/>
      <c r="AU191" s="624"/>
      <c r="AV191" s="624"/>
      <c r="AW191" s="624"/>
      <c r="AX191" s="624"/>
      <c r="AY191" s="624"/>
      <c r="AZ191" s="624"/>
      <c r="BA191" s="624"/>
    </row>
  </sheetData>
  <dataConsolidate/>
  <mergeCells count="41">
    <mergeCell ref="AY19:AZ19"/>
    <mergeCell ref="C3:F3"/>
    <mergeCell ref="G3:J3"/>
    <mergeCell ref="K3:N3"/>
    <mergeCell ref="O3:R3"/>
    <mergeCell ref="S3:V3"/>
    <mergeCell ref="W3:Z3"/>
    <mergeCell ref="AA3:AD3"/>
    <mergeCell ref="AE3:AH3"/>
    <mergeCell ref="AI3:AL3"/>
    <mergeCell ref="AM3:AP3"/>
    <mergeCell ref="AQ3:AT3"/>
    <mergeCell ref="AU3:AU4"/>
    <mergeCell ref="B3:B4"/>
    <mergeCell ref="B2:AR2"/>
    <mergeCell ref="BB2:BL2"/>
    <mergeCell ref="AV3:AV4"/>
    <mergeCell ref="BB3:BB4"/>
    <mergeCell ref="AW3:AZ3"/>
    <mergeCell ref="BB32:BN32"/>
    <mergeCell ref="BI19:BL19"/>
    <mergeCell ref="BI3:BI4"/>
    <mergeCell ref="BJ3:BJ4"/>
    <mergeCell ref="BK3:BK4"/>
    <mergeCell ref="BB20:BH20"/>
    <mergeCell ref="BI20:BL20"/>
    <mergeCell ref="BL3:BL4"/>
    <mergeCell ref="BB19:BH19"/>
    <mergeCell ref="BB21:BH21"/>
    <mergeCell ref="BI21:BL21"/>
    <mergeCell ref="BN33:BN34"/>
    <mergeCell ref="BC33:BD33"/>
    <mergeCell ref="BE33:BF33"/>
    <mergeCell ref="BG33:BH33"/>
    <mergeCell ref="BI33:BJ33"/>
    <mergeCell ref="BK33:BL33"/>
    <mergeCell ref="BB48:BH48"/>
    <mergeCell ref="BI48:BL48"/>
    <mergeCell ref="BB49:BH49"/>
    <mergeCell ref="BI49:BL49"/>
    <mergeCell ref="BB33:BB34"/>
  </mergeCells>
  <conditionalFormatting sqref="AM5:AM10 AM12:AM15">
    <cfRule type="dataBar" priority="22">
      <dataBar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{C501CE93-F1F9-4D3F-9CC5-9D524B2A106E}</x14:id>
        </ext>
      </extLst>
    </cfRule>
  </conditionalFormatting>
  <conditionalFormatting sqref="AJ5:AJ10 AJ12:AJ15">
    <cfRule type="dataBar" priority="18">
      <dataBar>
        <cfvo type="min" val="0"/>
        <cfvo type="max" val="0"/>
        <color rgb="FF63C384"/>
      </dataBar>
    </cfRule>
  </conditionalFormatting>
  <conditionalFormatting sqref="AM5:AM10 AM12:AM15">
    <cfRule type="dataBar" priority="10">
      <dataBar>
        <cfvo type="min" val="0"/>
        <cfvo type="max" val="0"/>
        <color rgb="FF63C384"/>
      </dataBar>
    </cfRule>
  </conditionalFormatting>
  <conditionalFormatting sqref="AV5:AV10 AV12:AV15">
    <cfRule type="dataBar" priority="7">
      <dataBar>
        <cfvo type="min" val="0"/>
        <cfvo type="max" val="0"/>
        <color rgb="FF63C384"/>
      </dataBar>
    </cfRule>
  </conditionalFormatting>
  <conditionalFormatting sqref="BJ12:BJ15 BJ5:BJ10">
    <cfRule type="dataBar" priority="6">
      <dataBar>
        <cfvo type="min" val="0"/>
        <cfvo type="max" val="0"/>
        <color rgb="FF63C384"/>
      </dataBar>
    </cfRule>
  </conditionalFormatting>
  <conditionalFormatting sqref="AU5:AU18">
    <cfRule type="dataBar" priority="4">
      <dataBar>
        <cfvo type="min" val="0"/>
        <cfvo type="max" val="0"/>
        <color rgb="FFFF555A"/>
      </dataBar>
    </cfRule>
  </conditionalFormatting>
  <conditionalFormatting sqref="AJ23:AJ25 AJ27">
    <cfRule type="dataBar" priority="27">
      <dataBar>
        <cfvo type="min" val="0"/>
        <cfvo type="max" val="0"/>
        <color rgb="FF63C384"/>
      </dataBar>
    </cfRule>
  </conditionalFormatting>
  <pageMargins left="0.11811023622047245" right="0.15748031496062992" top="0.39370078740157483" bottom="0.23622047244094491" header="0.31496062992125984" footer="0.31496062992125984"/>
  <pageSetup paperSize="9" scale="95" orientation="landscape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01CE93-F1F9-4D3F-9CC5-9D524B2A10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AM5:AM10 AM12:AM15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>
  <dimension ref="A1:BI80"/>
  <sheetViews>
    <sheetView showGridLines="0" zoomScale="59" zoomScaleNormal="59" workbookViewId="0">
      <pane xSplit="9" topLeftCell="AI1" activePane="topRight" state="frozen"/>
      <selection activeCell="H1" sqref="H1"/>
      <selection pane="topRight" activeCell="AI36" sqref="AI36"/>
    </sheetView>
  </sheetViews>
  <sheetFormatPr defaultColWidth="9.140625" defaultRowHeight="15"/>
  <cols>
    <col min="1" max="2" width="9.140625" style="23" hidden="1" customWidth="1"/>
    <col min="3" max="3" width="14.5703125" style="23" hidden="1" customWidth="1"/>
    <col min="4" max="4" width="11.42578125" style="27" hidden="1" customWidth="1"/>
    <col min="5" max="5" width="6.85546875" style="27" hidden="1" customWidth="1"/>
    <col min="6" max="6" width="9.140625" style="27" hidden="1" customWidth="1"/>
    <col min="7" max="7" width="3.42578125" style="23" hidden="1" customWidth="1"/>
    <col min="8" max="8" width="6.140625" style="23" customWidth="1"/>
    <col min="9" max="9" width="15.28515625" style="27" bestFit="1" customWidth="1"/>
    <col min="10" max="10" width="11.5703125" style="26" customWidth="1"/>
    <col min="11" max="11" width="10.5703125" style="24" customWidth="1"/>
    <col min="12" max="13" width="12.85546875" style="24" customWidth="1"/>
    <col min="14" max="14" width="10.5703125" style="26" customWidth="1"/>
    <col min="15" max="15" width="10.28515625" style="24" customWidth="1"/>
    <col min="16" max="17" width="10.5703125" style="24" customWidth="1"/>
    <col min="18" max="18" width="8.5703125" style="26" customWidth="1"/>
    <col min="19" max="19" width="11.5703125" style="24" customWidth="1"/>
    <col min="20" max="20" width="14" style="24" bestFit="1" customWidth="1"/>
    <col min="21" max="21" width="11.5703125" style="24" bestFit="1" customWidth="1"/>
    <col min="22" max="22" width="13.7109375" style="26" bestFit="1" customWidth="1"/>
    <col min="23" max="23" width="11" style="24" bestFit="1" customWidth="1"/>
    <col min="24" max="24" width="13" style="24" customWidth="1"/>
    <col min="25" max="25" width="9.7109375" style="24" customWidth="1"/>
    <col min="26" max="26" width="11" style="26" customWidth="1"/>
    <col min="27" max="27" width="12.42578125" style="24" customWidth="1"/>
    <col min="28" max="29" width="11.85546875" style="24" customWidth="1"/>
    <col min="30" max="30" width="11" style="26" bestFit="1" customWidth="1"/>
    <col min="31" max="31" width="11.7109375" style="24" bestFit="1" customWidth="1"/>
    <col min="32" max="32" width="10.5703125" style="24" bestFit="1" customWidth="1"/>
    <col min="33" max="33" width="10.5703125" style="24" customWidth="1"/>
    <col min="34" max="34" width="11.5703125" style="26" bestFit="1" customWidth="1"/>
    <col min="35" max="35" width="13.5703125" style="24" customWidth="1"/>
    <col min="36" max="37" width="11.5703125" style="24" customWidth="1"/>
    <col min="38" max="38" width="10.5703125" style="49" customWidth="1"/>
    <col min="39" max="39" width="11.7109375" style="24" bestFit="1" customWidth="1"/>
    <col min="40" max="40" width="12" style="24" bestFit="1" customWidth="1"/>
    <col min="41" max="41" width="12" style="24" customWidth="1"/>
    <col min="42" max="42" width="8.42578125" style="26" customWidth="1"/>
    <col min="43" max="43" width="10" style="24" bestFit="1" customWidth="1"/>
    <col min="44" max="44" width="13.85546875" style="24" bestFit="1" customWidth="1"/>
    <col min="45" max="45" width="13.85546875" style="24" customWidth="1"/>
    <col min="46" max="46" width="11.7109375" style="26" customWidth="1"/>
    <col min="47" max="47" width="11.7109375" style="24" customWidth="1"/>
    <col min="48" max="48" width="10.5703125" style="24" bestFit="1" customWidth="1"/>
    <col min="49" max="49" width="10.5703125" style="24" customWidth="1"/>
    <col min="50" max="50" width="9.140625" style="26" bestFit="1" customWidth="1"/>
    <col min="51" max="51" width="9.140625" style="50" bestFit="1" customWidth="1"/>
    <col min="52" max="52" width="10.5703125" style="50" bestFit="1" customWidth="1"/>
    <col min="53" max="53" width="10.5703125" style="50" customWidth="1"/>
    <col min="54" max="54" width="10.7109375" style="26" bestFit="1" customWidth="1"/>
    <col min="55" max="55" width="12.85546875" style="24" bestFit="1" customWidth="1"/>
    <col min="56" max="56" width="10.5703125" style="24" bestFit="1" customWidth="1"/>
    <col min="57" max="57" width="10.5703125" style="24" customWidth="1"/>
    <col min="58" max="58" width="16" style="25" bestFit="1" customWidth="1"/>
    <col min="59" max="59" width="10.7109375" style="24" bestFit="1" customWidth="1"/>
    <col min="60" max="60" width="13" style="23" bestFit="1" customWidth="1"/>
    <col min="61" max="61" width="9.140625" style="23"/>
    <col min="62" max="62" width="9.28515625" style="23" bestFit="1" customWidth="1"/>
    <col min="63" max="16384" width="9.140625" style="23"/>
  </cols>
  <sheetData>
    <row r="1" spans="3:61" ht="15" customHeight="1" thickBot="1"/>
    <row r="2" spans="3:61" ht="21.75" thickBot="1">
      <c r="C2" s="1899" t="s">
        <v>45</v>
      </c>
      <c r="D2" s="1900"/>
      <c r="E2" s="1900"/>
      <c r="F2" s="1901"/>
      <c r="H2" s="1915"/>
      <c r="I2" s="1567"/>
      <c r="J2" s="1567"/>
      <c r="K2" s="1567"/>
      <c r="L2" s="1020"/>
      <c r="M2" s="1020"/>
      <c r="N2" s="1916" t="s">
        <v>249</v>
      </c>
      <c r="O2" s="1916"/>
      <c r="P2" s="1916"/>
      <c r="Q2" s="1916"/>
      <c r="R2" s="1916"/>
      <c r="S2" s="1916"/>
      <c r="T2" s="1916"/>
      <c r="U2" s="1916"/>
      <c r="V2" s="1916"/>
      <c r="W2" s="1916"/>
      <c r="X2" s="1916"/>
      <c r="Y2" s="1916"/>
      <c r="Z2" s="1916"/>
      <c r="AA2" s="1916"/>
      <c r="AB2" s="1916"/>
      <c r="AC2" s="1916"/>
      <c r="AD2" s="1916"/>
      <c r="AE2" s="1916"/>
      <c r="AF2" s="1916"/>
      <c r="AG2" s="1916"/>
      <c r="AH2" s="1916"/>
      <c r="AI2" s="1916"/>
      <c r="AJ2" s="1916"/>
      <c r="AK2" s="1916"/>
      <c r="AL2" s="1916"/>
      <c r="AM2" s="1916"/>
      <c r="AN2" s="1916"/>
      <c r="AO2" s="1916"/>
      <c r="AP2" s="1916"/>
      <c r="AQ2" s="1916"/>
      <c r="AR2" s="1916"/>
      <c r="AS2" s="1916"/>
      <c r="AT2" s="1916"/>
      <c r="AU2" s="1916"/>
      <c r="AV2" s="1916"/>
      <c r="AW2" s="1916"/>
      <c r="AX2" s="1916"/>
      <c r="AY2" s="1916"/>
      <c r="AZ2" s="1916"/>
      <c r="BA2" s="1020"/>
      <c r="BB2" s="1902" t="s">
        <v>118</v>
      </c>
      <c r="BC2" s="1903"/>
      <c r="BD2" s="1903"/>
      <c r="BE2" s="1903"/>
      <c r="BF2" s="1903"/>
      <c r="BG2" s="1903"/>
      <c r="BH2" s="1903"/>
      <c r="BI2" s="1904"/>
    </row>
    <row r="3" spans="3:61" ht="19.5" thickBot="1">
      <c r="C3" s="1019"/>
      <c r="D3" s="1017"/>
      <c r="E3" s="1017"/>
      <c r="F3" s="1023"/>
      <c r="H3" s="1905" t="s">
        <v>115</v>
      </c>
      <c r="I3" s="1906"/>
      <c r="J3" s="1906"/>
      <c r="K3" s="1906"/>
      <c r="L3" s="1906"/>
      <c r="M3" s="1906"/>
      <c r="N3" s="1906"/>
      <c r="O3" s="1906"/>
      <c r="P3" s="1906"/>
      <c r="Q3" s="1906"/>
      <c r="R3" s="1906"/>
      <c r="S3" s="1906"/>
      <c r="T3" s="1906"/>
      <c r="U3" s="1906"/>
      <c r="V3" s="1906"/>
      <c r="W3" s="1906"/>
      <c r="X3" s="1906"/>
      <c r="Y3" s="1906"/>
      <c r="Z3" s="1906"/>
      <c r="AA3" s="1906"/>
      <c r="AB3" s="1906"/>
      <c r="AC3" s="1906"/>
      <c r="AD3" s="1906"/>
      <c r="AE3" s="1906"/>
      <c r="AF3" s="1906"/>
      <c r="AG3" s="1906"/>
      <c r="AH3" s="1906"/>
      <c r="AI3" s="1906"/>
      <c r="AJ3" s="1906"/>
      <c r="AK3" s="1906"/>
      <c r="AL3" s="1906"/>
      <c r="AM3" s="1906"/>
      <c r="AN3" s="1906"/>
      <c r="AO3" s="1906"/>
      <c r="AP3" s="1906"/>
      <c r="AQ3" s="1906"/>
      <c r="AR3" s="1906"/>
      <c r="AS3" s="1906"/>
      <c r="AT3" s="1906"/>
      <c r="AU3" s="1906"/>
      <c r="AV3" s="1906"/>
      <c r="AW3" s="1906"/>
      <c r="AX3" s="1906"/>
      <c r="AY3" s="1906"/>
      <c r="AZ3" s="1906"/>
      <c r="BA3" s="1906"/>
      <c r="BB3" s="1906"/>
      <c r="BC3" s="1906"/>
      <c r="BD3" s="1906"/>
      <c r="BE3" s="1906"/>
      <c r="BF3" s="1906"/>
      <c r="BG3" s="1906"/>
      <c r="BH3" s="1906"/>
      <c r="BI3" s="1907"/>
    </row>
    <row r="4" spans="3:61" ht="18.75">
      <c r="C4" s="37" t="s">
        <v>44</v>
      </c>
      <c r="D4" s="1869"/>
      <c r="E4" s="1869"/>
      <c r="F4" s="1870"/>
      <c r="H4" s="1908" t="s">
        <v>33</v>
      </c>
      <c r="I4" s="1909"/>
      <c r="J4" s="1871" t="s">
        <v>43</v>
      </c>
      <c r="K4" s="1872"/>
      <c r="L4" s="1872"/>
      <c r="M4" s="1873"/>
      <c r="N4" s="1871" t="s">
        <v>42</v>
      </c>
      <c r="O4" s="1872"/>
      <c r="P4" s="1872"/>
      <c r="Q4" s="1873"/>
      <c r="R4" s="1871" t="s">
        <v>41</v>
      </c>
      <c r="S4" s="1872"/>
      <c r="T4" s="1872"/>
      <c r="U4" s="1873"/>
      <c r="V4" s="1871" t="s">
        <v>40</v>
      </c>
      <c r="W4" s="1872"/>
      <c r="X4" s="1872"/>
      <c r="Y4" s="1873"/>
      <c r="Z4" s="1871" t="s">
        <v>39</v>
      </c>
      <c r="AA4" s="1872"/>
      <c r="AB4" s="1872"/>
      <c r="AC4" s="1873"/>
      <c r="AD4" s="1871" t="s">
        <v>38</v>
      </c>
      <c r="AE4" s="1872"/>
      <c r="AF4" s="1872"/>
      <c r="AG4" s="1873"/>
      <c r="AH4" s="1874" t="s">
        <v>122</v>
      </c>
      <c r="AI4" s="1875"/>
      <c r="AJ4" s="1875"/>
      <c r="AK4" s="1876"/>
      <c r="AL4" s="1871" t="s">
        <v>37</v>
      </c>
      <c r="AM4" s="1872"/>
      <c r="AN4" s="1872"/>
      <c r="AO4" s="1873"/>
      <c r="AP4" s="1871" t="s">
        <v>36</v>
      </c>
      <c r="AQ4" s="1872"/>
      <c r="AR4" s="1872"/>
      <c r="AS4" s="1873"/>
      <c r="AT4" s="1871" t="s">
        <v>35</v>
      </c>
      <c r="AU4" s="1872"/>
      <c r="AV4" s="1872"/>
      <c r="AW4" s="1873"/>
      <c r="AX4" s="1871" t="s">
        <v>34</v>
      </c>
      <c r="AY4" s="1872"/>
      <c r="AZ4" s="1872"/>
      <c r="BA4" s="1873"/>
      <c r="BB4" s="1874" t="s">
        <v>123</v>
      </c>
      <c r="BC4" s="1875"/>
      <c r="BD4" s="1875"/>
      <c r="BE4" s="1876"/>
      <c r="BF4" s="1877" t="s">
        <v>17</v>
      </c>
      <c r="BG4" s="1878"/>
      <c r="BH4" s="1878"/>
      <c r="BI4" s="1878"/>
    </row>
    <row r="5" spans="3:61" ht="15.75" customHeight="1">
      <c r="C5" s="1879" t="s">
        <v>33</v>
      </c>
      <c r="D5" s="1869"/>
      <c r="E5" s="1017" t="s">
        <v>1</v>
      </c>
      <c r="F5" s="1023" t="s">
        <v>2</v>
      </c>
      <c r="H5" s="1910"/>
      <c r="I5" s="1911"/>
      <c r="J5" s="36" t="s">
        <v>1</v>
      </c>
      <c r="K5" s="271" t="s">
        <v>2</v>
      </c>
      <c r="L5" s="693" t="s">
        <v>182</v>
      </c>
      <c r="M5" s="35" t="s">
        <v>247</v>
      </c>
      <c r="N5" s="36" t="s">
        <v>1</v>
      </c>
      <c r="O5" s="271" t="s">
        <v>2</v>
      </c>
      <c r="P5" s="693" t="s">
        <v>182</v>
      </c>
      <c r="Q5" s="35" t="s">
        <v>247</v>
      </c>
      <c r="R5" s="36" t="s">
        <v>1</v>
      </c>
      <c r="S5" s="271" t="s">
        <v>2</v>
      </c>
      <c r="T5" s="693" t="s">
        <v>182</v>
      </c>
      <c r="U5" s="35" t="s">
        <v>247</v>
      </c>
      <c r="V5" s="36" t="s">
        <v>1</v>
      </c>
      <c r="W5" s="271" t="s">
        <v>2</v>
      </c>
      <c r="X5" s="693" t="s">
        <v>182</v>
      </c>
      <c r="Y5" s="35" t="s">
        <v>247</v>
      </c>
      <c r="Z5" s="36" t="s">
        <v>1</v>
      </c>
      <c r="AA5" s="271" t="s">
        <v>2</v>
      </c>
      <c r="AB5" s="693" t="s">
        <v>182</v>
      </c>
      <c r="AC5" s="35" t="s">
        <v>247</v>
      </c>
      <c r="AD5" s="36" t="s">
        <v>1</v>
      </c>
      <c r="AE5" s="271" t="s">
        <v>2</v>
      </c>
      <c r="AF5" s="693" t="s">
        <v>182</v>
      </c>
      <c r="AG5" s="35" t="s">
        <v>247</v>
      </c>
      <c r="AH5" s="36" t="s">
        <v>1</v>
      </c>
      <c r="AI5" s="271" t="s">
        <v>2</v>
      </c>
      <c r="AJ5" s="271" t="s">
        <v>182</v>
      </c>
      <c r="AK5" s="690" t="s">
        <v>196</v>
      </c>
      <c r="AL5" s="36" t="s">
        <v>1</v>
      </c>
      <c r="AM5" s="271" t="s">
        <v>2</v>
      </c>
      <c r="AN5" s="693" t="s">
        <v>182</v>
      </c>
      <c r="AO5" s="35" t="s">
        <v>247</v>
      </c>
      <c r="AP5" s="36" t="s">
        <v>1</v>
      </c>
      <c r="AQ5" s="271" t="s">
        <v>2</v>
      </c>
      <c r="AR5" s="693" t="s">
        <v>182</v>
      </c>
      <c r="AS5" s="35" t="s">
        <v>247</v>
      </c>
      <c r="AT5" s="36" t="s">
        <v>1</v>
      </c>
      <c r="AU5" s="271" t="s">
        <v>2</v>
      </c>
      <c r="AV5" s="693" t="s">
        <v>182</v>
      </c>
      <c r="AW5" s="35" t="s">
        <v>247</v>
      </c>
      <c r="AX5" s="36" t="s">
        <v>1</v>
      </c>
      <c r="AY5" s="271" t="s">
        <v>2</v>
      </c>
      <c r="AZ5" s="693" t="s">
        <v>182</v>
      </c>
      <c r="BA5" s="35" t="s">
        <v>247</v>
      </c>
      <c r="BB5" s="36" t="s">
        <v>1</v>
      </c>
      <c r="BC5" s="271" t="s">
        <v>2</v>
      </c>
      <c r="BD5" s="271" t="s">
        <v>182</v>
      </c>
      <c r="BE5" s="690" t="s">
        <v>196</v>
      </c>
      <c r="BF5" s="274" t="s">
        <v>1</v>
      </c>
      <c r="BG5" s="275" t="s">
        <v>2</v>
      </c>
      <c r="BH5" s="275" t="s">
        <v>182</v>
      </c>
      <c r="BI5" s="698" t="s">
        <v>196</v>
      </c>
    </row>
    <row r="6" spans="3:61" s="28" customFormat="1" ht="20.100000000000001" customHeight="1">
      <c r="C6" s="1879" t="s">
        <v>19</v>
      </c>
      <c r="D6" s="1017" t="s">
        <v>32</v>
      </c>
      <c r="E6" s="1017"/>
      <c r="F6" s="1018"/>
      <c r="H6" s="1886" t="s">
        <v>32</v>
      </c>
      <c r="I6" s="33" t="s">
        <v>32</v>
      </c>
      <c r="J6" s="462"/>
      <c r="K6" s="463"/>
      <c r="L6" s="463"/>
      <c r="M6" s="691"/>
      <c r="N6" s="462"/>
      <c r="O6" s="463"/>
      <c r="P6" s="463"/>
      <c r="Q6" s="691"/>
      <c r="R6" s="462"/>
      <c r="S6" s="463"/>
      <c r="T6" s="463"/>
      <c r="U6" s="691"/>
      <c r="V6" s="462"/>
      <c r="W6" s="463"/>
      <c r="X6" s="463"/>
      <c r="Y6" s="691"/>
      <c r="Z6" s="462"/>
      <c r="AA6" s="463"/>
      <c r="AB6" s="463"/>
      <c r="AC6" s="691"/>
      <c r="AD6" s="462"/>
      <c r="AE6" s="463"/>
      <c r="AF6" s="463"/>
      <c r="AG6" s="691"/>
      <c r="AH6" s="128">
        <f>J6+N6+R6+V6+Z6+AD6</f>
        <v>0</v>
      </c>
      <c r="AI6" s="273">
        <f>K6+O6+S6+W6+AA6+AE6</f>
        <v>0</v>
      </c>
      <c r="AJ6" s="273">
        <f>L6+P6+T6+X6+AB6+AF6</f>
        <v>0</v>
      </c>
      <c r="AK6" s="694">
        <f>M6+Q6+U6+Y6+AC6+AG6</f>
        <v>0</v>
      </c>
      <c r="AL6" s="462"/>
      <c r="AM6" s="1337"/>
      <c r="AN6" s="463"/>
      <c r="AO6" s="691"/>
      <c r="AP6" s="462"/>
      <c r="AQ6" s="463"/>
      <c r="AR6" s="463"/>
      <c r="AS6" s="691"/>
      <c r="AT6" s="462"/>
      <c r="AU6" s="463"/>
      <c r="AV6" s="463"/>
      <c r="AW6" s="691"/>
      <c r="AX6" s="462"/>
      <c r="AY6" s="463"/>
      <c r="AZ6" s="463"/>
      <c r="BA6" s="691"/>
      <c r="BB6" s="128">
        <f>AL6+AP6+AT6+AX6</f>
        <v>0</v>
      </c>
      <c r="BC6" s="273">
        <f>AM6+AQ6+AU6+AY6</f>
        <v>0</v>
      </c>
      <c r="BD6" s="273">
        <f>AN6+AR6+AV6+AZ6</f>
        <v>0</v>
      </c>
      <c r="BE6" s="273">
        <f>AO6+AS6+AW6+BA6</f>
        <v>0</v>
      </c>
      <c r="BF6" s="276">
        <f>AH6+BB6</f>
        <v>0</v>
      </c>
      <c r="BG6" s="277">
        <f>AI6+BC6</f>
        <v>0</v>
      </c>
      <c r="BH6" s="701">
        <f>AJ6+BD6</f>
        <v>0</v>
      </c>
      <c r="BI6" s="699">
        <f>AK6+BE6</f>
        <v>0</v>
      </c>
    </row>
    <row r="7" spans="3:61" s="28" customFormat="1" ht="20.100000000000001" customHeight="1">
      <c r="C7" s="1879"/>
      <c r="D7" s="1017" t="s">
        <v>31</v>
      </c>
      <c r="E7" s="1017"/>
      <c r="F7" s="1018"/>
      <c r="H7" s="1887"/>
      <c r="I7" s="33" t="s">
        <v>31</v>
      </c>
      <c r="J7" s="462"/>
      <c r="K7" s="463"/>
      <c r="L7" s="463"/>
      <c r="M7" s="691"/>
      <c r="N7" s="462"/>
      <c r="O7" s="463"/>
      <c r="P7" s="463"/>
      <c r="Q7" s="691"/>
      <c r="R7" s="462"/>
      <c r="S7" s="463"/>
      <c r="T7" s="463"/>
      <c r="U7" s="691"/>
      <c r="V7" s="462"/>
      <c r="W7" s="463"/>
      <c r="X7" s="463"/>
      <c r="Y7" s="691"/>
      <c r="Z7" s="462"/>
      <c r="AA7" s="463"/>
      <c r="AB7" s="463"/>
      <c r="AC7" s="691"/>
      <c r="AD7" s="462"/>
      <c r="AE7" s="463"/>
      <c r="AF7" s="463"/>
      <c r="AG7" s="691"/>
      <c r="AH7" s="128">
        <f t="shared" ref="AH7:AK9" si="0">J7+N7+R7+V7+Z7+AD7</f>
        <v>0</v>
      </c>
      <c r="AI7" s="273">
        <f t="shared" si="0"/>
        <v>0</v>
      </c>
      <c r="AJ7" s="273">
        <f t="shared" si="0"/>
        <v>0</v>
      </c>
      <c r="AK7" s="694">
        <f t="shared" si="0"/>
        <v>0</v>
      </c>
      <c r="AL7" s="462"/>
      <c r="AM7" s="463"/>
      <c r="AN7" s="463"/>
      <c r="AO7" s="691"/>
      <c r="AP7" s="462"/>
      <c r="AQ7" s="463"/>
      <c r="AR7" s="463"/>
      <c r="AS7" s="691"/>
      <c r="AT7" s="462"/>
      <c r="AU7" s="463"/>
      <c r="AV7" s="463"/>
      <c r="AW7" s="691"/>
      <c r="AX7" s="462"/>
      <c r="AY7" s="463"/>
      <c r="AZ7" s="463"/>
      <c r="BA7" s="691"/>
      <c r="BB7" s="128">
        <f t="shared" ref="BB7:BE9" si="1">AL7+AP7+AT7+AX7</f>
        <v>0</v>
      </c>
      <c r="BC7" s="273">
        <f t="shared" si="1"/>
        <v>0</v>
      </c>
      <c r="BD7" s="273">
        <f t="shared" si="1"/>
        <v>0</v>
      </c>
      <c r="BE7" s="273">
        <f t="shared" si="1"/>
        <v>0</v>
      </c>
      <c r="BF7" s="276">
        <f t="shared" ref="BF7:BI9" si="2">AH7+BB7</f>
        <v>0</v>
      </c>
      <c r="BG7" s="277">
        <f t="shared" si="2"/>
        <v>0</v>
      </c>
      <c r="BH7" s="277">
        <f t="shared" si="2"/>
        <v>0</v>
      </c>
      <c r="BI7" s="699">
        <f t="shared" si="2"/>
        <v>0</v>
      </c>
    </row>
    <row r="8" spans="3:61" s="28" customFormat="1" ht="20.100000000000001" customHeight="1">
      <c r="C8" s="1879"/>
      <c r="D8" s="1017" t="s">
        <v>30</v>
      </c>
      <c r="E8" s="1017"/>
      <c r="F8" s="1018"/>
      <c r="H8" s="1887"/>
      <c r="I8" s="33" t="s">
        <v>30</v>
      </c>
      <c r="J8" s="462"/>
      <c r="K8" s="463"/>
      <c r="L8" s="463"/>
      <c r="M8" s="691"/>
      <c r="N8" s="462"/>
      <c r="O8" s="463"/>
      <c r="P8" s="463"/>
      <c r="Q8" s="691"/>
      <c r="R8" s="462"/>
      <c r="S8" s="463"/>
      <c r="T8" s="463"/>
      <c r="U8" s="691"/>
      <c r="V8" s="462"/>
      <c r="W8" s="463"/>
      <c r="X8" s="463"/>
      <c r="Y8" s="691"/>
      <c r="Z8" s="462"/>
      <c r="AA8" s="463"/>
      <c r="AB8" s="463"/>
      <c r="AC8" s="691"/>
      <c r="AD8" s="462"/>
      <c r="AE8" s="463"/>
      <c r="AF8" s="463"/>
      <c r="AG8" s="691"/>
      <c r="AH8" s="128">
        <f t="shared" si="0"/>
        <v>0</v>
      </c>
      <c r="AI8" s="273">
        <f t="shared" si="0"/>
        <v>0</v>
      </c>
      <c r="AJ8" s="273">
        <f t="shared" si="0"/>
        <v>0</v>
      </c>
      <c r="AK8" s="694">
        <f t="shared" si="0"/>
        <v>0</v>
      </c>
      <c r="AL8" s="462"/>
      <c r="AM8" s="463"/>
      <c r="AN8" s="463"/>
      <c r="AO8" s="691"/>
      <c r="AP8" s="462"/>
      <c r="AQ8" s="463"/>
      <c r="AR8" s="463"/>
      <c r="AS8" s="691"/>
      <c r="AT8" s="462"/>
      <c r="AU8" s="463"/>
      <c r="AV8" s="463"/>
      <c r="AW8" s="691"/>
      <c r="AX8" s="462"/>
      <c r="AY8" s="463"/>
      <c r="AZ8" s="463"/>
      <c r="BA8" s="691"/>
      <c r="BB8" s="128">
        <f t="shared" si="1"/>
        <v>0</v>
      </c>
      <c r="BC8" s="273">
        <f t="shared" si="1"/>
        <v>0</v>
      </c>
      <c r="BD8" s="273">
        <f t="shared" si="1"/>
        <v>0</v>
      </c>
      <c r="BE8" s="273">
        <f t="shared" si="1"/>
        <v>0</v>
      </c>
      <c r="BF8" s="276">
        <f t="shared" si="2"/>
        <v>0</v>
      </c>
      <c r="BG8" s="277">
        <f t="shared" si="2"/>
        <v>0</v>
      </c>
      <c r="BH8" s="277">
        <f t="shared" si="2"/>
        <v>0</v>
      </c>
      <c r="BI8" s="699">
        <f t="shared" si="2"/>
        <v>0</v>
      </c>
    </row>
    <row r="9" spans="3:61" s="28" customFormat="1" ht="20.100000000000001" customHeight="1">
      <c r="C9" s="1885"/>
      <c r="D9" s="1017" t="s">
        <v>29</v>
      </c>
      <c r="E9" s="1017"/>
      <c r="F9" s="1018"/>
      <c r="H9" s="1887"/>
      <c r="I9" s="33" t="s">
        <v>109</v>
      </c>
      <c r="J9" s="462"/>
      <c r="K9" s="463"/>
      <c r="L9" s="463"/>
      <c r="M9" s="691"/>
      <c r="N9" s="462"/>
      <c r="O9" s="463"/>
      <c r="P9" s="463"/>
      <c r="Q9" s="691"/>
      <c r="R9" s="462"/>
      <c r="S9" s="463"/>
      <c r="T9" s="463"/>
      <c r="U9" s="691"/>
      <c r="V9" s="462"/>
      <c r="W9" s="463"/>
      <c r="X9" s="463"/>
      <c r="Y9" s="691"/>
      <c r="Z9" s="462"/>
      <c r="AA9" s="463"/>
      <c r="AB9" s="463"/>
      <c r="AC9" s="691"/>
      <c r="AD9" s="462"/>
      <c r="AE9" s="463"/>
      <c r="AF9" s="463"/>
      <c r="AG9" s="691"/>
      <c r="AH9" s="128">
        <f t="shared" si="0"/>
        <v>0</v>
      </c>
      <c r="AI9" s="273">
        <f t="shared" si="0"/>
        <v>0</v>
      </c>
      <c r="AJ9" s="273">
        <f t="shared" si="0"/>
        <v>0</v>
      </c>
      <c r="AK9" s="694">
        <f t="shared" si="0"/>
        <v>0</v>
      </c>
      <c r="AL9" s="462"/>
      <c r="AM9" s="463"/>
      <c r="AN9" s="463"/>
      <c r="AO9" s="691"/>
      <c r="AP9" s="462"/>
      <c r="AQ9" s="463"/>
      <c r="AR9" s="463"/>
      <c r="AS9" s="691"/>
      <c r="AT9" s="462"/>
      <c r="AU9" s="463"/>
      <c r="AV9" s="463"/>
      <c r="AW9" s="691"/>
      <c r="AX9" s="462"/>
      <c r="AY9" s="463"/>
      <c r="AZ9" s="463"/>
      <c r="BA9" s="691"/>
      <c r="BB9" s="128">
        <f t="shared" si="1"/>
        <v>0</v>
      </c>
      <c r="BC9" s="273">
        <f t="shared" si="1"/>
        <v>0</v>
      </c>
      <c r="BD9" s="273">
        <f t="shared" si="1"/>
        <v>0</v>
      </c>
      <c r="BE9" s="273">
        <f t="shared" si="1"/>
        <v>0</v>
      </c>
      <c r="BF9" s="276">
        <f t="shared" si="2"/>
        <v>0</v>
      </c>
      <c r="BG9" s="277">
        <f t="shared" si="2"/>
        <v>0</v>
      </c>
      <c r="BH9" s="277">
        <f t="shared" si="2"/>
        <v>0</v>
      </c>
      <c r="BI9" s="699">
        <f t="shared" si="2"/>
        <v>0</v>
      </c>
    </row>
    <row r="10" spans="3:61" s="28" customFormat="1" ht="19.5" customHeight="1" thickBot="1">
      <c r="C10" s="32"/>
      <c r="D10" s="31" t="s">
        <v>18</v>
      </c>
      <c r="E10" s="31"/>
      <c r="F10" s="30"/>
      <c r="H10" s="1865" t="s">
        <v>47</v>
      </c>
      <c r="I10" s="1866"/>
      <c r="J10" s="118">
        <f t="shared" ref="J10:BG10" si="3">SUM(J6:J9)</f>
        <v>0</v>
      </c>
      <c r="K10" s="272">
        <f t="shared" si="3"/>
        <v>0</v>
      </c>
      <c r="L10" s="272">
        <f t="shared" si="3"/>
        <v>0</v>
      </c>
      <c r="M10" s="272">
        <f t="shared" si="3"/>
        <v>0</v>
      </c>
      <c r="N10" s="118">
        <f t="shared" si="3"/>
        <v>0</v>
      </c>
      <c r="O10" s="272">
        <f t="shared" si="3"/>
        <v>0</v>
      </c>
      <c r="P10" s="272">
        <f t="shared" si="3"/>
        <v>0</v>
      </c>
      <c r="Q10" s="272">
        <f t="shared" si="3"/>
        <v>0</v>
      </c>
      <c r="R10" s="118">
        <f t="shared" si="3"/>
        <v>0</v>
      </c>
      <c r="S10" s="272">
        <f t="shared" si="3"/>
        <v>0</v>
      </c>
      <c r="T10" s="272">
        <f t="shared" si="3"/>
        <v>0</v>
      </c>
      <c r="U10" s="272">
        <f t="shared" si="3"/>
        <v>0</v>
      </c>
      <c r="V10" s="118">
        <f t="shared" si="3"/>
        <v>0</v>
      </c>
      <c r="W10" s="272">
        <f t="shared" si="3"/>
        <v>0</v>
      </c>
      <c r="X10" s="272">
        <f t="shared" si="3"/>
        <v>0</v>
      </c>
      <c r="Y10" s="272">
        <f t="shared" si="3"/>
        <v>0</v>
      </c>
      <c r="Z10" s="118">
        <f t="shared" si="3"/>
        <v>0</v>
      </c>
      <c r="AA10" s="272">
        <f t="shared" si="3"/>
        <v>0</v>
      </c>
      <c r="AB10" s="272">
        <f t="shared" si="3"/>
        <v>0</v>
      </c>
      <c r="AC10" s="272">
        <f t="shared" si="3"/>
        <v>0</v>
      </c>
      <c r="AD10" s="118">
        <f t="shared" si="3"/>
        <v>0</v>
      </c>
      <c r="AE10" s="272">
        <f t="shared" si="3"/>
        <v>0</v>
      </c>
      <c r="AF10" s="272">
        <f t="shared" si="3"/>
        <v>0</v>
      </c>
      <c r="AG10" s="272">
        <f t="shared" si="3"/>
        <v>0</v>
      </c>
      <c r="AH10" s="118">
        <f t="shared" si="3"/>
        <v>0</v>
      </c>
      <c r="AI10" s="272">
        <f t="shared" si="3"/>
        <v>0</v>
      </c>
      <c r="AJ10" s="272">
        <f>SUM(AJ6:AJ9)</f>
        <v>0</v>
      </c>
      <c r="AK10" s="695">
        <f>SUM(AK6:AK9)</f>
        <v>0</v>
      </c>
      <c r="AL10" s="118">
        <f t="shared" si="3"/>
        <v>0</v>
      </c>
      <c r="AM10" s="272">
        <f t="shared" si="3"/>
        <v>0</v>
      </c>
      <c r="AN10" s="272">
        <f t="shared" si="3"/>
        <v>0</v>
      </c>
      <c r="AO10" s="272">
        <f t="shared" si="3"/>
        <v>0</v>
      </c>
      <c r="AP10" s="118">
        <f t="shared" si="3"/>
        <v>0</v>
      </c>
      <c r="AQ10" s="272">
        <f t="shared" si="3"/>
        <v>0</v>
      </c>
      <c r="AR10" s="272">
        <f t="shared" si="3"/>
        <v>0</v>
      </c>
      <c r="AS10" s="272">
        <f t="shared" si="3"/>
        <v>0</v>
      </c>
      <c r="AT10" s="118">
        <f t="shared" si="3"/>
        <v>0</v>
      </c>
      <c r="AU10" s="272">
        <f t="shared" si="3"/>
        <v>0</v>
      </c>
      <c r="AV10" s="272">
        <f t="shared" si="3"/>
        <v>0</v>
      </c>
      <c r="AW10" s="272">
        <f t="shared" si="3"/>
        <v>0</v>
      </c>
      <c r="AX10" s="118">
        <f t="shared" si="3"/>
        <v>0</v>
      </c>
      <c r="AY10" s="272">
        <f t="shared" si="3"/>
        <v>0</v>
      </c>
      <c r="AZ10" s="272">
        <f t="shared" si="3"/>
        <v>0</v>
      </c>
      <c r="BA10" s="272">
        <f t="shared" si="3"/>
        <v>0</v>
      </c>
      <c r="BB10" s="118">
        <f t="shared" si="3"/>
        <v>0</v>
      </c>
      <c r="BC10" s="272">
        <f t="shared" si="3"/>
        <v>0</v>
      </c>
      <c r="BD10" s="272">
        <f t="shared" si="3"/>
        <v>0</v>
      </c>
      <c r="BE10" s="272">
        <f t="shared" si="3"/>
        <v>0</v>
      </c>
      <c r="BF10" s="278">
        <f t="shared" si="3"/>
        <v>0</v>
      </c>
      <c r="BG10" s="279">
        <f t="shared" si="3"/>
        <v>0</v>
      </c>
      <c r="BH10" s="702">
        <f>AJ10+BD10</f>
        <v>0</v>
      </c>
      <c r="BI10" s="700">
        <f>AK10+BE10</f>
        <v>0</v>
      </c>
    </row>
    <row r="11" spans="3:61" s="119" customFormat="1" ht="5.25" customHeight="1">
      <c r="D11" s="120"/>
      <c r="E11" s="120"/>
      <c r="F11" s="120"/>
      <c r="H11" s="122"/>
      <c r="I11" s="122"/>
      <c r="J11" s="125"/>
      <c r="K11" s="126"/>
      <c r="L11" s="126"/>
      <c r="M11" s="126"/>
      <c r="N11" s="125"/>
      <c r="O11" s="126"/>
      <c r="P11" s="126"/>
      <c r="Q11" s="126"/>
      <c r="R11" s="125"/>
      <c r="S11" s="126"/>
      <c r="T11" s="126"/>
      <c r="U11" s="126"/>
      <c r="V11" s="125"/>
      <c r="W11" s="126"/>
      <c r="X11" s="126"/>
      <c r="Y11" s="126"/>
      <c r="Z11" s="125"/>
      <c r="AA11" s="126"/>
      <c r="AB11" s="126"/>
      <c r="AC11" s="126"/>
      <c r="AD11" s="125"/>
      <c r="AE11" s="126"/>
      <c r="AF11" s="126"/>
      <c r="AG11" s="126"/>
      <c r="AH11" s="125"/>
      <c r="AI11" s="126"/>
      <c r="AJ11" s="126"/>
      <c r="AK11" s="126"/>
      <c r="AL11" s="125"/>
      <c r="AM11" s="126"/>
      <c r="AN11" s="126"/>
      <c r="AO11" s="126"/>
      <c r="AP11" s="125"/>
      <c r="AQ11" s="126"/>
      <c r="AR11" s="126"/>
      <c r="AS11" s="126"/>
      <c r="AT11" s="125"/>
      <c r="AU11" s="126"/>
      <c r="AV11" s="126"/>
      <c r="AW11" s="126"/>
      <c r="AX11" s="125"/>
      <c r="AY11" s="126"/>
      <c r="AZ11" s="126"/>
      <c r="BA11" s="126"/>
      <c r="BB11" s="125"/>
      <c r="BC11" s="126"/>
      <c r="BD11" s="126"/>
      <c r="BE11" s="126"/>
      <c r="BF11" s="125"/>
      <c r="BG11" s="126"/>
    </row>
    <row r="12" spans="3:61" ht="19.5" thickBot="1">
      <c r="C12" s="1019"/>
      <c r="D12" s="1017"/>
      <c r="E12" s="1017"/>
      <c r="F12" s="1023"/>
      <c r="H12" s="1867" t="s">
        <v>114</v>
      </c>
      <c r="I12" s="1868"/>
      <c r="J12" s="1868"/>
      <c r="K12" s="1868"/>
      <c r="L12" s="1868"/>
      <c r="M12" s="1868"/>
      <c r="N12" s="1868"/>
      <c r="O12" s="1868"/>
      <c r="P12" s="1868"/>
      <c r="Q12" s="1868"/>
      <c r="R12" s="1868"/>
      <c r="S12" s="1868"/>
      <c r="T12" s="1868"/>
      <c r="U12" s="1868"/>
      <c r="V12" s="1868"/>
      <c r="W12" s="1868"/>
      <c r="X12" s="1868"/>
      <c r="Y12" s="1868"/>
      <c r="Z12" s="1868"/>
      <c r="AA12" s="1868"/>
      <c r="AB12" s="1868"/>
      <c r="AC12" s="1868"/>
      <c r="AD12" s="1868"/>
      <c r="AE12" s="1868"/>
      <c r="AF12" s="1868"/>
      <c r="AG12" s="1868"/>
      <c r="AH12" s="1868"/>
      <c r="AI12" s="1868"/>
      <c r="AJ12" s="1868"/>
      <c r="AK12" s="1868"/>
      <c r="AL12" s="1868"/>
      <c r="AM12" s="1868"/>
      <c r="AN12" s="1868"/>
      <c r="AO12" s="1868"/>
      <c r="AP12" s="1868"/>
      <c r="AQ12" s="1868"/>
      <c r="AR12" s="1868"/>
      <c r="AS12" s="1868"/>
      <c r="AT12" s="1868"/>
      <c r="AU12" s="1868"/>
      <c r="AV12" s="1868"/>
      <c r="AW12" s="1868"/>
      <c r="AX12" s="1868"/>
      <c r="AY12" s="1868"/>
      <c r="AZ12" s="1868"/>
      <c r="BA12" s="1868"/>
      <c r="BB12" s="1868"/>
      <c r="BC12" s="1868"/>
      <c r="BD12" s="1868"/>
      <c r="BE12" s="1868"/>
      <c r="BF12" s="1868"/>
      <c r="BG12" s="1868"/>
      <c r="BH12" s="1868"/>
      <c r="BI12" s="1868"/>
    </row>
    <row r="13" spans="3:61" ht="18.75" customHeight="1">
      <c r="C13" s="37" t="s">
        <v>44</v>
      </c>
      <c r="D13" s="1869"/>
      <c r="E13" s="1869"/>
      <c r="F13" s="1870"/>
      <c r="H13" s="1895" t="s">
        <v>117</v>
      </c>
      <c r="I13" s="1896"/>
      <c r="J13" s="1890" t="s">
        <v>43</v>
      </c>
      <c r="K13" s="1891"/>
      <c r="L13" s="1891"/>
      <c r="M13" s="1892"/>
      <c r="N13" s="1890" t="s">
        <v>42</v>
      </c>
      <c r="O13" s="1891"/>
      <c r="P13" s="1891"/>
      <c r="Q13" s="1892"/>
      <c r="R13" s="1890" t="s">
        <v>41</v>
      </c>
      <c r="S13" s="1891"/>
      <c r="T13" s="1891"/>
      <c r="U13" s="1892"/>
      <c r="V13" s="1890" t="s">
        <v>40</v>
      </c>
      <c r="W13" s="1891"/>
      <c r="X13" s="1891"/>
      <c r="Y13" s="1892"/>
      <c r="Z13" s="1890" t="s">
        <v>39</v>
      </c>
      <c r="AA13" s="1891"/>
      <c r="AB13" s="1891"/>
      <c r="AC13" s="1892"/>
      <c r="AD13" s="1890" t="s">
        <v>38</v>
      </c>
      <c r="AE13" s="1891"/>
      <c r="AF13" s="1891"/>
      <c r="AG13" s="1892"/>
      <c r="AH13" s="1882" t="s">
        <v>122</v>
      </c>
      <c r="AI13" s="1883"/>
      <c r="AJ13" s="1883"/>
      <c r="AK13" s="1884"/>
      <c r="AL13" s="1890" t="s">
        <v>37</v>
      </c>
      <c r="AM13" s="1891"/>
      <c r="AN13" s="1891"/>
      <c r="AO13" s="1892"/>
      <c r="AP13" s="1890" t="s">
        <v>36</v>
      </c>
      <c r="AQ13" s="1891"/>
      <c r="AR13" s="1891"/>
      <c r="AS13" s="1892"/>
      <c r="AT13" s="1890" t="s">
        <v>35</v>
      </c>
      <c r="AU13" s="1891"/>
      <c r="AV13" s="1891"/>
      <c r="AW13" s="1892"/>
      <c r="AX13" s="1890" t="s">
        <v>34</v>
      </c>
      <c r="AY13" s="1891"/>
      <c r="AZ13" s="1891"/>
      <c r="BA13" s="1892"/>
      <c r="BB13" s="1882" t="s">
        <v>123</v>
      </c>
      <c r="BC13" s="1883"/>
      <c r="BD13" s="1883"/>
      <c r="BE13" s="1884"/>
      <c r="BF13" s="1880" t="s">
        <v>17</v>
      </c>
      <c r="BG13" s="1881"/>
      <c r="BH13" s="1881"/>
      <c r="BI13" s="1881"/>
    </row>
    <row r="14" spans="3:61" ht="27" customHeight="1">
      <c r="C14" s="1879" t="s">
        <v>33</v>
      </c>
      <c r="D14" s="1869"/>
      <c r="E14" s="1017" t="s">
        <v>1</v>
      </c>
      <c r="F14" s="1023" t="s">
        <v>2</v>
      </c>
      <c r="H14" s="1897"/>
      <c r="I14" s="1898"/>
      <c r="J14" s="36" t="s">
        <v>1</v>
      </c>
      <c r="K14" s="271" t="s">
        <v>2</v>
      </c>
      <c r="L14" s="271" t="s">
        <v>182</v>
      </c>
      <c r="M14" s="35" t="s">
        <v>247</v>
      </c>
      <c r="N14" s="36" t="s">
        <v>1</v>
      </c>
      <c r="O14" s="271" t="s">
        <v>2</v>
      </c>
      <c r="P14" s="271" t="s">
        <v>182</v>
      </c>
      <c r="Q14" s="35" t="s">
        <v>247</v>
      </c>
      <c r="R14" s="36" t="s">
        <v>1</v>
      </c>
      <c r="S14" s="271" t="s">
        <v>2</v>
      </c>
      <c r="T14" s="271" t="s">
        <v>182</v>
      </c>
      <c r="U14" s="35" t="s">
        <v>247</v>
      </c>
      <c r="V14" s="36" t="s">
        <v>1</v>
      </c>
      <c r="W14" s="271" t="s">
        <v>2</v>
      </c>
      <c r="X14" s="271" t="s">
        <v>182</v>
      </c>
      <c r="Y14" s="35" t="s">
        <v>247</v>
      </c>
      <c r="Z14" s="36" t="s">
        <v>1</v>
      </c>
      <c r="AA14" s="271" t="s">
        <v>2</v>
      </c>
      <c r="AB14" s="271" t="s">
        <v>182</v>
      </c>
      <c r="AC14" s="35" t="s">
        <v>247</v>
      </c>
      <c r="AD14" s="36" t="s">
        <v>1</v>
      </c>
      <c r="AE14" s="271" t="s">
        <v>2</v>
      </c>
      <c r="AF14" s="271" t="s">
        <v>182</v>
      </c>
      <c r="AG14" s="35" t="s">
        <v>247</v>
      </c>
      <c r="AH14" s="36" t="s">
        <v>1</v>
      </c>
      <c r="AI14" s="271" t="s">
        <v>2</v>
      </c>
      <c r="AJ14" s="271" t="s">
        <v>182</v>
      </c>
      <c r="AK14" s="690" t="s">
        <v>196</v>
      </c>
      <c r="AL14" s="36" t="s">
        <v>1</v>
      </c>
      <c r="AM14" s="271" t="s">
        <v>2</v>
      </c>
      <c r="AN14" s="271" t="s">
        <v>182</v>
      </c>
      <c r="AO14" s="35" t="s">
        <v>247</v>
      </c>
      <c r="AP14" s="36" t="s">
        <v>1</v>
      </c>
      <c r="AQ14" s="271" t="s">
        <v>2</v>
      </c>
      <c r="AR14" s="271" t="s">
        <v>182</v>
      </c>
      <c r="AS14" s="35" t="s">
        <v>247</v>
      </c>
      <c r="AT14" s="36" t="s">
        <v>1</v>
      </c>
      <c r="AU14" s="271" t="s">
        <v>2</v>
      </c>
      <c r="AV14" s="271" t="s">
        <v>182</v>
      </c>
      <c r="AW14" s="35" t="s">
        <v>247</v>
      </c>
      <c r="AX14" s="36" t="s">
        <v>1</v>
      </c>
      <c r="AY14" s="271" t="s">
        <v>2</v>
      </c>
      <c r="AZ14" s="271" t="s">
        <v>182</v>
      </c>
      <c r="BA14" s="35" t="s">
        <v>247</v>
      </c>
      <c r="BB14" s="36" t="s">
        <v>1</v>
      </c>
      <c r="BC14" s="271" t="s">
        <v>2</v>
      </c>
      <c r="BD14" s="271" t="s">
        <v>182</v>
      </c>
      <c r="BE14" s="690" t="s">
        <v>196</v>
      </c>
      <c r="BF14" s="274" t="s">
        <v>1</v>
      </c>
      <c r="BG14" s="275" t="s">
        <v>2</v>
      </c>
      <c r="BH14" s="275" t="s">
        <v>182</v>
      </c>
      <c r="BI14" s="703" t="s">
        <v>196</v>
      </c>
    </row>
    <row r="15" spans="3:61" s="28" customFormat="1" ht="20.100000000000001" customHeight="1">
      <c r="C15" s="1879" t="s">
        <v>28</v>
      </c>
      <c r="D15" s="1017" t="s">
        <v>27</v>
      </c>
      <c r="E15" s="1021"/>
      <c r="F15" s="34"/>
      <c r="H15" s="1888" t="s">
        <v>112</v>
      </c>
      <c r="I15" s="33" t="s">
        <v>27</v>
      </c>
      <c r="J15" s="462"/>
      <c r="K15" s="463"/>
      <c r="L15" s="463"/>
      <c r="M15" s="692"/>
      <c r="N15" s="462"/>
      <c r="O15" s="463"/>
      <c r="P15" s="463"/>
      <c r="Q15" s="692"/>
      <c r="R15" s="462"/>
      <c r="S15" s="463"/>
      <c r="T15" s="463"/>
      <c r="U15" s="692"/>
      <c r="V15" s="462"/>
      <c r="W15" s="463"/>
      <c r="X15" s="463"/>
      <c r="Y15" s="692"/>
      <c r="Z15" s="462"/>
      <c r="AA15" s="463"/>
      <c r="AB15" s="463"/>
      <c r="AC15" s="692"/>
      <c r="AD15" s="462"/>
      <c r="AE15" s="463"/>
      <c r="AF15" s="463"/>
      <c r="AG15" s="692"/>
      <c r="AH15" s="128">
        <f>J15+N15+R15+V15+Z15+AD15</f>
        <v>0</v>
      </c>
      <c r="AI15" s="273">
        <f>K15+O15+S15+W15+AA15+AE15</f>
        <v>0</v>
      </c>
      <c r="AJ15" s="273">
        <f>L15+P15+T15+X15+AB15+AF15</f>
        <v>0</v>
      </c>
      <c r="AK15" s="694">
        <f>M15+Q15+U15+Y15+AC15+AG15</f>
        <v>0</v>
      </c>
      <c r="AL15" s="462"/>
      <c r="AM15" s="463"/>
      <c r="AN15" s="463"/>
      <c r="AO15" s="692"/>
      <c r="AP15" s="462"/>
      <c r="AQ15" s="463"/>
      <c r="AR15" s="463"/>
      <c r="AS15" s="692"/>
      <c r="AT15" s="462"/>
      <c r="AU15" s="463"/>
      <c r="AV15" s="463"/>
      <c r="AW15" s="692"/>
      <c r="AX15" s="462"/>
      <c r="AY15" s="463"/>
      <c r="AZ15" s="463"/>
      <c r="BA15" s="692"/>
      <c r="BB15" s="128">
        <f>AL15+AP15+AT15+AX15</f>
        <v>0</v>
      </c>
      <c r="BC15" s="273">
        <f>AM15+AQ15+AU15+AY15</f>
        <v>0</v>
      </c>
      <c r="BD15" s="273">
        <f>AN15+AR15+AV15+AZ15</f>
        <v>0</v>
      </c>
      <c r="BE15" s="273">
        <f>AO15+AS15+AW15+BA15</f>
        <v>0</v>
      </c>
      <c r="BF15" s="276">
        <f t="shared" ref="BF15:BI23" si="4">AH15+BB15</f>
        <v>0</v>
      </c>
      <c r="BG15" s="277">
        <f t="shared" si="4"/>
        <v>0</v>
      </c>
      <c r="BH15" s="277">
        <f t="shared" si="4"/>
        <v>0</v>
      </c>
      <c r="BI15" s="704">
        <f t="shared" si="4"/>
        <v>0</v>
      </c>
    </row>
    <row r="16" spans="3:61" s="28" customFormat="1" ht="20.100000000000001" customHeight="1">
      <c r="C16" s="1879"/>
      <c r="D16" s="1017" t="s">
        <v>26</v>
      </c>
      <c r="E16" s="1017"/>
      <c r="F16" s="1018"/>
      <c r="H16" s="1889"/>
      <c r="I16" s="33" t="s">
        <v>26</v>
      </c>
      <c r="J16" s="462"/>
      <c r="K16" s="463"/>
      <c r="L16" s="463"/>
      <c r="M16" s="692"/>
      <c r="N16" s="462"/>
      <c r="O16" s="463"/>
      <c r="P16" s="463"/>
      <c r="Q16" s="692"/>
      <c r="R16" s="462"/>
      <c r="S16" s="463"/>
      <c r="T16" s="463"/>
      <c r="U16" s="692"/>
      <c r="V16" s="462"/>
      <c r="W16" s="463"/>
      <c r="X16" s="463"/>
      <c r="Y16" s="692"/>
      <c r="Z16" s="462"/>
      <c r="AA16" s="463"/>
      <c r="AB16" s="463"/>
      <c r="AC16" s="692"/>
      <c r="AD16" s="462"/>
      <c r="AE16" s="463"/>
      <c r="AF16" s="463"/>
      <c r="AG16" s="692"/>
      <c r="AH16" s="128">
        <f t="shared" ref="AH16:AK23" si="5">J16+N16+R16+V16+Z16+AD16</f>
        <v>0</v>
      </c>
      <c r="AI16" s="273">
        <f t="shared" si="5"/>
        <v>0</v>
      </c>
      <c r="AJ16" s="273">
        <f t="shared" si="5"/>
        <v>0</v>
      </c>
      <c r="AK16" s="694">
        <f t="shared" si="5"/>
        <v>0</v>
      </c>
      <c r="AL16" s="462"/>
      <c r="AM16" s="463"/>
      <c r="AN16" s="463"/>
      <c r="AO16" s="692"/>
      <c r="AP16" s="462"/>
      <c r="AQ16" s="463"/>
      <c r="AR16" s="463"/>
      <c r="AS16" s="692"/>
      <c r="AT16" s="462"/>
      <c r="AU16" s="463"/>
      <c r="AV16" s="463"/>
      <c r="AW16" s="692"/>
      <c r="AX16" s="462"/>
      <c r="AY16" s="463"/>
      <c r="AZ16" s="463"/>
      <c r="BA16" s="692"/>
      <c r="BB16" s="128">
        <f t="shared" ref="BB16:BE23" si="6">AL16+AP16+AT16+AX16</f>
        <v>0</v>
      </c>
      <c r="BC16" s="273">
        <f t="shared" si="6"/>
        <v>0</v>
      </c>
      <c r="BD16" s="273">
        <f t="shared" si="6"/>
        <v>0</v>
      </c>
      <c r="BE16" s="273">
        <f t="shared" si="6"/>
        <v>0</v>
      </c>
      <c r="BF16" s="276">
        <f t="shared" si="4"/>
        <v>0</v>
      </c>
      <c r="BG16" s="277">
        <f t="shared" si="4"/>
        <v>0</v>
      </c>
      <c r="BH16" s="277">
        <f t="shared" si="4"/>
        <v>0</v>
      </c>
      <c r="BI16" s="704">
        <f t="shared" si="4"/>
        <v>0</v>
      </c>
    </row>
    <row r="17" spans="3:61" s="28" customFormat="1" ht="23.25" customHeight="1">
      <c r="C17" s="1879"/>
      <c r="D17" s="1017" t="s">
        <v>25</v>
      </c>
      <c r="E17" s="1017"/>
      <c r="F17" s="1018"/>
      <c r="H17" s="1889"/>
      <c r="I17" s="33" t="s">
        <v>25</v>
      </c>
      <c r="J17" s="462"/>
      <c r="K17" s="463"/>
      <c r="L17" s="463"/>
      <c r="M17" s="692"/>
      <c r="N17" s="462"/>
      <c r="O17" s="463"/>
      <c r="P17" s="463"/>
      <c r="Q17" s="692"/>
      <c r="R17" s="462"/>
      <c r="S17" s="463"/>
      <c r="T17" s="463"/>
      <c r="U17" s="692"/>
      <c r="V17" s="462"/>
      <c r="W17" s="463"/>
      <c r="X17" s="463"/>
      <c r="Y17" s="692"/>
      <c r="Z17" s="462"/>
      <c r="AA17" s="463"/>
      <c r="AB17" s="463"/>
      <c r="AC17" s="692"/>
      <c r="AD17" s="462"/>
      <c r="AE17" s="463"/>
      <c r="AF17" s="463"/>
      <c r="AG17" s="692"/>
      <c r="AH17" s="128">
        <f t="shared" si="5"/>
        <v>0</v>
      </c>
      <c r="AI17" s="273">
        <f t="shared" si="5"/>
        <v>0</v>
      </c>
      <c r="AJ17" s="273">
        <f t="shared" si="5"/>
        <v>0</v>
      </c>
      <c r="AK17" s="694">
        <f t="shared" si="5"/>
        <v>0</v>
      </c>
      <c r="AL17" s="462"/>
      <c r="AM17" s="463"/>
      <c r="AN17" s="463"/>
      <c r="AO17" s="692"/>
      <c r="AP17" s="462"/>
      <c r="AQ17" s="463"/>
      <c r="AR17" s="463"/>
      <c r="AS17" s="692"/>
      <c r="AT17" s="462"/>
      <c r="AU17" s="463"/>
      <c r="AV17" s="463"/>
      <c r="AW17" s="692"/>
      <c r="AX17" s="462"/>
      <c r="AY17" s="463"/>
      <c r="AZ17" s="463"/>
      <c r="BA17" s="692"/>
      <c r="BB17" s="128">
        <f t="shared" si="6"/>
        <v>0</v>
      </c>
      <c r="BC17" s="273">
        <f t="shared" si="6"/>
        <v>0</v>
      </c>
      <c r="BD17" s="273">
        <f t="shared" si="6"/>
        <v>0</v>
      </c>
      <c r="BE17" s="273">
        <f t="shared" si="6"/>
        <v>0</v>
      </c>
      <c r="BF17" s="276">
        <f t="shared" si="4"/>
        <v>0</v>
      </c>
      <c r="BG17" s="277">
        <f t="shared" si="4"/>
        <v>0</v>
      </c>
      <c r="BH17" s="277">
        <f t="shared" si="4"/>
        <v>0</v>
      </c>
      <c r="BI17" s="704">
        <f t="shared" si="4"/>
        <v>0</v>
      </c>
    </row>
    <row r="18" spans="3:61" s="28" customFormat="1" ht="21">
      <c r="C18" s="1879"/>
      <c r="D18" s="1017" t="s">
        <v>24</v>
      </c>
      <c r="E18" s="1017"/>
      <c r="F18" s="1018"/>
      <c r="H18" s="1889"/>
      <c r="I18" s="33" t="s">
        <v>24</v>
      </c>
      <c r="J18" s="462"/>
      <c r="K18" s="463"/>
      <c r="L18" s="463"/>
      <c r="M18" s="692"/>
      <c r="N18" s="462"/>
      <c r="O18" s="463"/>
      <c r="P18" s="463"/>
      <c r="Q18" s="692"/>
      <c r="R18" s="462"/>
      <c r="S18" s="463"/>
      <c r="T18" s="463"/>
      <c r="U18" s="692"/>
      <c r="V18" s="462"/>
      <c r="W18" s="463"/>
      <c r="X18" s="463"/>
      <c r="Y18" s="692"/>
      <c r="Z18" s="462"/>
      <c r="AA18" s="463"/>
      <c r="AB18" s="463"/>
      <c r="AC18" s="692"/>
      <c r="AD18" s="462"/>
      <c r="AE18" s="463"/>
      <c r="AF18" s="463"/>
      <c r="AG18" s="692"/>
      <c r="AH18" s="128">
        <f t="shared" si="5"/>
        <v>0</v>
      </c>
      <c r="AI18" s="273">
        <f t="shared" si="5"/>
        <v>0</v>
      </c>
      <c r="AJ18" s="273">
        <f t="shared" si="5"/>
        <v>0</v>
      </c>
      <c r="AK18" s="694">
        <f t="shared" si="5"/>
        <v>0</v>
      </c>
      <c r="AL18" s="462"/>
      <c r="AM18" s="463"/>
      <c r="AN18" s="463"/>
      <c r="AO18" s="692"/>
      <c r="AP18" s="462"/>
      <c r="AQ18" s="463"/>
      <c r="AR18" s="463"/>
      <c r="AS18" s="692"/>
      <c r="AT18" s="462"/>
      <c r="AU18" s="463"/>
      <c r="AV18" s="463"/>
      <c r="AW18" s="692"/>
      <c r="AX18" s="462"/>
      <c r="AY18" s="463"/>
      <c r="AZ18" s="463"/>
      <c r="BA18" s="692"/>
      <c r="BB18" s="128">
        <f t="shared" si="6"/>
        <v>0</v>
      </c>
      <c r="BC18" s="273">
        <f t="shared" si="6"/>
        <v>0</v>
      </c>
      <c r="BD18" s="273">
        <f t="shared" si="6"/>
        <v>0</v>
      </c>
      <c r="BE18" s="273">
        <f t="shared" si="6"/>
        <v>0</v>
      </c>
      <c r="BF18" s="276">
        <f t="shared" si="4"/>
        <v>0</v>
      </c>
      <c r="BG18" s="277">
        <f t="shared" si="4"/>
        <v>0</v>
      </c>
      <c r="BH18" s="277">
        <f t="shared" si="4"/>
        <v>0</v>
      </c>
      <c r="BI18" s="704">
        <f t="shared" si="4"/>
        <v>0</v>
      </c>
    </row>
    <row r="19" spans="3:61" s="28" customFormat="1" ht="20.100000000000001" customHeight="1">
      <c r="C19" s="1879"/>
      <c r="D19" s="1017" t="s">
        <v>23</v>
      </c>
      <c r="E19" s="1017"/>
      <c r="F19" s="1018"/>
      <c r="H19" s="1889"/>
      <c r="I19" s="33" t="s">
        <v>23</v>
      </c>
      <c r="J19" s="462"/>
      <c r="K19" s="463"/>
      <c r="L19" s="463"/>
      <c r="M19" s="692"/>
      <c r="N19" s="462"/>
      <c r="O19" s="463"/>
      <c r="P19" s="463"/>
      <c r="Q19" s="692"/>
      <c r="R19" s="462"/>
      <c r="S19" s="463"/>
      <c r="T19" s="463"/>
      <c r="U19" s="692"/>
      <c r="V19" s="462"/>
      <c r="W19" s="463"/>
      <c r="X19" s="463"/>
      <c r="Y19" s="692"/>
      <c r="Z19" s="462"/>
      <c r="AA19" s="463"/>
      <c r="AB19" s="463"/>
      <c r="AC19" s="692"/>
      <c r="AD19" s="462"/>
      <c r="AE19" s="463"/>
      <c r="AF19" s="463"/>
      <c r="AG19" s="692"/>
      <c r="AH19" s="128">
        <f t="shared" si="5"/>
        <v>0</v>
      </c>
      <c r="AI19" s="273">
        <f t="shared" si="5"/>
        <v>0</v>
      </c>
      <c r="AJ19" s="273">
        <f t="shared" si="5"/>
        <v>0</v>
      </c>
      <c r="AK19" s="694">
        <f t="shared" si="5"/>
        <v>0</v>
      </c>
      <c r="AL19" s="1012"/>
      <c r="AM19" s="463"/>
      <c r="AN19" s="463"/>
      <c r="AO19" s="692"/>
      <c r="AP19" s="462"/>
      <c r="AQ19" s="463"/>
      <c r="AR19" s="463"/>
      <c r="AS19" s="692"/>
      <c r="AT19" s="462"/>
      <c r="AU19" s="463"/>
      <c r="AV19" s="463"/>
      <c r="AW19" s="692"/>
      <c r="AX19" s="462"/>
      <c r="AY19" s="463"/>
      <c r="AZ19" s="463"/>
      <c r="BA19" s="692"/>
      <c r="BB19" s="128">
        <f t="shared" si="6"/>
        <v>0</v>
      </c>
      <c r="BC19" s="273">
        <f t="shared" si="6"/>
        <v>0</v>
      </c>
      <c r="BD19" s="273">
        <f t="shared" si="6"/>
        <v>0</v>
      </c>
      <c r="BE19" s="273">
        <f t="shared" si="6"/>
        <v>0</v>
      </c>
      <c r="BF19" s="276">
        <f t="shared" si="4"/>
        <v>0</v>
      </c>
      <c r="BG19" s="277">
        <f t="shared" si="4"/>
        <v>0</v>
      </c>
      <c r="BH19" s="277">
        <f t="shared" si="4"/>
        <v>0</v>
      </c>
      <c r="BI19" s="704">
        <f t="shared" si="4"/>
        <v>0</v>
      </c>
    </row>
    <row r="20" spans="3:61" s="28" customFormat="1" ht="20.100000000000001" customHeight="1">
      <c r="C20" s="1879"/>
      <c r="D20" s="1017" t="s">
        <v>22</v>
      </c>
      <c r="E20" s="1017"/>
      <c r="F20" s="1018"/>
      <c r="H20" s="1889"/>
      <c r="I20" s="33" t="s">
        <v>22</v>
      </c>
      <c r="J20" s="462"/>
      <c r="K20" s="463"/>
      <c r="L20" s="463"/>
      <c r="M20" s="692"/>
      <c r="N20" s="462"/>
      <c r="O20" s="463"/>
      <c r="P20" s="463"/>
      <c r="Q20" s="692"/>
      <c r="R20" s="462"/>
      <c r="S20" s="463"/>
      <c r="T20" s="463"/>
      <c r="U20" s="692"/>
      <c r="V20" s="462"/>
      <c r="W20" s="463"/>
      <c r="X20" s="463"/>
      <c r="Y20" s="692"/>
      <c r="Z20" s="462"/>
      <c r="AA20" s="463"/>
      <c r="AB20" s="463"/>
      <c r="AC20" s="692"/>
      <c r="AD20" s="462"/>
      <c r="AE20" s="463"/>
      <c r="AF20" s="463"/>
      <c r="AG20" s="692"/>
      <c r="AH20" s="128">
        <f t="shared" si="5"/>
        <v>0</v>
      </c>
      <c r="AI20" s="273">
        <f t="shared" si="5"/>
        <v>0</v>
      </c>
      <c r="AJ20" s="273">
        <f t="shared" si="5"/>
        <v>0</v>
      </c>
      <c r="AK20" s="694">
        <f t="shared" si="5"/>
        <v>0</v>
      </c>
      <c r="AL20" s="462"/>
      <c r="AM20" s="463"/>
      <c r="AN20" s="463"/>
      <c r="AO20" s="692"/>
      <c r="AP20" s="462"/>
      <c r="AQ20" s="463"/>
      <c r="AR20" s="463"/>
      <c r="AS20" s="692"/>
      <c r="AT20" s="462"/>
      <c r="AU20" s="463"/>
      <c r="AV20" s="463"/>
      <c r="AW20" s="692"/>
      <c r="AX20" s="462"/>
      <c r="AY20" s="463"/>
      <c r="AZ20" s="463"/>
      <c r="BA20" s="692"/>
      <c r="BB20" s="128">
        <f t="shared" si="6"/>
        <v>0</v>
      </c>
      <c r="BC20" s="273">
        <f t="shared" si="6"/>
        <v>0</v>
      </c>
      <c r="BD20" s="273">
        <f t="shared" si="6"/>
        <v>0</v>
      </c>
      <c r="BE20" s="273">
        <f t="shared" si="6"/>
        <v>0</v>
      </c>
      <c r="BF20" s="276">
        <f t="shared" si="4"/>
        <v>0</v>
      </c>
      <c r="BG20" s="277">
        <f t="shared" si="4"/>
        <v>0</v>
      </c>
      <c r="BH20" s="277">
        <f t="shared" si="4"/>
        <v>0</v>
      </c>
      <c r="BI20" s="704">
        <f t="shared" si="4"/>
        <v>0</v>
      </c>
    </row>
    <row r="21" spans="3:61" s="28" customFormat="1" ht="20.100000000000001" customHeight="1">
      <c r="C21" s="1885"/>
      <c r="D21" s="1017"/>
      <c r="E21" s="1017"/>
      <c r="F21" s="1018"/>
      <c r="H21" s="1889"/>
      <c r="I21" s="33" t="s">
        <v>21</v>
      </c>
      <c r="J21" s="462"/>
      <c r="K21" s="463"/>
      <c r="L21" s="463"/>
      <c r="M21" s="692"/>
      <c r="N21" s="462"/>
      <c r="O21" s="463"/>
      <c r="P21" s="463"/>
      <c r="Q21" s="692"/>
      <c r="R21" s="462"/>
      <c r="S21" s="463"/>
      <c r="T21" s="463"/>
      <c r="U21" s="692"/>
      <c r="V21" s="462"/>
      <c r="W21" s="463"/>
      <c r="X21" s="463"/>
      <c r="Y21" s="692"/>
      <c r="Z21" s="462"/>
      <c r="AA21" s="463"/>
      <c r="AB21" s="463"/>
      <c r="AC21" s="692"/>
      <c r="AD21" s="462"/>
      <c r="AE21" s="463"/>
      <c r="AF21" s="463"/>
      <c r="AG21" s="692"/>
      <c r="AH21" s="128">
        <f t="shared" si="5"/>
        <v>0</v>
      </c>
      <c r="AI21" s="273">
        <f t="shared" si="5"/>
        <v>0</v>
      </c>
      <c r="AJ21" s="273">
        <f t="shared" si="5"/>
        <v>0</v>
      </c>
      <c r="AK21" s="694">
        <f t="shared" si="5"/>
        <v>0</v>
      </c>
      <c r="AL21" s="462"/>
      <c r="AM21" s="463"/>
      <c r="AN21" s="463"/>
      <c r="AO21" s="692"/>
      <c r="AP21" s="462"/>
      <c r="AQ21" s="463"/>
      <c r="AR21" s="463"/>
      <c r="AS21" s="692"/>
      <c r="AT21" s="462"/>
      <c r="AU21" s="463"/>
      <c r="AV21" s="463"/>
      <c r="AW21" s="692"/>
      <c r="AX21" s="462"/>
      <c r="AY21" s="463"/>
      <c r="AZ21" s="463"/>
      <c r="BA21" s="692"/>
      <c r="BB21" s="128">
        <f t="shared" si="6"/>
        <v>0</v>
      </c>
      <c r="BC21" s="273">
        <f t="shared" si="6"/>
        <v>0</v>
      </c>
      <c r="BD21" s="273">
        <f t="shared" si="6"/>
        <v>0</v>
      </c>
      <c r="BE21" s="273">
        <f t="shared" si="6"/>
        <v>0</v>
      </c>
      <c r="BF21" s="276">
        <f t="shared" si="4"/>
        <v>0</v>
      </c>
      <c r="BG21" s="277">
        <f t="shared" si="4"/>
        <v>0</v>
      </c>
      <c r="BH21" s="277">
        <f t="shared" si="4"/>
        <v>0</v>
      </c>
      <c r="BI21" s="704">
        <f t="shared" si="4"/>
        <v>0</v>
      </c>
    </row>
    <row r="22" spans="3:61" s="28" customFormat="1" ht="20.100000000000001" customHeight="1">
      <c r="C22" s="1885"/>
      <c r="D22" s="1017"/>
      <c r="E22" s="1017"/>
      <c r="F22" s="1018"/>
      <c r="H22" s="1889"/>
      <c r="I22" s="33" t="s">
        <v>20</v>
      </c>
      <c r="J22" s="462"/>
      <c r="K22" s="463"/>
      <c r="L22" s="463"/>
      <c r="M22" s="692"/>
      <c r="N22" s="462"/>
      <c r="O22" s="463"/>
      <c r="P22" s="463"/>
      <c r="Q22" s="692"/>
      <c r="R22" s="462"/>
      <c r="S22" s="463"/>
      <c r="T22" s="463"/>
      <c r="U22" s="692"/>
      <c r="V22" s="462"/>
      <c r="W22" s="463"/>
      <c r="X22" s="463"/>
      <c r="Y22" s="692"/>
      <c r="Z22" s="462"/>
      <c r="AA22" s="463"/>
      <c r="AB22" s="463"/>
      <c r="AC22" s="692"/>
      <c r="AD22" s="462"/>
      <c r="AE22" s="463"/>
      <c r="AF22" s="463"/>
      <c r="AG22" s="692"/>
      <c r="AH22" s="128">
        <f t="shared" si="5"/>
        <v>0</v>
      </c>
      <c r="AI22" s="273">
        <f t="shared" si="5"/>
        <v>0</v>
      </c>
      <c r="AJ22" s="273">
        <f t="shared" si="5"/>
        <v>0</v>
      </c>
      <c r="AK22" s="694">
        <f t="shared" si="5"/>
        <v>0</v>
      </c>
      <c r="AL22" s="462"/>
      <c r="AM22" s="463"/>
      <c r="AN22" s="463"/>
      <c r="AO22" s="692"/>
      <c r="AP22" s="462"/>
      <c r="AQ22" s="463"/>
      <c r="AR22" s="463"/>
      <c r="AS22" s="692"/>
      <c r="AT22" s="462"/>
      <c r="AU22" s="463"/>
      <c r="AV22" s="463"/>
      <c r="AW22" s="692"/>
      <c r="AX22" s="462"/>
      <c r="AY22" s="463"/>
      <c r="AZ22" s="463"/>
      <c r="BA22" s="692"/>
      <c r="BB22" s="128">
        <f t="shared" si="6"/>
        <v>0</v>
      </c>
      <c r="BC22" s="273">
        <f t="shared" si="6"/>
        <v>0</v>
      </c>
      <c r="BD22" s="273">
        <f t="shared" si="6"/>
        <v>0</v>
      </c>
      <c r="BE22" s="273">
        <f t="shared" si="6"/>
        <v>0</v>
      </c>
      <c r="BF22" s="276">
        <f t="shared" si="4"/>
        <v>0</v>
      </c>
      <c r="BG22" s="277">
        <f t="shared" si="4"/>
        <v>0</v>
      </c>
      <c r="BH22" s="277">
        <f t="shared" si="4"/>
        <v>0</v>
      </c>
      <c r="BI22" s="704">
        <f t="shared" si="4"/>
        <v>0</v>
      </c>
    </row>
    <row r="23" spans="3:61" s="28" customFormat="1" ht="20.100000000000001" customHeight="1">
      <c r="C23" s="1885"/>
      <c r="D23" s="1017"/>
      <c r="E23" s="1017"/>
      <c r="F23" s="1018"/>
      <c r="H23" s="1889"/>
      <c r="I23" s="33" t="s">
        <v>19</v>
      </c>
      <c r="J23" s="462"/>
      <c r="K23" s="463"/>
      <c r="L23" s="463"/>
      <c r="M23" s="692"/>
      <c r="N23" s="462"/>
      <c r="O23" s="463"/>
      <c r="P23" s="463"/>
      <c r="Q23" s="692"/>
      <c r="R23" s="462"/>
      <c r="S23" s="463"/>
      <c r="T23" s="463"/>
      <c r="U23" s="692"/>
      <c r="V23" s="462"/>
      <c r="W23" s="463"/>
      <c r="X23" s="463"/>
      <c r="Y23" s="692"/>
      <c r="Z23" s="462"/>
      <c r="AA23" s="463"/>
      <c r="AB23" s="463"/>
      <c r="AC23" s="692"/>
      <c r="AD23" s="462"/>
      <c r="AE23" s="463"/>
      <c r="AF23" s="463"/>
      <c r="AG23" s="692"/>
      <c r="AH23" s="128">
        <f t="shared" si="5"/>
        <v>0</v>
      </c>
      <c r="AI23" s="273">
        <f t="shared" si="5"/>
        <v>0</v>
      </c>
      <c r="AJ23" s="273">
        <f t="shared" si="5"/>
        <v>0</v>
      </c>
      <c r="AK23" s="694">
        <f t="shared" si="5"/>
        <v>0</v>
      </c>
      <c r="AL23" s="462"/>
      <c r="AM23" s="463"/>
      <c r="AN23" s="463"/>
      <c r="AO23" s="692"/>
      <c r="AP23" s="462"/>
      <c r="AQ23" s="463"/>
      <c r="AR23" s="463"/>
      <c r="AS23" s="692"/>
      <c r="AT23" s="462"/>
      <c r="AU23" s="463"/>
      <c r="AV23" s="463"/>
      <c r="AW23" s="692"/>
      <c r="AX23" s="462"/>
      <c r="AY23" s="463"/>
      <c r="AZ23" s="463"/>
      <c r="BA23" s="692"/>
      <c r="BB23" s="128">
        <f t="shared" si="6"/>
        <v>0</v>
      </c>
      <c r="BC23" s="273">
        <f t="shared" si="6"/>
        <v>0</v>
      </c>
      <c r="BD23" s="273">
        <f t="shared" si="6"/>
        <v>0</v>
      </c>
      <c r="BE23" s="273">
        <f t="shared" si="6"/>
        <v>0</v>
      </c>
      <c r="BF23" s="276">
        <f t="shared" si="4"/>
        <v>0</v>
      </c>
      <c r="BG23" s="277">
        <f t="shared" si="4"/>
        <v>0</v>
      </c>
      <c r="BH23" s="277">
        <f t="shared" si="4"/>
        <v>0</v>
      </c>
      <c r="BI23" s="704">
        <f t="shared" si="4"/>
        <v>0</v>
      </c>
    </row>
    <row r="24" spans="3:61" s="28" customFormat="1" ht="20.100000000000001" customHeight="1" thickBot="1">
      <c r="C24" s="1885"/>
      <c r="D24" s="1017"/>
      <c r="E24" s="1017"/>
      <c r="F24" s="1018"/>
      <c r="H24" s="1865" t="s">
        <v>116</v>
      </c>
      <c r="I24" s="1866"/>
      <c r="J24" s="118">
        <f t="shared" ref="J24:BI24" si="7">SUM(J15:J23)</f>
        <v>0</v>
      </c>
      <c r="K24" s="272">
        <f t="shared" si="7"/>
        <v>0</v>
      </c>
      <c r="L24" s="272">
        <f>SUM(L15:L23)</f>
        <v>0</v>
      </c>
      <c r="M24" s="272">
        <f>SUM(M15:M23)</f>
        <v>0</v>
      </c>
      <c r="N24" s="118">
        <f t="shared" ref="N24:AI24" si="8">SUM(N15:N23)</f>
        <v>0</v>
      </c>
      <c r="O24" s="272">
        <f t="shared" si="8"/>
        <v>0</v>
      </c>
      <c r="P24" s="272">
        <f t="shared" si="8"/>
        <v>0</v>
      </c>
      <c r="Q24" s="272">
        <f t="shared" si="8"/>
        <v>0</v>
      </c>
      <c r="R24" s="118">
        <f t="shared" si="8"/>
        <v>0</v>
      </c>
      <c r="S24" s="272">
        <f t="shared" si="8"/>
        <v>0</v>
      </c>
      <c r="T24" s="272">
        <f t="shared" si="8"/>
        <v>0</v>
      </c>
      <c r="U24" s="272">
        <f t="shared" si="8"/>
        <v>0</v>
      </c>
      <c r="V24" s="118">
        <f t="shared" si="8"/>
        <v>0</v>
      </c>
      <c r="W24" s="272">
        <f t="shared" si="8"/>
        <v>0</v>
      </c>
      <c r="X24" s="272">
        <f t="shared" si="8"/>
        <v>0</v>
      </c>
      <c r="Y24" s="272">
        <f t="shared" si="8"/>
        <v>0</v>
      </c>
      <c r="Z24" s="118">
        <f t="shared" si="8"/>
        <v>0</v>
      </c>
      <c r="AA24" s="272">
        <f t="shared" si="8"/>
        <v>0</v>
      </c>
      <c r="AB24" s="272">
        <f t="shared" si="8"/>
        <v>0</v>
      </c>
      <c r="AC24" s="272">
        <f t="shared" si="8"/>
        <v>0</v>
      </c>
      <c r="AD24" s="118">
        <f t="shared" si="8"/>
        <v>0</v>
      </c>
      <c r="AE24" s="272">
        <f t="shared" si="8"/>
        <v>0</v>
      </c>
      <c r="AF24" s="272">
        <f t="shared" si="8"/>
        <v>0</v>
      </c>
      <c r="AG24" s="272">
        <f t="shared" si="8"/>
        <v>0</v>
      </c>
      <c r="AH24" s="118">
        <f t="shared" si="8"/>
        <v>0</v>
      </c>
      <c r="AI24" s="272">
        <f t="shared" si="8"/>
        <v>0</v>
      </c>
      <c r="AJ24" s="272">
        <f>SUM(AJ15:AJ23)</f>
        <v>0</v>
      </c>
      <c r="AK24" s="695">
        <f>SUM(AK15:AK23)</f>
        <v>0</v>
      </c>
      <c r="AL24" s="118">
        <f t="shared" ref="AL24:BC24" si="9">SUM(AL15:AL23)</f>
        <v>0</v>
      </c>
      <c r="AM24" s="272">
        <f t="shared" si="9"/>
        <v>0</v>
      </c>
      <c r="AN24" s="272">
        <f t="shared" si="9"/>
        <v>0</v>
      </c>
      <c r="AO24" s="272">
        <f t="shared" si="9"/>
        <v>0</v>
      </c>
      <c r="AP24" s="118">
        <f t="shared" si="9"/>
        <v>0</v>
      </c>
      <c r="AQ24" s="272">
        <f t="shared" si="9"/>
        <v>0</v>
      </c>
      <c r="AR24" s="272">
        <f t="shared" si="9"/>
        <v>0</v>
      </c>
      <c r="AS24" s="272">
        <f t="shared" si="9"/>
        <v>0</v>
      </c>
      <c r="AT24" s="118">
        <f t="shared" si="9"/>
        <v>0</v>
      </c>
      <c r="AU24" s="272">
        <f t="shared" si="9"/>
        <v>0</v>
      </c>
      <c r="AV24" s="272">
        <f t="shared" si="9"/>
        <v>0</v>
      </c>
      <c r="AW24" s="272">
        <f t="shared" si="9"/>
        <v>0</v>
      </c>
      <c r="AX24" s="118">
        <f t="shared" si="9"/>
        <v>0</v>
      </c>
      <c r="AY24" s="272">
        <f t="shared" si="9"/>
        <v>0</v>
      </c>
      <c r="AZ24" s="272">
        <f t="shared" si="9"/>
        <v>0</v>
      </c>
      <c r="BA24" s="272">
        <f t="shared" si="9"/>
        <v>0</v>
      </c>
      <c r="BB24" s="118">
        <f t="shared" si="9"/>
        <v>0</v>
      </c>
      <c r="BC24" s="272">
        <f t="shared" si="9"/>
        <v>0</v>
      </c>
      <c r="BD24" s="272">
        <f>SUM(BD15:BD23)</f>
        <v>0</v>
      </c>
      <c r="BE24" s="272">
        <f>SUM(BE15:BE23)</f>
        <v>0</v>
      </c>
      <c r="BF24" s="278">
        <f t="shared" si="7"/>
        <v>0</v>
      </c>
      <c r="BG24" s="279">
        <f t="shared" si="7"/>
        <v>0</v>
      </c>
      <c r="BH24" s="279">
        <f t="shared" si="7"/>
        <v>0</v>
      </c>
      <c r="BI24" s="705">
        <f t="shared" si="7"/>
        <v>0</v>
      </c>
    </row>
    <row r="25" spans="3:61" s="119" customFormat="1" ht="9" customHeight="1" thickBot="1">
      <c r="C25" s="121"/>
      <c r="D25" s="121"/>
      <c r="E25" s="121"/>
      <c r="F25" s="121"/>
      <c r="H25" s="122"/>
      <c r="I25" s="122"/>
      <c r="J25" s="125"/>
      <c r="K25" s="126"/>
      <c r="L25" s="126"/>
      <c r="M25" s="126"/>
      <c r="N25" s="125"/>
      <c r="O25" s="126"/>
      <c r="P25" s="126"/>
      <c r="Q25" s="126"/>
      <c r="R25" s="125"/>
      <c r="S25" s="126"/>
      <c r="T25" s="126"/>
      <c r="U25" s="126"/>
      <c r="V25" s="125"/>
      <c r="W25" s="126"/>
      <c r="X25" s="126"/>
      <c r="Y25" s="126"/>
      <c r="Z25" s="125"/>
      <c r="AA25" s="126"/>
      <c r="AB25" s="126"/>
      <c r="AC25" s="126"/>
      <c r="AD25" s="125"/>
      <c r="AE25" s="126"/>
      <c r="AF25" s="126"/>
      <c r="AG25" s="126"/>
      <c r="AH25" s="125"/>
      <c r="AI25" s="126"/>
      <c r="AJ25" s="126"/>
      <c r="AK25" s="126"/>
      <c r="AL25" s="125"/>
      <c r="AM25" s="126"/>
      <c r="AN25" s="126"/>
      <c r="AO25" s="126"/>
      <c r="AP25" s="125"/>
      <c r="AQ25" s="126"/>
      <c r="AR25" s="126"/>
      <c r="AS25" s="126"/>
      <c r="AT25" s="125"/>
      <c r="AU25" s="126"/>
      <c r="AV25" s="126"/>
      <c r="AW25" s="126"/>
      <c r="AX25" s="125"/>
      <c r="AY25" s="126"/>
      <c r="AZ25" s="126"/>
      <c r="BA25" s="126"/>
      <c r="BB25" s="125"/>
      <c r="BC25" s="126"/>
      <c r="BD25" s="126"/>
      <c r="BE25" s="126"/>
      <c r="BF25" s="125"/>
      <c r="BG25" s="126"/>
    </row>
    <row r="26" spans="3:61" s="28" customFormat="1" ht="26.25" customHeight="1" thickBot="1">
      <c r="D26" s="29"/>
      <c r="E26" s="29"/>
      <c r="F26" s="29"/>
      <c r="H26" s="1893" t="s">
        <v>49</v>
      </c>
      <c r="I26" s="1894"/>
      <c r="J26" s="123">
        <f t="shared" ref="J26:BI26" si="10">J10+J24</f>
        <v>0</v>
      </c>
      <c r="K26" s="280">
        <f t="shared" si="10"/>
        <v>0</v>
      </c>
      <c r="L26" s="280">
        <f>L10+L24</f>
        <v>0</v>
      </c>
      <c r="M26" s="280">
        <f>M10+M24</f>
        <v>0</v>
      </c>
      <c r="N26" s="123">
        <f t="shared" ref="N26:O26" si="11">N10+N24</f>
        <v>0</v>
      </c>
      <c r="O26" s="1160">
        <f t="shared" si="11"/>
        <v>0</v>
      </c>
      <c r="P26" s="280">
        <f>P10+P24</f>
        <v>0</v>
      </c>
      <c r="Q26" s="280">
        <f>Q10+Q24</f>
        <v>0</v>
      </c>
      <c r="R26" s="123">
        <f t="shared" ref="R26:S26" si="12">R10+R24</f>
        <v>0</v>
      </c>
      <c r="S26" s="280">
        <f t="shared" si="12"/>
        <v>0</v>
      </c>
      <c r="T26" s="280">
        <f>T10+T24</f>
        <v>0</v>
      </c>
      <c r="U26" s="280">
        <f>U10+U24</f>
        <v>0</v>
      </c>
      <c r="V26" s="123">
        <f t="shared" ref="V26:W26" si="13">V10+V24</f>
        <v>0</v>
      </c>
      <c r="W26" s="280">
        <f t="shared" si="13"/>
        <v>0</v>
      </c>
      <c r="X26" s="280">
        <f>X10+X24</f>
        <v>0</v>
      </c>
      <c r="Y26" s="280">
        <f>Y10+Y24</f>
        <v>0</v>
      </c>
      <c r="Z26" s="123">
        <f t="shared" ref="Z26:AA26" si="14">Z10+Z24</f>
        <v>0</v>
      </c>
      <c r="AA26" s="280">
        <f t="shared" si="14"/>
        <v>0</v>
      </c>
      <c r="AB26" s="280">
        <f>AB10+AB24</f>
        <v>0</v>
      </c>
      <c r="AC26" s="280">
        <f>AC10+AC24</f>
        <v>0</v>
      </c>
      <c r="AD26" s="123">
        <f t="shared" ref="AD26:AE26" si="15">AD10+AD24</f>
        <v>0</v>
      </c>
      <c r="AE26" s="280">
        <f t="shared" si="15"/>
        <v>0</v>
      </c>
      <c r="AF26" s="280">
        <f>AF10+AF24</f>
        <v>0</v>
      </c>
      <c r="AG26" s="280">
        <f>AG10+AG24</f>
        <v>0</v>
      </c>
      <c r="AH26" s="127">
        <f t="shared" ref="AH26:AI26" si="16">AH10+AH24</f>
        <v>0</v>
      </c>
      <c r="AI26" s="280">
        <f t="shared" si="16"/>
        <v>0</v>
      </c>
      <c r="AJ26" s="697">
        <f>AJ10+AJ24</f>
        <v>0</v>
      </c>
      <c r="AK26" s="696">
        <f>AK10+AK24</f>
        <v>0</v>
      </c>
      <c r="AL26" s="123">
        <f t="shared" ref="AL26:AM26" si="17">AL10+AL24</f>
        <v>0</v>
      </c>
      <c r="AM26" s="280">
        <f t="shared" si="17"/>
        <v>0</v>
      </c>
      <c r="AN26" s="280">
        <f>AN10+AN24</f>
        <v>0</v>
      </c>
      <c r="AO26" s="280">
        <f>AO10+AO24</f>
        <v>0</v>
      </c>
      <c r="AP26" s="123">
        <f t="shared" ref="AP26:AQ26" si="18">AP10+AP24</f>
        <v>0</v>
      </c>
      <c r="AQ26" s="280">
        <f t="shared" si="18"/>
        <v>0</v>
      </c>
      <c r="AR26" s="280">
        <f>AR10+AR24</f>
        <v>0</v>
      </c>
      <c r="AS26" s="280">
        <f>AS10+AS24</f>
        <v>0</v>
      </c>
      <c r="AT26" s="123">
        <f t="shared" ref="AT26:AU26" si="19">AT10+AT24</f>
        <v>0</v>
      </c>
      <c r="AU26" s="280">
        <f t="shared" si="19"/>
        <v>0</v>
      </c>
      <c r="AV26" s="280">
        <f>AV10+AV24</f>
        <v>0</v>
      </c>
      <c r="AW26" s="280">
        <f>AW10+AW24</f>
        <v>0</v>
      </c>
      <c r="AX26" s="123">
        <f t="shared" ref="AX26:AY26" si="20">AX10+AX24</f>
        <v>0</v>
      </c>
      <c r="AY26" s="280">
        <f t="shared" si="20"/>
        <v>0</v>
      </c>
      <c r="AZ26" s="280">
        <f>AZ10+AZ24</f>
        <v>0</v>
      </c>
      <c r="BA26" s="280">
        <f>BA10+BA24</f>
        <v>0</v>
      </c>
      <c r="BB26" s="127">
        <f t="shared" ref="BB26:BC26" si="21">BB10+BB24</f>
        <v>0</v>
      </c>
      <c r="BC26" s="280">
        <f t="shared" si="21"/>
        <v>0</v>
      </c>
      <c r="BD26" s="697">
        <f>BD10+BD24</f>
        <v>0</v>
      </c>
      <c r="BE26" s="697">
        <f>BE10+BE24</f>
        <v>0</v>
      </c>
      <c r="BF26" s="124">
        <f>BF10+BF24</f>
        <v>0</v>
      </c>
      <c r="BG26" s="707">
        <f t="shared" si="10"/>
        <v>0</v>
      </c>
      <c r="BH26" s="706">
        <f t="shared" si="10"/>
        <v>0</v>
      </c>
      <c r="BI26" s="284">
        <f t="shared" si="10"/>
        <v>0</v>
      </c>
    </row>
    <row r="27" spans="3:61" ht="21" customHeight="1">
      <c r="H27" s="320"/>
      <c r="I27" s="320"/>
      <c r="J27" s="321"/>
      <c r="K27" s="321"/>
      <c r="L27" s="321"/>
      <c r="M27" s="321"/>
      <c r="N27" s="321"/>
      <c r="O27" s="321"/>
      <c r="P27" s="321"/>
      <c r="Q27" s="321"/>
      <c r="R27" s="321"/>
      <c r="S27" s="321"/>
      <c r="T27" s="321"/>
      <c r="U27" s="321"/>
      <c r="V27" s="321"/>
      <c r="W27" s="321"/>
      <c r="X27" s="323"/>
      <c r="Y27" s="323"/>
      <c r="Z27" s="321"/>
      <c r="AA27" s="321"/>
      <c r="AB27" s="323"/>
      <c r="AC27" s="323"/>
      <c r="AD27" s="321"/>
      <c r="AE27" s="321"/>
      <c r="AF27" s="321"/>
      <c r="AG27" s="321"/>
      <c r="AH27" s="321"/>
      <c r="AI27" s="321"/>
      <c r="AJ27" s="321"/>
      <c r="AK27" s="321"/>
      <c r="AL27" s="321"/>
      <c r="AM27" s="321"/>
      <c r="AN27" s="321"/>
      <c r="AO27" s="321"/>
      <c r="AP27" s="321"/>
      <c r="AQ27" s="321"/>
      <c r="AR27" s="321"/>
      <c r="AS27" s="321"/>
      <c r="AT27" s="321"/>
      <c r="AU27" s="321"/>
      <c r="AV27" s="321"/>
      <c r="AW27" s="321"/>
      <c r="AX27" s="321"/>
      <c r="AY27" s="321"/>
      <c r="AZ27" s="321"/>
      <c r="BA27" s="321"/>
      <c r="BB27" s="335"/>
      <c r="BC27" s="1918">
        <f>SUM(I27:AZ29)</f>
        <v>0</v>
      </c>
      <c r="BD27" s="335"/>
      <c r="BE27" s="335"/>
      <c r="BF27" s="335"/>
      <c r="BG27" s="335"/>
      <c r="BH27" s="1917">
        <f>BH26+BI26</f>
        <v>0</v>
      </c>
      <c r="BI27" s="1917"/>
    </row>
    <row r="28" spans="3:61" ht="21" customHeight="1">
      <c r="H28" s="320"/>
      <c r="I28" s="320"/>
      <c r="J28" s="322"/>
      <c r="K28" s="323"/>
      <c r="L28" s="323"/>
      <c r="M28" s="323"/>
      <c r="N28" s="322"/>
      <c r="O28" s="323"/>
      <c r="P28" s="323"/>
      <c r="Q28" s="323"/>
      <c r="R28" s="322"/>
      <c r="S28" s="323"/>
      <c r="T28" s="323"/>
      <c r="U28" s="323"/>
      <c r="V28" s="321"/>
      <c r="W28" s="323"/>
      <c r="X28" s="323"/>
      <c r="Y28" s="323"/>
      <c r="Z28" s="322"/>
      <c r="AA28" s="323"/>
      <c r="AB28" s="323"/>
      <c r="AC28" s="323"/>
      <c r="AD28" s="322"/>
      <c r="AE28" s="323"/>
      <c r="AF28" s="323"/>
      <c r="AG28" s="322"/>
      <c r="AH28" s="322"/>
      <c r="AI28" s="323"/>
      <c r="AJ28" s="323"/>
      <c r="AK28" s="323"/>
      <c r="AL28" s="321"/>
      <c r="AM28" s="323"/>
      <c r="AN28" s="622"/>
      <c r="AO28" s="622"/>
      <c r="AP28" s="321"/>
      <c r="AQ28" s="323"/>
      <c r="AR28" s="323"/>
      <c r="AS28" s="323"/>
      <c r="AT28" s="322"/>
      <c r="AU28" s="323"/>
      <c r="AV28" s="323"/>
      <c r="AW28" s="323"/>
      <c r="AX28" s="322"/>
      <c r="AY28" s="468"/>
      <c r="AZ28" s="468"/>
      <c r="BA28" s="468"/>
      <c r="BB28" s="392"/>
      <c r="BC28" s="1919"/>
      <c r="BD28" s="434"/>
      <c r="BE28" s="434"/>
      <c r="BF28" s="435"/>
      <c r="BG28" s="434"/>
      <c r="BH28" s="726"/>
      <c r="BI28" s="434"/>
    </row>
    <row r="29" spans="3:61" ht="23.25">
      <c r="H29" s="320"/>
      <c r="I29" s="320"/>
      <c r="J29" s="322"/>
      <c r="K29" s="323"/>
      <c r="L29" s="323"/>
      <c r="M29" s="323"/>
      <c r="N29" s="322"/>
      <c r="O29" s="323"/>
      <c r="P29" s="323"/>
      <c r="Q29" s="323"/>
      <c r="R29" s="322"/>
      <c r="S29" s="323"/>
      <c r="T29" s="323"/>
      <c r="U29" s="323"/>
      <c r="V29" s="322"/>
      <c r="W29" s="323"/>
      <c r="X29" s="323"/>
      <c r="Y29" s="323"/>
      <c r="Z29" s="322"/>
      <c r="AA29" s="323"/>
      <c r="AB29" s="323"/>
      <c r="AC29" s="323"/>
      <c r="AD29" s="322"/>
      <c r="AE29" s="323"/>
      <c r="AF29" s="688"/>
      <c r="AG29" s="688"/>
      <c r="AH29" s="322"/>
      <c r="AI29" s="322"/>
      <c r="AJ29" s="323"/>
      <c r="AK29" s="323"/>
      <c r="AL29" s="321"/>
      <c r="AM29" s="323"/>
      <c r="AN29" s="321"/>
      <c r="AO29" s="321"/>
      <c r="AP29" s="322"/>
      <c r="AQ29" s="323"/>
      <c r="AR29" s="323"/>
      <c r="AS29" s="323"/>
      <c r="AT29" s="322"/>
      <c r="AU29" s="323"/>
      <c r="AV29" s="323"/>
      <c r="AW29" s="323"/>
      <c r="AX29" s="322"/>
      <c r="AY29" s="468"/>
      <c r="AZ29" s="468"/>
      <c r="BA29" s="468"/>
      <c r="BB29" s="392"/>
      <c r="BC29" s="434"/>
      <c r="BD29" s="434"/>
      <c r="BE29" s="434"/>
      <c r="BF29" s="435"/>
      <c r="BG29" s="434"/>
      <c r="BH29" s="682"/>
      <c r="BI29" s="434"/>
    </row>
    <row r="30" spans="3:61" s="464" customFormat="1" ht="21.75" thickBot="1">
      <c r="D30" s="576"/>
      <c r="E30" s="576"/>
      <c r="F30" s="576"/>
      <c r="I30" s="577"/>
      <c r="J30" s="578"/>
      <c r="K30" s="579"/>
      <c r="L30" s="579"/>
      <c r="M30" s="579"/>
      <c r="N30" s="578"/>
      <c r="O30" s="579"/>
      <c r="P30" s="579"/>
      <c r="Q30" s="579"/>
      <c r="R30" s="578"/>
      <c r="S30" s="579"/>
      <c r="T30" s="579"/>
      <c r="U30" s="579"/>
      <c r="V30" s="578"/>
      <c r="W30" s="578"/>
      <c r="X30" s="579"/>
      <c r="Y30" s="579"/>
      <c r="Z30" s="579"/>
      <c r="AA30" s="578"/>
      <c r="AB30" s="579"/>
      <c r="AC30" s="579"/>
      <c r="AD30" s="579"/>
      <c r="AE30" s="578"/>
      <c r="AF30" s="579"/>
      <c r="AG30" s="579"/>
      <c r="AH30" s="621"/>
      <c r="AI30" s="578"/>
      <c r="AJ30" s="579"/>
      <c r="AK30" s="579"/>
      <c r="AM30" s="580"/>
      <c r="AN30" s="579"/>
      <c r="AO30" s="579"/>
      <c r="AP30" s="579"/>
      <c r="AQ30" s="578"/>
      <c r="AR30" s="579"/>
      <c r="AS30" s="579"/>
      <c r="AT30" s="579"/>
      <c r="AU30" s="578"/>
      <c r="AV30" s="579"/>
      <c r="AW30" s="579"/>
      <c r="AZ30" s="581"/>
      <c r="BA30" s="581"/>
      <c r="BB30" s="581"/>
      <c r="BC30" s="582"/>
      <c r="BD30" s="583"/>
      <c r="BE30" s="583"/>
      <c r="BF30" s="583"/>
      <c r="BG30" s="584"/>
      <c r="BH30" s="583"/>
      <c r="BI30" s="585"/>
    </row>
    <row r="31" spans="3:61" ht="35.25" customHeight="1" thickBot="1">
      <c r="L31" s="1929" t="s">
        <v>365</v>
      </c>
      <c r="M31" s="1930"/>
      <c r="N31" s="1930"/>
      <c r="O31" s="1930"/>
      <c r="P31" s="1930"/>
      <c r="Q31" s="1930"/>
      <c r="R31" s="1930"/>
      <c r="S31" s="1931"/>
      <c r="T31" s="579"/>
      <c r="U31" s="579"/>
      <c r="V31" s="1929" t="s">
        <v>204</v>
      </c>
      <c r="W31" s="1930"/>
      <c r="X31" s="1930"/>
      <c r="Y31" s="1930"/>
      <c r="Z31" s="1930"/>
      <c r="AA31" s="1930"/>
      <c r="AB31" s="1930"/>
      <c r="AC31" s="1935"/>
      <c r="AD31" s="1936"/>
      <c r="AE31" s="579"/>
      <c r="AF31" s="579"/>
      <c r="AG31" s="26"/>
      <c r="AH31" s="24"/>
      <c r="AJ31" s="685"/>
      <c r="AL31" s="24"/>
      <c r="AM31" s="599"/>
      <c r="AN31" s="1014"/>
      <c r="AP31" s="24"/>
      <c r="AS31" s="26"/>
      <c r="AT31" s="24"/>
      <c r="AX31" s="24"/>
      <c r="AY31" s="25"/>
      <c r="AZ31" s="25"/>
      <c r="BA31" s="24"/>
      <c r="BB31" s="24"/>
      <c r="BE31" s="23"/>
      <c r="BF31" s="23"/>
      <c r="BG31" s="23"/>
    </row>
    <row r="32" spans="3:61" s="24" customFormat="1" ht="28.5" customHeight="1" thickBot="1">
      <c r="C32" s="23"/>
      <c r="D32" s="27"/>
      <c r="E32" s="27"/>
      <c r="F32" s="27"/>
      <c r="G32" s="23"/>
      <c r="H32" s="23"/>
      <c r="I32" s="27"/>
      <c r="L32" s="450" t="s">
        <v>0</v>
      </c>
      <c r="M32" s="439" t="s">
        <v>200</v>
      </c>
      <c r="N32" s="454" t="s">
        <v>205</v>
      </c>
      <c r="O32" s="439" t="s">
        <v>31</v>
      </c>
      <c r="P32" s="448" t="s">
        <v>201</v>
      </c>
      <c r="Q32" s="455" t="s">
        <v>206</v>
      </c>
      <c r="R32" s="436" t="s">
        <v>22</v>
      </c>
      <c r="S32" s="438" t="s">
        <v>191</v>
      </c>
      <c r="T32" s="579"/>
      <c r="U32" s="579"/>
      <c r="V32" s="571" t="s">
        <v>0</v>
      </c>
      <c r="W32" s="572" t="s">
        <v>200</v>
      </c>
      <c r="X32" s="623" t="s">
        <v>205</v>
      </c>
      <c r="Y32" s="572" t="s">
        <v>31</v>
      </c>
      <c r="Z32" s="573" t="s">
        <v>201</v>
      </c>
      <c r="AA32" s="574" t="s">
        <v>206</v>
      </c>
      <c r="AB32" s="717" t="s">
        <v>22</v>
      </c>
      <c r="AC32" s="721" t="s">
        <v>191</v>
      </c>
      <c r="AD32" s="722" t="s">
        <v>226</v>
      </c>
      <c r="AE32" s="579"/>
      <c r="AF32" s="579"/>
      <c r="AG32" s="599"/>
      <c r="AH32" s="599"/>
      <c r="AI32" s="599"/>
      <c r="AN32" s="26"/>
      <c r="AT32" s="25"/>
      <c r="AU32" s="25"/>
      <c r="AW32" s="23"/>
      <c r="AX32" s="23"/>
    </row>
    <row r="33" spans="1:59" ht="23.25">
      <c r="L33" s="441" t="s">
        <v>189</v>
      </c>
      <c r="M33" s="470">
        <f>$J$6</f>
        <v>0</v>
      </c>
      <c r="N33" s="430">
        <f>$J9</f>
        <v>0</v>
      </c>
      <c r="O33" s="430">
        <f>$J7</f>
        <v>0</v>
      </c>
      <c r="P33" s="430">
        <f>$J8</f>
        <v>0</v>
      </c>
      <c r="Q33" s="430">
        <f>J15+J16+J17+J18+J19+J21+J22+J23</f>
        <v>0</v>
      </c>
      <c r="R33" s="430">
        <f>$J20</f>
        <v>0</v>
      </c>
      <c r="S33" s="446">
        <f t="shared" ref="S33:S42" si="22">SUM(M33:R33)</f>
        <v>0</v>
      </c>
      <c r="T33" s="579"/>
      <c r="U33" s="579"/>
      <c r="V33" s="447" t="s">
        <v>189</v>
      </c>
      <c r="W33" s="569">
        <f>L$6</f>
        <v>0</v>
      </c>
      <c r="X33" s="570">
        <f>$L9</f>
        <v>0</v>
      </c>
      <c r="Y33" s="570">
        <f>$L7</f>
        <v>0</v>
      </c>
      <c r="Z33" s="570">
        <f>$L8</f>
        <v>0</v>
      </c>
      <c r="AA33" s="570">
        <f>L$15+L$16+L$17+L$18+L$19+L$21+L$22+L$23</f>
        <v>0</v>
      </c>
      <c r="AB33" s="718">
        <f>$L20</f>
        <v>0</v>
      </c>
      <c r="AC33" s="723">
        <f t="shared" ref="AC33:AC42" si="23">SUM(W33:AB33)</f>
        <v>0</v>
      </c>
      <c r="AD33" s="587">
        <f>M6+M7+M8++M9+M15+M16+M17+M18+M19+M21+M20+M22+M23</f>
        <v>0</v>
      </c>
      <c r="AE33" s="579">
        <f>AC33+AD33</f>
        <v>0</v>
      </c>
      <c r="AF33" s="579"/>
      <c r="AG33" s="599"/>
      <c r="AH33" s="599"/>
      <c r="AI33" s="599"/>
      <c r="AL33" s="24"/>
      <c r="AN33" s="26"/>
      <c r="AP33" s="24"/>
      <c r="AT33" s="25"/>
      <c r="AU33" s="25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</row>
    <row r="34" spans="1:59" s="24" customFormat="1" ht="23.25">
      <c r="A34" s="23"/>
      <c r="B34" s="23"/>
      <c r="C34" s="23"/>
      <c r="D34" s="27"/>
      <c r="E34" s="27"/>
      <c r="F34" s="27"/>
      <c r="G34" s="23"/>
      <c r="H34" s="23"/>
      <c r="I34" s="27"/>
      <c r="L34" s="441" t="s">
        <v>183</v>
      </c>
      <c r="M34" s="470">
        <f>$N$6</f>
        <v>0</v>
      </c>
      <c r="N34" s="430">
        <f>$N9</f>
        <v>0</v>
      </c>
      <c r="O34" s="430">
        <f>$N7</f>
        <v>0</v>
      </c>
      <c r="P34" s="430">
        <f>$N8</f>
        <v>0</v>
      </c>
      <c r="Q34" s="430">
        <f>N15+N16+N17+N18+N19+N21+N22+N23</f>
        <v>0</v>
      </c>
      <c r="R34" s="430">
        <f>$N20</f>
        <v>0</v>
      </c>
      <c r="S34" s="446">
        <f t="shared" si="22"/>
        <v>0</v>
      </c>
      <c r="T34" s="686"/>
      <c r="U34" s="26"/>
      <c r="V34" s="441" t="s">
        <v>183</v>
      </c>
      <c r="W34" s="440">
        <f>P$6</f>
        <v>0</v>
      </c>
      <c r="X34" s="430">
        <f>$P9</f>
        <v>0</v>
      </c>
      <c r="Y34" s="430">
        <f>$P7</f>
        <v>0</v>
      </c>
      <c r="Z34" s="430">
        <f>$P8</f>
        <v>0</v>
      </c>
      <c r="AA34" s="430">
        <f>P$15+P$16+P$17+P$18+P$19+P$21+P$22+P$23</f>
        <v>0</v>
      </c>
      <c r="AB34" s="719">
        <f>$P20</f>
        <v>0</v>
      </c>
      <c r="AC34" s="723">
        <f t="shared" si="23"/>
        <v>0</v>
      </c>
      <c r="AD34" s="587">
        <f>Q6+Q7+Q8+Q9+Q15+Q16+Q17+Q18+Q19+Q20+Q21+Q22+Q23</f>
        <v>0</v>
      </c>
      <c r="AE34" s="579">
        <f t="shared" ref="AE34:AE43" si="24">AC34+AD34</f>
        <v>0</v>
      </c>
      <c r="AG34" s="599"/>
      <c r="AH34" s="599"/>
      <c r="AI34" s="599"/>
      <c r="AN34" s="26"/>
      <c r="AT34" s="25"/>
      <c r="AU34" s="25"/>
    </row>
    <row r="35" spans="1:59" ht="23.25">
      <c r="L35" s="441" t="s">
        <v>184</v>
      </c>
      <c r="M35" s="470">
        <f>$R$6</f>
        <v>0</v>
      </c>
      <c r="N35" s="430">
        <f>$R9</f>
        <v>0</v>
      </c>
      <c r="O35" s="430">
        <f>$R7</f>
        <v>0</v>
      </c>
      <c r="P35" s="430">
        <f>$R8</f>
        <v>0</v>
      </c>
      <c r="Q35" s="430">
        <f>R15+R16+R17+R18+R19+R21+R22+R23</f>
        <v>0</v>
      </c>
      <c r="R35" s="430">
        <f>$R20</f>
        <v>0</v>
      </c>
      <c r="S35" s="446">
        <f t="shared" si="22"/>
        <v>0</v>
      </c>
      <c r="T35" s="686"/>
      <c r="U35" s="26"/>
      <c r="V35" s="441" t="s">
        <v>184</v>
      </c>
      <c r="W35" s="440">
        <f>T$6</f>
        <v>0</v>
      </c>
      <c r="X35" s="430">
        <f>$T9</f>
        <v>0</v>
      </c>
      <c r="Y35" s="430">
        <f>$T7</f>
        <v>0</v>
      </c>
      <c r="Z35" s="430">
        <f>$T8</f>
        <v>0</v>
      </c>
      <c r="AA35" s="430">
        <f>T$15+T$16+T$17+T$18+T$19+T$21+T$22+T$23</f>
        <v>0</v>
      </c>
      <c r="AB35" s="719">
        <f>$T20</f>
        <v>0</v>
      </c>
      <c r="AC35" s="723">
        <f t="shared" si="23"/>
        <v>0</v>
      </c>
      <c r="AD35" s="587">
        <f>U6+U7+U8+U9+U15+U16+U17+U18+U19+U20+U21+U22+U23</f>
        <v>0</v>
      </c>
      <c r="AE35" s="579">
        <f t="shared" si="24"/>
        <v>0</v>
      </c>
      <c r="AF35" s="26"/>
      <c r="AG35" s="599"/>
      <c r="AH35" s="599"/>
      <c r="AI35" s="599"/>
      <c r="AL35" s="24"/>
      <c r="AN35" s="26"/>
      <c r="AP35" s="24"/>
      <c r="AT35" s="25"/>
      <c r="AU35" s="25"/>
      <c r="AX35" s="23"/>
      <c r="AY35" s="23"/>
      <c r="AZ35" s="23"/>
      <c r="BA35" s="23"/>
      <c r="BB35" s="23"/>
      <c r="BC35" s="23"/>
      <c r="BD35" s="23"/>
      <c r="BE35" s="23"/>
      <c r="BF35" s="23"/>
      <c r="BG35" s="23"/>
    </row>
    <row r="36" spans="1:59" ht="23.25">
      <c r="L36" s="441" t="s">
        <v>170</v>
      </c>
      <c r="M36" s="470">
        <f>$V$6</f>
        <v>0</v>
      </c>
      <c r="N36" s="430">
        <f>$V9</f>
        <v>0</v>
      </c>
      <c r="O36" s="430">
        <f>$V7</f>
        <v>0</v>
      </c>
      <c r="P36" s="430">
        <f>$V8</f>
        <v>0</v>
      </c>
      <c r="Q36" s="430">
        <f>V15+V16+V17+V18+V19+V21++V22+V23</f>
        <v>0</v>
      </c>
      <c r="R36" s="430">
        <f>$V20</f>
        <v>0</v>
      </c>
      <c r="S36" s="446">
        <f t="shared" si="22"/>
        <v>0</v>
      </c>
      <c r="T36" s="686"/>
      <c r="U36" s="26"/>
      <c r="V36" s="441" t="s">
        <v>170</v>
      </c>
      <c r="W36" s="440">
        <f>X$6</f>
        <v>0</v>
      </c>
      <c r="X36" s="430">
        <f>$X9</f>
        <v>0</v>
      </c>
      <c r="Y36" s="430">
        <f>$X7</f>
        <v>0</v>
      </c>
      <c r="Z36" s="430">
        <f>$X8</f>
        <v>0</v>
      </c>
      <c r="AA36" s="430">
        <f>X$15+X$16+X$17+X$18+X$19+X$21+X$22+X$23</f>
        <v>0</v>
      </c>
      <c r="AB36" s="719">
        <f>$X20</f>
        <v>0</v>
      </c>
      <c r="AC36" s="723">
        <f t="shared" si="23"/>
        <v>0</v>
      </c>
      <c r="AD36" s="587">
        <f>Y6+Y7+Y8+Y9+Y15+Y16+Y17+Y18+Y19+Y20+Y21+Y22+Y23</f>
        <v>0</v>
      </c>
      <c r="AE36" s="579">
        <f t="shared" si="24"/>
        <v>0</v>
      </c>
      <c r="AF36" s="26"/>
      <c r="AG36" s="599"/>
      <c r="AH36" s="599"/>
      <c r="AI36" s="599"/>
      <c r="AL36" s="24"/>
      <c r="AN36" s="26"/>
      <c r="AP36" s="24"/>
      <c r="AT36" s="25"/>
      <c r="AU36" s="25"/>
      <c r="AX36" s="23"/>
      <c r="AY36" s="23"/>
      <c r="AZ36" s="23"/>
      <c r="BA36" s="23"/>
      <c r="BB36" s="23"/>
      <c r="BC36" s="23"/>
      <c r="BD36" s="23"/>
      <c r="BE36" s="23"/>
      <c r="BF36" s="23"/>
      <c r="BG36" s="23"/>
    </row>
    <row r="37" spans="1:59" ht="23.25">
      <c r="L37" s="441" t="s">
        <v>171</v>
      </c>
      <c r="M37" s="470">
        <f>$Z$6</f>
        <v>0</v>
      </c>
      <c r="N37" s="430">
        <f>$Z9</f>
        <v>0</v>
      </c>
      <c r="O37" s="430">
        <f>$Z7</f>
        <v>0</v>
      </c>
      <c r="P37" s="430">
        <f>$Z8</f>
        <v>0</v>
      </c>
      <c r="Q37" s="430">
        <f>Z15+Z16+Z17+Z18+Z19+Z21+Z22+Z23</f>
        <v>0</v>
      </c>
      <c r="R37" s="430">
        <f>$Z20</f>
        <v>0</v>
      </c>
      <c r="S37" s="446">
        <f t="shared" si="22"/>
        <v>0</v>
      </c>
      <c r="T37" s="686"/>
      <c r="U37" s="26"/>
      <c r="V37" s="441" t="s">
        <v>171</v>
      </c>
      <c r="W37" s="440">
        <f>AB$6</f>
        <v>0</v>
      </c>
      <c r="X37" s="430">
        <f>$AB9</f>
        <v>0</v>
      </c>
      <c r="Y37" s="430">
        <f>$AB7</f>
        <v>0</v>
      </c>
      <c r="Z37" s="430">
        <f>$AB8</f>
        <v>0</v>
      </c>
      <c r="AA37" s="430">
        <f>AB$15+AB$16+AB$17+AB$18+AB$19+AB$21+AB$22+AB$23</f>
        <v>0</v>
      </c>
      <c r="AB37" s="719">
        <f>$AB20</f>
        <v>0</v>
      </c>
      <c r="AC37" s="723">
        <f t="shared" si="23"/>
        <v>0</v>
      </c>
      <c r="AD37" s="587">
        <f>AC6+AC7+AC8+AC9+AC15+AC17+AC16+AC18+AC19+AC20+AC21+AC22+AC23</f>
        <v>0</v>
      </c>
      <c r="AE37" s="579">
        <f t="shared" si="24"/>
        <v>0</v>
      </c>
      <c r="AF37" s="26"/>
      <c r="AG37" s="26"/>
      <c r="AI37" s="26"/>
      <c r="AJ37" s="26"/>
      <c r="AK37" s="26"/>
      <c r="AL37" s="24"/>
      <c r="AN37" s="26"/>
      <c r="AP37" s="24"/>
      <c r="AT37" s="24"/>
      <c r="AX37" s="23"/>
      <c r="AY37" s="23"/>
      <c r="AZ37" s="23"/>
      <c r="BA37" s="23"/>
      <c r="BB37" s="23"/>
      <c r="BC37" s="23"/>
      <c r="BD37" s="23"/>
      <c r="BE37" s="23"/>
      <c r="BF37" s="23"/>
      <c r="BG37" s="23"/>
    </row>
    <row r="38" spans="1:59" ht="23.25">
      <c r="L38" s="441" t="s">
        <v>190</v>
      </c>
      <c r="M38" s="492">
        <f>$AD$6</f>
        <v>0</v>
      </c>
      <c r="N38" s="471">
        <f>$AD9</f>
        <v>0</v>
      </c>
      <c r="O38" s="471">
        <f>$AD7</f>
        <v>0</v>
      </c>
      <c r="P38" s="471">
        <f>$AD8</f>
        <v>0</v>
      </c>
      <c r="Q38" s="430">
        <f>AD15+AD16+AD17+AD18+AD19+AD21+AD22+AD23</f>
        <v>0</v>
      </c>
      <c r="R38" s="471">
        <f>$AD20</f>
        <v>0</v>
      </c>
      <c r="S38" s="446">
        <f t="shared" si="22"/>
        <v>0</v>
      </c>
      <c r="T38" s="686"/>
      <c r="U38" s="26"/>
      <c r="V38" s="441" t="s">
        <v>190</v>
      </c>
      <c r="W38" s="440">
        <f>AF$6</f>
        <v>0</v>
      </c>
      <c r="X38" s="430">
        <f>$AF9</f>
        <v>0</v>
      </c>
      <c r="Y38" s="430">
        <f>$AF7</f>
        <v>0</v>
      </c>
      <c r="Z38" s="430">
        <f>$AF8</f>
        <v>0</v>
      </c>
      <c r="AA38" s="430">
        <f>AF$15+AF$16+AF$17+AF$18+AF$19+AF$21+AF$22+AF$23</f>
        <v>0</v>
      </c>
      <c r="AB38" s="719">
        <f>$AF20</f>
        <v>0</v>
      </c>
      <c r="AC38" s="723">
        <f t="shared" si="23"/>
        <v>0</v>
      </c>
      <c r="AD38" s="587">
        <f>AG6+AG7+AG8+AG9+AG15+AG16+AG17+AG18+AG19+AG20+AG21+AG22+AG23</f>
        <v>0</v>
      </c>
      <c r="AE38" s="579">
        <f t="shared" si="24"/>
        <v>0</v>
      </c>
      <c r="AF38" s="26"/>
      <c r="AG38" s="26"/>
      <c r="AI38" s="26"/>
      <c r="AJ38" s="26"/>
      <c r="AK38" s="26"/>
      <c r="AL38" s="24"/>
      <c r="AN38" s="26"/>
      <c r="AP38" s="24"/>
      <c r="AT38" s="24"/>
      <c r="AX38" s="23"/>
      <c r="AY38" s="23"/>
      <c r="AZ38" s="23"/>
      <c r="BA38" s="23"/>
      <c r="BB38" s="23"/>
      <c r="BC38" s="23"/>
      <c r="BD38" s="23"/>
      <c r="BE38" s="23"/>
      <c r="BF38" s="23"/>
      <c r="BG38" s="23"/>
    </row>
    <row r="39" spans="1:59" ht="23.25">
      <c r="L39" s="441" t="s">
        <v>185</v>
      </c>
      <c r="M39" s="470">
        <f>$AL$6</f>
        <v>0</v>
      </c>
      <c r="N39" s="430">
        <f>$AL9</f>
        <v>0</v>
      </c>
      <c r="O39" s="430">
        <f>$AL7</f>
        <v>0</v>
      </c>
      <c r="P39" s="430">
        <f>$AL8</f>
        <v>0</v>
      </c>
      <c r="Q39" s="430">
        <f>AL15+AL16+AL17+AL18+AL19+AL21+AL22+AL23</f>
        <v>0</v>
      </c>
      <c r="R39" s="430">
        <f>$AL20</f>
        <v>0</v>
      </c>
      <c r="S39" s="446">
        <f t="shared" si="22"/>
        <v>0</v>
      </c>
      <c r="T39" s="686"/>
      <c r="U39" s="26"/>
      <c r="V39" s="441" t="s">
        <v>185</v>
      </c>
      <c r="W39" s="469">
        <f>AN$6</f>
        <v>0</v>
      </c>
      <c r="X39" s="430">
        <f>$AN9</f>
        <v>0</v>
      </c>
      <c r="Y39" s="430">
        <f>$AN7</f>
        <v>0</v>
      </c>
      <c r="Z39" s="430">
        <f>$AN8</f>
        <v>0</v>
      </c>
      <c r="AA39" s="430">
        <f>AN$15+AN$16+AN$17+AN$18+AN$19+AN$21+AN$22+AN$23</f>
        <v>0</v>
      </c>
      <c r="AB39" s="719">
        <f>$AN20</f>
        <v>0</v>
      </c>
      <c r="AC39" s="723">
        <f t="shared" si="23"/>
        <v>0</v>
      </c>
      <c r="AD39" s="587">
        <f>AO6+AO7+AO8+AO9+AO15+AO16+AO17+AO18+AO19+AO20+AO21+AO22+AO23</f>
        <v>0</v>
      </c>
      <c r="AE39" s="579">
        <f t="shared" si="24"/>
        <v>0</v>
      </c>
      <c r="AF39" s="23"/>
      <c r="AG39" s="26"/>
      <c r="AI39" s="26"/>
      <c r="AJ39" s="26"/>
      <c r="AK39" s="26"/>
      <c r="AL39" s="24"/>
      <c r="AN39" s="26"/>
      <c r="AP39" s="24"/>
      <c r="AT39" s="24"/>
      <c r="AX39" s="23"/>
      <c r="AY39" s="23"/>
      <c r="AZ39" s="23"/>
      <c r="BA39" s="23"/>
      <c r="BB39" s="23"/>
      <c r="BC39" s="23"/>
      <c r="BD39" s="23"/>
      <c r="BE39" s="23"/>
      <c r="BF39" s="23"/>
      <c r="BG39" s="23"/>
    </row>
    <row r="40" spans="1:59" ht="23.25">
      <c r="L40" s="441" t="s">
        <v>202</v>
      </c>
      <c r="M40" s="470">
        <f>$AP$6</f>
        <v>0</v>
      </c>
      <c r="N40" s="430">
        <f>$AP9</f>
        <v>0</v>
      </c>
      <c r="O40" s="430">
        <f>$AP7</f>
        <v>0</v>
      </c>
      <c r="P40" s="430">
        <f>$AP8</f>
        <v>0</v>
      </c>
      <c r="Q40" s="430">
        <f>AP15+AP16+AP17+AP18+AP19+AP21+AP22+AP23</f>
        <v>0</v>
      </c>
      <c r="R40" s="430">
        <f>$AP20</f>
        <v>0</v>
      </c>
      <c r="S40" s="446">
        <f t="shared" si="22"/>
        <v>0</v>
      </c>
      <c r="T40" s="686"/>
      <c r="U40" s="26"/>
      <c r="V40" s="441" t="s">
        <v>202</v>
      </c>
      <c r="W40" s="440">
        <f>AR$6</f>
        <v>0</v>
      </c>
      <c r="X40" s="430">
        <f>$AR9</f>
        <v>0</v>
      </c>
      <c r="Y40" s="430">
        <f>$AR7</f>
        <v>0</v>
      </c>
      <c r="Z40" s="430">
        <f>$AR8</f>
        <v>0</v>
      </c>
      <c r="AA40" s="430">
        <f>AR$15+AR$16+AR$17+AR$18+AR$19+AR$21+AR$22+AR$23</f>
        <v>0</v>
      </c>
      <c r="AB40" s="719">
        <f>$AR20</f>
        <v>0</v>
      </c>
      <c r="AC40" s="723">
        <f t="shared" si="23"/>
        <v>0</v>
      </c>
      <c r="AD40" s="587">
        <f>AS6+AS7+AS8+AS9+AS15+AS16+AS17+AS18+AS19+AS20+AS21+AS22+AS23</f>
        <v>0</v>
      </c>
      <c r="AE40" s="579">
        <f t="shared" si="24"/>
        <v>0</v>
      </c>
      <c r="AF40" s="28"/>
      <c r="AG40" s="26"/>
      <c r="AI40" s="26"/>
      <c r="AJ40" s="26"/>
      <c r="AK40" s="26"/>
      <c r="AL40" s="24"/>
      <c r="AN40" s="26"/>
      <c r="AP40" s="24"/>
      <c r="AS40" s="23"/>
      <c r="AT40" s="24"/>
      <c r="AX40" s="23"/>
      <c r="AY40" s="23"/>
      <c r="AZ40" s="23"/>
      <c r="BA40" s="23"/>
      <c r="BB40" s="23"/>
      <c r="BC40" s="23"/>
      <c r="BD40" s="23"/>
      <c r="BE40" s="23"/>
      <c r="BF40" s="23"/>
      <c r="BG40" s="23"/>
    </row>
    <row r="41" spans="1:59" ht="23.25">
      <c r="L41" s="441" t="s">
        <v>186</v>
      </c>
      <c r="M41" s="470">
        <f>$AT$6</f>
        <v>0</v>
      </c>
      <c r="N41" s="430">
        <f>$AT9</f>
        <v>0</v>
      </c>
      <c r="O41" s="430">
        <f>$AT7</f>
        <v>0</v>
      </c>
      <c r="P41" s="430">
        <f>$AT8</f>
        <v>0</v>
      </c>
      <c r="Q41" s="430">
        <f>AT15+AT16+AT17+AT18+AT19+AT21+AT22+AT23</f>
        <v>0</v>
      </c>
      <c r="R41" s="430">
        <f>$AT20</f>
        <v>0</v>
      </c>
      <c r="S41" s="446">
        <f t="shared" si="22"/>
        <v>0</v>
      </c>
      <c r="T41" s="686"/>
      <c r="U41" s="26"/>
      <c r="V41" s="441" t="s">
        <v>186</v>
      </c>
      <c r="W41" s="440">
        <f>AV$6</f>
        <v>0</v>
      </c>
      <c r="X41" s="430">
        <f>$AV9</f>
        <v>0</v>
      </c>
      <c r="Y41" s="430">
        <f>$AV7</f>
        <v>0</v>
      </c>
      <c r="Z41" s="430">
        <f>$AV8</f>
        <v>0</v>
      </c>
      <c r="AA41" s="430">
        <f>AV$15+AV$16+AV$17+AV$18+AV$19+AV$21+AV$22+AV$23</f>
        <v>0</v>
      </c>
      <c r="AB41" s="719">
        <f>$AV20</f>
        <v>0</v>
      </c>
      <c r="AC41" s="723">
        <f t="shared" si="23"/>
        <v>0</v>
      </c>
      <c r="AD41" s="587">
        <f>AW6+AW7+AW8+AW9+AW15+AW16+AW17+AW18+AW20+AW19+AW21+AW22+AW23</f>
        <v>0</v>
      </c>
      <c r="AE41" s="579">
        <f t="shared" si="24"/>
        <v>0</v>
      </c>
      <c r="AH41" s="24"/>
      <c r="AJ41" s="25"/>
      <c r="AL41" s="24"/>
      <c r="AN41" s="25"/>
      <c r="AP41" s="24"/>
      <c r="AR41" s="25"/>
      <c r="AT41" s="24"/>
      <c r="AX41" s="23"/>
      <c r="AY41" s="23"/>
      <c r="AZ41" s="23"/>
      <c r="BA41" s="23"/>
      <c r="BB41" s="23"/>
      <c r="BC41" s="23"/>
      <c r="BD41" s="23"/>
      <c r="BE41" s="23"/>
      <c r="BF41" s="23"/>
      <c r="BG41" s="23"/>
    </row>
    <row r="42" spans="1:59" ht="23.25">
      <c r="L42" s="441" t="s">
        <v>203</v>
      </c>
      <c r="M42" s="470">
        <f>$AX$6</f>
        <v>0</v>
      </c>
      <c r="N42" s="430">
        <f>$AX9</f>
        <v>0</v>
      </c>
      <c r="O42" s="430">
        <f>$AX7</f>
        <v>0</v>
      </c>
      <c r="P42" s="430">
        <f>$AX8</f>
        <v>0</v>
      </c>
      <c r="Q42" s="430">
        <f>AX15+AX16+AX17+AX18+AX19+AX21+AX22+AX23</f>
        <v>0</v>
      </c>
      <c r="R42" s="430">
        <f>$AX20</f>
        <v>0</v>
      </c>
      <c r="S42" s="446">
        <f t="shared" si="22"/>
        <v>0</v>
      </c>
      <c r="T42" s="686"/>
      <c r="U42" s="26"/>
      <c r="V42" s="441" t="s">
        <v>203</v>
      </c>
      <c r="W42" s="440">
        <f>AZ$6</f>
        <v>0</v>
      </c>
      <c r="X42" s="430">
        <f>$AZ9</f>
        <v>0</v>
      </c>
      <c r="Y42" s="430">
        <f>$AZ7</f>
        <v>0</v>
      </c>
      <c r="Z42" s="430">
        <f>$AZ8</f>
        <v>0</v>
      </c>
      <c r="AA42" s="430">
        <f>AZ$15+AZ$16+AZ$17+AZ$18+AZ$19+AZ$21+AZ$22+AZ$23</f>
        <v>0</v>
      </c>
      <c r="AB42" s="719">
        <f>$AZ20</f>
        <v>0</v>
      </c>
      <c r="AC42" s="723">
        <f t="shared" si="23"/>
        <v>0</v>
      </c>
      <c r="AD42" s="587">
        <f>BA6+BA7+BA8+BA9+BA15+BA16+BA17+BA18+BA19+BA20+BA21+BA22+BA23</f>
        <v>0</v>
      </c>
      <c r="AE42" s="579">
        <f t="shared" si="24"/>
        <v>0</v>
      </c>
      <c r="AH42" s="24"/>
      <c r="AJ42" s="25"/>
      <c r="AL42" s="24"/>
      <c r="AN42" s="25"/>
      <c r="AP42" s="24"/>
      <c r="AR42" s="25"/>
      <c r="AT42" s="24"/>
      <c r="AV42" s="25"/>
      <c r="AX42" s="23"/>
      <c r="AY42" s="23"/>
      <c r="AZ42" s="23"/>
      <c r="BA42" s="23"/>
      <c r="BB42" s="23"/>
      <c r="BC42" s="23"/>
      <c r="BD42" s="23"/>
      <c r="BE42" s="23"/>
      <c r="BF42" s="23"/>
      <c r="BG42" s="23"/>
    </row>
    <row r="43" spans="1:59" ht="24" thickBot="1">
      <c r="L43" s="442" t="s">
        <v>191</v>
      </c>
      <c r="M43" s="443">
        <f t="shared" ref="M43" si="25">SUM(M33:M42)</f>
        <v>0</v>
      </c>
      <c r="N43" s="444">
        <f>SUM(N33:N42)</f>
        <v>0</v>
      </c>
      <c r="O43" s="443">
        <f t="shared" ref="O43" si="26">SUM(O33:O42)</f>
        <v>0</v>
      </c>
      <c r="P43" s="444">
        <f>SUM(P33:P42)</f>
        <v>0</v>
      </c>
      <c r="Q43" s="444">
        <f>SUM(Q33:Q42)</f>
        <v>0</v>
      </c>
      <c r="R43" s="445">
        <f>SUM(R33:R42)</f>
        <v>0</v>
      </c>
      <c r="S43" s="451">
        <f>SUM(S33:S42)</f>
        <v>0</v>
      </c>
      <c r="T43" s="687"/>
      <c r="U43" s="26"/>
      <c r="V43" s="442" t="s">
        <v>191</v>
      </c>
      <c r="W43" s="443">
        <f t="shared" ref="W43:Y43" si="27">SUM(W33:W42)</f>
        <v>0</v>
      </c>
      <c r="X43" s="444">
        <f>SUM(X33:X42)</f>
        <v>0</v>
      </c>
      <c r="Y43" s="443">
        <f t="shared" si="27"/>
        <v>0</v>
      </c>
      <c r="Z43" s="444">
        <f>SUM(Z33:Z42)</f>
        <v>0</v>
      </c>
      <c r="AA43" s="444">
        <f>SUM(AA33:AA42)</f>
        <v>0</v>
      </c>
      <c r="AB43" s="720">
        <f>SUM(AB33:AB42)</f>
        <v>0</v>
      </c>
      <c r="AC43" s="724">
        <f>SUM(AC33:AC42)</f>
        <v>0</v>
      </c>
      <c r="AD43" s="725">
        <f>SUM(AD33:AD42)</f>
        <v>0</v>
      </c>
      <c r="AE43" s="579">
        <f t="shared" si="24"/>
        <v>0</v>
      </c>
      <c r="AH43" s="24"/>
      <c r="AJ43" s="25"/>
      <c r="AL43" s="24"/>
      <c r="AN43" s="25"/>
      <c r="AP43" s="24"/>
      <c r="AR43" s="25"/>
      <c r="AT43" s="24"/>
      <c r="AV43" s="25"/>
      <c r="AX43" s="23"/>
      <c r="AY43" s="23"/>
      <c r="AZ43" s="23"/>
      <c r="BA43" s="23"/>
      <c r="BB43" s="23"/>
      <c r="BC43" s="23"/>
      <c r="BD43" s="23"/>
      <c r="BE43" s="23"/>
      <c r="BF43" s="23"/>
      <c r="BG43" s="23"/>
    </row>
    <row r="44" spans="1:59" ht="15" customHeight="1" thickBot="1">
      <c r="L44" s="26"/>
      <c r="M44" s="26"/>
      <c r="N44" s="24"/>
      <c r="P44" s="26"/>
      <c r="Q44" s="26"/>
      <c r="R44" s="24"/>
      <c r="T44" s="26"/>
      <c r="U44" s="26"/>
      <c r="V44" s="24"/>
      <c r="Z44" s="24"/>
      <c r="AD44" s="24"/>
      <c r="AE44" s="26"/>
      <c r="AF44" s="466"/>
      <c r="AG44" s="466"/>
      <c r="AH44" s="466"/>
      <c r="AI44" s="467"/>
      <c r="AL44" s="24"/>
      <c r="AM44" s="25"/>
      <c r="AP44" s="24"/>
      <c r="AQ44" s="25"/>
      <c r="AT44" s="24"/>
      <c r="AU44" s="25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</row>
    <row r="45" spans="1:59" ht="36.75" customHeight="1" thickBot="1">
      <c r="L45" s="1929" t="str">
        <f>L31</f>
        <v>Mode wise Collection Plan-31-12-2021</v>
      </c>
      <c r="M45" s="1930"/>
      <c r="N45" s="1930"/>
      <c r="O45" s="1930"/>
      <c r="P45" s="1930"/>
      <c r="Q45" s="1930"/>
      <c r="R45" s="1930"/>
      <c r="S45" s="1930"/>
      <c r="T45" s="1931"/>
      <c r="U45" s="26"/>
      <c r="V45" s="1923" t="s">
        <v>294</v>
      </c>
      <c r="W45" s="1937"/>
      <c r="X45" s="1937"/>
      <c r="Y45" s="1937"/>
      <c r="Z45" s="1937"/>
      <c r="AA45" s="1937"/>
      <c r="AB45" s="1937"/>
      <c r="AC45" s="1937"/>
      <c r="AD45" s="1937"/>
      <c r="AE45" s="1938"/>
      <c r="AF45" s="466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</row>
    <row r="46" spans="1:59" s="28" customFormat="1" ht="31.5">
      <c r="D46" s="29"/>
      <c r="E46" s="29"/>
      <c r="F46" s="29"/>
      <c r="I46" s="29"/>
      <c r="J46" s="1011" t="s">
        <v>270</v>
      </c>
      <c r="K46" s="1011" t="s">
        <v>196</v>
      </c>
      <c r="L46" s="450" t="s">
        <v>0</v>
      </c>
      <c r="M46" s="439" t="s">
        <v>200</v>
      </c>
      <c r="N46" s="454" t="s">
        <v>205</v>
      </c>
      <c r="O46" s="439" t="s">
        <v>31</v>
      </c>
      <c r="P46" s="448" t="s">
        <v>201</v>
      </c>
      <c r="Q46" s="455" t="s">
        <v>206</v>
      </c>
      <c r="R46" s="436" t="s">
        <v>22</v>
      </c>
      <c r="S46" s="438" t="s">
        <v>191</v>
      </c>
      <c r="T46" s="438" t="s">
        <v>244</v>
      </c>
      <c r="U46" s="26"/>
      <c r="V46" s="596" t="s">
        <v>0</v>
      </c>
      <c r="W46" s="436" t="s">
        <v>200</v>
      </c>
      <c r="X46" s="454" t="s">
        <v>205</v>
      </c>
      <c r="Y46" s="436" t="s">
        <v>31</v>
      </c>
      <c r="Z46" s="448" t="s">
        <v>201</v>
      </c>
      <c r="AA46" s="453" t="s">
        <v>206</v>
      </c>
      <c r="AB46" s="453" t="s">
        <v>210</v>
      </c>
      <c r="AC46" s="436" t="s">
        <v>22</v>
      </c>
      <c r="AD46" s="437" t="s">
        <v>191</v>
      </c>
      <c r="AE46" s="438" t="s">
        <v>244</v>
      </c>
      <c r="AF46" s="952" t="s">
        <v>32</v>
      </c>
      <c r="AG46" s="1022" t="s">
        <v>25</v>
      </c>
      <c r="AH46" s="1022" t="s">
        <v>23</v>
      </c>
      <c r="AI46" s="1159" t="s">
        <v>22</v>
      </c>
      <c r="AJ46" s="23"/>
      <c r="AK46" s="23"/>
      <c r="AL46" s="23"/>
      <c r="AM46" s="23"/>
      <c r="AN46" s="23"/>
      <c r="AO46" s="23"/>
      <c r="AP46" s="23"/>
      <c r="AQ46" s="23"/>
      <c r="AR46" s="23"/>
    </row>
    <row r="47" spans="1:59" ht="23.25">
      <c r="J47" s="441">
        <v>25.84</v>
      </c>
      <c r="K47" s="441">
        <f>21+22+6+6</f>
        <v>55</v>
      </c>
      <c r="L47" s="441" t="s">
        <v>189</v>
      </c>
      <c r="M47" s="470">
        <v>25</v>
      </c>
      <c r="N47" s="430">
        <v>0</v>
      </c>
      <c r="O47" s="430">
        <v>23</v>
      </c>
      <c r="P47" s="430">
        <v>0</v>
      </c>
      <c r="Q47" s="430">
        <v>0</v>
      </c>
      <c r="R47" s="430">
        <v>8</v>
      </c>
      <c r="S47" s="446">
        <f t="shared" ref="S47:S56" si="28">SUM(M47:R47)</f>
        <v>56</v>
      </c>
      <c r="T47" s="446"/>
      <c r="U47" s="26"/>
      <c r="V47" s="586" t="s">
        <v>189</v>
      </c>
      <c r="W47" s="430"/>
      <c r="X47" s="430"/>
      <c r="Y47" s="430"/>
      <c r="Z47" s="430"/>
      <c r="AA47" s="430"/>
      <c r="AB47" s="655"/>
      <c r="AC47" s="430"/>
      <c r="AD47" s="568">
        <f t="shared" ref="AD47:AD56" si="29">SUM(W47:AC47)</f>
        <v>0</v>
      </c>
      <c r="AE47" s="587">
        <f>L27+L28+L29</f>
        <v>0</v>
      </c>
      <c r="AF47" s="953"/>
      <c r="AG47" s="1017"/>
      <c r="AH47" s="1017">
        <v>25</v>
      </c>
      <c r="AI47" s="1017">
        <v>54.59</v>
      </c>
      <c r="AJ47" s="28"/>
      <c r="AK47" s="28"/>
      <c r="AL47" s="28"/>
      <c r="AM47" s="28"/>
      <c r="AN47" s="28"/>
      <c r="AO47" s="28"/>
      <c r="AP47" s="28"/>
      <c r="AQ47" s="28"/>
      <c r="AR47" s="28"/>
      <c r="AT47" s="24"/>
      <c r="AU47" s="25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</row>
    <row r="48" spans="1:59" ht="23.25">
      <c r="J48" s="441"/>
      <c r="K48" s="441"/>
      <c r="L48" s="441" t="s">
        <v>183</v>
      </c>
      <c r="M48" s="470">
        <v>7</v>
      </c>
      <c r="N48" s="430">
        <v>0</v>
      </c>
      <c r="O48" s="430">
        <v>0</v>
      </c>
      <c r="P48" s="430">
        <v>0</v>
      </c>
      <c r="Q48" s="430">
        <v>0</v>
      </c>
      <c r="R48" s="430">
        <v>8</v>
      </c>
      <c r="S48" s="446">
        <f t="shared" si="28"/>
        <v>15</v>
      </c>
      <c r="T48" s="446"/>
      <c r="U48" s="466"/>
      <c r="V48" s="586" t="s">
        <v>183</v>
      </c>
      <c r="W48" s="430"/>
      <c r="X48" s="430"/>
      <c r="Y48" s="430"/>
      <c r="Z48" s="430"/>
      <c r="AA48" s="430"/>
      <c r="AB48" s="655"/>
      <c r="AC48" s="430"/>
      <c r="AD48" s="568">
        <f t="shared" si="29"/>
        <v>0</v>
      </c>
      <c r="AE48" s="587">
        <f>P27+P28+P29</f>
        <v>0</v>
      </c>
      <c r="AF48" s="953"/>
      <c r="AG48" s="951"/>
      <c r="AH48" s="951"/>
      <c r="AI48" s="655">
        <v>10.45</v>
      </c>
      <c r="AL48" s="24"/>
      <c r="AM48" s="25"/>
      <c r="AP48" s="24"/>
      <c r="AQ48" s="25"/>
      <c r="AT48" s="24"/>
      <c r="AU48" s="25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</row>
    <row r="49" spans="4:59" ht="23.25">
      <c r="J49" s="441"/>
      <c r="K49" s="441">
        <v>15</v>
      </c>
      <c r="L49" s="441" t="s">
        <v>184</v>
      </c>
      <c r="M49" s="470">
        <v>0</v>
      </c>
      <c r="N49" s="430">
        <v>0</v>
      </c>
      <c r="O49" s="430">
        <v>0</v>
      </c>
      <c r="P49" s="430">
        <v>0</v>
      </c>
      <c r="Q49" s="430">
        <v>0</v>
      </c>
      <c r="R49" s="430">
        <v>0</v>
      </c>
      <c r="S49" s="446">
        <f t="shared" si="28"/>
        <v>0</v>
      </c>
      <c r="T49" s="446"/>
      <c r="U49" s="466"/>
      <c r="V49" s="586" t="s">
        <v>184</v>
      </c>
      <c r="W49" s="430"/>
      <c r="X49" s="430"/>
      <c r="Y49" s="430"/>
      <c r="Z49" s="430"/>
      <c r="AA49" s="430"/>
      <c r="AB49" s="655"/>
      <c r="AC49" s="430"/>
      <c r="AD49" s="568">
        <f t="shared" si="29"/>
        <v>0</v>
      </c>
      <c r="AE49" s="587">
        <f>T27+T28+T29</f>
        <v>0</v>
      </c>
      <c r="AF49" s="953"/>
      <c r="AG49" s="951"/>
      <c r="AH49" s="951"/>
      <c r="AI49" s="655"/>
      <c r="AL49" s="24"/>
      <c r="AM49" s="25"/>
      <c r="AP49" s="24"/>
      <c r="AQ49" s="25"/>
      <c r="AT49" s="24"/>
      <c r="AU49" s="25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</row>
    <row r="50" spans="4:59" ht="23.25">
      <c r="J50" s="441">
        <f>24+20</f>
        <v>44</v>
      </c>
      <c r="K50" s="441"/>
      <c r="L50" s="441" t="s">
        <v>170</v>
      </c>
      <c r="M50" s="470">
        <v>2</v>
      </c>
      <c r="N50" s="430">
        <v>1</v>
      </c>
      <c r="O50" s="430">
        <v>0</v>
      </c>
      <c r="P50" s="430">
        <v>0</v>
      </c>
      <c r="Q50" s="430">
        <v>0</v>
      </c>
      <c r="R50" s="430">
        <v>0</v>
      </c>
      <c r="S50" s="446">
        <f t="shared" si="28"/>
        <v>3</v>
      </c>
      <c r="T50" s="446"/>
      <c r="U50" s="466"/>
      <c r="V50" s="586" t="s">
        <v>170</v>
      </c>
      <c r="W50" s="430"/>
      <c r="X50" s="430"/>
      <c r="Y50" s="430"/>
      <c r="Z50" s="430"/>
      <c r="AA50" s="430"/>
      <c r="AB50" s="655"/>
      <c r="AC50" s="430"/>
      <c r="AD50" s="568">
        <f t="shared" si="29"/>
        <v>0</v>
      </c>
      <c r="AE50" s="587">
        <f>X27+X28+X29</f>
        <v>0</v>
      </c>
      <c r="AF50" s="953"/>
      <c r="AG50" s="951"/>
      <c r="AH50" s="951"/>
      <c r="AI50" s="655"/>
      <c r="AL50" s="24"/>
      <c r="AM50" s="25"/>
      <c r="AP50" s="24"/>
      <c r="AQ50" s="25"/>
      <c r="AT50" s="24"/>
      <c r="AU50" s="25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</row>
    <row r="51" spans="4:59" ht="23.25">
      <c r="J51" s="441">
        <v>24.94</v>
      </c>
      <c r="K51" s="441"/>
      <c r="L51" s="441" t="s">
        <v>171</v>
      </c>
      <c r="M51" s="470">
        <v>2</v>
      </c>
      <c r="N51" s="430">
        <v>1</v>
      </c>
      <c r="O51" s="430">
        <v>0</v>
      </c>
      <c r="P51" s="430">
        <v>0</v>
      </c>
      <c r="Q51" s="430">
        <v>0</v>
      </c>
      <c r="R51" s="430">
        <v>0</v>
      </c>
      <c r="S51" s="446">
        <f t="shared" si="28"/>
        <v>3</v>
      </c>
      <c r="T51" s="446"/>
      <c r="U51" s="466"/>
      <c r="V51" s="586" t="s">
        <v>171</v>
      </c>
      <c r="W51" s="430"/>
      <c r="X51" s="430"/>
      <c r="Y51" s="430"/>
      <c r="Z51" s="430"/>
      <c r="AA51" s="430"/>
      <c r="AB51" s="655"/>
      <c r="AC51" s="430"/>
      <c r="AD51" s="568">
        <f t="shared" si="29"/>
        <v>0</v>
      </c>
      <c r="AE51" s="587">
        <f>AB27+AB28+AB29</f>
        <v>0</v>
      </c>
      <c r="AF51" s="953"/>
      <c r="AG51" s="951"/>
      <c r="AH51" s="951"/>
      <c r="AI51" s="655"/>
      <c r="AL51" s="24"/>
      <c r="AM51" s="25"/>
      <c r="AP51" s="24"/>
      <c r="AQ51" s="25"/>
      <c r="AT51" s="24"/>
      <c r="AU51" s="25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</row>
    <row r="52" spans="4:59" ht="23.25">
      <c r="J52" s="441">
        <v>19.93</v>
      </c>
      <c r="K52" s="441">
        <v>18</v>
      </c>
      <c r="L52" s="441" t="s">
        <v>190</v>
      </c>
      <c r="M52" s="492">
        <v>50</v>
      </c>
      <c r="N52" s="471">
        <v>0</v>
      </c>
      <c r="O52" s="471">
        <v>0</v>
      </c>
      <c r="P52" s="471">
        <v>10</v>
      </c>
      <c r="Q52" s="430">
        <v>0</v>
      </c>
      <c r="R52" s="471">
        <v>0</v>
      </c>
      <c r="S52" s="446">
        <f t="shared" si="28"/>
        <v>60</v>
      </c>
      <c r="T52" s="446"/>
      <c r="U52" s="466"/>
      <c r="V52" s="586" t="s">
        <v>190</v>
      </c>
      <c r="W52" s="430"/>
      <c r="X52" s="430"/>
      <c r="Y52" s="430"/>
      <c r="Z52" s="430"/>
      <c r="AA52" s="430"/>
      <c r="AB52" s="655"/>
      <c r="AC52" s="430"/>
      <c r="AD52" s="568">
        <f t="shared" si="29"/>
        <v>0</v>
      </c>
      <c r="AE52" s="587">
        <f>AF27+AF28+AF29</f>
        <v>0</v>
      </c>
      <c r="AF52" s="954">
        <v>17.91</v>
      </c>
      <c r="AG52" s="951">
        <v>19.93</v>
      </c>
      <c r="AH52" s="951"/>
      <c r="AI52" s="655"/>
      <c r="AL52" s="24"/>
      <c r="AM52" s="25"/>
      <c r="AP52" s="24"/>
      <c r="AQ52" s="25"/>
      <c r="AT52" s="24"/>
      <c r="AU52" s="25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</row>
    <row r="53" spans="4:59" ht="23.25">
      <c r="J53" s="441">
        <f>11.88+10.89+19.93+20+15+20+14.49+9.72</f>
        <v>121.91</v>
      </c>
      <c r="K53" s="441"/>
      <c r="L53" s="441" t="s">
        <v>185</v>
      </c>
      <c r="M53" s="470">
        <v>23</v>
      </c>
      <c r="N53" s="430">
        <v>0</v>
      </c>
      <c r="O53" s="430">
        <v>0</v>
      </c>
      <c r="P53" s="430">
        <v>0</v>
      </c>
      <c r="Q53" s="430">
        <v>43</v>
      </c>
      <c r="R53" s="430">
        <v>20</v>
      </c>
      <c r="S53" s="446">
        <f t="shared" si="28"/>
        <v>86</v>
      </c>
      <c r="T53" s="446">
        <v>23</v>
      </c>
      <c r="U53" s="466"/>
      <c r="V53" s="586" t="s">
        <v>185</v>
      </c>
      <c r="W53" s="430"/>
      <c r="X53" s="430"/>
      <c r="Y53" s="430"/>
      <c r="Z53" s="430"/>
      <c r="AA53" s="430"/>
      <c r="AB53" s="655"/>
      <c r="AC53" s="430"/>
      <c r="AD53" s="568">
        <f t="shared" si="29"/>
        <v>0</v>
      </c>
      <c r="AE53" s="587">
        <f>AN27+AN28+AN29</f>
        <v>0</v>
      </c>
      <c r="AF53" s="954">
        <v>20</v>
      </c>
      <c r="AG53" s="951"/>
      <c r="AH53" s="951">
        <v>20.2</v>
      </c>
      <c r="AI53" s="655"/>
      <c r="AL53" s="24"/>
      <c r="AM53" s="25"/>
      <c r="AP53" s="24"/>
      <c r="AQ53" s="25"/>
      <c r="AT53" s="24"/>
      <c r="AU53" s="25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</row>
    <row r="54" spans="4:59" ht="23.25">
      <c r="J54" s="441"/>
      <c r="K54" s="441"/>
      <c r="L54" s="441" t="s">
        <v>202</v>
      </c>
      <c r="M54" s="470">
        <v>0</v>
      </c>
      <c r="N54" s="430">
        <v>0</v>
      </c>
      <c r="O54" s="430">
        <v>0</v>
      </c>
      <c r="P54" s="430">
        <v>0</v>
      </c>
      <c r="Q54" s="430">
        <v>0</v>
      </c>
      <c r="R54" s="430">
        <v>0</v>
      </c>
      <c r="S54" s="446">
        <f t="shared" si="28"/>
        <v>0</v>
      </c>
      <c r="T54" s="446">
        <v>5</v>
      </c>
      <c r="U54" s="466"/>
      <c r="V54" s="586" t="s">
        <v>202</v>
      </c>
      <c r="W54" s="430"/>
      <c r="X54" s="430"/>
      <c r="Y54" s="430"/>
      <c r="Z54" s="430"/>
      <c r="AA54" s="430"/>
      <c r="AB54" s="655"/>
      <c r="AC54" s="430"/>
      <c r="AD54" s="568">
        <f t="shared" si="29"/>
        <v>0</v>
      </c>
      <c r="AE54" s="587">
        <f>AR27+AR28+AR29</f>
        <v>0</v>
      </c>
      <c r="AF54" s="952"/>
      <c r="AG54" s="951"/>
      <c r="AH54" s="951"/>
      <c r="AI54" s="655"/>
      <c r="AL54" s="24"/>
      <c r="AM54" s="25"/>
      <c r="AP54" s="24"/>
      <c r="AQ54" s="25"/>
      <c r="AT54" s="24"/>
      <c r="AU54" s="25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</row>
    <row r="55" spans="4:59" ht="23.25">
      <c r="J55" s="441">
        <f>24+14.89+15</f>
        <v>53.89</v>
      </c>
      <c r="K55" s="441"/>
      <c r="L55" s="441" t="s">
        <v>186</v>
      </c>
      <c r="M55" s="470">
        <v>25</v>
      </c>
      <c r="N55" s="430">
        <v>0</v>
      </c>
      <c r="O55" s="430">
        <v>0</v>
      </c>
      <c r="P55" s="430">
        <v>0</v>
      </c>
      <c r="Q55" s="430">
        <v>0</v>
      </c>
      <c r="R55" s="430">
        <v>0</v>
      </c>
      <c r="S55" s="446">
        <f t="shared" si="28"/>
        <v>25</v>
      </c>
      <c r="T55" s="446">
        <v>8</v>
      </c>
      <c r="U55" s="466"/>
      <c r="V55" s="586" t="s">
        <v>186</v>
      </c>
      <c r="W55" s="430"/>
      <c r="X55" s="430"/>
      <c r="Y55" s="430"/>
      <c r="Z55" s="430"/>
      <c r="AA55" s="430"/>
      <c r="AB55" s="655"/>
      <c r="AC55" s="430"/>
      <c r="AD55" s="568">
        <f t="shared" si="29"/>
        <v>0</v>
      </c>
      <c r="AE55" s="587">
        <f>AV27+AV28+AV29</f>
        <v>0</v>
      </c>
      <c r="AF55" s="952">
        <v>14.89</v>
      </c>
      <c r="AG55" s="951"/>
      <c r="AH55" s="951"/>
      <c r="AI55" s="655"/>
      <c r="AL55" s="24"/>
      <c r="AM55" s="25"/>
      <c r="AP55" s="24"/>
      <c r="AQ55" s="25"/>
      <c r="AT55" s="24"/>
      <c r="AU55" s="25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</row>
    <row r="56" spans="4:59" ht="23.25">
      <c r="J56" s="441"/>
      <c r="K56" s="441"/>
      <c r="L56" s="441" t="s">
        <v>203</v>
      </c>
      <c r="M56" s="470">
        <v>5</v>
      </c>
      <c r="N56" s="430">
        <v>5</v>
      </c>
      <c r="O56" s="430">
        <v>0</v>
      </c>
      <c r="P56" s="430">
        <v>0</v>
      </c>
      <c r="Q56" s="430">
        <v>0</v>
      </c>
      <c r="R56" s="430">
        <v>0</v>
      </c>
      <c r="S56" s="446">
        <f t="shared" si="28"/>
        <v>10</v>
      </c>
      <c r="T56" s="446"/>
      <c r="U56" s="466"/>
      <c r="V56" s="586" t="s">
        <v>203</v>
      </c>
      <c r="W56" s="430"/>
      <c r="X56" s="430"/>
      <c r="Y56" s="430"/>
      <c r="Z56" s="430"/>
      <c r="AA56" s="430"/>
      <c r="AB56" s="655"/>
      <c r="AC56" s="430"/>
      <c r="AD56" s="568">
        <f t="shared" si="29"/>
        <v>0</v>
      </c>
      <c r="AE56" s="587">
        <f>AZ27+AZ28+AZ29</f>
        <v>0</v>
      </c>
      <c r="AF56" s="952"/>
      <c r="AG56" s="951"/>
      <c r="AH56" s="951"/>
      <c r="AI56" s="655"/>
      <c r="AL56" s="24"/>
      <c r="AM56" s="25"/>
      <c r="AP56" s="24"/>
      <c r="AQ56" s="25"/>
      <c r="AT56" s="24"/>
      <c r="AU56" s="25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</row>
    <row r="57" spans="4:59" ht="24" thickBot="1">
      <c r="J57" s="442">
        <f t="shared" ref="J57:K57" si="30">SUM(J47:J56)</f>
        <v>290.51</v>
      </c>
      <c r="K57" s="442">
        <f t="shared" si="30"/>
        <v>88</v>
      </c>
      <c r="L57" s="442" t="s">
        <v>191</v>
      </c>
      <c r="M57" s="443">
        <f t="shared" ref="M57" si="31">SUM(M47:M56)</f>
        <v>139</v>
      </c>
      <c r="N57" s="444">
        <f>SUM(N47:N56)</f>
        <v>7</v>
      </c>
      <c r="O57" s="443">
        <f t="shared" ref="O57" si="32">SUM(O47:O56)</f>
        <v>23</v>
      </c>
      <c r="P57" s="444">
        <f>SUM(P47:P56)</f>
        <v>10</v>
      </c>
      <c r="Q57" s="444">
        <f>SUM(Q47:Q56)</f>
        <v>43</v>
      </c>
      <c r="R57" s="445">
        <f>SUM(R47:R56)</f>
        <v>36</v>
      </c>
      <c r="S57" s="451">
        <f>SUM(S47:S56)</f>
        <v>258</v>
      </c>
      <c r="T57" s="451">
        <f>SUM(T47:T56)</f>
        <v>36</v>
      </c>
      <c r="U57" s="466"/>
      <c r="V57" s="588" t="s">
        <v>191</v>
      </c>
      <c r="W57" s="589">
        <f t="shared" ref="W57" si="33">SUM(W47:W56)</f>
        <v>0</v>
      </c>
      <c r="X57" s="444">
        <f>SUM(X47:X56)</f>
        <v>0</v>
      </c>
      <c r="Y57" s="444">
        <f t="shared" ref="Y57" si="34">SUM(Y47:Y56)</f>
        <v>0</v>
      </c>
      <c r="Z57" s="444">
        <f>SUM(Z47:Z56)</f>
        <v>0</v>
      </c>
      <c r="AA57" s="444">
        <f>SUM(AA47:AA56)</f>
        <v>0</v>
      </c>
      <c r="AB57" s="444"/>
      <c r="AC57" s="444">
        <f t="shared" ref="AC57" si="35">SUM(AC47:AC56)</f>
        <v>0</v>
      </c>
      <c r="AD57" s="630">
        <f>SUM(AD47:AD56)</f>
        <v>0</v>
      </c>
      <c r="AE57" s="631">
        <f>SUM(AE47:AE56)</f>
        <v>0</v>
      </c>
      <c r="AF57" s="1016">
        <f t="shared" ref="AF57:AI57" si="36">SUM(AF47:AF56)</f>
        <v>52.8</v>
      </c>
      <c r="AG57" s="1015">
        <f t="shared" si="36"/>
        <v>19.93</v>
      </c>
      <c r="AH57" s="1015">
        <f t="shared" si="36"/>
        <v>45.2</v>
      </c>
      <c r="AI57" s="1015">
        <f t="shared" si="36"/>
        <v>65.040000000000006</v>
      </c>
      <c r="AL57" s="24"/>
      <c r="AM57" s="25"/>
      <c r="AP57" s="24"/>
      <c r="AQ57" s="25"/>
      <c r="AT57" s="24"/>
      <c r="AU57" s="25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</row>
    <row r="58" spans="4:59" ht="24" customHeight="1" thickBot="1">
      <c r="N58" s="24"/>
      <c r="O58" s="1924" t="s">
        <v>254</v>
      </c>
      <c r="P58" s="1925"/>
      <c r="Q58" s="1925"/>
      <c r="R58" s="1926"/>
      <c r="S58" s="1927">
        <f>S57+T57</f>
        <v>294</v>
      </c>
      <c r="T58" s="1928"/>
      <c r="U58" s="466"/>
      <c r="V58" s="1932" t="s">
        <v>221</v>
      </c>
      <c r="W58" s="1932"/>
      <c r="X58" s="1932"/>
      <c r="Y58" s="1932"/>
      <c r="Z58" s="1932"/>
      <c r="AA58" s="1932"/>
      <c r="AB58" s="1932"/>
      <c r="AC58" s="1932"/>
      <c r="AD58" s="1933">
        <f>AD57+AE57</f>
        <v>0</v>
      </c>
      <c r="AE58" s="1934"/>
      <c r="AF58" s="466"/>
      <c r="AH58" s="24"/>
      <c r="AI58" s="25"/>
      <c r="AL58" s="24"/>
      <c r="AM58" s="25"/>
      <c r="AP58" s="24"/>
      <c r="AQ58" s="25"/>
      <c r="AT58" s="24"/>
      <c r="AU58" s="25"/>
      <c r="AX58" s="24"/>
      <c r="AY58" s="24"/>
      <c r="AZ58" s="25"/>
      <c r="BA58" s="24"/>
      <c r="BB58" s="24"/>
      <c r="BC58" s="23"/>
      <c r="BD58" s="23"/>
      <c r="BE58" s="23"/>
      <c r="BF58" s="23"/>
      <c r="BG58" s="23"/>
    </row>
    <row r="59" spans="4:59" ht="27" thickBot="1">
      <c r="J59" s="24"/>
      <c r="N59" s="24"/>
      <c r="R59" s="24"/>
      <c r="T59" s="26"/>
      <c r="U59" s="26"/>
      <c r="V59" s="966"/>
      <c r="W59" s="966"/>
      <c r="X59" s="966"/>
      <c r="Y59" s="1922" t="s">
        <v>235</v>
      </c>
      <c r="Z59" s="1922"/>
      <c r="AA59" s="1922"/>
      <c r="AB59" s="1922"/>
      <c r="AC59" s="1922"/>
      <c r="AD59" s="1920">
        <f>BH6+BI6+BD20+BE20</f>
        <v>0</v>
      </c>
      <c r="AE59" s="1921"/>
      <c r="AF59" s="466"/>
      <c r="AH59" s="24"/>
      <c r="AI59" s="25"/>
      <c r="AL59" s="24"/>
      <c r="AP59" s="25"/>
      <c r="AT59" s="25"/>
      <c r="AX59" s="25"/>
      <c r="AY59" s="24"/>
      <c r="AZ59" s="24"/>
      <c r="BA59" s="24"/>
      <c r="BB59" s="25"/>
      <c r="BE59" s="23"/>
      <c r="BF59" s="23"/>
      <c r="BG59" s="23"/>
    </row>
    <row r="60" spans="4:59" s="28" customFormat="1" ht="30" customHeight="1" thickBot="1">
      <c r="D60" s="29"/>
      <c r="E60" s="29"/>
      <c r="F60" s="29"/>
      <c r="I60" s="29"/>
      <c r="J60" s="24"/>
      <c r="K60" s="24"/>
      <c r="L60" s="1923" t="s">
        <v>366</v>
      </c>
      <c r="M60" s="1937"/>
      <c r="N60" s="1937"/>
      <c r="O60" s="1937"/>
      <c r="P60" s="1937"/>
      <c r="Q60" s="1937"/>
      <c r="R60" s="1937"/>
      <c r="S60" s="1937"/>
      <c r="T60" s="1937"/>
      <c r="U60" s="1938"/>
      <c r="V60" s="966"/>
      <c r="W60" s="966"/>
      <c r="X60" s="966"/>
      <c r="Y60" s="1013"/>
      <c r="Z60" s="966"/>
      <c r="AA60" s="966"/>
      <c r="AB60" s="966"/>
      <c r="AC60" s="1013"/>
      <c r="AD60" s="966"/>
      <c r="AE60" s="964"/>
      <c r="AF60" s="966"/>
      <c r="AG60" s="964"/>
      <c r="AH60" s="964"/>
      <c r="AI60" s="967"/>
      <c r="AJ60" s="964"/>
      <c r="AK60" s="964"/>
      <c r="AL60" s="964"/>
      <c r="AM60" s="964"/>
      <c r="AN60" s="964"/>
      <c r="AO60" s="964"/>
      <c r="AP60" s="967"/>
      <c r="AQ60" s="964"/>
      <c r="AR60" s="964"/>
      <c r="AS60" s="964"/>
      <c r="AT60" s="967"/>
      <c r="AU60" s="964"/>
      <c r="AV60" s="964"/>
      <c r="AW60" s="964"/>
      <c r="AX60" s="967"/>
      <c r="AY60" s="965"/>
      <c r="AZ60" s="965"/>
      <c r="BA60" s="964"/>
      <c r="BB60" s="964"/>
      <c r="BC60" s="967"/>
      <c r="BD60" s="967"/>
      <c r="BE60" s="964"/>
    </row>
    <row r="61" spans="4:59" ht="27.75" customHeight="1">
      <c r="J61" s="24"/>
      <c r="L61" s="596" t="s">
        <v>0</v>
      </c>
      <c r="M61" s="436" t="s">
        <v>200</v>
      </c>
      <c r="N61" s="454" t="s">
        <v>205</v>
      </c>
      <c r="O61" s="436" t="s">
        <v>31</v>
      </c>
      <c r="P61" s="448" t="s">
        <v>201</v>
      </c>
      <c r="Q61" s="453" t="s">
        <v>206</v>
      </c>
      <c r="R61" s="453" t="s">
        <v>210</v>
      </c>
      <c r="S61" s="436" t="s">
        <v>22</v>
      </c>
      <c r="T61" s="437" t="s">
        <v>191</v>
      </c>
      <c r="U61" s="438" t="s">
        <v>244</v>
      </c>
      <c r="V61" s="466"/>
      <c r="W61" s="466"/>
      <c r="X61" s="466"/>
      <c r="Y61" s="465"/>
      <c r="Z61" s="466"/>
      <c r="AA61" s="466"/>
      <c r="AB61" s="466"/>
      <c r="AC61" s="465"/>
      <c r="AD61" s="466"/>
      <c r="AF61" s="466"/>
      <c r="AH61" s="24"/>
      <c r="AI61" s="25"/>
      <c r="AL61" s="24"/>
      <c r="AM61" s="26"/>
      <c r="AN61" s="26"/>
      <c r="AP61" s="24"/>
      <c r="AQ61" s="26"/>
      <c r="AR61" s="26"/>
      <c r="AT61" s="24"/>
      <c r="AU61" s="26"/>
      <c r="AV61" s="26"/>
      <c r="AX61" s="24"/>
      <c r="AY61" s="26"/>
      <c r="AZ61" s="26"/>
      <c r="BA61" s="24"/>
      <c r="BB61" s="24"/>
      <c r="BC61" s="25"/>
      <c r="BD61" s="25"/>
      <c r="BF61" s="23"/>
      <c r="BG61" s="23"/>
    </row>
    <row r="62" spans="4:59" ht="23.25">
      <c r="J62" s="24"/>
      <c r="L62" s="586" t="s">
        <v>189</v>
      </c>
      <c r="M62" s="430">
        <v>30</v>
      </c>
      <c r="N62" s="430">
        <v>3</v>
      </c>
      <c r="O62" s="430">
        <v>0</v>
      </c>
      <c r="P62" s="430">
        <v>0</v>
      </c>
      <c r="Q62" s="430">
        <v>0</v>
      </c>
      <c r="R62" s="655">
        <v>0</v>
      </c>
      <c r="S62" s="430"/>
      <c r="T62" s="568">
        <f t="shared" ref="T62:T71" si="37">SUM(M62:S62)</f>
        <v>33</v>
      </c>
      <c r="U62" s="587">
        <v>0</v>
      </c>
      <c r="V62" s="466"/>
      <c r="W62" s="466"/>
      <c r="X62" s="466"/>
      <c r="Y62" s="465"/>
      <c r="Z62" s="466"/>
      <c r="AA62" s="466"/>
      <c r="AB62" s="466"/>
      <c r="AC62" s="465"/>
      <c r="AD62" s="466"/>
      <c r="AF62" s="466"/>
      <c r="AH62" s="24"/>
      <c r="AI62" s="25"/>
      <c r="AL62" s="24"/>
      <c r="AM62" s="26"/>
      <c r="AN62" s="26"/>
      <c r="AP62" s="24"/>
      <c r="AQ62" s="26"/>
      <c r="AR62" s="26"/>
      <c r="AT62" s="24"/>
      <c r="AU62" s="26"/>
      <c r="AV62" s="26"/>
      <c r="AX62" s="24"/>
      <c r="AY62" s="26"/>
      <c r="AZ62" s="26"/>
      <c r="BA62" s="24"/>
      <c r="BB62" s="24"/>
      <c r="BC62" s="25"/>
      <c r="BD62" s="25"/>
      <c r="BF62" s="23"/>
      <c r="BG62" s="23"/>
    </row>
    <row r="63" spans="4:59" ht="23.25">
      <c r="J63" s="24"/>
      <c r="L63" s="586" t="s">
        <v>183</v>
      </c>
      <c r="M63" s="430">
        <v>0</v>
      </c>
      <c r="N63" s="430">
        <v>0</v>
      </c>
      <c r="O63" s="430">
        <v>0</v>
      </c>
      <c r="P63" s="430">
        <v>0</v>
      </c>
      <c r="Q63" s="430">
        <v>0</v>
      </c>
      <c r="R63" s="655">
        <v>0</v>
      </c>
      <c r="S63" s="430"/>
      <c r="T63" s="568">
        <f t="shared" si="37"/>
        <v>0</v>
      </c>
      <c r="U63" s="587">
        <v>0</v>
      </c>
      <c r="V63" s="466"/>
      <c r="W63" s="466"/>
      <c r="X63" s="466"/>
      <c r="Y63" s="465"/>
      <c r="Z63" s="466"/>
      <c r="AA63" s="466"/>
      <c r="AB63" s="466"/>
      <c r="AC63" s="465"/>
      <c r="AD63" s="466"/>
      <c r="AG63" s="26"/>
      <c r="AH63" s="24"/>
      <c r="AK63" s="49"/>
      <c r="AL63" s="24"/>
      <c r="AM63" s="26"/>
      <c r="AN63" s="26"/>
      <c r="AP63" s="24"/>
      <c r="AQ63" s="26"/>
      <c r="AR63" s="26"/>
      <c r="AT63" s="24"/>
      <c r="AU63" s="26"/>
      <c r="AV63" s="26"/>
      <c r="AX63" s="24"/>
      <c r="AY63" s="26"/>
      <c r="AZ63" s="26"/>
      <c r="BA63" s="24"/>
      <c r="BB63" s="24"/>
      <c r="BC63" s="25"/>
      <c r="BD63" s="25"/>
      <c r="BF63" s="23"/>
      <c r="BG63" s="23"/>
    </row>
    <row r="64" spans="4:59" ht="23.25">
      <c r="J64" s="24"/>
      <c r="L64" s="586" t="s">
        <v>184</v>
      </c>
      <c r="M64" s="430">
        <v>0</v>
      </c>
      <c r="N64" s="430">
        <v>0</v>
      </c>
      <c r="O64" s="430">
        <v>0</v>
      </c>
      <c r="P64" s="430">
        <v>0</v>
      </c>
      <c r="Q64" s="430">
        <v>0</v>
      </c>
      <c r="R64" s="655">
        <v>0</v>
      </c>
      <c r="S64" s="430"/>
      <c r="T64" s="568">
        <f t="shared" si="37"/>
        <v>0</v>
      </c>
      <c r="U64" s="587">
        <v>0</v>
      </c>
      <c r="V64" s="466"/>
      <c r="W64" s="466"/>
      <c r="X64" s="466"/>
      <c r="Y64" s="465"/>
      <c r="Z64" s="466"/>
      <c r="AA64" s="466"/>
      <c r="AB64" s="466"/>
      <c r="AC64" s="465"/>
      <c r="AD64" s="466"/>
      <c r="AG64" s="26"/>
      <c r="AH64" s="24"/>
      <c r="AK64" s="49"/>
      <c r="AL64" s="24"/>
      <c r="AO64" s="26"/>
      <c r="AP64" s="24"/>
      <c r="AQ64" s="26"/>
      <c r="AR64" s="26"/>
      <c r="AT64" s="24"/>
      <c r="AU64" s="26"/>
      <c r="AV64" s="26"/>
      <c r="AX64" s="24"/>
      <c r="AY64" s="26"/>
      <c r="AZ64" s="26"/>
      <c r="BA64" s="24"/>
      <c r="BB64" s="24"/>
      <c r="BE64" s="25"/>
      <c r="BF64" s="24"/>
      <c r="BG64" s="23"/>
    </row>
    <row r="65" spans="10:59" ht="23.25">
      <c r="J65" s="24"/>
      <c r="L65" s="586" t="s">
        <v>170</v>
      </c>
      <c r="M65" s="430">
        <v>0</v>
      </c>
      <c r="N65" s="430">
        <v>1.5</v>
      </c>
      <c r="O65" s="430">
        <v>0</v>
      </c>
      <c r="P65" s="430">
        <v>0.5</v>
      </c>
      <c r="Q65" s="430">
        <v>0</v>
      </c>
      <c r="R65" s="655">
        <v>0</v>
      </c>
      <c r="S65" s="430"/>
      <c r="T65" s="568">
        <f t="shared" si="37"/>
        <v>2</v>
      </c>
      <c r="U65" s="587">
        <v>0</v>
      </c>
      <c r="V65" s="466"/>
      <c r="W65" s="466"/>
      <c r="X65" s="466"/>
      <c r="Y65" s="465"/>
      <c r="Z65" s="466"/>
      <c r="AA65" s="466"/>
      <c r="AB65" s="466"/>
      <c r="AC65" s="465"/>
      <c r="AD65" s="466"/>
      <c r="AG65" s="26"/>
      <c r="AH65" s="24"/>
      <c r="AK65" s="49"/>
      <c r="AL65" s="24"/>
      <c r="AO65" s="26"/>
      <c r="AP65" s="24"/>
      <c r="AQ65" s="26"/>
      <c r="AR65" s="26"/>
      <c r="AT65" s="24"/>
      <c r="AU65" s="26"/>
      <c r="AV65" s="26"/>
      <c r="AX65" s="24"/>
      <c r="AY65" s="26"/>
      <c r="AZ65" s="26"/>
      <c r="BA65" s="24"/>
      <c r="BB65" s="24"/>
      <c r="BE65" s="25"/>
      <c r="BF65" s="24"/>
      <c r="BG65" s="23"/>
    </row>
    <row r="66" spans="10:59" ht="23.25">
      <c r="J66" s="24"/>
      <c r="L66" s="586" t="s">
        <v>171</v>
      </c>
      <c r="M66" s="430">
        <v>0</v>
      </c>
      <c r="N66" s="430">
        <v>1.5</v>
      </c>
      <c r="O66" s="430">
        <v>0</v>
      </c>
      <c r="P66" s="430">
        <v>0</v>
      </c>
      <c r="Q66" s="430">
        <v>0</v>
      </c>
      <c r="R66" s="655">
        <v>0</v>
      </c>
      <c r="S66" s="430"/>
      <c r="T66" s="568">
        <f t="shared" si="37"/>
        <v>1.5</v>
      </c>
      <c r="U66" s="587">
        <v>0</v>
      </c>
      <c r="V66" s="466"/>
      <c r="W66" s="466"/>
      <c r="X66" s="466"/>
      <c r="Y66" s="465"/>
      <c r="Z66" s="466"/>
      <c r="AA66" s="466"/>
      <c r="AB66" s="466"/>
      <c r="AC66" s="465"/>
      <c r="AD66" s="466" t="s">
        <v>330</v>
      </c>
      <c r="AG66" s="26"/>
      <c r="AH66" s="24"/>
      <c r="AK66" s="49"/>
      <c r="AL66" s="24"/>
      <c r="AO66" s="26"/>
      <c r="AP66" s="24"/>
      <c r="AQ66" s="26"/>
      <c r="AR66" s="26"/>
      <c r="AT66" s="24"/>
      <c r="AU66" s="26"/>
      <c r="AV66" s="26"/>
      <c r="AX66" s="24"/>
      <c r="AY66" s="26"/>
      <c r="AZ66" s="26"/>
      <c r="BA66" s="24"/>
      <c r="BB66" s="24"/>
      <c r="BE66" s="25"/>
      <c r="BF66" s="24"/>
      <c r="BG66" s="23"/>
    </row>
    <row r="67" spans="10:59" ht="23.25">
      <c r="J67" s="24"/>
      <c r="L67" s="586" t="s">
        <v>190</v>
      </c>
      <c r="M67" s="430">
        <v>96</v>
      </c>
      <c r="N67" s="430">
        <v>2</v>
      </c>
      <c r="O67" s="430">
        <v>0</v>
      </c>
      <c r="P67" s="430">
        <v>0</v>
      </c>
      <c r="Q67" s="430">
        <v>0</v>
      </c>
      <c r="R67" s="655">
        <v>0</v>
      </c>
      <c r="S67" s="430"/>
      <c r="T67" s="568">
        <f t="shared" si="37"/>
        <v>98</v>
      </c>
      <c r="U67" s="587">
        <v>0</v>
      </c>
      <c r="V67" s="466"/>
      <c r="W67" s="466"/>
      <c r="X67" s="466"/>
      <c r="Y67" s="465"/>
      <c r="Z67" s="466"/>
      <c r="AA67" s="466"/>
      <c r="AB67" s="466"/>
      <c r="AC67" s="465"/>
      <c r="AD67" s="466"/>
      <c r="AG67" s="26"/>
      <c r="AH67" s="24"/>
      <c r="AK67" s="49"/>
      <c r="AL67" s="24"/>
      <c r="AO67" s="26"/>
      <c r="AP67" s="24"/>
      <c r="AQ67" s="26"/>
      <c r="AR67" s="26"/>
      <c r="AT67" s="24"/>
      <c r="AU67" s="26"/>
      <c r="AV67" s="26"/>
      <c r="AX67" s="24"/>
      <c r="AY67" s="26"/>
      <c r="AZ67" s="26"/>
      <c r="BA67" s="24"/>
      <c r="BB67" s="24"/>
      <c r="BE67" s="25"/>
      <c r="BF67" s="24"/>
      <c r="BG67" s="23"/>
    </row>
    <row r="68" spans="10:59" ht="23.25">
      <c r="J68" s="24"/>
      <c r="L68" s="586" t="s">
        <v>185</v>
      </c>
      <c r="M68" s="430">
        <v>24.5</v>
      </c>
      <c r="N68" s="430">
        <v>0</v>
      </c>
      <c r="O68" s="430">
        <v>0</v>
      </c>
      <c r="P68" s="430">
        <v>0</v>
      </c>
      <c r="Q68" s="430">
        <v>0</v>
      </c>
      <c r="R68" s="655">
        <v>0</v>
      </c>
      <c r="S68" s="430"/>
      <c r="T68" s="568">
        <f t="shared" si="37"/>
        <v>24.5</v>
      </c>
      <c r="U68" s="587">
        <v>23</v>
      </c>
      <c r="V68" s="466"/>
      <c r="W68" s="466"/>
      <c r="X68" s="466"/>
      <c r="Y68" s="465"/>
      <c r="Z68" s="466"/>
      <c r="AA68" s="466"/>
      <c r="AB68" s="466"/>
      <c r="AC68" s="465"/>
      <c r="AD68" s="466"/>
      <c r="AG68" s="26"/>
      <c r="AH68" s="24"/>
      <c r="AK68" s="49"/>
      <c r="AL68" s="24"/>
      <c r="AO68" s="26"/>
      <c r="AP68" s="24"/>
      <c r="AQ68" s="26"/>
      <c r="AR68" s="26"/>
      <c r="AT68" s="24"/>
      <c r="AU68" s="26"/>
      <c r="AV68" s="26"/>
      <c r="AX68" s="24"/>
      <c r="AY68" s="26"/>
      <c r="AZ68" s="26"/>
      <c r="BA68" s="24"/>
      <c r="BB68" s="24"/>
      <c r="BE68" s="25"/>
      <c r="BF68" s="24"/>
      <c r="BG68" s="23"/>
    </row>
    <row r="69" spans="10:59" ht="23.25">
      <c r="L69" s="586" t="s">
        <v>202</v>
      </c>
      <c r="M69" s="430">
        <v>5</v>
      </c>
      <c r="N69" s="430">
        <v>0</v>
      </c>
      <c r="O69" s="430">
        <v>0</v>
      </c>
      <c r="P69" s="430">
        <v>0</v>
      </c>
      <c r="Q69" s="430">
        <v>0</v>
      </c>
      <c r="R69" s="655">
        <v>0</v>
      </c>
      <c r="S69" s="430"/>
      <c r="T69" s="568">
        <f t="shared" si="37"/>
        <v>5</v>
      </c>
      <c r="U69" s="587">
        <v>0</v>
      </c>
      <c r="V69" s="466"/>
      <c r="W69" s="466"/>
      <c r="X69" s="466"/>
      <c r="Y69" s="465"/>
      <c r="Z69" s="466"/>
      <c r="AA69" s="466"/>
      <c r="AB69" s="466"/>
      <c r="AC69" s="465"/>
      <c r="AD69" s="466"/>
      <c r="AG69" s="26"/>
      <c r="AH69" s="24"/>
      <c r="AK69" s="49"/>
      <c r="AL69" s="24"/>
      <c r="AO69" s="26"/>
      <c r="AP69" s="24"/>
      <c r="AQ69" s="26"/>
      <c r="AR69" s="26"/>
      <c r="AT69" s="24"/>
      <c r="AU69" s="26"/>
      <c r="AV69" s="26"/>
      <c r="AX69" s="24"/>
      <c r="AY69" s="26"/>
      <c r="AZ69" s="26"/>
      <c r="BA69" s="24"/>
      <c r="BB69" s="24"/>
      <c r="BE69" s="25"/>
      <c r="BF69" s="24"/>
      <c r="BG69" s="23"/>
    </row>
    <row r="70" spans="10:59" ht="23.25">
      <c r="L70" s="586" t="s">
        <v>186</v>
      </c>
      <c r="M70" s="430">
        <v>69</v>
      </c>
      <c r="N70" s="430">
        <v>1</v>
      </c>
      <c r="O70" s="430">
        <v>0</v>
      </c>
      <c r="P70" s="430">
        <v>0</v>
      </c>
      <c r="Q70" s="430">
        <v>0</v>
      </c>
      <c r="R70" s="655">
        <v>0</v>
      </c>
      <c r="S70" s="430"/>
      <c r="T70" s="568">
        <f t="shared" si="37"/>
        <v>70</v>
      </c>
      <c r="U70" s="587">
        <v>0</v>
      </c>
      <c r="V70" s="466"/>
      <c r="W70" s="466"/>
      <c r="X70" s="466"/>
      <c r="Y70" s="465"/>
      <c r="Z70" s="466"/>
      <c r="AA70" s="466"/>
      <c r="AB70" s="466"/>
      <c r="AC70" s="465"/>
      <c r="AD70" s="466"/>
      <c r="AG70" s="26"/>
      <c r="AH70" s="24"/>
      <c r="AK70" s="49"/>
      <c r="AL70" s="24"/>
      <c r="AM70" s="26"/>
      <c r="AN70" s="26"/>
      <c r="AY70" s="24"/>
      <c r="AZ70" s="24"/>
      <c r="BA70" s="24"/>
      <c r="BB70" s="24"/>
      <c r="BC70" s="25"/>
      <c r="BD70" s="25"/>
      <c r="BF70" s="23"/>
      <c r="BG70" s="23"/>
    </row>
    <row r="71" spans="10:59" ht="23.25">
      <c r="L71" s="586" t="s">
        <v>203</v>
      </c>
      <c r="M71" s="430">
        <v>3</v>
      </c>
      <c r="N71" s="430">
        <v>0</v>
      </c>
      <c r="O71" s="430">
        <v>0</v>
      </c>
      <c r="P71" s="430">
        <v>0</v>
      </c>
      <c r="Q71" s="430">
        <v>0</v>
      </c>
      <c r="R71" s="655">
        <v>0</v>
      </c>
      <c r="S71" s="430"/>
      <c r="T71" s="568">
        <f t="shared" si="37"/>
        <v>3</v>
      </c>
      <c r="U71" s="587">
        <v>0</v>
      </c>
      <c r="V71" s="466"/>
      <c r="W71" s="466"/>
      <c r="X71" s="466"/>
      <c r="Y71" s="465"/>
      <c r="Z71" s="466"/>
      <c r="AA71" s="466"/>
      <c r="AB71" s="466"/>
      <c r="AC71" s="465"/>
      <c r="AD71" s="466"/>
      <c r="AG71" s="26"/>
      <c r="AH71" s="24"/>
      <c r="AK71" s="49"/>
      <c r="AL71" s="24"/>
      <c r="AM71" s="26"/>
      <c r="AN71" s="26"/>
      <c r="AY71" s="24"/>
      <c r="AZ71" s="24"/>
      <c r="BA71" s="24"/>
      <c r="BB71" s="24"/>
      <c r="BC71" s="25"/>
      <c r="BD71" s="25"/>
      <c r="BF71" s="23"/>
      <c r="BG71" s="23"/>
    </row>
    <row r="72" spans="10:59" ht="24" thickBot="1">
      <c r="L72" s="588" t="s">
        <v>191</v>
      </c>
      <c r="M72" s="589">
        <f t="shared" ref="M72" si="38">SUM(M62:M71)</f>
        <v>227.5</v>
      </c>
      <c r="N72" s="444">
        <f>SUM(N62:N71)</f>
        <v>9</v>
      </c>
      <c r="O72" s="444">
        <f t="shared" ref="O72" si="39">SUM(O62:O71)</f>
        <v>0</v>
      </c>
      <c r="P72" s="444">
        <f>SUM(P62:P71)</f>
        <v>0.5</v>
      </c>
      <c r="Q72" s="444">
        <f>SUM(Q62:Q71)</f>
        <v>0</v>
      </c>
      <c r="R72" s="444">
        <f>SUM(R62:R71)</f>
        <v>0</v>
      </c>
      <c r="S72" s="444">
        <f t="shared" ref="S72" si="40">SUM(S62:S71)</f>
        <v>0</v>
      </c>
      <c r="T72" s="630">
        <f>SUM(T62:T71)</f>
        <v>237</v>
      </c>
      <c r="U72" s="631">
        <f>SUM(U62:U71)</f>
        <v>23</v>
      </c>
      <c r="V72" s="466"/>
      <c r="W72" s="466"/>
      <c r="X72" s="466"/>
      <c r="Y72" s="465"/>
      <c r="Z72" s="466"/>
      <c r="AA72" s="466"/>
      <c r="AB72" s="466"/>
      <c r="AC72" s="465"/>
      <c r="AD72" s="466"/>
      <c r="AG72" s="26"/>
      <c r="AH72" s="24"/>
      <c r="AK72" s="49"/>
      <c r="AL72" s="24"/>
      <c r="AM72" s="26"/>
      <c r="AN72" s="26"/>
      <c r="AY72" s="24"/>
      <c r="AZ72" s="24"/>
      <c r="BA72" s="24"/>
      <c r="BB72" s="24"/>
      <c r="BC72" s="25"/>
      <c r="BD72" s="25"/>
      <c r="BF72" s="23"/>
      <c r="BG72" s="23"/>
    </row>
    <row r="73" spans="10:59" ht="24" customHeight="1" thickBot="1">
      <c r="L73" s="1932" t="s">
        <v>221</v>
      </c>
      <c r="M73" s="1932"/>
      <c r="N73" s="1932"/>
      <c r="O73" s="1932"/>
      <c r="P73" s="1932"/>
      <c r="Q73" s="1932"/>
      <c r="R73" s="1932"/>
      <c r="S73" s="1932"/>
      <c r="T73" s="1933">
        <f>T72+U72</f>
        <v>260</v>
      </c>
      <c r="U73" s="1934"/>
      <c r="V73" s="466"/>
      <c r="W73" s="466"/>
      <c r="X73" s="466"/>
      <c r="Y73" s="465"/>
      <c r="Z73" s="466"/>
      <c r="AA73" s="466"/>
      <c r="AB73" s="466"/>
      <c r="AC73" s="465"/>
      <c r="AD73" s="466"/>
      <c r="AG73" s="26"/>
      <c r="AH73" s="24"/>
      <c r="AK73" s="49"/>
      <c r="AL73" s="24"/>
      <c r="AM73" s="26"/>
      <c r="AN73" s="26"/>
      <c r="AY73" s="24"/>
      <c r="AZ73" s="24"/>
      <c r="BA73" s="24"/>
      <c r="BB73" s="24"/>
      <c r="BC73" s="25"/>
      <c r="BD73" s="25"/>
      <c r="BF73" s="23"/>
      <c r="BG73" s="23"/>
    </row>
    <row r="74" spans="10:59" ht="27" customHeight="1">
      <c r="L74" s="966"/>
      <c r="M74" s="966"/>
      <c r="N74" s="966"/>
      <c r="O74" s="1922" t="s">
        <v>235</v>
      </c>
      <c r="P74" s="1922"/>
      <c r="Q74" s="1922"/>
      <c r="R74" s="1922"/>
      <c r="S74" s="1922"/>
      <c r="T74" s="1939">
        <f>M72+U72</f>
        <v>250.5</v>
      </c>
      <c r="U74" s="1939"/>
      <c r="V74" s="466"/>
      <c r="W74" s="466"/>
      <c r="X74" s="466"/>
      <c r="Y74" s="465"/>
      <c r="Z74" s="466"/>
      <c r="AA74" s="466"/>
      <c r="AB74" s="466"/>
      <c r="AC74" s="465"/>
      <c r="AD74" s="466"/>
      <c r="AG74" s="26"/>
      <c r="AH74" s="24"/>
      <c r="AK74" s="49"/>
      <c r="AL74" s="24"/>
      <c r="AM74" s="26"/>
      <c r="AN74" s="26"/>
      <c r="AP74" s="24"/>
      <c r="AQ74" s="26"/>
      <c r="AR74" s="26"/>
      <c r="AT74" s="24"/>
      <c r="AU74" s="26"/>
      <c r="AV74" s="26"/>
      <c r="AW74" s="50"/>
      <c r="AX74" s="50"/>
      <c r="AY74" s="26"/>
      <c r="AZ74" s="26"/>
      <c r="BA74" s="24"/>
      <c r="BB74" s="24"/>
      <c r="BC74" s="25"/>
      <c r="BD74" s="25"/>
      <c r="BF74" s="23"/>
      <c r="BG74" s="23"/>
    </row>
    <row r="75" spans="10:59">
      <c r="L75" s="26"/>
      <c r="M75" s="26"/>
      <c r="N75" s="24"/>
      <c r="P75" s="26"/>
      <c r="Q75" s="26"/>
      <c r="R75" s="24"/>
      <c r="T75" s="26"/>
      <c r="U75" s="26"/>
      <c r="V75" s="24"/>
      <c r="W75" s="466"/>
      <c r="X75" s="466"/>
      <c r="Y75" s="466"/>
      <c r="Z75" s="465"/>
      <c r="AA75" s="466"/>
      <c r="AB75" s="466"/>
      <c r="AC75" s="466"/>
      <c r="AD75" s="465"/>
      <c r="AE75" s="466"/>
      <c r="AN75" s="26"/>
      <c r="AO75" s="26"/>
      <c r="AP75" s="24"/>
      <c r="AR75" s="26"/>
      <c r="AS75" s="26"/>
      <c r="AT75" s="24"/>
      <c r="AV75" s="26"/>
      <c r="AW75" s="26"/>
      <c r="AX75" s="50"/>
      <c r="AZ75" s="26"/>
      <c r="BA75" s="26"/>
      <c r="BB75" s="24"/>
      <c r="BD75" s="25"/>
      <c r="BE75" s="25"/>
      <c r="BF75" s="24"/>
      <c r="BG75" s="23"/>
    </row>
    <row r="76" spans="10:59">
      <c r="L76" s="26"/>
      <c r="M76" s="26"/>
      <c r="N76" s="24"/>
      <c r="P76" s="26"/>
      <c r="Q76" s="26"/>
      <c r="R76" s="24"/>
      <c r="T76" s="26"/>
      <c r="U76" s="26"/>
      <c r="V76" s="24"/>
      <c r="W76" s="466"/>
      <c r="X76" s="466"/>
      <c r="Y76" s="466"/>
      <c r="Z76" s="465"/>
      <c r="AA76" s="466"/>
      <c r="AB76" s="466"/>
      <c r="AC76" s="466"/>
      <c r="AD76" s="465"/>
      <c r="AE76" s="466"/>
      <c r="AN76" s="26"/>
      <c r="AO76" s="26"/>
      <c r="AP76" s="24"/>
      <c r="AR76" s="26"/>
      <c r="AS76" s="26"/>
      <c r="AT76" s="24"/>
      <c r="AV76" s="26"/>
      <c r="AW76" s="26"/>
      <c r="AX76" s="50"/>
      <c r="AZ76" s="26"/>
      <c r="BA76" s="26"/>
      <c r="BB76" s="24"/>
      <c r="BD76" s="25"/>
      <c r="BE76" s="25"/>
      <c r="BF76" s="24"/>
      <c r="BG76" s="23"/>
    </row>
    <row r="77" spans="10:59">
      <c r="L77" s="26"/>
      <c r="M77" s="26"/>
      <c r="N77" s="24"/>
      <c r="P77" s="26"/>
      <c r="Q77" s="26"/>
      <c r="R77" s="24"/>
      <c r="T77" s="26"/>
      <c r="U77" s="26"/>
      <c r="V77" s="24"/>
      <c r="W77" s="466"/>
      <c r="X77" s="466"/>
      <c r="Y77" s="466"/>
      <c r="Z77" s="465"/>
      <c r="AA77" s="466"/>
      <c r="AB77" s="466"/>
      <c r="AC77" s="466"/>
      <c r="AD77" s="465"/>
      <c r="AE77" s="466"/>
      <c r="AN77" s="26"/>
      <c r="AO77" s="26"/>
      <c r="AP77" s="24"/>
      <c r="AR77" s="26"/>
      <c r="AS77" s="26"/>
      <c r="AT77" s="24"/>
      <c r="AV77" s="26"/>
      <c r="AW77" s="26"/>
      <c r="AX77" s="50"/>
      <c r="AZ77" s="26"/>
      <c r="BA77" s="26"/>
      <c r="BB77" s="24"/>
      <c r="BD77" s="25"/>
      <c r="BE77" s="25"/>
      <c r="BF77" s="24"/>
      <c r="BG77" s="23"/>
    </row>
    <row r="78" spans="10:59">
      <c r="L78" s="26"/>
      <c r="M78" s="26"/>
      <c r="N78" s="24"/>
      <c r="P78" s="26"/>
      <c r="Q78" s="26"/>
      <c r="R78" s="24"/>
      <c r="T78" s="26"/>
      <c r="U78" s="26"/>
      <c r="V78" s="24"/>
      <c r="W78" s="466"/>
      <c r="X78" s="26"/>
      <c r="Y78" s="466"/>
      <c r="Z78" s="465"/>
      <c r="AA78" s="466"/>
      <c r="AB78" s="466"/>
      <c r="AC78" s="466"/>
      <c r="AD78" s="465"/>
      <c r="AE78" s="466"/>
      <c r="AN78" s="26"/>
      <c r="AO78" s="26"/>
      <c r="AP78" s="24"/>
      <c r="AR78" s="26"/>
      <c r="AS78" s="26"/>
      <c r="AT78" s="24"/>
      <c r="AV78" s="26"/>
      <c r="AW78" s="26"/>
      <c r="AX78" s="50"/>
      <c r="AZ78" s="26"/>
      <c r="BA78" s="26"/>
      <c r="BB78" s="24"/>
      <c r="BD78" s="25"/>
      <c r="BE78" s="25"/>
      <c r="BF78" s="24"/>
      <c r="BG78" s="23"/>
    </row>
    <row r="79" spans="10:59">
      <c r="L79" s="26"/>
      <c r="M79" s="26"/>
      <c r="N79" s="24"/>
      <c r="P79" s="26"/>
      <c r="Q79" s="26"/>
      <c r="R79" s="24"/>
      <c r="T79" s="26"/>
      <c r="U79" s="26"/>
      <c r="V79" s="24"/>
      <c r="X79" s="26"/>
      <c r="Y79" s="26"/>
      <c r="Z79" s="24"/>
      <c r="AB79" s="26"/>
      <c r="AC79" s="26"/>
      <c r="AD79" s="24"/>
      <c r="AF79" s="26"/>
      <c r="AG79" s="26"/>
      <c r="AH79" s="24"/>
      <c r="AJ79" s="49"/>
      <c r="AK79" s="49"/>
      <c r="AL79" s="24"/>
      <c r="AN79" s="26"/>
      <c r="AO79" s="26"/>
      <c r="AP79" s="24"/>
      <c r="AR79" s="26"/>
      <c r="AS79" s="26"/>
      <c r="AT79" s="24"/>
      <c r="AV79" s="26"/>
      <c r="AW79" s="26"/>
      <c r="AX79" s="50"/>
      <c r="AZ79" s="26"/>
      <c r="BA79" s="26"/>
      <c r="BB79" s="24"/>
      <c r="BD79" s="25"/>
      <c r="BE79" s="25"/>
      <c r="BF79" s="24"/>
      <c r="BG79" s="23"/>
    </row>
    <row r="80" spans="10:59">
      <c r="L80" s="26"/>
      <c r="M80" s="26"/>
      <c r="N80" s="24"/>
      <c r="P80" s="26"/>
      <c r="Q80" s="26"/>
      <c r="R80" s="24"/>
      <c r="T80" s="26"/>
      <c r="U80" s="26"/>
      <c r="V80" s="24"/>
      <c r="Y80" s="26"/>
      <c r="Z80" s="24"/>
      <c r="AB80" s="26"/>
      <c r="AC80" s="26"/>
      <c r="AD80" s="24"/>
      <c r="AF80" s="26"/>
      <c r="AG80" s="26"/>
      <c r="AH80" s="24"/>
      <c r="AJ80" s="49"/>
      <c r="AK80" s="49"/>
      <c r="AL80" s="24"/>
      <c r="AN80" s="26"/>
      <c r="AO80" s="26"/>
      <c r="AP80" s="24"/>
      <c r="AR80" s="26"/>
      <c r="AS80" s="26"/>
      <c r="AT80" s="24"/>
      <c r="AV80" s="26"/>
      <c r="AW80" s="26"/>
      <c r="AX80" s="50"/>
      <c r="AZ80" s="26"/>
      <c r="BA80" s="26"/>
      <c r="BB80" s="24"/>
      <c r="BD80" s="25"/>
      <c r="BE80" s="25"/>
      <c r="BF80" s="24"/>
      <c r="BG80" s="23"/>
    </row>
  </sheetData>
  <mergeCells count="62">
    <mergeCell ref="O58:R58"/>
    <mergeCell ref="S58:T58"/>
    <mergeCell ref="V58:AC58"/>
    <mergeCell ref="AD58:AE58"/>
    <mergeCell ref="Y59:AC59"/>
    <mergeCell ref="AD59:AE59"/>
    <mergeCell ref="BC27:BC28"/>
    <mergeCell ref="BH27:BI27"/>
    <mergeCell ref="L31:S31"/>
    <mergeCell ref="V31:AD31"/>
    <mergeCell ref="L45:T45"/>
    <mergeCell ref="V45:AE45"/>
    <mergeCell ref="C15:C24"/>
    <mergeCell ref="H15:H23"/>
    <mergeCell ref="H24:I24"/>
    <mergeCell ref="AX13:BA13"/>
    <mergeCell ref="BB13:BE13"/>
    <mergeCell ref="H26:I26"/>
    <mergeCell ref="AH13:AK13"/>
    <mergeCell ref="AL13:AO13"/>
    <mergeCell ref="AP13:AS13"/>
    <mergeCell ref="AT13:AW13"/>
    <mergeCell ref="H10:I10"/>
    <mergeCell ref="H12:BI12"/>
    <mergeCell ref="D13:F13"/>
    <mergeCell ref="H13:I14"/>
    <mergeCell ref="J13:M13"/>
    <mergeCell ref="N13:Q13"/>
    <mergeCell ref="R13:U13"/>
    <mergeCell ref="V13:Y13"/>
    <mergeCell ref="Z13:AC13"/>
    <mergeCell ref="AD13:AG13"/>
    <mergeCell ref="BF13:BI13"/>
    <mergeCell ref="C14:D14"/>
    <mergeCell ref="AT4:AW4"/>
    <mergeCell ref="AX4:BA4"/>
    <mergeCell ref="BB4:BE4"/>
    <mergeCell ref="BF4:BI4"/>
    <mergeCell ref="C5:D5"/>
    <mergeCell ref="AH4:AK4"/>
    <mergeCell ref="AL4:AO4"/>
    <mergeCell ref="AP4:AS4"/>
    <mergeCell ref="C6:C9"/>
    <mergeCell ref="H6:H9"/>
    <mergeCell ref="V4:Y4"/>
    <mergeCell ref="Z4:AC4"/>
    <mergeCell ref="AD4:AG4"/>
    <mergeCell ref="D4:F4"/>
    <mergeCell ref="H4:I5"/>
    <mergeCell ref="J4:M4"/>
    <mergeCell ref="N4:Q4"/>
    <mergeCell ref="R4:U4"/>
    <mergeCell ref="C2:F2"/>
    <mergeCell ref="H2:K2"/>
    <mergeCell ref="N2:AZ2"/>
    <mergeCell ref="BB2:BI2"/>
    <mergeCell ref="H3:BI3"/>
    <mergeCell ref="L60:U60"/>
    <mergeCell ref="L73:S73"/>
    <mergeCell ref="T73:U73"/>
    <mergeCell ref="O74:S74"/>
    <mergeCell ref="T74:U74"/>
  </mergeCells>
  <conditionalFormatting sqref="M47:R56">
    <cfRule type="cellIs" dxfId="11" priority="2" operator="equal">
      <formula>0</formula>
    </cfRule>
  </conditionalFormatting>
  <conditionalFormatting sqref="M62:R71">
    <cfRule type="cellIs" dxfId="1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B1:O23"/>
  <sheetViews>
    <sheetView zoomScale="70" zoomScaleNormal="70" workbookViewId="0">
      <selection activeCell="T29" sqref="T29"/>
    </sheetView>
  </sheetViews>
  <sheetFormatPr defaultRowHeight="15"/>
  <cols>
    <col min="2" max="2" width="12" bestFit="1" customWidth="1"/>
    <col min="5" max="10" width="0" hidden="1" customWidth="1"/>
    <col min="11" max="11" width="12.85546875" hidden="1" customWidth="1"/>
    <col min="12" max="12" width="12.85546875" bestFit="1" customWidth="1"/>
  </cols>
  <sheetData>
    <row r="1" spans="2:15" ht="15.75" thickBot="1"/>
    <row r="2" spans="2:15" ht="32.25" thickBot="1">
      <c r="B2" s="1171" t="s">
        <v>0</v>
      </c>
      <c r="C2" s="1171" t="s">
        <v>270</v>
      </c>
      <c r="D2" s="1171" t="s">
        <v>196</v>
      </c>
      <c r="E2" s="1167" t="s">
        <v>200</v>
      </c>
      <c r="F2" s="1168" t="s">
        <v>205</v>
      </c>
      <c r="G2" s="1167" t="s">
        <v>31</v>
      </c>
      <c r="H2" s="573" t="s">
        <v>201</v>
      </c>
      <c r="I2" s="1169" t="s">
        <v>206</v>
      </c>
      <c r="J2" s="1167" t="s">
        <v>22</v>
      </c>
      <c r="K2" s="1170" t="s">
        <v>191</v>
      </c>
      <c r="L2" s="1171" t="s">
        <v>244</v>
      </c>
    </row>
    <row r="3" spans="2:15" ht="23.25">
      <c r="B3" s="1164" t="s">
        <v>189</v>
      </c>
      <c r="C3" s="437">
        <f>27.28+7.5+8.8</f>
        <v>43.58</v>
      </c>
      <c r="D3" s="437"/>
      <c r="E3" s="570"/>
      <c r="F3" s="570"/>
      <c r="G3" s="570"/>
      <c r="H3" s="570"/>
      <c r="I3" s="570"/>
      <c r="J3" s="570"/>
      <c r="K3" s="1165">
        <f t="shared" ref="K3:K12" si="0">SUM(E3:J3)</f>
        <v>0</v>
      </c>
      <c r="L3" s="1166">
        <f>C3+D3</f>
        <v>43.58</v>
      </c>
      <c r="N3" s="1030" t="s">
        <v>32</v>
      </c>
      <c r="O3" s="1080">
        <f>27.28+32+22+15</f>
        <v>96.28</v>
      </c>
    </row>
    <row r="4" spans="2:15" ht="23.25">
      <c r="B4" s="586" t="s">
        <v>183</v>
      </c>
      <c r="C4" s="1161">
        <v>8</v>
      </c>
      <c r="D4" s="1161"/>
      <c r="E4" s="430"/>
      <c r="F4" s="430"/>
      <c r="G4" s="430"/>
      <c r="H4" s="430"/>
      <c r="I4" s="430"/>
      <c r="J4" s="430"/>
      <c r="K4" s="568">
        <f t="shared" si="0"/>
        <v>0</v>
      </c>
      <c r="L4" s="446">
        <f t="shared" ref="L4:L12" si="1">C4+D4</f>
        <v>8</v>
      </c>
      <c r="N4" s="1030" t="s">
        <v>22</v>
      </c>
      <c r="O4" s="1080">
        <f>11+10+19.85+25.26+13.3+20+17+28+19.93+10.89+14.8+24+24</f>
        <v>238.03000000000003</v>
      </c>
    </row>
    <row r="5" spans="2:15" ht="23.25">
      <c r="B5" s="586" t="s">
        <v>184</v>
      </c>
      <c r="C5" s="1161">
        <f>32+18</f>
        <v>50</v>
      </c>
      <c r="D5" s="1161">
        <v>15</v>
      </c>
      <c r="E5" s="430"/>
      <c r="F5" s="430"/>
      <c r="G5" s="430"/>
      <c r="H5" s="430"/>
      <c r="I5" s="430"/>
      <c r="J5" s="430"/>
      <c r="K5" s="568">
        <f t="shared" si="0"/>
        <v>0</v>
      </c>
      <c r="L5" s="446">
        <f t="shared" si="1"/>
        <v>65</v>
      </c>
      <c r="N5" s="1030" t="s">
        <v>285</v>
      </c>
      <c r="O5" s="1080">
        <f>7.5+8.8+8+32+18+35+30+7.4+15+20</f>
        <v>181.70000000000002</v>
      </c>
    </row>
    <row r="6" spans="2:15" ht="23.25">
      <c r="B6" s="586" t="s">
        <v>170</v>
      </c>
      <c r="C6" s="1161">
        <f>35+30</f>
        <v>65</v>
      </c>
      <c r="D6" s="1161">
        <f>24+20</f>
        <v>44</v>
      </c>
      <c r="E6" s="430"/>
      <c r="F6" s="430"/>
      <c r="G6" s="430"/>
      <c r="H6" s="430"/>
      <c r="I6" s="430"/>
      <c r="J6" s="430"/>
      <c r="K6" s="568">
        <f t="shared" si="0"/>
        <v>0</v>
      </c>
      <c r="L6" s="446">
        <f t="shared" si="1"/>
        <v>109</v>
      </c>
      <c r="N6" s="1030" t="s">
        <v>23</v>
      </c>
      <c r="O6" s="1080">
        <f>11+18.3</f>
        <v>29.3</v>
      </c>
    </row>
    <row r="7" spans="2:15" ht="23.25">
      <c r="B7" s="586" t="s">
        <v>171</v>
      </c>
      <c r="C7" s="1161"/>
      <c r="D7" s="1161"/>
      <c r="E7" s="430"/>
      <c r="F7" s="430"/>
      <c r="G7" s="430"/>
      <c r="H7" s="430"/>
      <c r="I7" s="430"/>
      <c r="J7" s="430"/>
      <c r="K7" s="568">
        <f t="shared" si="0"/>
        <v>0</v>
      </c>
      <c r="L7" s="446">
        <f t="shared" si="1"/>
        <v>0</v>
      </c>
      <c r="N7" s="1030" t="s">
        <v>25</v>
      </c>
      <c r="O7" s="1080">
        <f>11.8+24</f>
        <v>35.799999999999997</v>
      </c>
    </row>
    <row r="8" spans="2:15" ht="23.25">
      <c r="B8" s="586" t="s">
        <v>190</v>
      </c>
      <c r="C8" s="1161">
        <f>32+22+7.4</f>
        <v>61.4</v>
      </c>
      <c r="D8" s="1161"/>
      <c r="E8" s="471"/>
      <c r="F8" s="471"/>
      <c r="G8" s="471"/>
      <c r="H8" s="471"/>
      <c r="I8" s="430"/>
      <c r="J8" s="471"/>
      <c r="K8" s="568">
        <f t="shared" si="0"/>
        <v>0</v>
      </c>
      <c r="L8" s="446">
        <f t="shared" si="1"/>
        <v>61.4</v>
      </c>
      <c r="N8" s="1030" t="s">
        <v>273</v>
      </c>
      <c r="O8" s="1080"/>
    </row>
    <row r="9" spans="2:15" ht="23.25">
      <c r="B9" s="586" t="s">
        <v>185</v>
      </c>
      <c r="C9" s="1161">
        <f>10+19.85+25.26+13.3+20</f>
        <v>88.41</v>
      </c>
      <c r="D9" s="1161">
        <f>11.8+15+10.89+19.93+28+17</f>
        <v>102.62</v>
      </c>
      <c r="E9" s="430"/>
      <c r="F9" s="430"/>
      <c r="G9" s="430"/>
      <c r="H9" s="430"/>
      <c r="I9" s="430"/>
      <c r="J9" s="430"/>
      <c r="K9" s="568">
        <f t="shared" si="0"/>
        <v>0</v>
      </c>
      <c r="L9" s="446">
        <f t="shared" si="1"/>
        <v>191.03</v>
      </c>
    </row>
    <row r="10" spans="2:15" ht="23.25">
      <c r="B10" s="586" t="s">
        <v>202</v>
      </c>
      <c r="C10" s="1161"/>
      <c r="D10" s="1161"/>
      <c r="E10" s="430"/>
      <c r="F10" s="430"/>
      <c r="G10" s="430"/>
      <c r="H10" s="430"/>
      <c r="I10" s="430"/>
      <c r="J10" s="430"/>
      <c r="K10" s="568">
        <f t="shared" si="0"/>
        <v>0</v>
      </c>
      <c r="L10" s="446">
        <f t="shared" si="1"/>
        <v>0</v>
      </c>
    </row>
    <row r="11" spans="2:15" ht="23.25">
      <c r="B11" s="586" t="s">
        <v>186</v>
      </c>
      <c r="C11" s="1161">
        <f>18.3+11+11</f>
        <v>40.299999999999997</v>
      </c>
      <c r="D11" s="1161">
        <f>24+14.8</f>
        <v>38.799999999999997</v>
      </c>
      <c r="E11" s="430"/>
      <c r="F11" s="430"/>
      <c r="G11" s="430"/>
      <c r="H11" s="430"/>
      <c r="I11" s="430"/>
      <c r="J11" s="430"/>
      <c r="K11" s="568">
        <f t="shared" si="0"/>
        <v>0</v>
      </c>
      <c r="L11" s="446">
        <f t="shared" si="1"/>
        <v>79.099999999999994</v>
      </c>
    </row>
    <row r="12" spans="2:15" ht="23.25">
      <c r="B12" s="586" t="s">
        <v>203</v>
      </c>
      <c r="C12" s="1161">
        <v>24</v>
      </c>
      <c r="D12" s="1161"/>
      <c r="E12" s="430"/>
      <c r="F12" s="430"/>
      <c r="G12" s="430"/>
      <c r="H12" s="430"/>
      <c r="I12" s="430"/>
      <c r="J12" s="430"/>
      <c r="K12" s="568">
        <f t="shared" si="0"/>
        <v>0</v>
      </c>
      <c r="L12" s="446">
        <f t="shared" si="1"/>
        <v>24</v>
      </c>
    </row>
    <row r="13" spans="2:15" ht="24" thickBot="1">
      <c r="B13" s="588" t="s">
        <v>191</v>
      </c>
      <c r="C13" s="1162">
        <f t="shared" ref="C13:D13" si="2">SUM(C3:C12)</f>
        <v>380.69</v>
      </c>
      <c r="D13" s="1162">
        <f t="shared" si="2"/>
        <v>200.42000000000002</v>
      </c>
      <c r="E13" s="444">
        <f t="shared" ref="E13" si="3">SUM(E3:E12)</f>
        <v>0</v>
      </c>
      <c r="F13" s="444">
        <f>SUM(F3:F12)</f>
        <v>0</v>
      </c>
      <c r="G13" s="444">
        <f t="shared" ref="G13" si="4">SUM(G3:G12)</f>
        <v>0</v>
      </c>
      <c r="H13" s="444">
        <f>SUM(H3:H12)</f>
        <v>0</v>
      </c>
      <c r="I13" s="444">
        <f>SUM(I3:I12)</f>
        <v>0</v>
      </c>
      <c r="J13" s="445">
        <f>SUM(J3:J12)</f>
        <v>0</v>
      </c>
      <c r="K13" s="1163">
        <f>SUM(K3:K12)</f>
        <v>0</v>
      </c>
      <c r="L13" s="451">
        <f>SUM(L3:L12)</f>
        <v>581.11</v>
      </c>
    </row>
    <row r="14" spans="2:15" ht="26.25">
      <c r="B14" s="24"/>
      <c r="C14" s="26"/>
      <c r="D14" s="24"/>
      <c r="E14" s="24"/>
      <c r="F14" s="24"/>
      <c r="G14" s="1999" t="s">
        <v>254</v>
      </c>
      <c r="H14" s="2000"/>
      <c r="I14" s="2000"/>
      <c r="J14" s="2001"/>
      <c r="K14" s="2002">
        <f>K13+L13</f>
        <v>581.11</v>
      </c>
      <c r="L14" s="2003"/>
    </row>
    <row r="15" spans="2:15"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6"/>
    </row>
    <row r="16" spans="2:15">
      <c r="B16" s="24"/>
      <c r="C16" s="24"/>
      <c r="D16" s="24"/>
      <c r="E16" s="24"/>
      <c r="F16" s="964"/>
      <c r="G16" s="964"/>
      <c r="H16" s="964"/>
      <c r="I16" s="964"/>
      <c r="J16" s="964"/>
      <c r="K16" s="964"/>
      <c r="L16" s="965"/>
    </row>
    <row r="17" spans="2:12" ht="21">
      <c r="B17" s="24"/>
      <c r="C17" s="24"/>
      <c r="D17" s="24"/>
      <c r="E17" s="1030"/>
      <c r="F17" s="1080"/>
      <c r="G17" s="964"/>
      <c r="H17" s="964"/>
      <c r="I17" s="964"/>
      <c r="J17" s="964"/>
      <c r="K17" s="964"/>
      <c r="L17" s="965"/>
    </row>
    <row r="18" spans="2:12">
      <c r="B18" s="24"/>
      <c r="C18" s="24"/>
      <c r="D18" s="24"/>
      <c r="G18" s="964"/>
      <c r="H18" s="964"/>
      <c r="I18" s="964"/>
      <c r="J18" s="964"/>
      <c r="K18" s="964"/>
      <c r="L18" s="965"/>
    </row>
    <row r="19" spans="2:12">
      <c r="B19" s="24"/>
      <c r="C19" s="24"/>
      <c r="D19" s="24"/>
      <c r="G19" s="964"/>
      <c r="H19" s="964"/>
      <c r="I19" s="964"/>
      <c r="J19" s="964"/>
      <c r="K19" s="964"/>
      <c r="L19" s="965"/>
    </row>
    <row r="20" spans="2:12">
      <c r="B20" s="24"/>
      <c r="C20" s="24"/>
      <c r="D20" s="24"/>
      <c r="G20" s="964"/>
      <c r="H20" s="964"/>
      <c r="I20" s="964"/>
      <c r="J20" s="964"/>
      <c r="K20" s="964"/>
      <c r="L20" s="965"/>
    </row>
    <row r="21" spans="2:12">
      <c r="B21" s="24"/>
      <c r="C21" s="24"/>
      <c r="D21" s="24"/>
      <c r="G21" s="964"/>
      <c r="H21" s="964"/>
      <c r="I21" s="964"/>
      <c r="J21" s="964"/>
      <c r="K21" s="964"/>
      <c r="L21" s="965"/>
    </row>
    <row r="22" spans="2:12">
      <c r="B22" s="24"/>
      <c r="C22" s="24"/>
      <c r="D22" s="24"/>
      <c r="G22" s="964"/>
      <c r="H22" s="964"/>
      <c r="I22" s="964"/>
      <c r="J22" s="964"/>
      <c r="K22" s="964"/>
      <c r="L22" s="965"/>
    </row>
    <row r="23" spans="2:12">
      <c r="B23" s="24"/>
      <c r="C23" s="24"/>
      <c r="D23" s="24"/>
      <c r="G23" s="964"/>
      <c r="H23" s="964"/>
      <c r="I23" s="964"/>
      <c r="J23" s="964"/>
      <c r="K23" s="964"/>
      <c r="L23" s="965"/>
    </row>
  </sheetData>
  <mergeCells count="2">
    <mergeCell ref="G14:J14"/>
    <mergeCell ref="K14:L14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16"/>
  <dimension ref="B1:AM60"/>
  <sheetViews>
    <sheetView showGridLines="0" workbookViewId="0">
      <selection activeCell="U36" sqref="U36"/>
    </sheetView>
  </sheetViews>
  <sheetFormatPr defaultRowHeight="15"/>
  <cols>
    <col min="2" max="2" width="15.7109375" style="67" customWidth="1"/>
    <col min="3" max="19" width="8.140625" style="51" customWidth="1"/>
    <col min="20" max="20" width="8.7109375" style="51" bestFit="1" customWidth="1"/>
    <col min="21" max="23" width="9.5703125" style="51" bestFit="1" customWidth="1"/>
    <col min="24" max="27" width="8.7109375" style="51" bestFit="1" customWidth="1"/>
    <col min="28" max="28" width="9.5703125" style="51" bestFit="1" customWidth="1"/>
    <col min="29" max="33" width="8.7109375" style="51" bestFit="1" customWidth="1"/>
    <col min="34" max="34" width="13.28515625" style="51" customWidth="1"/>
    <col min="35" max="35" width="12.28515625" style="27" customWidth="1"/>
  </cols>
  <sheetData>
    <row r="1" spans="2:39" ht="15.75" thickBot="1"/>
    <row r="2" spans="2:39" s="68" customFormat="1" ht="15.75" thickBot="1">
      <c r="B2" s="2004" t="s">
        <v>111</v>
      </c>
      <c r="C2" s="2005"/>
      <c r="D2" s="2005"/>
      <c r="E2" s="2005"/>
      <c r="F2" s="2005"/>
      <c r="G2" s="2005"/>
      <c r="H2" s="2005"/>
      <c r="I2" s="2005"/>
      <c r="J2" s="2005"/>
      <c r="K2" s="2005"/>
      <c r="L2" s="2005"/>
      <c r="M2" s="2005"/>
      <c r="N2" s="2005"/>
      <c r="O2" s="2005"/>
      <c r="P2" s="2005"/>
      <c r="Q2" s="2005"/>
      <c r="R2" s="2005"/>
      <c r="S2" s="2005"/>
      <c r="T2" s="2005"/>
      <c r="U2" s="2005"/>
      <c r="V2" s="2005"/>
      <c r="W2" s="2005"/>
      <c r="X2" s="2005"/>
      <c r="Y2" s="2005"/>
      <c r="Z2" s="2005"/>
      <c r="AA2" s="2005"/>
      <c r="AB2" s="2005"/>
      <c r="AC2" s="2005"/>
      <c r="AD2" s="2005"/>
      <c r="AE2" s="2005"/>
      <c r="AF2" s="2005"/>
      <c r="AG2" s="2005"/>
      <c r="AH2" s="2005"/>
      <c r="AI2" s="2006"/>
    </row>
    <row r="3" spans="2:39" s="74" customFormat="1" ht="30.75" thickBot="1">
      <c r="B3" s="69" t="s">
        <v>0</v>
      </c>
      <c r="C3" s="70">
        <v>1</v>
      </c>
      <c r="D3" s="70">
        <v>2</v>
      </c>
      <c r="E3" s="70">
        <v>3</v>
      </c>
      <c r="F3" s="70">
        <v>4</v>
      </c>
      <c r="G3" s="70">
        <v>5</v>
      </c>
      <c r="H3" s="70">
        <v>6</v>
      </c>
      <c r="I3" s="70">
        <v>7</v>
      </c>
      <c r="J3" s="70">
        <v>8</v>
      </c>
      <c r="K3" s="70">
        <v>9</v>
      </c>
      <c r="L3" s="70">
        <v>10</v>
      </c>
      <c r="M3" s="70">
        <v>11</v>
      </c>
      <c r="N3" s="70">
        <v>12</v>
      </c>
      <c r="O3" s="70">
        <v>13</v>
      </c>
      <c r="P3" s="70">
        <v>14</v>
      </c>
      <c r="Q3" s="70">
        <v>15</v>
      </c>
      <c r="R3" s="70">
        <v>16</v>
      </c>
      <c r="S3" s="70">
        <v>17</v>
      </c>
      <c r="T3" s="70">
        <v>18</v>
      </c>
      <c r="U3" s="70">
        <v>19</v>
      </c>
      <c r="V3" s="70">
        <v>20</v>
      </c>
      <c r="W3" s="70">
        <v>21</v>
      </c>
      <c r="X3" s="70">
        <v>22</v>
      </c>
      <c r="Y3" s="70">
        <v>23</v>
      </c>
      <c r="Z3" s="70">
        <v>24</v>
      </c>
      <c r="AA3" s="70">
        <v>25</v>
      </c>
      <c r="AB3" s="70">
        <v>26</v>
      </c>
      <c r="AC3" s="70">
        <v>27</v>
      </c>
      <c r="AD3" s="70">
        <v>28</v>
      </c>
      <c r="AE3" s="70">
        <v>29</v>
      </c>
      <c r="AF3" s="70">
        <v>30</v>
      </c>
      <c r="AG3" s="71">
        <v>31</v>
      </c>
      <c r="AH3" s="72" t="s">
        <v>67</v>
      </c>
      <c r="AI3" s="73" t="s">
        <v>55</v>
      </c>
    </row>
    <row r="4" spans="2:39" s="68" customFormat="1">
      <c r="B4" s="75" t="s">
        <v>4</v>
      </c>
      <c r="C4" s="54">
        <v>0</v>
      </c>
      <c r="D4" s="54">
        <f>'Week (2)'!N5</f>
        <v>0</v>
      </c>
      <c r="E4" s="54">
        <f>'Week (2)'!Q5</f>
        <v>0</v>
      </c>
      <c r="F4" s="174" t="e">
        <f>'Week (2)'!#REF!</f>
        <v>#REF!</v>
      </c>
      <c r="G4" s="54">
        <f>'Week (1)'!AF5</f>
        <v>0</v>
      </c>
      <c r="H4" s="54">
        <f>'Week (1)'!E5</f>
        <v>0</v>
      </c>
      <c r="I4" s="54">
        <f>'Week (1)'!W5</f>
        <v>50</v>
      </c>
      <c r="J4" s="54">
        <f>'Week (1)'!K5</f>
        <v>26</v>
      </c>
      <c r="K4" s="62">
        <f>'Week (1)'!N5</f>
        <v>10</v>
      </c>
      <c r="L4" s="54">
        <f>'Week (1)'!Q5</f>
        <v>0</v>
      </c>
      <c r="M4" s="54"/>
      <c r="N4" s="54"/>
      <c r="O4" s="54">
        <f>'Week (2)'!S5</f>
        <v>97</v>
      </c>
      <c r="P4" s="62">
        <f>'Week (2)'!U5</f>
        <v>8.75</v>
      </c>
      <c r="Q4" s="54"/>
      <c r="R4" s="54"/>
      <c r="S4" s="54">
        <f>'Week (3)'!S7</f>
        <v>5</v>
      </c>
      <c r="T4" s="54">
        <f>'Week (3)'!C7</f>
        <v>5</v>
      </c>
      <c r="U4" s="54"/>
      <c r="V4" s="54">
        <f>'Week (4)'!D6</f>
        <v>10.5</v>
      </c>
      <c r="W4" s="62">
        <f>'Week (4)'!F6</f>
        <v>0</v>
      </c>
      <c r="X4" s="54" t="e">
        <f>'Week (4)'!#REF!</f>
        <v>#REF!</v>
      </c>
      <c r="Y4" s="54">
        <f>'Week (4)'!K6</f>
        <v>30</v>
      </c>
      <c r="Z4" s="54">
        <f>'Week (4)'!M6</f>
        <v>2</v>
      </c>
      <c r="AA4" s="54"/>
      <c r="AB4" s="54"/>
      <c r="AC4" s="54">
        <f>'Week (5)'!D7</f>
        <v>0</v>
      </c>
      <c r="AD4" s="62">
        <f>'Week (5)'!F7</f>
        <v>0</v>
      </c>
      <c r="AE4" s="54" t="e">
        <f>'Week (5)'!#REF!</f>
        <v>#REF!</v>
      </c>
      <c r="AF4" s="54">
        <f>'Week (5)'!K7</f>
        <v>0</v>
      </c>
      <c r="AG4" s="76"/>
      <c r="AH4" s="77" t="e">
        <f t="shared" ref="AH4:AH9" si="0">SUM(C4:AG4)</f>
        <v>#REF!</v>
      </c>
      <c r="AI4" s="45" t="e">
        <f t="shared" ref="AI4:AI16" si="1">AH4/AH$17</f>
        <v>#REF!</v>
      </c>
      <c r="AK4" s="68">
        <f>SUM(L4:Q4)</f>
        <v>105.75</v>
      </c>
    </row>
    <row r="5" spans="2:39" s="68" customFormat="1">
      <c r="B5" s="78" t="s">
        <v>5</v>
      </c>
      <c r="C5" s="55">
        <v>0</v>
      </c>
      <c r="D5" s="55">
        <f>'Week (2)'!N6</f>
        <v>0</v>
      </c>
      <c r="E5" s="55">
        <f>'Week (2)'!Q6</f>
        <v>0</v>
      </c>
      <c r="F5" s="55" t="e">
        <f>'Week (2)'!#REF!</f>
        <v>#REF!</v>
      </c>
      <c r="G5" s="55">
        <f>'Week (1)'!AF6</f>
        <v>0</v>
      </c>
      <c r="H5" s="55">
        <f>'Week (1)'!E6</f>
        <v>21</v>
      </c>
      <c r="I5" s="55">
        <f>'Week (1)'!W6</f>
        <v>20</v>
      </c>
      <c r="J5" s="55">
        <f>'Week (1)'!K6</f>
        <v>23</v>
      </c>
      <c r="K5" s="63">
        <f>'Week (1)'!N6</f>
        <v>9.3800000000000008</v>
      </c>
      <c r="L5" s="55">
        <f>'Week (1)'!Q6</f>
        <v>0</v>
      </c>
      <c r="M5" s="55"/>
      <c r="N5" s="55"/>
      <c r="O5" s="55">
        <f>'Week (2)'!S6</f>
        <v>18</v>
      </c>
      <c r="P5" s="63">
        <f>'Week (2)'!U6</f>
        <v>6</v>
      </c>
      <c r="Q5" s="55"/>
      <c r="R5" s="55"/>
      <c r="S5" s="55">
        <f>'Week (3)'!S8</f>
        <v>5</v>
      </c>
      <c r="T5" s="55">
        <f>'Week (3)'!C8</f>
        <v>10</v>
      </c>
      <c r="U5" s="55"/>
      <c r="V5" s="55">
        <f>'Week (4)'!D7</f>
        <v>0</v>
      </c>
      <c r="W5" s="63">
        <f>'Week (4)'!F7</f>
        <v>0</v>
      </c>
      <c r="X5" s="55" t="e">
        <f>'Week (4)'!#REF!</f>
        <v>#REF!</v>
      </c>
      <c r="Y5" s="55">
        <f>'Week (4)'!K7</f>
        <v>15</v>
      </c>
      <c r="Z5" s="55">
        <f>'Week (4)'!M7</f>
        <v>2.2000000000000002</v>
      </c>
      <c r="AA5" s="55"/>
      <c r="AB5" s="55"/>
      <c r="AC5" s="55">
        <f>'Week (5)'!D8</f>
        <v>0</v>
      </c>
      <c r="AD5" s="63">
        <f>'Week (5)'!F8</f>
        <v>0</v>
      </c>
      <c r="AE5" s="55" t="e">
        <f>'Week (5)'!#REF!</f>
        <v>#REF!</v>
      </c>
      <c r="AF5" s="55">
        <f>'Week (5)'!K8</f>
        <v>0</v>
      </c>
      <c r="AG5" s="79"/>
      <c r="AH5" s="80" t="e">
        <f t="shared" si="0"/>
        <v>#REF!</v>
      </c>
      <c r="AI5" s="46" t="e">
        <f t="shared" si="1"/>
        <v>#REF!</v>
      </c>
      <c r="AK5" s="68">
        <f t="shared" ref="AK5:AK17" si="2">SUM(L5:Q5)</f>
        <v>24</v>
      </c>
    </row>
    <row r="6" spans="2:39" s="68" customFormat="1">
      <c r="B6" s="78" t="s">
        <v>6</v>
      </c>
      <c r="C6" s="55">
        <v>0</v>
      </c>
      <c r="D6" s="55">
        <f>'Week (2)'!N7</f>
        <v>0</v>
      </c>
      <c r="E6" s="55">
        <f>'Week (2)'!Q7</f>
        <v>0</v>
      </c>
      <c r="F6" s="55" t="e">
        <f>'Week (2)'!#REF!</f>
        <v>#REF!</v>
      </c>
      <c r="G6" s="55">
        <f>'Week (1)'!AF7</f>
        <v>0</v>
      </c>
      <c r="H6" s="55">
        <f>'Week (1)'!E7</f>
        <v>0</v>
      </c>
      <c r="I6" s="55">
        <f>'Week (1)'!W7</f>
        <v>6</v>
      </c>
      <c r="J6" s="55">
        <f>'Week (1)'!K7</f>
        <v>3</v>
      </c>
      <c r="K6" s="63">
        <f>'Week (1)'!N7</f>
        <v>0</v>
      </c>
      <c r="L6" s="55">
        <f>'Week (1)'!Q7</f>
        <v>0</v>
      </c>
      <c r="M6" s="55"/>
      <c r="N6" s="55"/>
      <c r="O6" s="55">
        <f>'Week (2)'!S7</f>
        <v>8</v>
      </c>
      <c r="P6" s="63">
        <f>'Week (2)'!U7</f>
        <v>0</v>
      </c>
      <c r="Q6" s="55"/>
      <c r="R6" s="55"/>
      <c r="S6" s="55">
        <f>'Week (3)'!S9</f>
        <v>0</v>
      </c>
      <c r="T6" s="55">
        <f>'Week (3)'!C9</f>
        <v>1</v>
      </c>
      <c r="U6" s="55"/>
      <c r="V6" s="55">
        <f>'Week (4)'!D8</f>
        <v>2</v>
      </c>
      <c r="W6" s="63">
        <f>'Week (4)'!F8</f>
        <v>0</v>
      </c>
      <c r="X6" s="55" t="e">
        <f>'Week (4)'!#REF!</f>
        <v>#REF!</v>
      </c>
      <c r="Y6" s="55">
        <f>'Week (4)'!K8</f>
        <v>17</v>
      </c>
      <c r="Z6" s="55">
        <f>'Week (4)'!M8</f>
        <v>1.5</v>
      </c>
      <c r="AA6" s="55"/>
      <c r="AB6" s="55"/>
      <c r="AC6" s="55">
        <f>'Week (5)'!D9</f>
        <v>0</v>
      </c>
      <c r="AD6" s="63">
        <f>'Week (5)'!F9</f>
        <v>0</v>
      </c>
      <c r="AE6" s="55" t="e">
        <f>'Week (5)'!#REF!</f>
        <v>#REF!</v>
      </c>
      <c r="AF6" s="55">
        <f>'Week (5)'!K9</f>
        <v>0</v>
      </c>
      <c r="AG6" s="79"/>
      <c r="AH6" s="80" t="e">
        <f t="shared" si="0"/>
        <v>#REF!</v>
      </c>
      <c r="AI6" s="46" t="e">
        <f t="shared" si="1"/>
        <v>#REF!</v>
      </c>
      <c r="AK6" s="68">
        <f t="shared" si="2"/>
        <v>8</v>
      </c>
    </row>
    <row r="7" spans="2:39" s="68" customFormat="1">
      <c r="B7" s="78" t="s">
        <v>7</v>
      </c>
      <c r="C7" s="55">
        <v>0</v>
      </c>
      <c r="D7" s="55">
        <f>'Week (2)'!N8</f>
        <v>0</v>
      </c>
      <c r="E7" s="55">
        <f>'Week (2)'!Q8</f>
        <v>0</v>
      </c>
      <c r="F7" s="55" t="e">
        <f>'Week (2)'!#REF!</f>
        <v>#REF!</v>
      </c>
      <c r="G7" s="55">
        <f>'Week (1)'!AF8</f>
        <v>0</v>
      </c>
      <c r="H7" s="55">
        <f>'Week (1)'!E8</f>
        <v>0</v>
      </c>
      <c r="I7" s="55">
        <f>'Week (1)'!W8</f>
        <v>10</v>
      </c>
      <c r="J7" s="55">
        <f>'Week (1)'!K8</f>
        <v>5</v>
      </c>
      <c r="K7" s="63">
        <f>'Week (1)'!N8</f>
        <v>0</v>
      </c>
      <c r="L7" s="55">
        <f>'Week (1)'!Q8</f>
        <v>7.5</v>
      </c>
      <c r="M7" s="55"/>
      <c r="N7" s="55"/>
      <c r="O7" s="55">
        <f>'Week (2)'!S8</f>
        <v>10</v>
      </c>
      <c r="P7" s="63">
        <f>'Week (2)'!U8</f>
        <v>7</v>
      </c>
      <c r="Q7" s="55"/>
      <c r="R7" s="55"/>
      <c r="S7" s="55">
        <f>'Week (3)'!S10</f>
        <v>10</v>
      </c>
      <c r="T7" s="55">
        <f>'Week (3)'!C10</f>
        <v>10</v>
      </c>
      <c r="U7" s="55"/>
      <c r="V7" s="55">
        <f>'Week (4)'!D9</f>
        <v>0</v>
      </c>
      <c r="W7" s="63">
        <f>'Week (4)'!F9</f>
        <v>0</v>
      </c>
      <c r="X7" s="55" t="e">
        <f>'Week (4)'!#REF!</f>
        <v>#REF!</v>
      </c>
      <c r="Y7" s="55">
        <f>'Week (4)'!K9</f>
        <v>2</v>
      </c>
      <c r="Z7" s="55">
        <f>'Week (4)'!M9</f>
        <v>0</v>
      </c>
      <c r="AA7" s="55"/>
      <c r="AB7" s="55"/>
      <c r="AC7" s="55">
        <f>'Week (5)'!D10</f>
        <v>0</v>
      </c>
      <c r="AD7" s="63">
        <f>'Week (5)'!F10</f>
        <v>0</v>
      </c>
      <c r="AE7" s="55" t="e">
        <f>'Week (5)'!#REF!</f>
        <v>#REF!</v>
      </c>
      <c r="AF7" s="55">
        <f>'Week (5)'!K10</f>
        <v>0</v>
      </c>
      <c r="AG7" s="79"/>
      <c r="AH7" s="80" t="e">
        <f t="shared" si="0"/>
        <v>#REF!</v>
      </c>
      <c r="AI7" s="46" t="e">
        <f t="shared" si="1"/>
        <v>#REF!</v>
      </c>
      <c r="AK7" s="68">
        <f t="shared" si="2"/>
        <v>24.5</v>
      </c>
    </row>
    <row r="8" spans="2:39" s="68" customFormat="1">
      <c r="B8" s="78" t="s">
        <v>8</v>
      </c>
      <c r="C8" s="55">
        <v>0</v>
      </c>
      <c r="D8" s="55">
        <f>'Week (2)'!N9</f>
        <v>0</v>
      </c>
      <c r="E8" s="55">
        <f>'Week (2)'!Q9</f>
        <v>0</v>
      </c>
      <c r="F8" s="55" t="e">
        <f>'Week (2)'!#REF!</f>
        <v>#REF!</v>
      </c>
      <c r="G8" s="55">
        <f>'Week (1)'!AF9</f>
        <v>0</v>
      </c>
      <c r="H8" s="55">
        <f>'Week (1)'!E9</f>
        <v>0</v>
      </c>
      <c r="I8" s="55">
        <f>'Week (1)'!W9</f>
        <v>37</v>
      </c>
      <c r="J8" s="55">
        <f>'Week (1)'!K9</f>
        <v>2</v>
      </c>
      <c r="K8" s="63">
        <f>'Week (1)'!N9</f>
        <v>0</v>
      </c>
      <c r="L8" s="55">
        <f>'Week (1)'!Q9</f>
        <v>0</v>
      </c>
      <c r="M8" s="55"/>
      <c r="N8" s="55"/>
      <c r="O8" s="55">
        <f>'Week (2)'!S9</f>
        <v>3</v>
      </c>
      <c r="P8" s="63">
        <f>'Week (2)'!U9</f>
        <v>3</v>
      </c>
      <c r="Q8" s="55"/>
      <c r="R8" s="55"/>
      <c r="S8" s="55">
        <f>'Week (3)'!S11</f>
        <v>45</v>
      </c>
      <c r="T8" s="55">
        <f>'Week (3)'!C11</f>
        <v>44</v>
      </c>
      <c r="U8" s="55"/>
      <c r="V8" s="55">
        <f>'Week (4)'!D10</f>
        <v>0</v>
      </c>
      <c r="W8" s="63">
        <f>'Week (4)'!F10</f>
        <v>0</v>
      </c>
      <c r="X8" s="55" t="e">
        <f>'Week (4)'!#REF!</f>
        <v>#REF!</v>
      </c>
      <c r="Y8" s="55">
        <f>'Week (4)'!K10</f>
        <v>40</v>
      </c>
      <c r="Z8" s="55">
        <f>'Week (4)'!M10</f>
        <v>0</v>
      </c>
      <c r="AA8" s="55"/>
      <c r="AB8" s="55"/>
      <c r="AC8" s="55">
        <f>'Week (5)'!D11</f>
        <v>0</v>
      </c>
      <c r="AD8" s="63">
        <f>'Week (5)'!F11</f>
        <v>0</v>
      </c>
      <c r="AE8" s="55" t="e">
        <f>'Week (5)'!#REF!</f>
        <v>#REF!</v>
      </c>
      <c r="AF8" s="55">
        <f>'Week (5)'!K11</f>
        <v>0</v>
      </c>
      <c r="AG8" s="79"/>
      <c r="AH8" s="80" t="e">
        <f t="shared" si="0"/>
        <v>#REF!</v>
      </c>
      <c r="AI8" s="46" t="e">
        <f t="shared" si="1"/>
        <v>#REF!</v>
      </c>
      <c r="AK8" s="68">
        <f t="shared" si="2"/>
        <v>6</v>
      </c>
    </row>
    <row r="9" spans="2:39" s="68" customFormat="1">
      <c r="B9" s="81" t="s">
        <v>9</v>
      </c>
      <c r="C9" s="56">
        <v>0</v>
      </c>
      <c r="D9" s="56">
        <f>'Week (2)'!N10</f>
        <v>0</v>
      </c>
      <c r="E9" s="56">
        <f>'Week (2)'!Q10</f>
        <v>0</v>
      </c>
      <c r="F9" s="56" t="e">
        <f>'Week (2)'!#REF!</f>
        <v>#REF!</v>
      </c>
      <c r="G9" s="56">
        <f>'Week (1)'!AF10</f>
        <v>0</v>
      </c>
      <c r="H9" s="56">
        <f>'Week (1)'!E10</f>
        <v>0</v>
      </c>
      <c r="I9" s="56">
        <f>'Week (1)'!W10</f>
        <v>30</v>
      </c>
      <c r="J9" s="56">
        <f>'Week (1)'!K10</f>
        <v>20</v>
      </c>
      <c r="K9" s="64">
        <f>'Week (1)'!N10</f>
        <v>0</v>
      </c>
      <c r="L9" s="56">
        <f>'Week (1)'!Q10</f>
        <v>8</v>
      </c>
      <c r="M9" s="56"/>
      <c r="N9" s="56"/>
      <c r="O9" s="56">
        <f>'Week (2)'!S10</f>
        <v>20</v>
      </c>
      <c r="P9" s="64">
        <f>'Week (2)'!U10</f>
        <v>49.35</v>
      </c>
      <c r="Q9" s="56"/>
      <c r="R9" s="56"/>
      <c r="S9" s="56">
        <f>'Week (3)'!S12</f>
        <v>21.85</v>
      </c>
      <c r="T9" s="56">
        <f>'Week (3)'!C12</f>
        <v>14</v>
      </c>
      <c r="U9" s="56"/>
      <c r="V9" s="56">
        <f>'Week (4)'!D11</f>
        <v>39.35</v>
      </c>
      <c r="W9" s="64">
        <f>'Week (4)'!F11</f>
        <v>0</v>
      </c>
      <c r="X9" s="56" t="e">
        <f>'Week (4)'!#REF!</f>
        <v>#REF!</v>
      </c>
      <c r="Y9" s="56">
        <f>'Week (4)'!K11</f>
        <v>180</v>
      </c>
      <c r="Z9" s="56">
        <f>'Week (4)'!M11</f>
        <v>57.86</v>
      </c>
      <c r="AA9" s="56"/>
      <c r="AB9" s="56"/>
      <c r="AC9" s="56">
        <f>'Week (5)'!D12</f>
        <v>0</v>
      </c>
      <c r="AD9" s="64">
        <f>'Week (5)'!F12</f>
        <v>0</v>
      </c>
      <c r="AE9" s="56" t="e">
        <f>'Week (5)'!#REF!</f>
        <v>#REF!</v>
      </c>
      <c r="AF9" s="56">
        <f>'Week (5)'!K12</f>
        <v>0</v>
      </c>
      <c r="AG9" s="82"/>
      <c r="AH9" s="83" t="e">
        <f t="shared" si="0"/>
        <v>#REF!</v>
      </c>
      <c r="AI9" s="84" t="e">
        <f t="shared" si="1"/>
        <v>#REF!</v>
      </c>
      <c r="AK9" s="68">
        <f t="shared" si="2"/>
        <v>77.349999999999994</v>
      </c>
    </row>
    <row r="10" spans="2:39" s="68" customFormat="1">
      <c r="B10" s="85" t="s">
        <v>10</v>
      </c>
      <c r="C10" s="57">
        <f t="shared" ref="C10" si="3">SUM(C4:C9)</f>
        <v>0</v>
      </c>
      <c r="D10" s="57">
        <f t="shared" ref="D10" si="4">SUM(D4:D9)</f>
        <v>0</v>
      </c>
      <c r="E10" s="57">
        <f t="shared" ref="E10" si="5">SUM(E4:E9)</f>
        <v>0</v>
      </c>
      <c r="F10" s="57" t="e">
        <f t="shared" ref="F10" si="6">SUM(F4:F9)</f>
        <v>#REF!</v>
      </c>
      <c r="G10" s="57">
        <f t="shared" ref="G10" si="7">SUM(G4:G9)</f>
        <v>0</v>
      </c>
      <c r="H10" s="57">
        <f t="shared" ref="H10" si="8">SUM(H4:H9)</f>
        <v>21</v>
      </c>
      <c r="I10" s="57">
        <f>SUM(I4:I9)</f>
        <v>153</v>
      </c>
      <c r="J10" s="57">
        <f t="shared" ref="J10:AG10" si="9">SUM(J4:J9)</f>
        <v>79</v>
      </c>
      <c r="K10" s="57">
        <f t="shared" si="9"/>
        <v>19.380000000000003</v>
      </c>
      <c r="L10" s="57">
        <f t="shared" si="9"/>
        <v>15.5</v>
      </c>
      <c r="M10" s="57">
        <f t="shared" si="9"/>
        <v>0</v>
      </c>
      <c r="N10" s="57">
        <f t="shared" si="9"/>
        <v>0</v>
      </c>
      <c r="O10" s="57">
        <f t="shared" si="9"/>
        <v>156</v>
      </c>
      <c r="P10" s="57">
        <f t="shared" si="9"/>
        <v>74.099999999999994</v>
      </c>
      <c r="Q10" s="57">
        <f t="shared" si="9"/>
        <v>0</v>
      </c>
      <c r="R10" s="57">
        <f t="shared" si="9"/>
        <v>0</v>
      </c>
      <c r="S10" s="57">
        <f t="shared" si="9"/>
        <v>86.85</v>
      </c>
      <c r="T10" s="57">
        <f t="shared" si="9"/>
        <v>84</v>
      </c>
      <c r="U10" s="57">
        <f t="shared" si="9"/>
        <v>0</v>
      </c>
      <c r="V10" s="57">
        <f t="shared" si="9"/>
        <v>51.85</v>
      </c>
      <c r="W10" s="57">
        <f t="shared" si="9"/>
        <v>0</v>
      </c>
      <c r="X10" s="57" t="e">
        <f t="shared" si="9"/>
        <v>#REF!</v>
      </c>
      <c r="Y10" s="57">
        <f t="shared" si="9"/>
        <v>284</v>
      </c>
      <c r="Z10" s="57">
        <f t="shared" si="9"/>
        <v>63.56</v>
      </c>
      <c r="AA10" s="57">
        <f>SUM(AA4:AA9)</f>
        <v>0</v>
      </c>
      <c r="AB10" s="57">
        <f t="shared" si="9"/>
        <v>0</v>
      </c>
      <c r="AC10" s="57">
        <f t="shared" si="9"/>
        <v>0</v>
      </c>
      <c r="AD10" s="57">
        <f t="shared" si="9"/>
        <v>0</v>
      </c>
      <c r="AE10" s="57" t="e">
        <f t="shared" si="9"/>
        <v>#REF!</v>
      </c>
      <c r="AF10" s="57">
        <f t="shared" si="9"/>
        <v>0</v>
      </c>
      <c r="AG10" s="57">
        <f t="shared" si="9"/>
        <v>0</v>
      </c>
      <c r="AH10" s="86" t="e">
        <f t="shared" ref="AH10" si="10">SUM(AH4:AH9)</f>
        <v>#REF!</v>
      </c>
      <c r="AI10" s="87" t="e">
        <f t="shared" si="1"/>
        <v>#REF!</v>
      </c>
      <c r="AK10" s="68">
        <f t="shared" si="2"/>
        <v>245.6</v>
      </c>
    </row>
    <row r="11" spans="2:39" s="68" customFormat="1">
      <c r="B11" s="88" t="s">
        <v>11</v>
      </c>
      <c r="C11" s="58">
        <v>0</v>
      </c>
      <c r="D11" s="58">
        <f>'Week (2)'!N12</f>
        <v>0</v>
      </c>
      <c r="E11" s="58">
        <f>'Week (2)'!Q12</f>
        <v>0</v>
      </c>
      <c r="F11" s="58" t="e">
        <f>'Week (2)'!#REF!</f>
        <v>#REF!</v>
      </c>
      <c r="G11" s="58">
        <f>'Week (1)'!AF12</f>
        <v>0</v>
      </c>
      <c r="H11" s="58">
        <f>'Week (1)'!E12</f>
        <v>0</v>
      </c>
      <c r="I11" s="58">
        <f>'Week (1)'!W12</f>
        <v>23</v>
      </c>
      <c r="J11" s="58">
        <f>'Week (1)'!K12</f>
        <v>27</v>
      </c>
      <c r="K11" s="65">
        <f>'Week (1)'!N12</f>
        <v>23</v>
      </c>
      <c r="L11" s="58">
        <f>'Week (1)'!Q12</f>
        <v>11</v>
      </c>
      <c r="M11" s="58"/>
      <c r="N11" s="58"/>
      <c r="O11" s="58">
        <f>'Week (2)'!S12</f>
        <v>36</v>
      </c>
      <c r="P11" s="65">
        <f>'Week (2)'!U12</f>
        <v>2</v>
      </c>
      <c r="Q11" s="58"/>
      <c r="R11" s="58"/>
      <c r="S11" s="58">
        <f>'Week (3)'!S14</f>
        <v>12</v>
      </c>
      <c r="T11" s="58">
        <f>'Week (3)'!C14</f>
        <v>20</v>
      </c>
      <c r="U11" s="58"/>
      <c r="V11" s="58">
        <f>'Week (4)'!D13</f>
        <v>0</v>
      </c>
      <c r="W11" s="65">
        <f>'Week (4)'!F13</f>
        <v>0</v>
      </c>
      <c r="X11" s="58" t="e">
        <f>'Week (4)'!#REF!</f>
        <v>#REF!</v>
      </c>
      <c r="Y11" s="58">
        <f>'Week (4)'!K13</f>
        <v>16</v>
      </c>
      <c r="Z11" s="58">
        <f>'Week (4)'!M13</f>
        <v>1</v>
      </c>
      <c r="AA11" s="58"/>
      <c r="AB11" s="58"/>
      <c r="AC11" s="58">
        <f>'Week (5)'!D14</f>
        <v>0</v>
      </c>
      <c r="AD11" s="65">
        <f>'Week (5)'!F14</f>
        <v>0</v>
      </c>
      <c r="AE11" s="58" t="e">
        <f>'Week (5)'!#REF!</f>
        <v>#REF!</v>
      </c>
      <c r="AF11" s="58">
        <f>'Week (5)'!K14</f>
        <v>0</v>
      </c>
      <c r="AG11" s="89"/>
      <c r="AH11" s="77" t="e">
        <f>SUM(C11:AG11)</f>
        <v>#REF!</v>
      </c>
      <c r="AI11" s="45" t="e">
        <f t="shared" si="1"/>
        <v>#REF!</v>
      </c>
      <c r="AK11" s="68">
        <f t="shared" si="2"/>
        <v>49</v>
      </c>
    </row>
    <row r="12" spans="2:39" s="68" customFormat="1">
      <c r="B12" s="78" t="s">
        <v>12</v>
      </c>
      <c r="C12" s="55">
        <v>0</v>
      </c>
      <c r="D12" s="55">
        <f>'Week (2)'!N13</f>
        <v>0</v>
      </c>
      <c r="E12" s="55">
        <f>'Week (2)'!Q13</f>
        <v>0</v>
      </c>
      <c r="F12" s="55" t="e">
        <f>'Week (2)'!#REF!</f>
        <v>#REF!</v>
      </c>
      <c r="G12" s="55">
        <f>'Week (1)'!AF13</f>
        <v>0</v>
      </c>
      <c r="H12" s="55">
        <f>'Week (1)'!E13</f>
        <v>0</v>
      </c>
      <c r="I12" s="55">
        <f>'Week (1)'!W13</f>
        <v>7</v>
      </c>
      <c r="J12" s="55">
        <f>'Week (1)'!K13</f>
        <v>0</v>
      </c>
      <c r="K12" s="63">
        <f>'Week (1)'!N13</f>
        <v>3.97</v>
      </c>
      <c r="L12" s="55">
        <f>'Week (1)'!Q13</f>
        <v>0</v>
      </c>
      <c r="M12" s="55"/>
      <c r="N12" s="55"/>
      <c r="O12" s="55">
        <f>'Week (2)'!S13</f>
        <v>10</v>
      </c>
      <c r="P12" s="63">
        <f>'Week (2)'!U13</f>
        <v>10.4</v>
      </c>
      <c r="Q12" s="55"/>
      <c r="R12" s="55"/>
      <c r="S12" s="55">
        <f>'Week (3)'!S15</f>
        <v>20</v>
      </c>
      <c r="T12" s="55">
        <f>'Week (3)'!C15</f>
        <v>15</v>
      </c>
      <c r="U12" s="55"/>
      <c r="V12" s="55">
        <f>'Week (4)'!D14</f>
        <v>3</v>
      </c>
      <c r="W12" s="63">
        <f>'Week (4)'!F14</f>
        <v>13</v>
      </c>
      <c r="X12" s="55" t="e">
        <f>'Week (4)'!#REF!</f>
        <v>#REF!</v>
      </c>
      <c r="Y12" s="55">
        <f>'Week (4)'!K14</f>
        <v>60</v>
      </c>
      <c r="Z12" s="55">
        <f>'Week (4)'!M14</f>
        <v>13.5</v>
      </c>
      <c r="AA12" s="55"/>
      <c r="AB12" s="55"/>
      <c r="AC12" s="55">
        <f>'Week (5)'!D15</f>
        <v>0</v>
      </c>
      <c r="AD12" s="63">
        <f>'Week (5)'!F15</f>
        <v>0</v>
      </c>
      <c r="AE12" s="55" t="e">
        <f>'Week (5)'!#REF!</f>
        <v>#REF!</v>
      </c>
      <c r="AF12" s="55">
        <f>'Week (5)'!K15</f>
        <v>0</v>
      </c>
      <c r="AG12" s="79"/>
      <c r="AH12" s="80" t="e">
        <f>SUM(C12:AG12)</f>
        <v>#REF!</v>
      </c>
      <c r="AI12" s="46" t="e">
        <f t="shared" si="1"/>
        <v>#REF!</v>
      </c>
      <c r="AK12" s="68">
        <f t="shared" si="2"/>
        <v>20.399999999999999</v>
      </c>
    </row>
    <row r="13" spans="2:39" s="68" customFormat="1">
      <c r="B13" s="78" t="s">
        <v>13</v>
      </c>
      <c r="C13" s="55">
        <v>0</v>
      </c>
      <c r="D13" s="55">
        <f>'Week (2)'!N14</f>
        <v>12</v>
      </c>
      <c r="E13" s="55">
        <f>'Week (2)'!Q14</f>
        <v>0</v>
      </c>
      <c r="F13" s="55" t="e">
        <f>'Week (2)'!#REF!</f>
        <v>#REF!</v>
      </c>
      <c r="G13" s="55">
        <f>'Week (1)'!AF14</f>
        <v>0</v>
      </c>
      <c r="H13" s="55">
        <f>'Week (1)'!E14</f>
        <v>0</v>
      </c>
      <c r="I13" s="55">
        <f>'Week (1)'!W14</f>
        <v>11</v>
      </c>
      <c r="J13" s="55">
        <f>'Week (1)'!K14</f>
        <v>20</v>
      </c>
      <c r="K13" s="63">
        <f>'Week (1)'!N14</f>
        <v>8</v>
      </c>
      <c r="L13" s="55">
        <f>'Week (1)'!Q14</f>
        <v>3.1</v>
      </c>
      <c r="M13" s="55"/>
      <c r="N13" s="55"/>
      <c r="O13" s="55">
        <f>'Week (2)'!S14</f>
        <v>29</v>
      </c>
      <c r="P13" s="63">
        <f>'Week (2)'!U14</f>
        <v>10.5</v>
      </c>
      <c r="Q13" s="55"/>
      <c r="R13" s="55"/>
      <c r="S13" s="55">
        <f>'Week (3)'!S16</f>
        <v>58.85</v>
      </c>
      <c r="T13" s="55">
        <f>'Week (3)'!C16</f>
        <v>59</v>
      </c>
      <c r="U13" s="55"/>
      <c r="V13" s="55">
        <f>'Week (4)'!D15</f>
        <v>0</v>
      </c>
      <c r="W13" s="63">
        <f>'Week (4)'!F15</f>
        <v>20</v>
      </c>
      <c r="X13" s="55" t="e">
        <f>'Week (4)'!#REF!</f>
        <v>#REF!</v>
      </c>
      <c r="Y13" s="55">
        <f>'Week (4)'!K15</f>
        <v>17</v>
      </c>
      <c r="Z13" s="55">
        <f>'Week (4)'!M15</f>
        <v>6</v>
      </c>
      <c r="AA13" s="55"/>
      <c r="AB13" s="55"/>
      <c r="AC13" s="55">
        <f>'Week (5)'!D16</f>
        <v>0</v>
      </c>
      <c r="AD13" s="63">
        <f>'Week (5)'!F16</f>
        <v>0</v>
      </c>
      <c r="AE13" s="55" t="e">
        <f>'Week (5)'!#REF!</f>
        <v>#REF!</v>
      </c>
      <c r="AF13" s="55">
        <f>'Week (5)'!K16</f>
        <v>0</v>
      </c>
      <c r="AG13" s="79"/>
      <c r="AH13" s="80" t="e">
        <f>SUM(C13:AG13)</f>
        <v>#REF!</v>
      </c>
      <c r="AI13" s="46" t="e">
        <f t="shared" si="1"/>
        <v>#REF!</v>
      </c>
      <c r="AK13" s="68">
        <f t="shared" si="2"/>
        <v>42.6</v>
      </c>
    </row>
    <row r="14" spans="2:39" s="68" customFormat="1">
      <c r="B14" s="81" t="s">
        <v>14</v>
      </c>
      <c r="C14" s="56">
        <v>0</v>
      </c>
      <c r="D14" s="56">
        <f>'Week (2)'!N15</f>
        <v>0</v>
      </c>
      <c r="E14" s="56">
        <f>'Week (2)'!Q15</f>
        <v>0</v>
      </c>
      <c r="F14" s="56" t="e">
        <f>'Week (2)'!#REF!</f>
        <v>#REF!</v>
      </c>
      <c r="G14" s="56">
        <f>'Week (1)'!AF15</f>
        <v>0</v>
      </c>
      <c r="H14" s="56">
        <f>'Week (1)'!E15</f>
        <v>0</v>
      </c>
      <c r="I14" s="56">
        <f>'Week (1)'!W15</f>
        <v>17</v>
      </c>
      <c r="J14" s="56">
        <f>'Week (1)'!K15</f>
        <v>7</v>
      </c>
      <c r="K14" s="64">
        <f>'Week (1)'!N15</f>
        <v>0</v>
      </c>
      <c r="L14" s="56">
        <f>'Week (1)'!Q15</f>
        <v>0</v>
      </c>
      <c r="M14" s="56"/>
      <c r="N14" s="56"/>
      <c r="O14" s="56">
        <f>'Week (2)'!S15</f>
        <v>25</v>
      </c>
      <c r="P14" s="64">
        <f>'Week (2)'!U15</f>
        <v>12</v>
      </c>
      <c r="Q14" s="56"/>
      <c r="R14" s="56"/>
      <c r="S14" s="56">
        <f>'Week (3)'!S17</f>
        <v>0</v>
      </c>
      <c r="T14" s="56">
        <f>'Week (3)'!C17</f>
        <v>0</v>
      </c>
      <c r="U14" s="56"/>
      <c r="V14" s="56">
        <f>'Week (4)'!D16</f>
        <v>32.83</v>
      </c>
      <c r="W14" s="64">
        <f>'Week (4)'!F16</f>
        <v>50.7</v>
      </c>
      <c r="X14" s="56" t="e">
        <f>'Week (4)'!#REF!</f>
        <v>#REF!</v>
      </c>
      <c r="Y14" s="56">
        <f>'Week (4)'!K16</f>
        <v>99</v>
      </c>
      <c r="Z14" s="56">
        <f>'Week (4)'!M16</f>
        <v>20.5</v>
      </c>
      <c r="AA14" s="56"/>
      <c r="AB14" s="56"/>
      <c r="AC14" s="56">
        <f>'Week (5)'!D17</f>
        <v>0</v>
      </c>
      <c r="AD14" s="63">
        <f>'Week (5)'!F17</f>
        <v>0</v>
      </c>
      <c r="AE14" s="56" t="e">
        <f>'Week (5)'!#REF!</f>
        <v>#REF!</v>
      </c>
      <c r="AF14" s="56">
        <f>'Week (5)'!K17</f>
        <v>0</v>
      </c>
      <c r="AG14" s="82"/>
      <c r="AH14" s="83" t="e">
        <f>SUM(C14:AG14)</f>
        <v>#REF!</v>
      </c>
      <c r="AI14" s="84" t="e">
        <f t="shared" si="1"/>
        <v>#REF!</v>
      </c>
      <c r="AK14" s="68">
        <f t="shared" si="2"/>
        <v>37</v>
      </c>
    </row>
    <row r="15" spans="2:39" s="68" customFormat="1">
      <c r="B15" s="90" t="s">
        <v>15</v>
      </c>
      <c r="C15" s="59">
        <f t="shared" ref="C15:AG15" si="11">SUM(C11:C14)</f>
        <v>0</v>
      </c>
      <c r="D15" s="59">
        <f t="shared" si="11"/>
        <v>12</v>
      </c>
      <c r="E15" s="59">
        <f t="shared" si="11"/>
        <v>0</v>
      </c>
      <c r="F15" s="59" t="e">
        <f t="shared" si="11"/>
        <v>#REF!</v>
      </c>
      <c r="G15" s="59">
        <f t="shared" si="11"/>
        <v>0</v>
      </c>
      <c r="H15" s="59">
        <f t="shared" si="11"/>
        <v>0</v>
      </c>
      <c r="I15" s="59">
        <f t="shared" si="11"/>
        <v>58</v>
      </c>
      <c r="J15" s="59">
        <f t="shared" si="11"/>
        <v>54</v>
      </c>
      <c r="K15" s="59">
        <f t="shared" si="11"/>
        <v>34.97</v>
      </c>
      <c r="L15" s="59">
        <f t="shared" si="11"/>
        <v>14.1</v>
      </c>
      <c r="M15" s="59">
        <f t="shared" si="11"/>
        <v>0</v>
      </c>
      <c r="N15" s="59">
        <f t="shared" si="11"/>
        <v>0</v>
      </c>
      <c r="O15" s="59">
        <f t="shared" si="11"/>
        <v>100</v>
      </c>
      <c r="P15" s="59">
        <f t="shared" si="11"/>
        <v>34.9</v>
      </c>
      <c r="Q15" s="59">
        <f t="shared" si="11"/>
        <v>0</v>
      </c>
      <c r="R15" s="59">
        <f t="shared" si="11"/>
        <v>0</v>
      </c>
      <c r="S15" s="59">
        <f t="shared" si="11"/>
        <v>90.85</v>
      </c>
      <c r="T15" s="59">
        <f t="shared" si="11"/>
        <v>94</v>
      </c>
      <c r="U15" s="59">
        <f t="shared" si="11"/>
        <v>0</v>
      </c>
      <c r="V15" s="59">
        <f t="shared" si="11"/>
        <v>35.83</v>
      </c>
      <c r="W15" s="59">
        <f t="shared" si="11"/>
        <v>83.7</v>
      </c>
      <c r="X15" s="59" t="e">
        <f t="shared" si="11"/>
        <v>#REF!</v>
      </c>
      <c r="Y15" s="59">
        <f t="shared" si="11"/>
        <v>192</v>
      </c>
      <c r="Z15" s="59">
        <f t="shared" si="11"/>
        <v>41</v>
      </c>
      <c r="AA15" s="59">
        <f t="shared" si="11"/>
        <v>0</v>
      </c>
      <c r="AB15" s="59">
        <f t="shared" si="11"/>
        <v>0</v>
      </c>
      <c r="AC15" s="59">
        <f t="shared" si="11"/>
        <v>0</v>
      </c>
      <c r="AD15" s="59">
        <f t="shared" si="11"/>
        <v>0</v>
      </c>
      <c r="AE15" s="59" t="e">
        <f t="shared" si="11"/>
        <v>#REF!</v>
      </c>
      <c r="AF15" s="59">
        <f t="shared" si="11"/>
        <v>0</v>
      </c>
      <c r="AG15" s="59">
        <f t="shared" si="11"/>
        <v>0</v>
      </c>
      <c r="AH15" s="91" t="e">
        <f t="shared" ref="AH15" si="12">SUM(AH11:AH14)</f>
        <v>#REF!</v>
      </c>
      <c r="AI15" s="87" t="e">
        <f t="shared" si="1"/>
        <v>#REF!</v>
      </c>
      <c r="AK15" s="68">
        <f t="shared" si="2"/>
        <v>149</v>
      </c>
    </row>
    <row r="16" spans="2:39" s="68" customFormat="1">
      <c r="B16" s="92" t="s">
        <v>16</v>
      </c>
      <c r="C16" s="60">
        <v>0</v>
      </c>
      <c r="D16" s="60">
        <f>'Week (2)'!N17</f>
        <v>0</v>
      </c>
      <c r="E16" s="60">
        <f>'Week (2)'!Q17</f>
        <v>0</v>
      </c>
      <c r="F16" s="60" t="e">
        <f>'Week (2)'!#REF!</f>
        <v>#REF!</v>
      </c>
      <c r="G16" s="60">
        <f>'Week (1)'!AF17</f>
        <v>0</v>
      </c>
      <c r="H16" s="60">
        <f>'Week (2)'!AC17</f>
        <v>0</v>
      </c>
      <c r="I16" s="60">
        <v>0</v>
      </c>
      <c r="J16" s="60"/>
      <c r="K16" s="60">
        <f>'Week (1)'!E17</f>
        <v>0</v>
      </c>
      <c r="L16" s="60">
        <f>'Week (1)'!W17</f>
        <v>0</v>
      </c>
      <c r="M16" s="60">
        <f>'Week (1)'!K17</f>
        <v>0</v>
      </c>
      <c r="N16" s="60">
        <f>'Week (1)'!N17</f>
        <v>0</v>
      </c>
      <c r="O16" s="60">
        <f>'Week (1)'!Q17</f>
        <v>0</v>
      </c>
      <c r="P16" s="60">
        <f>'Week (1)'!G17</f>
        <v>0</v>
      </c>
      <c r="Q16" s="60">
        <v>0</v>
      </c>
      <c r="R16" s="60">
        <v>0</v>
      </c>
      <c r="S16" s="60">
        <f>'Week (2)'!U17</f>
        <v>0</v>
      </c>
      <c r="T16" s="60" t="e">
        <f>'Week (3)'!#REF!</f>
        <v>#REF!</v>
      </c>
      <c r="U16" s="60">
        <f>'Week (2)'!Z17</f>
        <v>0</v>
      </c>
      <c r="V16" s="60">
        <f>'Week (3)'!S19</f>
        <v>0</v>
      </c>
      <c r="W16" s="60">
        <v>0</v>
      </c>
      <c r="X16" s="60">
        <v>0</v>
      </c>
      <c r="Y16" s="60">
        <v>0</v>
      </c>
      <c r="Z16" s="60">
        <v>0</v>
      </c>
      <c r="AA16" s="60" t="e">
        <f>'Week (4)'!#REF!</f>
        <v>#REF!</v>
      </c>
      <c r="AB16" s="60">
        <f>'Week (4)'!K18</f>
        <v>279</v>
      </c>
      <c r="AC16" s="60">
        <f>'Week (4)'!M18</f>
        <v>78.36</v>
      </c>
      <c r="AD16" s="60">
        <v>0</v>
      </c>
      <c r="AE16" s="60">
        <v>0</v>
      </c>
      <c r="AF16" s="60">
        <f>'Week (5)'!D19</f>
        <v>0</v>
      </c>
      <c r="AG16" s="60">
        <v>0</v>
      </c>
      <c r="AH16" s="93" t="e">
        <f>SUM(C16:AG16)</f>
        <v>#REF!</v>
      </c>
      <c r="AI16" s="48" t="e">
        <f t="shared" si="1"/>
        <v>#REF!</v>
      </c>
      <c r="AJ16" s="68">
        <v>108.42</v>
      </c>
      <c r="AK16" s="68">
        <f t="shared" si="2"/>
        <v>0</v>
      </c>
      <c r="AM16" s="94" t="e">
        <f>AJ16-AH16</f>
        <v>#REF!</v>
      </c>
    </row>
    <row r="17" spans="2:37" s="68" customFormat="1" ht="18" thickBot="1">
      <c r="B17" s="95" t="s">
        <v>17</v>
      </c>
      <c r="C17" s="61">
        <f>C10+C15+C16</f>
        <v>0</v>
      </c>
      <c r="D17" s="61">
        <f t="shared" ref="D17:AG17" si="13">D10+D15+D16</f>
        <v>12</v>
      </c>
      <c r="E17" s="61">
        <f t="shared" si="13"/>
        <v>0</v>
      </c>
      <c r="F17" s="61" t="e">
        <f t="shared" si="13"/>
        <v>#REF!</v>
      </c>
      <c r="G17" s="61">
        <f t="shared" si="13"/>
        <v>0</v>
      </c>
      <c r="H17" s="61">
        <f t="shared" si="13"/>
        <v>21</v>
      </c>
      <c r="I17" s="61">
        <f t="shared" si="13"/>
        <v>211</v>
      </c>
      <c r="J17" s="61">
        <f t="shared" si="13"/>
        <v>133</v>
      </c>
      <c r="K17" s="61">
        <f t="shared" si="13"/>
        <v>54.35</v>
      </c>
      <c r="L17" s="61">
        <f t="shared" si="13"/>
        <v>29.6</v>
      </c>
      <c r="M17" s="61">
        <f t="shared" si="13"/>
        <v>0</v>
      </c>
      <c r="N17" s="61">
        <f t="shared" si="13"/>
        <v>0</v>
      </c>
      <c r="O17" s="61">
        <f t="shared" si="13"/>
        <v>256</v>
      </c>
      <c r="P17" s="61">
        <f t="shared" si="13"/>
        <v>109</v>
      </c>
      <c r="Q17" s="61">
        <f t="shared" si="13"/>
        <v>0</v>
      </c>
      <c r="R17" s="61">
        <f t="shared" si="13"/>
        <v>0</v>
      </c>
      <c r="S17" s="61">
        <f t="shared" si="13"/>
        <v>177.7</v>
      </c>
      <c r="T17" s="61" t="e">
        <f t="shared" si="13"/>
        <v>#REF!</v>
      </c>
      <c r="U17" s="61">
        <f t="shared" si="13"/>
        <v>0</v>
      </c>
      <c r="V17" s="61">
        <f t="shared" si="13"/>
        <v>87.68</v>
      </c>
      <c r="W17" s="61">
        <f t="shared" si="13"/>
        <v>83.7</v>
      </c>
      <c r="X17" s="61" t="e">
        <f t="shared" si="13"/>
        <v>#REF!</v>
      </c>
      <c r="Y17" s="61">
        <f t="shared" si="13"/>
        <v>476</v>
      </c>
      <c r="Z17" s="61">
        <f t="shared" si="13"/>
        <v>104.56</v>
      </c>
      <c r="AA17" s="61" t="e">
        <f t="shared" si="13"/>
        <v>#REF!</v>
      </c>
      <c r="AB17" s="61">
        <f t="shared" si="13"/>
        <v>279</v>
      </c>
      <c r="AC17" s="61">
        <f t="shared" si="13"/>
        <v>78.36</v>
      </c>
      <c r="AD17" s="61">
        <f t="shared" si="13"/>
        <v>0</v>
      </c>
      <c r="AE17" s="61" t="e">
        <f t="shared" si="13"/>
        <v>#REF!</v>
      </c>
      <c r="AF17" s="61">
        <f t="shared" si="13"/>
        <v>0</v>
      </c>
      <c r="AG17" s="61">
        <f t="shared" si="13"/>
        <v>0</v>
      </c>
      <c r="AH17" s="96" t="e">
        <f t="shared" ref="AH17" si="14">AH10+AH15+AH16</f>
        <v>#REF!</v>
      </c>
      <c r="AI17" s="97"/>
      <c r="AK17" s="68">
        <f t="shared" si="2"/>
        <v>394.6</v>
      </c>
    </row>
    <row r="18" spans="2:37">
      <c r="I18" s="98"/>
      <c r="K18" s="98"/>
    </row>
    <row r="19" spans="2:37" s="68" customFormat="1">
      <c r="B19" s="99"/>
      <c r="C19" s="100" t="s">
        <v>56</v>
      </c>
      <c r="D19" s="100" t="s">
        <v>65</v>
      </c>
      <c r="E19" s="100" t="s">
        <v>57</v>
      </c>
      <c r="F19" s="100" t="s">
        <v>58</v>
      </c>
      <c r="G19" s="100" t="s">
        <v>59</v>
      </c>
      <c r="H19" s="100" t="s">
        <v>60</v>
      </c>
      <c r="I19" s="100" t="s">
        <v>68</v>
      </c>
      <c r="J19" s="100" t="s">
        <v>69</v>
      </c>
      <c r="K19" s="100" t="s">
        <v>70</v>
      </c>
      <c r="L19" s="100" t="s">
        <v>71</v>
      </c>
      <c r="M19" s="100" t="s">
        <v>72</v>
      </c>
      <c r="N19" s="100" t="s">
        <v>73</v>
      </c>
      <c r="O19" s="100" t="s">
        <v>74</v>
      </c>
      <c r="P19" s="100" t="s">
        <v>75</v>
      </c>
      <c r="Q19" s="100" t="s">
        <v>76</v>
      </c>
      <c r="R19" s="100" t="s">
        <v>77</v>
      </c>
      <c r="S19" s="100" t="s">
        <v>78</v>
      </c>
      <c r="T19" s="100" t="s">
        <v>79</v>
      </c>
      <c r="U19" s="100" t="s">
        <v>80</v>
      </c>
      <c r="V19" s="100" t="s">
        <v>81</v>
      </c>
      <c r="W19" s="100" t="s">
        <v>82</v>
      </c>
      <c r="X19" s="100" t="s">
        <v>83</v>
      </c>
      <c r="Y19" s="100" t="s">
        <v>84</v>
      </c>
      <c r="Z19" s="100" t="s">
        <v>85</v>
      </c>
      <c r="AA19" s="100" t="s">
        <v>86</v>
      </c>
      <c r="AB19" s="100" t="s">
        <v>87</v>
      </c>
      <c r="AC19" s="100" t="s">
        <v>88</v>
      </c>
      <c r="AD19" s="100" t="s">
        <v>89</v>
      </c>
      <c r="AE19" s="100" t="s">
        <v>90</v>
      </c>
      <c r="AF19" s="100" t="s">
        <v>91</v>
      </c>
      <c r="AG19" s="100" t="s">
        <v>92</v>
      </c>
      <c r="AH19" s="100"/>
      <c r="AI19" s="101" t="s">
        <v>93</v>
      </c>
    </row>
    <row r="20" spans="2:37" s="68" customFormat="1">
      <c r="B20" s="99" t="s">
        <v>94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1">
        <f>MAX(C20:AG20)</f>
        <v>0</v>
      </c>
    </row>
    <row r="21" spans="2:37" s="68" customFormat="1">
      <c r="B21" s="102" t="s">
        <v>1</v>
      </c>
      <c r="C21" s="103">
        <f>'Targetwise Plan'!E17</f>
        <v>0</v>
      </c>
      <c r="D21" s="103">
        <f>'Targetwise Plan'!F17</f>
        <v>0</v>
      </c>
      <c r="E21" s="103">
        <f>'Targetwise Plan'!J17</f>
        <v>0</v>
      </c>
      <c r="F21" s="103">
        <f>'Targetwise Plan'!O17</f>
        <v>0</v>
      </c>
      <c r="G21" s="103">
        <f>'Targetwise Plan'!T17</f>
        <v>0</v>
      </c>
      <c r="H21" s="103">
        <f>'Targetwise Plan'!Y17</f>
        <v>0</v>
      </c>
      <c r="I21" s="103">
        <f>'Targetwise Plan'!AC17</f>
        <v>0</v>
      </c>
      <c r="J21" s="103">
        <f>'Targetwise Plan'!AH17</f>
        <v>0</v>
      </c>
      <c r="K21" s="103">
        <f>'Targetwise Plan'!AL17</f>
        <v>0</v>
      </c>
      <c r="L21" s="103">
        <f>'Targetwise Plan'!AP17</f>
        <v>0</v>
      </c>
      <c r="M21" s="103">
        <f>'Targetwise Plan'!AT17</f>
        <v>0</v>
      </c>
      <c r="N21" s="103">
        <f>'Targetwise Plan'!AX17</f>
        <v>0</v>
      </c>
      <c r="O21" s="103">
        <f>'Targetwise Plan'!BB17</f>
        <v>0</v>
      </c>
      <c r="P21" s="103">
        <f>'Targetwise Plan'!BF17</f>
        <v>0</v>
      </c>
      <c r="Q21" s="103">
        <f>'Targetwise Plan'!BJ17</f>
        <v>0</v>
      </c>
      <c r="R21" s="103">
        <f>'Targetwise Plan'!BN17</f>
        <v>0</v>
      </c>
      <c r="S21" s="103">
        <f>'Targetwise Plan'!BR17</f>
        <v>0</v>
      </c>
      <c r="T21" s="103">
        <f>'Targetwise Plan'!BV17</f>
        <v>0</v>
      </c>
      <c r="U21" s="103">
        <f>'Targetwise Plan'!BZ17</f>
        <v>0</v>
      </c>
      <c r="V21" s="103">
        <f>'Targetwise Plan'!CD17</f>
        <v>0</v>
      </c>
      <c r="W21" s="103">
        <f>'Targetwise Plan'!CH17</f>
        <v>0</v>
      </c>
      <c r="X21" s="103">
        <f>'Targetwise Plan'!CL17</f>
        <v>0</v>
      </c>
      <c r="Y21" s="103">
        <f>'Targetwise Plan'!CP17</f>
        <v>0</v>
      </c>
      <c r="Z21" s="103">
        <f>'Targetwise Plan'!CT17</f>
        <v>0</v>
      </c>
      <c r="AA21" s="103">
        <f>'Targetwise Plan'!CX17</f>
        <v>0</v>
      </c>
      <c r="AB21" s="103">
        <f>'Targetwise Plan'!DB17</f>
        <v>0</v>
      </c>
      <c r="AC21" s="103">
        <f>'Targetwise Plan'!DF17</f>
        <v>0</v>
      </c>
      <c r="AD21" s="103">
        <f>'Targetwise Plan'!DJ17</f>
        <v>0</v>
      </c>
      <c r="AE21" s="103">
        <f>'Targetwise Plan'!DN17</f>
        <v>0</v>
      </c>
      <c r="AF21" s="103">
        <f>'Targetwise Plan'!DR17</f>
        <v>0</v>
      </c>
      <c r="AG21" s="103">
        <f>'Targetwise Plan'!DV17</f>
        <v>0</v>
      </c>
      <c r="AH21" s="100"/>
      <c r="AI21" s="104" t="s">
        <v>100</v>
      </c>
      <c r="AJ21" s="101">
        <f>SUM(C21:K21)</f>
        <v>0</v>
      </c>
    </row>
    <row r="22" spans="2:37" s="68" customFormat="1">
      <c r="B22" s="102" t="s">
        <v>2</v>
      </c>
      <c r="C22" s="103">
        <f t="shared" ref="C22:AG22" si="15">C17</f>
        <v>0</v>
      </c>
      <c r="D22" s="103">
        <f t="shared" si="15"/>
        <v>12</v>
      </c>
      <c r="E22" s="103">
        <f t="shared" si="15"/>
        <v>0</v>
      </c>
      <c r="F22" s="103" t="e">
        <f t="shared" si="15"/>
        <v>#REF!</v>
      </c>
      <c r="G22" s="103">
        <f t="shared" si="15"/>
        <v>0</v>
      </c>
      <c r="H22" s="103">
        <f t="shared" si="15"/>
        <v>21</v>
      </c>
      <c r="I22" s="103">
        <f t="shared" si="15"/>
        <v>211</v>
      </c>
      <c r="J22" s="103">
        <f t="shared" si="15"/>
        <v>133</v>
      </c>
      <c r="K22" s="103">
        <f t="shared" si="15"/>
        <v>54.35</v>
      </c>
      <c r="L22" s="103">
        <f t="shared" si="15"/>
        <v>29.6</v>
      </c>
      <c r="M22" s="103">
        <f t="shared" si="15"/>
        <v>0</v>
      </c>
      <c r="N22" s="103">
        <f t="shared" si="15"/>
        <v>0</v>
      </c>
      <c r="O22" s="103">
        <f t="shared" si="15"/>
        <v>256</v>
      </c>
      <c r="P22" s="103">
        <f t="shared" si="15"/>
        <v>109</v>
      </c>
      <c r="Q22" s="103">
        <f t="shared" si="15"/>
        <v>0</v>
      </c>
      <c r="R22" s="103">
        <f t="shared" si="15"/>
        <v>0</v>
      </c>
      <c r="S22" s="103">
        <f t="shared" si="15"/>
        <v>177.7</v>
      </c>
      <c r="T22" s="103" t="e">
        <f t="shared" si="15"/>
        <v>#REF!</v>
      </c>
      <c r="U22" s="100">
        <f t="shared" si="15"/>
        <v>0</v>
      </c>
      <c r="V22" s="100">
        <f t="shared" si="15"/>
        <v>87.68</v>
      </c>
      <c r="W22" s="100">
        <f t="shared" si="15"/>
        <v>83.7</v>
      </c>
      <c r="X22" s="100" t="e">
        <f t="shared" si="15"/>
        <v>#REF!</v>
      </c>
      <c r="Y22" s="100">
        <f t="shared" si="15"/>
        <v>476</v>
      </c>
      <c r="Z22" s="100">
        <f t="shared" si="15"/>
        <v>104.56</v>
      </c>
      <c r="AA22" s="100" t="e">
        <f t="shared" si="15"/>
        <v>#REF!</v>
      </c>
      <c r="AB22" s="100">
        <f t="shared" si="15"/>
        <v>279</v>
      </c>
      <c r="AC22" s="100">
        <f t="shared" si="15"/>
        <v>78.36</v>
      </c>
      <c r="AD22" s="100">
        <f t="shared" si="15"/>
        <v>0</v>
      </c>
      <c r="AE22" s="100" t="e">
        <f t="shared" si="15"/>
        <v>#REF!</v>
      </c>
      <c r="AF22" s="100">
        <f t="shared" si="15"/>
        <v>0</v>
      </c>
      <c r="AG22" s="100">
        <f t="shared" si="15"/>
        <v>0</v>
      </c>
      <c r="AH22" s="100"/>
      <c r="AI22" s="104" t="s">
        <v>101</v>
      </c>
      <c r="AJ22" s="101" t="e">
        <f>SUM(C22:K22)</f>
        <v>#REF!</v>
      </c>
      <c r="AK22" s="68" t="e">
        <f>AJ21-AJ22</f>
        <v>#REF!</v>
      </c>
    </row>
    <row r="23" spans="2:37" s="68" customFormat="1">
      <c r="B23" s="102" t="s">
        <v>95</v>
      </c>
      <c r="C23" s="103">
        <f>C21</f>
        <v>0</v>
      </c>
      <c r="D23" s="103">
        <f t="shared" ref="D23" si="16">C23+D21</f>
        <v>0</v>
      </c>
      <c r="E23" s="103">
        <f t="shared" ref="E23" si="17">D23+E21</f>
        <v>0</v>
      </c>
      <c r="F23" s="103">
        <f t="shared" ref="F23" si="18">E23+F21</f>
        <v>0</v>
      </c>
      <c r="G23" s="103">
        <f t="shared" ref="G23" si="19">F23+G21</f>
        <v>0</v>
      </c>
      <c r="H23" s="103">
        <f t="shared" ref="H23" si="20">G23+H21</f>
        <v>0</v>
      </c>
      <c r="I23" s="103">
        <f t="shared" ref="I23" si="21">H23+I21</f>
        <v>0</v>
      </c>
      <c r="J23" s="103">
        <f t="shared" ref="J23" si="22">I23+J21</f>
        <v>0</v>
      </c>
      <c r="K23" s="103">
        <f t="shared" ref="K23" si="23">J23+K21</f>
        <v>0</v>
      </c>
      <c r="L23" s="103">
        <f t="shared" ref="L23" si="24">K23+L21</f>
        <v>0</v>
      </c>
      <c r="M23" s="103">
        <f t="shared" ref="M23" si="25">L23+M21</f>
        <v>0</v>
      </c>
      <c r="N23" s="103">
        <f t="shared" ref="N23" si="26">M23+N21</f>
        <v>0</v>
      </c>
      <c r="O23" s="103">
        <f t="shared" ref="O23" si="27">N23+O21</f>
        <v>0</v>
      </c>
      <c r="P23" s="103">
        <f t="shared" ref="P23" si="28">O23+P21</f>
        <v>0</v>
      </c>
      <c r="Q23" s="103">
        <f t="shared" ref="Q23" si="29">P23+Q21</f>
        <v>0</v>
      </c>
      <c r="R23" s="103">
        <f t="shared" ref="R23" si="30">Q23+R21</f>
        <v>0</v>
      </c>
      <c r="S23" s="103">
        <f t="shared" ref="S23" si="31">R23+S21</f>
        <v>0</v>
      </c>
      <c r="T23" s="103">
        <f t="shared" ref="T23" si="32">S23+T21</f>
        <v>0</v>
      </c>
      <c r="U23" s="103">
        <f t="shared" ref="U23" si="33">T23+U21</f>
        <v>0</v>
      </c>
      <c r="V23" s="103">
        <f t="shared" ref="V23" si="34">U23+V21</f>
        <v>0</v>
      </c>
      <c r="W23" s="103">
        <f t="shared" ref="W23" si="35">V23+W21</f>
        <v>0</v>
      </c>
      <c r="X23" s="103">
        <f t="shared" ref="X23" si="36">W23+X21</f>
        <v>0</v>
      </c>
      <c r="Y23" s="103">
        <f t="shared" ref="Y23" si="37">X23+Y21</f>
        <v>0</v>
      </c>
      <c r="Z23" s="103">
        <f t="shared" ref="Z23" si="38">Y23+Z21</f>
        <v>0</v>
      </c>
      <c r="AA23" s="103">
        <f t="shared" ref="AA23" si="39">Z23+AA21</f>
        <v>0</v>
      </c>
      <c r="AB23" s="103">
        <f t="shared" ref="AB23" si="40">AA23+AB21</f>
        <v>0</v>
      </c>
      <c r="AC23" s="103">
        <f t="shared" ref="AC23" si="41">AB23+AC21</f>
        <v>0</v>
      </c>
      <c r="AD23" s="103">
        <f t="shared" ref="AD23" si="42">AC23+AD21</f>
        <v>0</v>
      </c>
      <c r="AE23" s="103">
        <f t="shared" ref="AE23" si="43">AD23+AE21</f>
        <v>0</v>
      </c>
      <c r="AF23" s="103">
        <f t="shared" ref="AF23" si="44">AE23+AF21</f>
        <v>0</v>
      </c>
      <c r="AG23" s="103">
        <f>AF23+AG21-98</f>
        <v>-98</v>
      </c>
      <c r="AH23" s="100"/>
      <c r="AI23" s="101">
        <f>MAX(C23:AG23)</f>
        <v>0</v>
      </c>
      <c r="AJ23" s="68" t="e">
        <f>AI23-AI24</f>
        <v>#REF!</v>
      </c>
      <c r="AK23" s="68" t="e">
        <f>AJ23/5</f>
        <v>#REF!</v>
      </c>
    </row>
    <row r="24" spans="2:37" s="68" customFormat="1">
      <c r="B24" s="102" t="s">
        <v>96</v>
      </c>
      <c r="C24" s="103">
        <f>C22</f>
        <v>0</v>
      </c>
      <c r="D24" s="103">
        <f t="shared" ref="D24:AG24" si="45">C24+D22</f>
        <v>12</v>
      </c>
      <c r="E24" s="103">
        <f t="shared" si="45"/>
        <v>12</v>
      </c>
      <c r="F24" s="103" t="e">
        <f t="shared" si="45"/>
        <v>#REF!</v>
      </c>
      <c r="G24" s="103" t="e">
        <f t="shared" si="45"/>
        <v>#REF!</v>
      </c>
      <c r="H24" s="103" t="e">
        <f t="shared" si="45"/>
        <v>#REF!</v>
      </c>
      <c r="I24" s="103" t="e">
        <f t="shared" si="45"/>
        <v>#REF!</v>
      </c>
      <c r="J24" s="103" t="e">
        <f t="shared" si="45"/>
        <v>#REF!</v>
      </c>
      <c r="K24" s="103" t="e">
        <f t="shared" si="45"/>
        <v>#REF!</v>
      </c>
      <c r="L24" s="103" t="e">
        <f t="shared" si="45"/>
        <v>#REF!</v>
      </c>
      <c r="M24" s="103" t="e">
        <f t="shared" si="45"/>
        <v>#REF!</v>
      </c>
      <c r="N24" s="103" t="e">
        <f t="shared" si="45"/>
        <v>#REF!</v>
      </c>
      <c r="O24" s="103" t="e">
        <f t="shared" si="45"/>
        <v>#REF!</v>
      </c>
      <c r="P24" s="103" t="e">
        <f t="shared" si="45"/>
        <v>#REF!</v>
      </c>
      <c r="Q24" s="103" t="e">
        <f t="shared" si="45"/>
        <v>#REF!</v>
      </c>
      <c r="R24" s="103" t="e">
        <f t="shared" si="45"/>
        <v>#REF!</v>
      </c>
      <c r="S24" s="103" t="e">
        <f t="shared" si="45"/>
        <v>#REF!</v>
      </c>
      <c r="T24" s="103" t="e">
        <f t="shared" si="45"/>
        <v>#REF!</v>
      </c>
      <c r="U24" s="103" t="e">
        <f t="shared" si="45"/>
        <v>#REF!</v>
      </c>
      <c r="V24" s="103" t="e">
        <f t="shared" si="45"/>
        <v>#REF!</v>
      </c>
      <c r="W24" s="103" t="e">
        <f t="shared" si="45"/>
        <v>#REF!</v>
      </c>
      <c r="X24" s="103" t="e">
        <f t="shared" si="45"/>
        <v>#REF!</v>
      </c>
      <c r="Y24" s="103" t="e">
        <f t="shared" si="45"/>
        <v>#REF!</v>
      </c>
      <c r="Z24" s="103" t="e">
        <f t="shared" si="45"/>
        <v>#REF!</v>
      </c>
      <c r="AA24" s="103" t="e">
        <f t="shared" si="45"/>
        <v>#REF!</v>
      </c>
      <c r="AB24" s="103" t="e">
        <f t="shared" si="45"/>
        <v>#REF!</v>
      </c>
      <c r="AC24" s="103" t="e">
        <f t="shared" si="45"/>
        <v>#REF!</v>
      </c>
      <c r="AD24" s="103" t="e">
        <f t="shared" si="45"/>
        <v>#REF!</v>
      </c>
      <c r="AE24" s="103" t="e">
        <f t="shared" si="45"/>
        <v>#REF!</v>
      </c>
      <c r="AF24" s="103" t="e">
        <f t="shared" si="45"/>
        <v>#REF!</v>
      </c>
      <c r="AG24" s="103" t="e">
        <f t="shared" si="45"/>
        <v>#REF!</v>
      </c>
      <c r="AH24" s="100"/>
      <c r="AI24" s="101" t="e">
        <f>MAX(C24:AG24)</f>
        <v>#REF!</v>
      </c>
      <c r="AJ24" s="68" t="e">
        <f>AI20-AI24</f>
        <v>#REF!</v>
      </c>
      <c r="AK24" s="68" t="e">
        <f>AJ24/5</f>
        <v>#REF!</v>
      </c>
    </row>
    <row r="25" spans="2:37" s="68" customFormat="1">
      <c r="B25" s="102" t="s">
        <v>110</v>
      </c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0"/>
      <c r="AI25" s="101"/>
    </row>
    <row r="26" spans="2:37" s="68" customFormat="1">
      <c r="B26" s="102" t="s">
        <v>102</v>
      </c>
      <c r="C26" s="169">
        <f t="shared" ref="C26:AG26" si="46">MAX(C21-C22, 0)</f>
        <v>0</v>
      </c>
      <c r="D26" s="169">
        <f t="shared" si="46"/>
        <v>0</v>
      </c>
      <c r="E26" s="169">
        <f t="shared" si="46"/>
        <v>0</v>
      </c>
      <c r="F26" s="169" t="e">
        <f t="shared" si="46"/>
        <v>#REF!</v>
      </c>
      <c r="G26" s="169">
        <f t="shared" si="46"/>
        <v>0</v>
      </c>
      <c r="H26" s="169">
        <f t="shared" si="46"/>
        <v>0</v>
      </c>
      <c r="I26" s="169">
        <f t="shared" si="46"/>
        <v>0</v>
      </c>
      <c r="J26" s="169">
        <f t="shared" si="46"/>
        <v>0</v>
      </c>
      <c r="K26" s="169">
        <f t="shared" si="46"/>
        <v>0</v>
      </c>
      <c r="L26" s="169">
        <f t="shared" si="46"/>
        <v>0</v>
      </c>
      <c r="M26" s="169">
        <f t="shared" si="46"/>
        <v>0</v>
      </c>
      <c r="N26" s="169">
        <f t="shared" si="46"/>
        <v>0</v>
      </c>
      <c r="O26" s="169">
        <f t="shared" si="46"/>
        <v>0</v>
      </c>
      <c r="P26" s="169">
        <f t="shared" si="46"/>
        <v>0</v>
      </c>
      <c r="Q26" s="169">
        <f t="shared" si="46"/>
        <v>0</v>
      </c>
      <c r="R26" s="169">
        <f t="shared" si="46"/>
        <v>0</v>
      </c>
      <c r="S26" s="169">
        <f t="shared" si="46"/>
        <v>0</v>
      </c>
      <c r="T26" s="169" t="e">
        <f t="shared" si="46"/>
        <v>#REF!</v>
      </c>
      <c r="U26" s="169">
        <f t="shared" si="46"/>
        <v>0</v>
      </c>
      <c r="V26" s="169">
        <f t="shared" si="46"/>
        <v>0</v>
      </c>
      <c r="W26" s="169">
        <f t="shared" si="46"/>
        <v>0</v>
      </c>
      <c r="X26" s="169" t="e">
        <f t="shared" si="46"/>
        <v>#REF!</v>
      </c>
      <c r="Y26" s="169">
        <f t="shared" si="46"/>
        <v>0</v>
      </c>
      <c r="Z26" s="169">
        <f t="shared" si="46"/>
        <v>0</v>
      </c>
      <c r="AA26" s="169" t="e">
        <f t="shared" si="46"/>
        <v>#REF!</v>
      </c>
      <c r="AB26" s="169">
        <f t="shared" si="46"/>
        <v>0</v>
      </c>
      <c r="AC26" s="169">
        <f t="shared" si="46"/>
        <v>0</v>
      </c>
      <c r="AD26" s="169">
        <f t="shared" si="46"/>
        <v>0</v>
      </c>
      <c r="AE26" s="169" t="e">
        <f t="shared" si="46"/>
        <v>#REF!</v>
      </c>
      <c r="AF26" s="169">
        <f t="shared" si="46"/>
        <v>0</v>
      </c>
      <c r="AG26" s="169">
        <f t="shared" si="46"/>
        <v>0</v>
      </c>
      <c r="AH26" s="100"/>
      <c r="AI26" s="104"/>
    </row>
    <row r="27" spans="2:37" s="68" customFormat="1">
      <c r="B27" s="102" t="s">
        <v>97</v>
      </c>
      <c r="C27" s="103">
        <f>C26</f>
        <v>0</v>
      </c>
      <c r="D27" s="103">
        <f t="shared" ref="D27" si="47">C27+D26</f>
        <v>0</v>
      </c>
      <c r="E27" s="103">
        <f t="shared" ref="E27" si="48">D27+E26</f>
        <v>0</v>
      </c>
      <c r="F27" s="103" t="e">
        <f t="shared" ref="F27" si="49">E27+F26</f>
        <v>#REF!</v>
      </c>
      <c r="G27" s="103" t="e">
        <f t="shared" ref="G27" si="50">F27+G26</f>
        <v>#REF!</v>
      </c>
      <c r="H27" s="103" t="e">
        <f t="shared" ref="H27" si="51">G27+H26</f>
        <v>#REF!</v>
      </c>
      <c r="I27" s="103" t="e">
        <f t="shared" ref="I27" si="52">H27+I26</f>
        <v>#REF!</v>
      </c>
      <c r="J27" s="103" t="e">
        <f t="shared" ref="J27" si="53">I27+J26</f>
        <v>#REF!</v>
      </c>
      <c r="K27" s="103" t="e">
        <f t="shared" ref="K27" si="54">J27+K26</f>
        <v>#REF!</v>
      </c>
      <c r="L27" s="103" t="e">
        <f t="shared" ref="L27" si="55">K27+L26</f>
        <v>#REF!</v>
      </c>
      <c r="M27" s="103" t="e">
        <f t="shared" ref="M27" si="56">L27+M26</f>
        <v>#REF!</v>
      </c>
      <c r="N27" s="103" t="e">
        <f t="shared" ref="N27" si="57">M27+N26</f>
        <v>#REF!</v>
      </c>
      <c r="O27" s="103" t="e">
        <f t="shared" ref="O27" si="58">N27+O26</f>
        <v>#REF!</v>
      </c>
      <c r="P27" s="103" t="e">
        <f t="shared" ref="P27" si="59">O27+P26</f>
        <v>#REF!</v>
      </c>
      <c r="Q27" s="103" t="e">
        <f t="shared" ref="Q27" si="60">P27+Q26</f>
        <v>#REF!</v>
      </c>
      <c r="R27" s="103" t="e">
        <f t="shared" ref="R27" si="61">Q27+R26</f>
        <v>#REF!</v>
      </c>
      <c r="S27" s="103" t="e">
        <f t="shared" ref="S27" si="62">R27+S26</f>
        <v>#REF!</v>
      </c>
      <c r="T27" s="103" t="e">
        <f t="shared" ref="T27" si="63">S27+T26</f>
        <v>#REF!</v>
      </c>
      <c r="U27" s="103" t="e">
        <f t="shared" ref="U27" si="64">T27+U26</f>
        <v>#REF!</v>
      </c>
      <c r="V27" s="103" t="e">
        <f t="shared" ref="V27" si="65">U27+V26</f>
        <v>#REF!</v>
      </c>
      <c r="W27" s="103" t="e">
        <f t="shared" ref="W27" si="66">V27+W26</f>
        <v>#REF!</v>
      </c>
      <c r="X27" s="103" t="e">
        <f t="shared" ref="X27" si="67">W27+X26</f>
        <v>#REF!</v>
      </c>
      <c r="Y27" s="103" t="e">
        <f t="shared" ref="Y27" si="68">X27+Y26</f>
        <v>#REF!</v>
      </c>
      <c r="Z27" s="103" t="e">
        <f t="shared" ref="Z27" si="69">Y27+Z26</f>
        <v>#REF!</v>
      </c>
      <c r="AA27" s="103" t="e">
        <f t="shared" ref="AA27" si="70">Z27+AA26</f>
        <v>#REF!</v>
      </c>
      <c r="AB27" s="103" t="e">
        <f t="shared" ref="AB27" si="71">AA27+AB26</f>
        <v>#REF!</v>
      </c>
      <c r="AC27" s="103" t="e">
        <f t="shared" ref="AC27" si="72">AB27+AC26</f>
        <v>#REF!</v>
      </c>
      <c r="AD27" s="100"/>
      <c r="AE27" s="100"/>
      <c r="AF27" s="100"/>
      <c r="AG27" s="100"/>
      <c r="AH27" s="100"/>
      <c r="AI27" s="101" t="e">
        <f>MAX(C27:AG27)</f>
        <v>#REF!</v>
      </c>
    </row>
    <row r="28" spans="2:37" s="68" customFormat="1">
      <c r="B28" s="102" t="s">
        <v>98</v>
      </c>
      <c r="C28" s="103" t="e">
        <f>C30</f>
        <v>#VALUE!</v>
      </c>
      <c r="D28" s="103" t="e">
        <f t="shared" ref="D28:J28" si="73">ROUND(C28+D30, 0)</f>
        <v>#VALUE!</v>
      </c>
      <c r="E28" s="103" t="e">
        <f t="shared" si="73"/>
        <v>#VALUE!</v>
      </c>
      <c r="F28" s="103" t="e">
        <f t="shared" si="73"/>
        <v>#VALUE!</v>
      </c>
      <c r="G28" s="103" t="e">
        <f t="shared" si="73"/>
        <v>#VALUE!</v>
      </c>
      <c r="H28" s="103" t="e">
        <f t="shared" si="73"/>
        <v>#VALUE!</v>
      </c>
      <c r="I28" s="103" t="e">
        <f t="shared" si="73"/>
        <v>#VALUE!</v>
      </c>
      <c r="J28" s="103" t="e">
        <f t="shared" si="73"/>
        <v>#VALUE!</v>
      </c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1"/>
    </row>
    <row r="29" spans="2:37" s="68" customFormat="1">
      <c r="B29" s="102" t="s">
        <v>99</v>
      </c>
      <c r="C29" s="103">
        <f>C31</f>
        <v>0</v>
      </c>
      <c r="D29" s="103">
        <f>ROUND(C29+D31, 0)</f>
        <v>25</v>
      </c>
      <c r="E29" s="103">
        <f>ROUND(D29+E31, 0)</f>
        <v>86</v>
      </c>
      <c r="F29" s="103">
        <f>ROUND(E29+F31, 0)</f>
        <v>86</v>
      </c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1"/>
    </row>
    <row r="30" spans="2:37" s="68" customFormat="1">
      <c r="B30" s="99" t="s">
        <v>98</v>
      </c>
      <c r="C30" s="100" t="e">
        <f>SUMIFS([2]Collection!$M:$M, [2]Collection!$D:$D,C$3&amp;"-05-2019")/100000</f>
        <v>#VALUE!</v>
      </c>
      <c r="D30" s="100" t="e">
        <f>SUMIFS([2]Collection!$M:$M, [2]Collection!$D:$D,D$3&amp;"-05-2019")/100000</f>
        <v>#VALUE!</v>
      </c>
      <c r="E30" s="100" t="e">
        <f>SUMIFS([2]Collection!$M:$M, [2]Collection!$D:$D,E$3&amp;"-05-2019")/100000</f>
        <v>#VALUE!</v>
      </c>
      <c r="F30" s="100" t="e">
        <f>SUMIFS([2]Collection!$M:$M, [2]Collection!$D:$D,F$3&amp;"-05-2019")/100000</f>
        <v>#VALUE!</v>
      </c>
      <c r="G30" s="100" t="e">
        <f>SUMIFS([2]Collection!$M:$M, [2]Collection!$D:$D,G$3&amp;"-05-2019")/100000</f>
        <v>#VALUE!</v>
      </c>
      <c r="H30" s="100" t="e">
        <f>SUMIFS([2]Collection!$M:$M, [2]Collection!$D:$D,H$3&amp;"-05-2019")/100000</f>
        <v>#VALUE!</v>
      </c>
      <c r="I30" s="100" t="e">
        <f>SUMIFS([2]Collection!$M:$M, [2]Collection!$D:$D,I$3&amp;"-05-2019")/100000</f>
        <v>#VALUE!</v>
      </c>
      <c r="J30" s="100" t="e">
        <f>SUMIFS([2]Collection!$M:$M, [2]Collection!$D:$D,J$3&amp;"-05-2019")/100000</f>
        <v>#VALUE!</v>
      </c>
      <c r="K30" s="100" t="e">
        <f>SUMIFS([2]Collection!$M:$M, [2]Collection!$D:$D,K$3&amp;"-05-2019")/100000</f>
        <v>#VALUE!</v>
      </c>
      <c r="L30" s="100" t="e">
        <f>SUMIFS([2]Collection!$M:$M, [2]Collection!$D:$D,L$3&amp;"-05-2019")/100000</f>
        <v>#VALUE!</v>
      </c>
      <c r="M30" s="100" t="e">
        <f>SUMIFS([2]Collection!$M:$M, [2]Collection!$D:$D,M$3&amp;"-05-2019")/100000</f>
        <v>#VALUE!</v>
      </c>
      <c r="N30" s="100" t="e">
        <f>SUMIFS([2]Collection!$M:$M, [2]Collection!$D:$D,N$3&amp;"-05-2019")/100000</f>
        <v>#VALUE!</v>
      </c>
      <c r="O30" s="100" t="e">
        <f>SUMIFS([2]Collection!$M:$M, [2]Collection!$D:$D,O$3&amp;"-05-2019")/100000</f>
        <v>#VALUE!</v>
      </c>
      <c r="P30" s="100" t="e">
        <f>SUMIFS([2]Collection!$M:$M, [2]Collection!$D:$D,P$3&amp;"-05-2019")/100000</f>
        <v>#VALUE!</v>
      </c>
      <c r="Q30" s="100" t="e">
        <f>SUMIFS([2]Collection!$M:$M, [2]Collection!$D:$D,Q$3&amp;"-05-2019")/100000</f>
        <v>#VALUE!</v>
      </c>
      <c r="R30" s="100" t="e">
        <f>SUMIFS([2]Collection!$M:$M, [2]Collection!$D:$D,R$3&amp;"-05-2019")/100000</f>
        <v>#VALUE!</v>
      </c>
      <c r="S30" s="100" t="e">
        <f>SUMIFS([2]Collection!$M:$M, [2]Collection!$D:$D,S$3&amp;"-05-2019")/100000</f>
        <v>#VALUE!</v>
      </c>
      <c r="T30" s="100" t="e">
        <f>SUMIFS([2]Collection!$M:$M, [2]Collection!$D:$D,T$3&amp;"-05-2019")/100000</f>
        <v>#VALUE!</v>
      </c>
      <c r="U30" s="100" t="e">
        <f>SUMIFS([2]Collection!$M:$M, [2]Collection!$D:$D,U$3&amp;"-05-2019")/100000</f>
        <v>#VALUE!</v>
      </c>
      <c r="V30" s="100" t="e">
        <f>SUMIFS([2]Collection!$M:$M, [2]Collection!$D:$D,V$3&amp;"-05-2019")/100000</f>
        <v>#VALUE!</v>
      </c>
      <c r="W30" s="100" t="e">
        <f>SUMIFS([2]Collection!$M:$M, [2]Collection!$D:$D,W$3&amp;"-05-2019")/100000</f>
        <v>#VALUE!</v>
      </c>
      <c r="X30" s="100" t="e">
        <f>SUMIFS([2]Collection!$M:$M, [2]Collection!$D:$D,X$3&amp;"-05-2019")/100000</f>
        <v>#VALUE!</v>
      </c>
      <c r="Y30" s="100" t="e">
        <f>SUMIFS([2]Collection!$M:$M, [2]Collection!$D:$D,Y$3&amp;"-05-2019")/100000</f>
        <v>#VALUE!</v>
      </c>
      <c r="Z30" s="100" t="e">
        <f>SUMIFS([2]Collection!$M:$M, [2]Collection!$D:$D,Z$3&amp;"-05-2019")/100000</f>
        <v>#VALUE!</v>
      </c>
      <c r="AA30" s="100" t="e">
        <f>SUMIFS([2]Collection!$M:$M, [2]Collection!$D:$D,AA$3&amp;"-05-2019")/100000</f>
        <v>#VALUE!</v>
      </c>
      <c r="AB30" s="100" t="e">
        <f>SUMIFS([2]Collection!$M:$M, [2]Collection!$D:$D,AB$3&amp;"-05-2019")/100000</f>
        <v>#VALUE!</v>
      </c>
      <c r="AC30" s="100" t="e">
        <f>SUMIFS([2]Collection!$M:$M, [2]Collection!$D:$D,AC$3&amp;"-05-2019")/100000</f>
        <v>#VALUE!</v>
      </c>
      <c r="AD30" s="100" t="e">
        <f>SUMIFS([2]Collection!$M:$M, [2]Collection!$D:$D,AD$3&amp;"-05-2019")/100000</f>
        <v>#VALUE!</v>
      </c>
      <c r="AE30" s="100" t="e">
        <f>SUMIFS([2]Collection!$M:$M, [2]Collection!$D:$D,AE$3&amp;"-05-2019")/100000</f>
        <v>#VALUE!</v>
      </c>
      <c r="AF30" s="100" t="e">
        <f>SUMIFS([2]Collection!$M:$M, [2]Collection!$D:$D,AF$3&amp;"-05-2019")/100000</f>
        <v>#VALUE!</v>
      </c>
      <c r="AG30" s="100" t="e">
        <f>SUMIFS([2]Collection!$M:$M, [2]Collection!$D:$D,AG$3&amp;"-05-2019")/100000</f>
        <v>#VALUE!</v>
      </c>
      <c r="AH30" s="100"/>
      <c r="AI30" s="101"/>
    </row>
    <row r="31" spans="2:37" s="68" customFormat="1">
      <c r="B31" s="99" t="s">
        <v>103</v>
      </c>
      <c r="C31" s="100">
        <v>0</v>
      </c>
      <c r="D31" s="100">
        <v>25</v>
      </c>
      <c r="E31" s="100">
        <v>61</v>
      </c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1"/>
    </row>
    <row r="56" spans="2:33">
      <c r="B56" s="67" t="s">
        <v>104</v>
      </c>
      <c r="C56" s="51" t="str">
        <f>C19</f>
        <v>1st</v>
      </c>
      <c r="D56" s="51" t="str">
        <f t="shared" ref="D56:L56" si="74">D19</f>
        <v>2nd</v>
      </c>
      <c r="E56" s="51" t="str">
        <f t="shared" si="74"/>
        <v>3rd</v>
      </c>
      <c r="F56" s="51" t="str">
        <f t="shared" si="74"/>
        <v>4th</v>
      </c>
      <c r="G56" s="51" t="str">
        <f t="shared" si="74"/>
        <v>5th</v>
      </c>
      <c r="H56" s="51" t="str">
        <f t="shared" si="74"/>
        <v>6th</v>
      </c>
      <c r="I56" s="51" t="str">
        <f t="shared" si="74"/>
        <v>7th</v>
      </c>
      <c r="J56" s="51" t="str">
        <f t="shared" si="74"/>
        <v>8th</v>
      </c>
      <c r="K56" s="51" t="str">
        <f t="shared" si="74"/>
        <v>9th</v>
      </c>
      <c r="L56" s="51" t="str">
        <f t="shared" si="74"/>
        <v>10th</v>
      </c>
      <c r="M56" s="51" t="str">
        <f t="shared" ref="M56:P56" si="75">M19</f>
        <v>11th</v>
      </c>
      <c r="N56" s="51" t="str">
        <f t="shared" si="75"/>
        <v>12th</v>
      </c>
      <c r="O56" s="51" t="str">
        <f t="shared" si="75"/>
        <v>13th</v>
      </c>
      <c r="P56" s="51" t="str">
        <f t="shared" si="75"/>
        <v>14th</v>
      </c>
      <c r="Q56" s="51" t="str">
        <f t="shared" ref="Q56:U56" si="76">Q19</f>
        <v>15th</v>
      </c>
      <c r="R56" s="51" t="str">
        <f t="shared" si="76"/>
        <v>16th</v>
      </c>
      <c r="S56" s="51" t="str">
        <f t="shared" si="76"/>
        <v>17th</v>
      </c>
      <c r="T56" s="51" t="str">
        <f t="shared" si="76"/>
        <v>18th</v>
      </c>
      <c r="U56" s="51" t="str">
        <f t="shared" si="76"/>
        <v>19th</v>
      </c>
      <c r="V56" s="51" t="str">
        <f t="shared" ref="V56:AE56" si="77">V19</f>
        <v>20th</v>
      </c>
      <c r="W56" s="51" t="str">
        <f t="shared" si="77"/>
        <v>21st</v>
      </c>
      <c r="X56" s="51" t="str">
        <f t="shared" si="77"/>
        <v>22nd</v>
      </c>
      <c r="Y56" s="51" t="str">
        <f t="shared" si="77"/>
        <v>23rd</v>
      </c>
      <c r="Z56" s="51" t="str">
        <f t="shared" si="77"/>
        <v>24th</v>
      </c>
      <c r="AA56" s="51" t="str">
        <f t="shared" si="77"/>
        <v>25th</v>
      </c>
      <c r="AB56" s="51" t="str">
        <f t="shared" si="77"/>
        <v>26th</v>
      </c>
      <c r="AC56" s="51" t="str">
        <f t="shared" si="77"/>
        <v>27th</v>
      </c>
      <c r="AD56" s="51" t="str">
        <f t="shared" si="77"/>
        <v>28th</v>
      </c>
      <c r="AE56" s="51" t="str">
        <f t="shared" si="77"/>
        <v>29th</v>
      </c>
      <c r="AF56" s="51" t="str">
        <f t="shared" ref="AF56:AG56" si="78">AF19</f>
        <v>30th</v>
      </c>
      <c r="AG56" s="51" t="str">
        <f t="shared" si="78"/>
        <v>31st</v>
      </c>
    </row>
    <row r="57" spans="2:33">
      <c r="B57" s="67" t="s">
        <v>105</v>
      </c>
      <c r="C57" s="51">
        <v>0</v>
      </c>
      <c r="D57" s="51">
        <v>0</v>
      </c>
      <c r="E57" s="51">
        <v>0</v>
      </c>
      <c r="F57" s="51">
        <v>0</v>
      </c>
      <c r="G57" s="51">
        <v>0</v>
      </c>
      <c r="H57" s="51">
        <v>0</v>
      </c>
      <c r="I57" s="51">
        <v>0</v>
      </c>
      <c r="J57" s="51">
        <v>0</v>
      </c>
      <c r="K57" s="51">
        <v>0</v>
      </c>
      <c r="L57" s="51">
        <v>0</v>
      </c>
      <c r="M57" s="51">
        <v>0</v>
      </c>
      <c r="N57" s="51">
        <v>0</v>
      </c>
      <c r="O57" s="51">
        <v>0</v>
      </c>
      <c r="P57" s="51">
        <v>0</v>
      </c>
      <c r="Q57" s="51">
        <v>0</v>
      </c>
      <c r="R57" s="51">
        <v>0</v>
      </c>
      <c r="S57" s="51">
        <v>0</v>
      </c>
      <c r="T57" s="51">
        <v>0</v>
      </c>
      <c r="U57" s="51">
        <v>0</v>
      </c>
      <c r="V57" s="51">
        <v>0</v>
      </c>
      <c r="W57" s="51">
        <v>0</v>
      </c>
      <c r="X57" s="51">
        <v>0</v>
      </c>
      <c r="Y57" s="51">
        <v>0</v>
      </c>
      <c r="Z57" s="51">
        <v>0</v>
      </c>
      <c r="AA57" s="51">
        <v>0</v>
      </c>
      <c r="AB57" s="51">
        <v>0</v>
      </c>
      <c r="AC57" s="51">
        <v>0</v>
      </c>
      <c r="AD57" s="51">
        <v>0</v>
      </c>
      <c r="AE57" s="51">
        <v>0</v>
      </c>
      <c r="AF57" s="51">
        <v>0</v>
      </c>
      <c r="AG57" s="51">
        <v>0</v>
      </c>
    </row>
    <row r="58" spans="2:33">
      <c r="B58" s="67" t="s">
        <v>106</v>
      </c>
      <c r="C58" s="51">
        <f>C24</f>
        <v>0</v>
      </c>
      <c r="D58" s="51">
        <f t="shared" ref="D58:L58" si="79">D24</f>
        <v>12</v>
      </c>
      <c r="E58" s="51">
        <f t="shared" si="79"/>
        <v>12</v>
      </c>
      <c r="F58" s="51" t="e">
        <f t="shared" si="79"/>
        <v>#REF!</v>
      </c>
      <c r="G58" s="51" t="e">
        <f t="shared" si="79"/>
        <v>#REF!</v>
      </c>
      <c r="H58" s="51" t="e">
        <f t="shared" si="79"/>
        <v>#REF!</v>
      </c>
      <c r="I58" s="51" t="e">
        <f t="shared" si="79"/>
        <v>#REF!</v>
      </c>
      <c r="J58" s="51" t="e">
        <f t="shared" si="79"/>
        <v>#REF!</v>
      </c>
      <c r="K58" s="51" t="e">
        <f t="shared" si="79"/>
        <v>#REF!</v>
      </c>
      <c r="L58" s="51" t="e">
        <f t="shared" si="79"/>
        <v>#REF!</v>
      </c>
      <c r="M58" s="51" t="e">
        <f t="shared" ref="M58:P58" si="80">M24</f>
        <v>#REF!</v>
      </c>
      <c r="N58" s="51" t="e">
        <f t="shared" si="80"/>
        <v>#REF!</v>
      </c>
      <c r="O58" s="51" t="e">
        <f t="shared" si="80"/>
        <v>#REF!</v>
      </c>
      <c r="P58" s="51" t="e">
        <f t="shared" si="80"/>
        <v>#REF!</v>
      </c>
      <c r="Q58" s="51" t="e">
        <f t="shared" ref="Q58:U58" si="81">Q24</f>
        <v>#REF!</v>
      </c>
      <c r="R58" s="51" t="e">
        <f t="shared" si="81"/>
        <v>#REF!</v>
      </c>
      <c r="S58" s="51" t="e">
        <f t="shared" si="81"/>
        <v>#REF!</v>
      </c>
      <c r="T58" s="51" t="e">
        <f t="shared" si="81"/>
        <v>#REF!</v>
      </c>
      <c r="U58" s="51" t="e">
        <f t="shared" si="81"/>
        <v>#REF!</v>
      </c>
      <c r="V58" s="51" t="e">
        <f t="shared" ref="V58:AE58" si="82">V24</f>
        <v>#REF!</v>
      </c>
      <c r="W58" s="51" t="e">
        <f t="shared" si="82"/>
        <v>#REF!</v>
      </c>
      <c r="X58" s="51" t="e">
        <f t="shared" si="82"/>
        <v>#REF!</v>
      </c>
      <c r="Y58" s="51" t="e">
        <f t="shared" si="82"/>
        <v>#REF!</v>
      </c>
      <c r="Z58" s="51" t="e">
        <f t="shared" si="82"/>
        <v>#REF!</v>
      </c>
      <c r="AA58" s="51" t="e">
        <f t="shared" si="82"/>
        <v>#REF!</v>
      </c>
      <c r="AB58" s="51" t="e">
        <f t="shared" si="82"/>
        <v>#REF!</v>
      </c>
      <c r="AC58" s="51" t="e">
        <f t="shared" si="82"/>
        <v>#REF!</v>
      </c>
      <c r="AD58" s="51" t="e">
        <f t="shared" si="82"/>
        <v>#REF!</v>
      </c>
      <c r="AE58" s="51" t="e">
        <f t="shared" si="82"/>
        <v>#REF!</v>
      </c>
      <c r="AF58" s="51" t="e">
        <f t="shared" ref="AF58:AG58" si="83">AF24</f>
        <v>#REF!</v>
      </c>
      <c r="AG58" s="51" t="e">
        <f t="shared" si="83"/>
        <v>#REF!</v>
      </c>
    </row>
    <row r="59" spans="2:33">
      <c r="B59" s="67" t="s">
        <v>107</v>
      </c>
      <c r="C59" s="51">
        <f>C57</f>
        <v>0</v>
      </c>
      <c r="D59" s="51">
        <f t="shared" ref="D59:L59" si="84">D57</f>
        <v>0</v>
      </c>
      <c r="E59" s="51">
        <f t="shared" si="84"/>
        <v>0</v>
      </c>
      <c r="F59" s="51">
        <f t="shared" si="84"/>
        <v>0</v>
      </c>
      <c r="G59" s="51">
        <f t="shared" si="84"/>
        <v>0</v>
      </c>
      <c r="H59" s="51">
        <f t="shared" si="84"/>
        <v>0</v>
      </c>
      <c r="I59" s="51">
        <f t="shared" si="84"/>
        <v>0</v>
      </c>
      <c r="J59" s="51">
        <f t="shared" si="84"/>
        <v>0</v>
      </c>
      <c r="K59" s="51">
        <f t="shared" si="84"/>
        <v>0</v>
      </c>
      <c r="L59" s="51">
        <f t="shared" si="84"/>
        <v>0</v>
      </c>
      <c r="M59" s="51">
        <f t="shared" ref="M59:P59" si="85">M57</f>
        <v>0</v>
      </c>
      <c r="N59" s="51">
        <f t="shared" si="85"/>
        <v>0</v>
      </c>
      <c r="O59" s="51">
        <f t="shared" si="85"/>
        <v>0</v>
      </c>
      <c r="P59" s="51">
        <f t="shared" si="85"/>
        <v>0</v>
      </c>
      <c r="Q59" s="51">
        <f t="shared" ref="Q59:U59" si="86">Q57</f>
        <v>0</v>
      </c>
      <c r="R59" s="51">
        <f t="shared" si="86"/>
        <v>0</v>
      </c>
      <c r="S59" s="51">
        <f t="shared" si="86"/>
        <v>0</v>
      </c>
      <c r="T59" s="51">
        <f t="shared" si="86"/>
        <v>0</v>
      </c>
      <c r="U59" s="51">
        <f t="shared" si="86"/>
        <v>0</v>
      </c>
      <c r="V59" s="51">
        <f t="shared" ref="V59:AE59" si="87">V57</f>
        <v>0</v>
      </c>
      <c r="W59" s="51">
        <f t="shared" si="87"/>
        <v>0</v>
      </c>
      <c r="X59" s="51">
        <f t="shared" si="87"/>
        <v>0</v>
      </c>
      <c r="Y59" s="51">
        <f t="shared" si="87"/>
        <v>0</v>
      </c>
      <c r="Z59" s="51">
        <f t="shared" si="87"/>
        <v>0</v>
      </c>
      <c r="AA59" s="51">
        <f t="shared" si="87"/>
        <v>0</v>
      </c>
      <c r="AB59" s="51">
        <f t="shared" si="87"/>
        <v>0</v>
      </c>
      <c r="AC59" s="51">
        <f t="shared" si="87"/>
        <v>0</v>
      </c>
      <c r="AD59" s="51">
        <f t="shared" si="87"/>
        <v>0</v>
      </c>
      <c r="AE59" s="51">
        <f t="shared" si="87"/>
        <v>0</v>
      </c>
      <c r="AF59" s="51">
        <f t="shared" ref="AF59:AG59" si="88">AF57</f>
        <v>0</v>
      </c>
      <c r="AG59" s="51">
        <f t="shared" si="88"/>
        <v>0</v>
      </c>
    </row>
    <row r="60" spans="2:33">
      <c r="B60" s="67" t="s">
        <v>108</v>
      </c>
      <c r="C60" s="51">
        <f>C58</f>
        <v>0</v>
      </c>
      <c r="D60" s="51">
        <f t="shared" ref="D60:L60" si="89">D58</f>
        <v>12</v>
      </c>
      <c r="E60" s="51">
        <f t="shared" si="89"/>
        <v>12</v>
      </c>
      <c r="F60" s="51" t="e">
        <f t="shared" si="89"/>
        <v>#REF!</v>
      </c>
      <c r="G60" s="51" t="e">
        <f t="shared" si="89"/>
        <v>#REF!</v>
      </c>
      <c r="H60" s="51" t="e">
        <f t="shared" si="89"/>
        <v>#REF!</v>
      </c>
      <c r="I60" s="51" t="e">
        <f t="shared" si="89"/>
        <v>#REF!</v>
      </c>
      <c r="J60" s="51" t="e">
        <f t="shared" si="89"/>
        <v>#REF!</v>
      </c>
      <c r="K60" s="51" t="e">
        <f t="shared" si="89"/>
        <v>#REF!</v>
      </c>
      <c r="L60" s="51" t="e">
        <f t="shared" si="89"/>
        <v>#REF!</v>
      </c>
      <c r="M60" s="51" t="e">
        <f t="shared" ref="M60:P60" si="90">M58</f>
        <v>#REF!</v>
      </c>
      <c r="N60" s="51" t="e">
        <f t="shared" si="90"/>
        <v>#REF!</v>
      </c>
      <c r="O60" s="51" t="e">
        <f t="shared" si="90"/>
        <v>#REF!</v>
      </c>
      <c r="P60" s="51" t="e">
        <f t="shared" si="90"/>
        <v>#REF!</v>
      </c>
      <c r="Q60" s="51" t="e">
        <f t="shared" ref="Q60:U60" si="91">Q58</f>
        <v>#REF!</v>
      </c>
      <c r="R60" s="51" t="e">
        <f t="shared" si="91"/>
        <v>#REF!</v>
      </c>
      <c r="S60" s="51" t="e">
        <f t="shared" si="91"/>
        <v>#REF!</v>
      </c>
      <c r="T60" s="51" t="e">
        <f t="shared" si="91"/>
        <v>#REF!</v>
      </c>
      <c r="U60" s="51" t="e">
        <f t="shared" si="91"/>
        <v>#REF!</v>
      </c>
      <c r="V60" s="51" t="e">
        <f t="shared" ref="V60:AE60" si="92">V58</f>
        <v>#REF!</v>
      </c>
      <c r="W60" s="51" t="e">
        <f t="shared" si="92"/>
        <v>#REF!</v>
      </c>
      <c r="X60" s="51" t="e">
        <f t="shared" si="92"/>
        <v>#REF!</v>
      </c>
      <c r="Y60" s="51" t="e">
        <f t="shared" si="92"/>
        <v>#REF!</v>
      </c>
      <c r="Z60" s="51" t="e">
        <f t="shared" si="92"/>
        <v>#REF!</v>
      </c>
      <c r="AA60" s="51" t="e">
        <f t="shared" si="92"/>
        <v>#REF!</v>
      </c>
      <c r="AB60" s="51" t="e">
        <f t="shared" si="92"/>
        <v>#REF!</v>
      </c>
      <c r="AC60" s="51" t="e">
        <f t="shared" si="92"/>
        <v>#REF!</v>
      </c>
      <c r="AD60" s="51" t="e">
        <f t="shared" si="92"/>
        <v>#REF!</v>
      </c>
      <c r="AE60" s="51" t="e">
        <f t="shared" si="92"/>
        <v>#REF!</v>
      </c>
      <c r="AF60" s="51" t="e">
        <f t="shared" ref="AF60:AG60" si="93">AF58</f>
        <v>#REF!</v>
      </c>
      <c r="AG60" s="51" t="e">
        <f t="shared" si="93"/>
        <v>#REF!</v>
      </c>
    </row>
  </sheetData>
  <mergeCells count="1">
    <mergeCell ref="B2:AI2"/>
  </mergeCells>
  <conditionalFormatting sqref="AI11:AI14 AI16 AI4:AI9">
    <cfRule type="dataBar" priority="1">
      <dataBar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{85A41364-3E97-46AD-AC99-A40A8F3243F6}</x14:id>
        </ext>
      </extLst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A41364-3E97-46AD-AC99-A40A8F3243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AI11:AI14 AI16 AI4:AI9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>
  <sheetPr codeName="Sheet31"/>
  <dimension ref="B2:O25"/>
  <sheetViews>
    <sheetView showGridLines="0" zoomScale="130" zoomScaleNormal="130" workbookViewId="0">
      <selection activeCell="C6" sqref="C6"/>
    </sheetView>
  </sheetViews>
  <sheetFormatPr defaultColWidth="9.140625" defaultRowHeight="15"/>
  <cols>
    <col min="1" max="1" width="9.140625" style="236"/>
    <col min="2" max="2" width="14.140625" style="236" customWidth="1"/>
    <col min="3" max="10" width="10" style="236" customWidth="1"/>
    <col min="11" max="11" width="12.85546875" style="253" customWidth="1"/>
    <col min="12" max="14" width="10" style="236" customWidth="1"/>
    <col min="15" max="16384" width="9.140625" style="236"/>
  </cols>
  <sheetData>
    <row r="2" spans="2:15" ht="15.75" thickBot="1"/>
    <row r="3" spans="2:15" ht="19.5" thickBot="1">
      <c r="B3" s="2007" t="s">
        <v>164</v>
      </c>
      <c r="C3" s="2008"/>
      <c r="D3" s="2008"/>
      <c r="E3" s="2008"/>
      <c r="F3" s="2008"/>
      <c r="G3" s="2008"/>
      <c r="H3" s="2008"/>
      <c r="I3" s="2008"/>
      <c r="J3" s="2008"/>
      <c r="K3" s="2008"/>
      <c r="L3" s="2008"/>
      <c r="M3" s="2008"/>
      <c r="N3" s="2009"/>
    </row>
    <row r="4" spans="2:15" s="29" customFormat="1">
      <c r="B4" s="2016" t="s">
        <v>33</v>
      </c>
      <c r="C4" s="2013" t="s">
        <v>160</v>
      </c>
      <c r="D4" s="2014"/>
      <c r="E4" s="2015"/>
      <c r="F4" s="2013" t="s">
        <v>163</v>
      </c>
      <c r="G4" s="2014"/>
      <c r="H4" s="2015"/>
      <c r="I4" s="2013" t="s">
        <v>162</v>
      </c>
      <c r="J4" s="2014"/>
      <c r="K4" s="2015"/>
      <c r="L4" s="2013" t="s">
        <v>161</v>
      </c>
      <c r="M4" s="2014"/>
      <c r="N4" s="2015"/>
      <c r="O4" s="2011"/>
    </row>
    <row r="5" spans="2:15" s="29" customFormat="1">
      <c r="B5" s="2017"/>
      <c r="C5" s="239" t="s">
        <v>157</v>
      </c>
      <c r="D5" s="234" t="s">
        <v>158</v>
      </c>
      <c r="E5" s="240" t="s">
        <v>159</v>
      </c>
      <c r="F5" s="239" t="s">
        <v>157</v>
      </c>
      <c r="G5" s="234" t="s">
        <v>158</v>
      </c>
      <c r="H5" s="240" t="s">
        <v>159</v>
      </c>
      <c r="I5" s="239" t="s">
        <v>157</v>
      </c>
      <c r="J5" s="234" t="s">
        <v>158</v>
      </c>
      <c r="K5" s="254" t="s">
        <v>159</v>
      </c>
      <c r="L5" s="239" t="s">
        <v>157</v>
      </c>
      <c r="M5" s="234" t="s">
        <v>158</v>
      </c>
      <c r="N5" s="240" t="s">
        <v>159</v>
      </c>
      <c r="O5" s="2012"/>
    </row>
    <row r="6" spans="2:15">
      <c r="B6" s="248" t="s">
        <v>32</v>
      </c>
      <c r="C6" s="241">
        <v>20</v>
      </c>
      <c r="D6" s="237">
        <v>35</v>
      </c>
      <c r="E6" s="242">
        <v>15</v>
      </c>
      <c r="F6" s="241">
        <v>22.51</v>
      </c>
      <c r="G6" s="237"/>
      <c r="H6" s="242"/>
      <c r="I6" s="241">
        <v>7</v>
      </c>
      <c r="J6" s="237"/>
      <c r="K6" s="255"/>
      <c r="L6" s="241">
        <f>C6+F6+I6</f>
        <v>49.510000000000005</v>
      </c>
      <c r="M6" s="237">
        <f t="shared" ref="M6:N6" si="0">D6+G6+J6</f>
        <v>35</v>
      </c>
      <c r="N6" s="242">
        <f t="shared" si="0"/>
        <v>15</v>
      </c>
    </row>
    <row r="7" spans="2:15">
      <c r="B7" s="248" t="s">
        <v>30</v>
      </c>
      <c r="C7" s="241"/>
      <c r="D7" s="237"/>
      <c r="E7" s="242"/>
      <c r="F7" s="241"/>
      <c r="G7" s="237"/>
      <c r="H7" s="242">
        <v>5</v>
      </c>
      <c r="I7" s="241"/>
      <c r="J7" s="237"/>
      <c r="K7" s="255"/>
      <c r="L7" s="241">
        <f t="shared" ref="L7:L15" si="1">C7+F7+I7</f>
        <v>0</v>
      </c>
      <c r="M7" s="237">
        <f t="shared" ref="M7:M15" si="2">D7+G7+J7</f>
        <v>0</v>
      </c>
      <c r="N7" s="242">
        <f t="shared" ref="N7:N15" si="3">E7+H7+K7</f>
        <v>5</v>
      </c>
    </row>
    <row r="8" spans="2:15">
      <c r="B8" s="248" t="s">
        <v>109</v>
      </c>
      <c r="C8" s="241"/>
      <c r="D8" s="237"/>
      <c r="E8" s="242"/>
      <c r="F8" s="241">
        <v>1.9</v>
      </c>
      <c r="G8" s="237">
        <v>1</v>
      </c>
      <c r="H8" s="242">
        <v>2</v>
      </c>
      <c r="I8" s="241"/>
      <c r="J8" s="237"/>
      <c r="K8" s="255"/>
      <c r="L8" s="241">
        <f t="shared" si="1"/>
        <v>1.9</v>
      </c>
      <c r="M8" s="237">
        <f t="shared" si="2"/>
        <v>1</v>
      </c>
      <c r="N8" s="242">
        <f t="shared" si="3"/>
        <v>2</v>
      </c>
    </row>
    <row r="9" spans="2:15" s="29" customFormat="1">
      <c r="B9" s="249" t="s">
        <v>47</v>
      </c>
      <c r="C9" s="243">
        <f>SUM(C6:C8)</f>
        <v>20</v>
      </c>
      <c r="D9" s="238">
        <f t="shared" ref="D9:K9" si="4">SUM(D6:D8)</f>
        <v>35</v>
      </c>
      <c r="E9" s="244">
        <f t="shared" si="4"/>
        <v>15</v>
      </c>
      <c r="F9" s="243">
        <f t="shared" si="4"/>
        <v>24.41</v>
      </c>
      <c r="G9" s="238">
        <f t="shared" si="4"/>
        <v>1</v>
      </c>
      <c r="H9" s="244">
        <f t="shared" si="4"/>
        <v>7</v>
      </c>
      <c r="I9" s="243">
        <f t="shared" si="4"/>
        <v>7</v>
      </c>
      <c r="J9" s="238">
        <f t="shared" si="4"/>
        <v>0</v>
      </c>
      <c r="K9" s="256">
        <f t="shared" si="4"/>
        <v>0</v>
      </c>
      <c r="L9" s="243">
        <f t="shared" si="1"/>
        <v>51.41</v>
      </c>
      <c r="M9" s="238">
        <f t="shared" si="2"/>
        <v>36</v>
      </c>
      <c r="N9" s="244">
        <f t="shared" si="3"/>
        <v>22</v>
      </c>
      <c r="O9" s="236"/>
    </row>
    <row r="10" spans="2:15">
      <c r="B10" s="248" t="s">
        <v>25</v>
      </c>
      <c r="C10" s="241"/>
      <c r="D10" s="237"/>
      <c r="E10" s="242"/>
      <c r="F10" s="241"/>
      <c r="G10" s="237">
        <v>5</v>
      </c>
      <c r="H10" s="242"/>
      <c r="I10" s="241"/>
      <c r="J10" s="237"/>
      <c r="K10" s="255"/>
      <c r="L10" s="241">
        <f t="shared" si="1"/>
        <v>0</v>
      </c>
      <c r="M10" s="237">
        <f t="shared" si="2"/>
        <v>5</v>
      </c>
      <c r="N10" s="242">
        <f t="shared" si="3"/>
        <v>0</v>
      </c>
    </row>
    <row r="11" spans="2:15">
      <c r="B11" s="248" t="s">
        <v>23</v>
      </c>
      <c r="C11" s="241"/>
      <c r="D11" s="237"/>
      <c r="E11" s="242"/>
      <c r="F11" s="241"/>
      <c r="G11" s="237">
        <v>20</v>
      </c>
      <c r="H11" s="242">
        <v>15</v>
      </c>
      <c r="I11" s="241"/>
      <c r="J11" s="237"/>
      <c r="K11" s="255"/>
      <c r="L11" s="241">
        <f t="shared" si="1"/>
        <v>0</v>
      </c>
      <c r="M11" s="237">
        <f t="shared" si="2"/>
        <v>20</v>
      </c>
      <c r="N11" s="242">
        <f t="shared" si="3"/>
        <v>15</v>
      </c>
    </row>
    <row r="12" spans="2:15">
      <c r="B12" s="248" t="s">
        <v>22</v>
      </c>
      <c r="C12" s="241"/>
      <c r="D12" s="237"/>
      <c r="E12" s="242"/>
      <c r="F12" s="241"/>
      <c r="G12" s="237">
        <v>7</v>
      </c>
      <c r="H12" s="242"/>
      <c r="I12" s="241"/>
      <c r="J12" s="237"/>
      <c r="K12" s="255"/>
      <c r="L12" s="241">
        <f t="shared" si="1"/>
        <v>0</v>
      </c>
      <c r="M12" s="237">
        <f t="shared" si="2"/>
        <v>7</v>
      </c>
      <c r="N12" s="242">
        <f t="shared" si="3"/>
        <v>0</v>
      </c>
    </row>
    <row r="13" spans="2:15">
      <c r="B13" s="248" t="s">
        <v>19</v>
      </c>
      <c r="C13" s="241"/>
      <c r="D13" s="237"/>
      <c r="E13" s="242"/>
      <c r="F13" s="241"/>
      <c r="G13" s="237"/>
      <c r="H13" s="242"/>
      <c r="I13" s="241"/>
      <c r="J13" s="237">
        <v>15</v>
      </c>
      <c r="K13" s="255">
        <v>15</v>
      </c>
      <c r="L13" s="241">
        <f t="shared" si="1"/>
        <v>0</v>
      </c>
      <c r="M13" s="237">
        <f t="shared" si="2"/>
        <v>15</v>
      </c>
      <c r="N13" s="242">
        <f t="shared" si="3"/>
        <v>15</v>
      </c>
    </row>
    <row r="14" spans="2:15" s="29" customFormat="1">
      <c r="B14" s="249" t="s">
        <v>116</v>
      </c>
      <c r="C14" s="243">
        <f t="shared" ref="C14:K14" si="5">SUM(C10:C13)</f>
        <v>0</v>
      </c>
      <c r="D14" s="238">
        <f t="shared" si="5"/>
        <v>0</v>
      </c>
      <c r="E14" s="244">
        <f t="shared" si="5"/>
        <v>0</v>
      </c>
      <c r="F14" s="243">
        <f t="shared" si="5"/>
        <v>0</v>
      </c>
      <c r="G14" s="238">
        <f t="shared" si="5"/>
        <v>32</v>
      </c>
      <c r="H14" s="244">
        <f t="shared" si="5"/>
        <v>15</v>
      </c>
      <c r="I14" s="243">
        <f t="shared" si="5"/>
        <v>0</v>
      </c>
      <c r="J14" s="238">
        <f t="shared" si="5"/>
        <v>15</v>
      </c>
      <c r="K14" s="256">
        <f t="shared" si="5"/>
        <v>15</v>
      </c>
      <c r="L14" s="243">
        <f t="shared" si="1"/>
        <v>0</v>
      </c>
      <c r="M14" s="238">
        <f t="shared" si="2"/>
        <v>47</v>
      </c>
      <c r="N14" s="244">
        <f t="shared" si="3"/>
        <v>30</v>
      </c>
      <c r="O14" s="236"/>
    </row>
    <row r="15" spans="2:15" s="29" customFormat="1" ht="15.75" thickBot="1">
      <c r="B15" s="250" t="s">
        <v>49</v>
      </c>
      <c r="C15" s="245">
        <f t="shared" ref="C15:K15" si="6">C9+C14</f>
        <v>20</v>
      </c>
      <c r="D15" s="246">
        <f t="shared" si="6"/>
        <v>35</v>
      </c>
      <c r="E15" s="247">
        <f t="shared" si="6"/>
        <v>15</v>
      </c>
      <c r="F15" s="245">
        <f t="shared" si="6"/>
        <v>24.41</v>
      </c>
      <c r="G15" s="246">
        <f t="shared" si="6"/>
        <v>33</v>
      </c>
      <c r="H15" s="247">
        <f t="shared" si="6"/>
        <v>22</v>
      </c>
      <c r="I15" s="245">
        <f t="shared" si="6"/>
        <v>7</v>
      </c>
      <c r="J15" s="246">
        <f t="shared" si="6"/>
        <v>15</v>
      </c>
      <c r="K15" s="257">
        <f t="shared" si="6"/>
        <v>15</v>
      </c>
      <c r="L15" s="245">
        <f t="shared" si="1"/>
        <v>51.41</v>
      </c>
      <c r="M15" s="246">
        <f t="shared" si="2"/>
        <v>83</v>
      </c>
      <c r="N15" s="247">
        <f t="shared" si="3"/>
        <v>52</v>
      </c>
    </row>
    <row r="17" spans="4:12">
      <c r="D17" s="2010" t="s">
        <v>168</v>
      </c>
      <c r="E17" s="2010"/>
      <c r="F17" s="2010"/>
      <c r="G17" s="2010"/>
      <c r="H17" s="2010"/>
      <c r="K17" s="2010" t="s">
        <v>174</v>
      </c>
      <c r="L17" s="2010"/>
    </row>
    <row r="18" spans="4:12">
      <c r="D18" s="238" t="s">
        <v>142</v>
      </c>
      <c r="E18" s="238" t="s">
        <v>91</v>
      </c>
      <c r="F18" s="238" t="s">
        <v>92</v>
      </c>
      <c r="G18" s="238" t="s">
        <v>56</v>
      </c>
      <c r="H18" s="238" t="s">
        <v>18</v>
      </c>
      <c r="K18" s="238" t="s">
        <v>173</v>
      </c>
      <c r="L18" s="238" t="s">
        <v>172</v>
      </c>
    </row>
    <row r="19" spans="4:12">
      <c r="D19" s="235" t="s">
        <v>165</v>
      </c>
      <c r="E19" s="235">
        <v>20</v>
      </c>
      <c r="F19" s="235">
        <v>35</v>
      </c>
      <c r="G19" s="235">
        <v>15</v>
      </c>
      <c r="H19" s="235">
        <f>SUM(E19:G19)</f>
        <v>70</v>
      </c>
      <c r="K19" s="258" t="s">
        <v>4</v>
      </c>
      <c r="L19" s="251">
        <v>35</v>
      </c>
    </row>
    <row r="20" spans="4:12">
      <c r="D20" s="235" t="s">
        <v>166</v>
      </c>
      <c r="E20" s="235">
        <v>25</v>
      </c>
      <c r="F20" s="235">
        <v>33</v>
      </c>
      <c r="G20" s="235">
        <v>22</v>
      </c>
      <c r="H20" s="235">
        <f>SUM(E20:G20)</f>
        <v>80</v>
      </c>
      <c r="K20" s="258" t="s">
        <v>5</v>
      </c>
      <c r="L20" s="251">
        <v>33</v>
      </c>
    </row>
    <row r="21" spans="4:12">
      <c r="D21" s="235" t="s">
        <v>167</v>
      </c>
      <c r="E21" s="235">
        <v>7</v>
      </c>
      <c r="F21" s="235">
        <v>15</v>
      </c>
      <c r="G21" s="235">
        <v>15</v>
      </c>
      <c r="H21" s="235">
        <f>SUM(E21:G21)</f>
        <v>37</v>
      </c>
      <c r="K21" s="258" t="s">
        <v>6</v>
      </c>
      <c r="L21" s="251">
        <v>15</v>
      </c>
    </row>
    <row r="22" spans="4:12">
      <c r="D22" s="251" t="s">
        <v>169</v>
      </c>
      <c r="E22" s="251">
        <v>38</v>
      </c>
      <c r="F22" s="251">
        <v>32</v>
      </c>
      <c r="G22" s="251">
        <v>40</v>
      </c>
      <c r="H22" s="251">
        <f t="shared" ref="H22:H24" si="7">SUM(E22:G22)</f>
        <v>110</v>
      </c>
      <c r="K22" s="258" t="s">
        <v>9</v>
      </c>
      <c r="L22" s="251">
        <v>32</v>
      </c>
    </row>
    <row r="23" spans="4:12">
      <c r="D23" s="251" t="s">
        <v>170</v>
      </c>
      <c r="E23" s="251">
        <v>20</v>
      </c>
      <c r="F23" s="251">
        <v>30</v>
      </c>
      <c r="G23" s="251">
        <v>10</v>
      </c>
      <c r="H23" s="251">
        <f t="shared" si="7"/>
        <v>60</v>
      </c>
      <c r="K23" s="258" t="s">
        <v>7</v>
      </c>
      <c r="L23" s="251">
        <v>30</v>
      </c>
    </row>
    <row r="24" spans="4:12">
      <c r="D24" s="251" t="s">
        <v>171</v>
      </c>
      <c r="E24" s="251">
        <v>5</v>
      </c>
      <c r="F24" s="251">
        <v>10</v>
      </c>
      <c r="G24" s="251">
        <v>15</v>
      </c>
      <c r="H24" s="251">
        <f t="shared" si="7"/>
        <v>30</v>
      </c>
      <c r="K24" s="258" t="s">
        <v>8</v>
      </c>
      <c r="L24" s="251">
        <v>10</v>
      </c>
    </row>
    <row r="25" spans="4:12">
      <c r="D25" s="238" t="s">
        <v>18</v>
      </c>
      <c r="E25" s="238">
        <f t="shared" ref="E25:G25" si="8">SUM(E18:E24)</f>
        <v>115</v>
      </c>
      <c r="F25" s="238">
        <f t="shared" si="8"/>
        <v>155</v>
      </c>
      <c r="G25" s="238">
        <f t="shared" si="8"/>
        <v>117</v>
      </c>
      <c r="H25" s="238">
        <f>SUM(H18:H24)</f>
        <v>387</v>
      </c>
      <c r="K25" s="259" t="s">
        <v>175</v>
      </c>
      <c r="L25" s="252">
        <f>SUM(L19:L24)</f>
        <v>155</v>
      </c>
    </row>
  </sheetData>
  <mergeCells count="9">
    <mergeCell ref="B3:N3"/>
    <mergeCell ref="D17:H17"/>
    <mergeCell ref="O4:O5"/>
    <mergeCell ref="C4:E4"/>
    <mergeCell ref="B4:B5"/>
    <mergeCell ref="F4:H4"/>
    <mergeCell ref="I4:K4"/>
    <mergeCell ref="L4:N4"/>
    <mergeCell ref="K17:L17"/>
  </mergeCells>
  <pageMargins left="0.7" right="0.7" top="0.75" bottom="0.75" header="0.3" footer="0.3"/>
  <pageSetup paperSize="9"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>
  <sheetPr codeName="Sheet32">
    <pageSetUpPr fitToPage="1"/>
  </sheetPr>
  <dimension ref="B1:M20"/>
  <sheetViews>
    <sheetView zoomScale="85" zoomScaleNormal="85" workbookViewId="0">
      <selection activeCell="J5" sqref="J5:J6"/>
    </sheetView>
  </sheetViews>
  <sheetFormatPr defaultRowHeight="15"/>
  <cols>
    <col min="1" max="1" width="2.85546875" customWidth="1"/>
    <col min="2" max="2" width="5.140625" bestFit="1" customWidth="1"/>
    <col min="3" max="3" width="14.7109375" customWidth="1"/>
    <col min="4" max="4" width="12" customWidth="1"/>
    <col min="5" max="5" width="11.42578125" customWidth="1"/>
    <col min="6" max="6" width="12.28515625" style="51" customWidth="1"/>
    <col min="7" max="7" width="14" style="51" customWidth="1"/>
    <col min="8" max="8" width="13.5703125" style="51" customWidth="1"/>
    <col min="9" max="9" width="11" style="51" customWidth="1"/>
    <col min="11" max="11" width="10.140625" customWidth="1"/>
    <col min="12" max="12" width="10.42578125" customWidth="1"/>
    <col min="13" max="13" width="9.7109375" customWidth="1"/>
  </cols>
  <sheetData>
    <row r="1" spans="2:13" ht="15.75" thickBot="1"/>
    <row r="2" spans="2:13" ht="18.75">
      <c r="B2" s="2018" t="s">
        <v>142</v>
      </c>
      <c r="C2" s="2019"/>
      <c r="D2" s="2020"/>
      <c r="E2" s="2021" t="s">
        <v>141</v>
      </c>
      <c r="F2" s="2019"/>
      <c r="G2" s="2019"/>
      <c r="H2" s="2019"/>
      <c r="I2" s="2020"/>
      <c r="J2" s="2022" t="s">
        <v>143</v>
      </c>
      <c r="K2" s="2023"/>
      <c r="L2" s="2023"/>
      <c r="M2" s="2024"/>
    </row>
    <row r="3" spans="2:13" ht="15" customHeight="1">
      <c r="B3" s="1879" t="s">
        <v>137</v>
      </c>
      <c r="C3" s="2035" t="s">
        <v>131</v>
      </c>
      <c r="D3" s="1869" t="s">
        <v>132</v>
      </c>
      <c r="E3" s="2033" t="s">
        <v>130</v>
      </c>
      <c r="F3" s="2031" t="s">
        <v>144</v>
      </c>
      <c r="G3" s="2032"/>
      <c r="H3" s="2031" t="s">
        <v>145</v>
      </c>
      <c r="I3" s="2032"/>
      <c r="J3" s="2027" t="s">
        <v>18</v>
      </c>
      <c r="K3" s="2027"/>
      <c r="L3" s="2025" t="s">
        <v>146</v>
      </c>
      <c r="M3" s="2026"/>
    </row>
    <row r="4" spans="2:13" ht="30">
      <c r="B4" s="1879"/>
      <c r="C4" s="2035"/>
      <c r="D4" s="1869"/>
      <c r="E4" s="2034"/>
      <c r="F4" s="179" t="s">
        <v>33</v>
      </c>
      <c r="G4" s="179" t="s">
        <v>138</v>
      </c>
      <c r="H4" s="179" t="s">
        <v>33</v>
      </c>
      <c r="I4" s="179" t="s">
        <v>138</v>
      </c>
      <c r="J4" s="192" t="s">
        <v>135</v>
      </c>
      <c r="K4" s="192" t="s">
        <v>136</v>
      </c>
      <c r="L4" s="184" t="s">
        <v>144</v>
      </c>
      <c r="M4" s="185" t="s">
        <v>130</v>
      </c>
    </row>
    <row r="5" spans="2:13" ht="20.100000000000001" customHeight="1">
      <c r="B5" s="181"/>
      <c r="C5" s="177"/>
      <c r="D5" s="177"/>
      <c r="E5" s="177"/>
      <c r="F5" s="177"/>
      <c r="G5" s="177"/>
      <c r="H5" s="177"/>
      <c r="I5" s="177"/>
      <c r="J5" s="192"/>
      <c r="K5" s="192"/>
      <c r="L5" s="178"/>
      <c r="M5" s="186"/>
    </row>
    <row r="6" spans="2:13" ht="20.100000000000001" customHeight="1">
      <c r="B6" s="181"/>
      <c r="C6" s="177"/>
      <c r="D6" s="177"/>
      <c r="E6" s="177"/>
      <c r="F6" s="177"/>
      <c r="G6" s="177"/>
      <c r="H6" s="177"/>
      <c r="I6" s="177"/>
      <c r="J6" s="192"/>
      <c r="K6" s="192"/>
      <c r="L6" s="178"/>
      <c r="M6" s="186"/>
    </row>
    <row r="7" spans="2:13" ht="20.100000000000001" customHeight="1">
      <c r="B7" s="181"/>
      <c r="C7" s="177"/>
      <c r="D7" s="177"/>
      <c r="E7" s="177"/>
      <c r="F7" s="177"/>
      <c r="G7" s="177"/>
      <c r="H7" s="177"/>
      <c r="I7" s="177"/>
      <c r="J7" s="192"/>
      <c r="K7" s="192"/>
      <c r="L7" s="178"/>
      <c r="M7" s="186"/>
    </row>
    <row r="8" spans="2:13" ht="20.100000000000001" customHeight="1">
      <c r="B8" s="181"/>
      <c r="C8" s="177"/>
      <c r="D8" s="177"/>
      <c r="E8" s="177"/>
      <c r="F8" s="177"/>
      <c r="G8" s="177"/>
      <c r="H8" s="177"/>
      <c r="I8" s="177"/>
      <c r="J8" s="192"/>
      <c r="K8" s="192"/>
      <c r="L8" s="178"/>
      <c r="M8" s="186"/>
    </row>
    <row r="9" spans="2:13" ht="20.100000000000001" customHeight="1">
      <c r="B9" s="181"/>
      <c r="C9" s="177"/>
      <c r="D9" s="177"/>
      <c r="E9" s="177"/>
      <c r="F9" s="177"/>
      <c r="G9" s="177"/>
      <c r="H9" s="177"/>
      <c r="I9" s="177"/>
      <c r="J9" s="192"/>
      <c r="K9" s="192"/>
      <c r="L9" s="178"/>
      <c r="M9" s="186"/>
    </row>
    <row r="10" spans="2:13" ht="20.100000000000001" customHeight="1">
      <c r="B10" s="181"/>
      <c r="C10" s="177"/>
      <c r="D10" s="177"/>
      <c r="E10" s="177"/>
      <c r="F10" s="177"/>
      <c r="G10" s="177"/>
      <c r="H10" s="177"/>
      <c r="I10" s="177"/>
      <c r="J10" s="192"/>
      <c r="K10" s="192"/>
      <c r="L10" s="178"/>
      <c r="M10" s="186"/>
    </row>
    <row r="11" spans="2:13" ht="20.100000000000001" customHeight="1">
      <c r="B11" s="175"/>
      <c r="C11" s="177"/>
      <c r="D11" s="177"/>
      <c r="E11" s="177"/>
      <c r="F11" s="177"/>
      <c r="G11" s="177"/>
      <c r="H11" s="177"/>
      <c r="I11" s="177"/>
      <c r="J11" s="192"/>
      <c r="K11" s="192"/>
      <c r="L11" s="178"/>
      <c r="M11" s="186"/>
    </row>
    <row r="12" spans="2:13" ht="20.100000000000001" customHeight="1">
      <c r="B12" s="175"/>
      <c r="C12" s="177"/>
      <c r="D12" s="177"/>
      <c r="E12" s="177"/>
      <c r="F12" s="177"/>
      <c r="G12" s="177"/>
      <c r="H12" s="177"/>
      <c r="I12" s="177"/>
      <c r="J12" s="192"/>
      <c r="K12" s="192"/>
      <c r="L12" s="178"/>
      <c r="M12" s="186"/>
    </row>
    <row r="13" spans="2:13" ht="20.100000000000001" customHeight="1">
      <c r="B13" s="175"/>
      <c r="C13" s="177"/>
      <c r="D13" s="177"/>
      <c r="E13" s="177"/>
      <c r="F13" s="177"/>
      <c r="G13" s="177"/>
      <c r="H13" s="177"/>
      <c r="I13" s="177"/>
      <c r="J13" s="192"/>
      <c r="K13" s="192"/>
      <c r="L13" s="178"/>
      <c r="M13" s="186"/>
    </row>
    <row r="14" spans="2:13" ht="20.100000000000001" customHeight="1">
      <c r="B14" s="175"/>
      <c r="C14" s="177"/>
      <c r="D14" s="177"/>
      <c r="E14" s="177"/>
      <c r="F14" s="177"/>
      <c r="G14" s="177"/>
      <c r="H14" s="177"/>
      <c r="I14" s="177"/>
      <c r="J14" s="192"/>
      <c r="K14" s="192"/>
      <c r="L14" s="178"/>
      <c r="M14" s="186"/>
    </row>
    <row r="15" spans="2:13" ht="20.100000000000001" customHeight="1">
      <c r="B15" s="175"/>
      <c r="C15" s="177"/>
      <c r="D15" s="177"/>
      <c r="E15" s="177"/>
      <c r="F15" s="177"/>
      <c r="G15" s="177"/>
      <c r="H15" s="177"/>
      <c r="I15" s="177"/>
      <c r="J15" s="192"/>
      <c r="K15" s="192"/>
      <c r="L15" s="178"/>
      <c r="M15" s="186"/>
    </row>
    <row r="16" spans="2:13" ht="20.100000000000001" customHeight="1">
      <c r="B16" s="175"/>
      <c r="C16" s="177"/>
      <c r="D16" s="177"/>
      <c r="E16" s="177"/>
      <c r="F16" s="177"/>
      <c r="G16" s="177"/>
      <c r="H16" s="177"/>
      <c r="I16" s="177"/>
      <c r="J16" s="192"/>
      <c r="K16" s="192"/>
      <c r="L16" s="178"/>
      <c r="M16" s="186"/>
    </row>
    <row r="17" spans="2:13" ht="20.100000000000001" customHeight="1">
      <c r="B17" s="175"/>
      <c r="C17" s="177"/>
      <c r="D17" s="177"/>
      <c r="E17" s="177"/>
      <c r="F17" s="177"/>
      <c r="G17" s="177"/>
      <c r="H17" s="177"/>
      <c r="I17" s="177"/>
      <c r="J17" s="192"/>
      <c r="K17" s="192"/>
      <c r="L17" s="178"/>
      <c r="M17" s="186"/>
    </row>
    <row r="18" spans="2:13" ht="20.100000000000001" customHeight="1">
      <c r="B18" s="175"/>
      <c r="C18" s="177"/>
      <c r="D18" s="177"/>
      <c r="E18" s="177"/>
      <c r="F18" s="177"/>
      <c r="G18" s="177"/>
      <c r="H18" s="177"/>
      <c r="I18" s="177"/>
      <c r="J18" s="192"/>
      <c r="K18" s="192"/>
      <c r="L18" s="178"/>
      <c r="M18" s="186"/>
    </row>
    <row r="19" spans="2:13" ht="20.100000000000001" customHeight="1" thickBot="1">
      <c r="B19" s="176"/>
      <c r="C19" s="180"/>
      <c r="D19" s="180"/>
      <c r="E19" s="180"/>
      <c r="F19" s="180"/>
      <c r="G19" s="180"/>
      <c r="H19" s="180"/>
      <c r="I19" s="180"/>
      <c r="J19" s="193"/>
      <c r="K19" s="193"/>
      <c r="L19" s="188"/>
      <c r="M19" s="189"/>
    </row>
    <row r="20" spans="2:13" ht="20.100000000000001" customHeight="1" thickBot="1">
      <c r="B20" s="2028" t="s">
        <v>18</v>
      </c>
      <c r="C20" s="2029"/>
      <c r="D20" s="2029"/>
      <c r="E20" s="2030"/>
      <c r="F20" s="182">
        <f t="shared" ref="F20:H20" si="0">SUM(F5:F19)</f>
        <v>0</v>
      </c>
      <c r="G20" s="182">
        <f t="shared" si="0"/>
        <v>0</v>
      </c>
      <c r="H20" s="187">
        <f t="shared" si="0"/>
        <v>0</v>
      </c>
      <c r="I20" s="183"/>
      <c r="J20" s="194">
        <f>SUM(J5:J19)</f>
        <v>0</v>
      </c>
      <c r="K20" s="194">
        <f t="shared" ref="K20" si="1">SUM(K5:K19)</f>
        <v>0</v>
      </c>
      <c r="L20" s="190"/>
      <c r="M20" s="191"/>
    </row>
  </sheetData>
  <mergeCells count="12">
    <mergeCell ref="B20:E20"/>
    <mergeCell ref="F3:G3"/>
    <mergeCell ref="H3:I3"/>
    <mergeCell ref="E3:E4"/>
    <mergeCell ref="D3:D4"/>
    <mergeCell ref="C3:C4"/>
    <mergeCell ref="B3:B4"/>
    <mergeCell ref="B2:D2"/>
    <mergeCell ref="E2:I2"/>
    <mergeCell ref="J2:M2"/>
    <mergeCell ref="L3:M3"/>
    <mergeCell ref="J3:K3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360" verticalDpi="360" r:id="rId1"/>
</worksheet>
</file>

<file path=xl/worksheets/sheet45.xml><?xml version="1.0" encoding="utf-8"?>
<worksheet xmlns="http://schemas.openxmlformats.org/spreadsheetml/2006/main" xmlns:r="http://schemas.openxmlformats.org/officeDocument/2006/relationships">
  <sheetPr codeName="Sheet33">
    <pageSetUpPr fitToPage="1"/>
  </sheetPr>
  <dimension ref="B1:S16"/>
  <sheetViews>
    <sheetView zoomScale="85" zoomScaleNormal="85" workbookViewId="0">
      <selection activeCell="K29" sqref="K29"/>
    </sheetView>
  </sheetViews>
  <sheetFormatPr defaultRowHeight="15"/>
  <cols>
    <col min="1" max="1" width="3.85546875" customWidth="1"/>
    <col min="2" max="2" width="6" customWidth="1"/>
    <col min="3" max="3" width="15.7109375" customWidth="1"/>
    <col min="6" max="7" width="9.5703125" style="199" customWidth="1"/>
    <col min="8" max="8" width="10.28515625" style="199" bestFit="1" customWidth="1"/>
    <col min="9" max="11" width="9.5703125" style="199" customWidth="1"/>
    <col min="12" max="12" width="10" style="199" customWidth="1"/>
    <col min="13" max="13" width="11.7109375" style="200" customWidth="1"/>
    <col min="14" max="14" width="9.140625" style="29"/>
    <col min="15" max="15" width="13.28515625" style="29" bestFit="1" customWidth="1"/>
    <col min="16" max="16" width="12.7109375" style="200" bestFit="1" customWidth="1"/>
    <col min="17" max="17" width="9.140625" style="29"/>
    <col min="18" max="18" width="15.28515625" style="29" customWidth="1"/>
    <col min="19" max="19" width="11.42578125" style="200" customWidth="1"/>
  </cols>
  <sheetData>
    <row r="1" spans="2:19" ht="15.75" thickBot="1"/>
    <row r="2" spans="2:19" ht="19.5" thickBot="1">
      <c r="B2" s="2052" t="s">
        <v>154</v>
      </c>
      <c r="C2" s="2053"/>
      <c r="D2" s="2053"/>
      <c r="E2" s="2053"/>
      <c r="F2" s="2053"/>
      <c r="G2" s="2053"/>
      <c r="H2" s="2053"/>
      <c r="I2" s="2053"/>
      <c r="J2" s="2053"/>
      <c r="K2" s="2053"/>
      <c r="L2" s="2054"/>
      <c r="M2" s="2057" t="s">
        <v>156</v>
      </c>
      <c r="N2" s="2058"/>
      <c r="O2" s="2058"/>
      <c r="P2" s="2058"/>
      <c r="Q2" s="2058"/>
      <c r="R2" s="2058"/>
      <c r="S2" s="2059"/>
    </row>
    <row r="3" spans="2:19" ht="18.75">
      <c r="B3" s="2064" t="s">
        <v>137</v>
      </c>
      <c r="C3" s="2062" t="s">
        <v>131</v>
      </c>
      <c r="D3" s="2060" t="s">
        <v>132</v>
      </c>
      <c r="E3" s="2060" t="s">
        <v>130</v>
      </c>
      <c r="F3" s="2048" t="s">
        <v>32</v>
      </c>
      <c r="G3" s="2048" t="s">
        <v>31</v>
      </c>
      <c r="H3" s="2048" t="s">
        <v>28</v>
      </c>
      <c r="I3" s="2048" t="s">
        <v>134</v>
      </c>
      <c r="J3" s="2048" t="s">
        <v>133</v>
      </c>
      <c r="K3" s="2046" t="s">
        <v>139</v>
      </c>
      <c r="L3" s="2044" t="s">
        <v>155</v>
      </c>
      <c r="M3" s="2038" t="s">
        <v>150</v>
      </c>
      <c r="N3" s="2039"/>
      <c r="O3" s="2040"/>
      <c r="P3" s="2041" t="s">
        <v>149</v>
      </c>
      <c r="Q3" s="2042"/>
      <c r="R3" s="2043"/>
      <c r="S3" s="2055" t="s">
        <v>153</v>
      </c>
    </row>
    <row r="4" spans="2:19" ht="30.75" thickBot="1">
      <c r="B4" s="2065"/>
      <c r="C4" s="2063"/>
      <c r="D4" s="2061"/>
      <c r="E4" s="2061"/>
      <c r="F4" s="2049"/>
      <c r="G4" s="2049"/>
      <c r="H4" s="2049"/>
      <c r="I4" s="2049"/>
      <c r="J4" s="2049"/>
      <c r="K4" s="2047"/>
      <c r="L4" s="2045"/>
      <c r="M4" s="207" t="s">
        <v>138</v>
      </c>
      <c r="N4" s="208" t="s">
        <v>33</v>
      </c>
      <c r="O4" s="213" t="s">
        <v>140</v>
      </c>
      <c r="P4" s="207" t="s">
        <v>138</v>
      </c>
      <c r="Q4" s="208" t="s">
        <v>33</v>
      </c>
      <c r="R4" s="213" t="s">
        <v>140</v>
      </c>
      <c r="S4" s="2056"/>
    </row>
    <row r="5" spans="2:19" ht="24.95" customHeight="1">
      <c r="B5" s="203">
        <v>1</v>
      </c>
      <c r="C5" s="204" t="s">
        <v>147</v>
      </c>
      <c r="D5" s="204" t="s">
        <v>148</v>
      </c>
      <c r="E5" s="204" t="s">
        <v>27</v>
      </c>
      <c r="F5" s="205">
        <v>600000</v>
      </c>
      <c r="G5" s="205">
        <v>0</v>
      </c>
      <c r="H5" s="205">
        <v>2000000</v>
      </c>
      <c r="I5" s="205">
        <v>0</v>
      </c>
      <c r="J5" s="205">
        <v>0</v>
      </c>
      <c r="K5" s="209">
        <v>0</v>
      </c>
      <c r="L5" s="211">
        <f t="shared" ref="L5:L15" si="0">F5+G5+H5+I5+J5+K5</f>
        <v>2600000</v>
      </c>
      <c r="M5" s="206">
        <v>600000</v>
      </c>
      <c r="N5" s="204" t="s">
        <v>32</v>
      </c>
      <c r="O5" s="214" t="s">
        <v>151</v>
      </c>
      <c r="P5" s="231">
        <v>2000000</v>
      </c>
      <c r="Q5" s="204" t="s">
        <v>28</v>
      </c>
      <c r="R5" s="214" t="s">
        <v>152</v>
      </c>
      <c r="S5" s="216">
        <f>M5+P5</f>
        <v>2600000</v>
      </c>
    </row>
    <row r="6" spans="2:19" ht="24.95" customHeight="1">
      <c r="B6" s="201">
        <v>2</v>
      </c>
      <c r="C6" s="196"/>
      <c r="D6" s="195"/>
      <c r="E6" s="197"/>
      <c r="F6" s="198"/>
      <c r="G6" s="198"/>
      <c r="H6" s="198"/>
      <c r="I6" s="198"/>
      <c r="J6" s="198"/>
      <c r="K6" s="210"/>
      <c r="L6" s="212">
        <f t="shared" si="0"/>
        <v>0</v>
      </c>
      <c r="M6" s="202"/>
      <c r="N6" s="195"/>
      <c r="O6" s="215"/>
      <c r="P6" s="232"/>
      <c r="Q6" s="195"/>
      <c r="R6" s="215"/>
      <c r="S6" s="217">
        <f t="shared" ref="S6:S16" si="1">M6+P6</f>
        <v>0</v>
      </c>
    </row>
    <row r="7" spans="2:19" ht="24.95" customHeight="1">
      <c r="B7" s="201">
        <v>3</v>
      </c>
      <c r="C7" s="195"/>
      <c r="D7" s="195"/>
      <c r="E7" s="195"/>
      <c r="F7" s="198"/>
      <c r="G7" s="198"/>
      <c r="H7" s="198"/>
      <c r="I7" s="198"/>
      <c r="J7" s="198"/>
      <c r="K7" s="210"/>
      <c r="L7" s="212">
        <f t="shared" si="0"/>
        <v>0</v>
      </c>
      <c r="M7" s="202"/>
      <c r="N7" s="195"/>
      <c r="O7" s="215"/>
      <c r="P7" s="232"/>
      <c r="Q7" s="195"/>
      <c r="R7" s="215"/>
      <c r="S7" s="217">
        <f t="shared" si="1"/>
        <v>0</v>
      </c>
    </row>
    <row r="8" spans="2:19" ht="24.95" customHeight="1">
      <c r="B8" s="201">
        <v>4</v>
      </c>
      <c r="C8" s="195"/>
      <c r="D8" s="195"/>
      <c r="E8" s="195"/>
      <c r="F8" s="198"/>
      <c r="G8" s="198"/>
      <c r="H8" s="198"/>
      <c r="I8" s="198"/>
      <c r="J8" s="198"/>
      <c r="K8" s="210"/>
      <c r="L8" s="212">
        <f t="shared" si="0"/>
        <v>0</v>
      </c>
      <c r="M8" s="202"/>
      <c r="N8" s="195"/>
      <c r="O8" s="215"/>
      <c r="P8" s="232"/>
      <c r="Q8" s="195"/>
      <c r="R8" s="215"/>
      <c r="S8" s="217">
        <f t="shared" si="1"/>
        <v>0</v>
      </c>
    </row>
    <row r="9" spans="2:19" ht="24.95" customHeight="1">
      <c r="B9" s="201">
        <v>5</v>
      </c>
      <c r="C9" s="195"/>
      <c r="D9" s="195"/>
      <c r="E9" s="195"/>
      <c r="F9" s="198"/>
      <c r="G9" s="198"/>
      <c r="H9" s="198"/>
      <c r="I9" s="198"/>
      <c r="J9" s="198"/>
      <c r="K9" s="210"/>
      <c r="L9" s="212">
        <f t="shared" si="0"/>
        <v>0</v>
      </c>
      <c r="M9" s="202"/>
      <c r="N9" s="195"/>
      <c r="O9" s="215"/>
      <c r="P9" s="232"/>
      <c r="Q9" s="195"/>
      <c r="R9" s="215"/>
      <c r="S9" s="217">
        <f t="shared" si="1"/>
        <v>0</v>
      </c>
    </row>
    <row r="10" spans="2:19" ht="24.95" customHeight="1">
      <c r="B10" s="201">
        <v>6</v>
      </c>
      <c r="C10" s="195"/>
      <c r="D10" s="195"/>
      <c r="E10" s="195"/>
      <c r="F10" s="198"/>
      <c r="G10" s="198"/>
      <c r="H10" s="198"/>
      <c r="I10" s="198"/>
      <c r="J10" s="198"/>
      <c r="K10" s="210"/>
      <c r="L10" s="212">
        <f t="shared" si="0"/>
        <v>0</v>
      </c>
      <c r="M10" s="202"/>
      <c r="N10" s="195"/>
      <c r="O10" s="215"/>
      <c r="P10" s="232"/>
      <c r="Q10" s="195"/>
      <c r="R10" s="215"/>
      <c r="S10" s="217">
        <f t="shared" si="1"/>
        <v>0</v>
      </c>
    </row>
    <row r="11" spans="2:19" ht="24.95" customHeight="1">
      <c r="B11" s="201">
        <v>7</v>
      </c>
      <c r="C11" s="195"/>
      <c r="D11" s="195"/>
      <c r="E11" s="195"/>
      <c r="F11" s="198"/>
      <c r="G11" s="198"/>
      <c r="H11" s="198"/>
      <c r="I11" s="198"/>
      <c r="J11" s="198"/>
      <c r="K11" s="210"/>
      <c r="L11" s="212">
        <f t="shared" si="0"/>
        <v>0</v>
      </c>
      <c r="M11" s="202"/>
      <c r="N11" s="195"/>
      <c r="O11" s="215"/>
      <c r="P11" s="232"/>
      <c r="Q11" s="195"/>
      <c r="R11" s="215"/>
      <c r="S11" s="217">
        <f t="shared" si="1"/>
        <v>0</v>
      </c>
    </row>
    <row r="12" spans="2:19" ht="24.95" customHeight="1">
      <c r="B12" s="201">
        <v>8</v>
      </c>
      <c r="C12" s="195"/>
      <c r="D12" s="195"/>
      <c r="E12" s="195"/>
      <c r="F12" s="198"/>
      <c r="G12" s="198"/>
      <c r="H12" s="198"/>
      <c r="I12" s="198"/>
      <c r="J12" s="198"/>
      <c r="K12" s="210"/>
      <c r="L12" s="212">
        <f t="shared" si="0"/>
        <v>0</v>
      </c>
      <c r="M12" s="202"/>
      <c r="N12" s="195"/>
      <c r="O12" s="215"/>
      <c r="P12" s="232"/>
      <c r="Q12" s="195"/>
      <c r="R12" s="215"/>
      <c r="S12" s="217">
        <f t="shared" si="1"/>
        <v>0</v>
      </c>
    </row>
    <row r="13" spans="2:19" ht="24.95" customHeight="1">
      <c r="B13" s="201">
        <v>9</v>
      </c>
      <c r="C13" s="195"/>
      <c r="D13" s="195"/>
      <c r="E13" s="195"/>
      <c r="F13" s="198"/>
      <c r="G13" s="198"/>
      <c r="H13" s="198"/>
      <c r="I13" s="198"/>
      <c r="J13" s="198"/>
      <c r="K13" s="210"/>
      <c r="L13" s="212">
        <f t="shared" si="0"/>
        <v>0</v>
      </c>
      <c r="M13" s="202"/>
      <c r="N13" s="195"/>
      <c r="O13" s="215"/>
      <c r="P13" s="232"/>
      <c r="Q13" s="195"/>
      <c r="R13" s="215"/>
      <c r="S13" s="217">
        <f t="shared" si="1"/>
        <v>0</v>
      </c>
    </row>
    <row r="14" spans="2:19" ht="24.95" customHeight="1">
      <c r="B14" s="201">
        <v>10</v>
      </c>
      <c r="C14" s="195"/>
      <c r="D14" s="195"/>
      <c r="E14" s="195"/>
      <c r="F14" s="198"/>
      <c r="G14" s="198"/>
      <c r="H14" s="198"/>
      <c r="I14" s="198"/>
      <c r="J14" s="198"/>
      <c r="K14" s="210"/>
      <c r="L14" s="212">
        <f t="shared" si="0"/>
        <v>0</v>
      </c>
      <c r="M14" s="202"/>
      <c r="N14" s="195"/>
      <c r="O14" s="215"/>
      <c r="P14" s="232"/>
      <c r="Q14" s="195"/>
      <c r="R14" s="215"/>
      <c r="S14" s="217">
        <f t="shared" si="1"/>
        <v>0</v>
      </c>
    </row>
    <row r="15" spans="2:19" ht="24.95" customHeight="1" thickBot="1">
      <c r="B15" s="218"/>
      <c r="C15" s="219"/>
      <c r="D15" s="219"/>
      <c r="E15" s="219"/>
      <c r="F15" s="220"/>
      <c r="G15" s="220"/>
      <c r="H15" s="220"/>
      <c r="I15" s="220"/>
      <c r="J15" s="220"/>
      <c r="K15" s="221"/>
      <c r="L15" s="222">
        <f t="shared" si="0"/>
        <v>0</v>
      </c>
      <c r="M15" s="226"/>
      <c r="N15" s="219"/>
      <c r="O15" s="227"/>
      <c r="P15" s="233"/>
      <c r="Q15" s="219"/>
      <c r="R15" s="227"/>
      <c r="S15" s="228">
        <f t="shared" si="1"/>
        <v>0</v>
      </c>
    </row>
    <row r="16" spans="2:19" ht="24.95" customHeight="1" thickBot="1">
      <c r="B16" s="2036" t="s">
        <v>18</v>
      </c>
      <c r="C16" s="2037"/>
      <c r="D16" s="2037"/>
      <c r="E16" s="2037"/>
      <c r="F16" s="223">
        <f t="shared" ref="F16:L16" si="2">SUM(F5:F15)</f>
        <v>600000</v>
      </c>
      <c r="G16" s="223">
        <f t="shared" si="2"/>
        <v>0</v>
      </c>
      <c r="H16" s="223">
        <f t="shared" si="2"/>
        <v>2000000</v>
      </c>
      <c r="I16" s="223">
        <f t="shared" si="2"/>
        <v>0</v>
      </c>
      <c r="J16" s="223">
        <f t="shared" si="2"/>
        <v>0</v>
      </c>
      <c r="K16" s="224">
        <f t="shared" si="2"/>
        <v>0</v>
      </c>
      <c r="L16" s="225">
        <f t="shared" si="2"/>
        <v>2600000</v>
      </c>
      <c r="M16" s="229">
        <f>SUM(M5:M15)</f>
        <v>600000</v>
      </c>
      <c r="N16" s="2050"/>
      <c r="O16" s="2051"/>
      <c r="P16" s="229">
        <f>SUM(P5:P15)</f>
        <v>2000000</v>
      </c>
      <c r="Q16" s="2050"/>
      <c r="R16" s="2051"/>
      <c r="S16" s="230">
        <f t="shared" si="1"/>
        <v>2600000</v>
      </c>
    </row>
  </sheetData>
  <mergeCells count="19">
    <mergeCell ref="B2:L2"/>
    <mergeCell ref="S3:S4"/>
    <mergeCell ref="M2:S2"/>
    <mergeCell ref="E3:E4"/>
    <mergeCell ref="D3:D4"/>
    <mergeCell ref="C3:C4"/>
    <mergeCell ref="B3:B4"/>
    <mergeCell ref="H3:H4"/>
    <mergeCell ref="G3:G4"/>
    <mergeCell ref="F3:F4"/>
    <mergeCell ref="B16:E16"/>
    <mergeCell ref="M3:O3"/>
    <mergeCell ref="P3:R3"/>
    <mergeCell ref="L3:L4"/>
    <mergeCell ref="K3:K4"/>
    <mergeCell ref="J3:J4"/>
    <mergeCell ref="I3:I4"/>
    <mergeCell ref="N16:O16"/>
    <mergeCell ref="Q16:R16"/>
  </mergeCells>
  <pageMargins left="0.25" right="0.17" top="0.74803149606299213" bottom="0.74803149606299213" header="0.31496062992125984" footer="0.31496062992125984"/>
  <pageSetup paperSize="9" scale="80" orientation="landscape" horizontalDpi="360" verticalDpi="360" r:id="rId1"/>
</worksheet>
</file>

<file path=xl/worksheets/sheet46.xml><?xml version="1.0" encoding="utf-8"?>
<worksheet xmlns="http://schemas.openxmlformats.org/spreadsheetml/2006/main" xmlns:r="http://schemas.openxmlformats.org/officeDocument/2006/relationships">
  <sheetPr codeName="Sheet9"/>
  <dimension ref="B2:S18"/>
  <sheetViews>
    <sheetView zoomScale="115" zoomScaleNormal="115" workbookViewId="0">
      <selection activeCell="L30" sqref="L30"/>
    </sheetView>
  </sheetViews>
  <sheetFormatPr defaultRowHeight="15"/>
  <cols>
    <col min="1" max="1" width="7.5703125" customWidth="1"/>
    <col min="2" max="2" width="15.28515625" bestFit="1" customWidth="1"/>
    <col min="3" max="3" width="6.85546875" customWidth="1"/>
    <col min="4" max="4" width="8.140625" customWidth="1"/>
    <col min="5" max="5" width="6.85546875" style="130" customWidth="1"/>
    <col min="6" max="6" width="6.85546875" customWidth="1"/>
    <col min="7" max="7" width="8.140625" customWidth="1"/>
    <col min="8" max="8" width="6.85546875" style="130" customWidth="1"/>
    <col min="9" max="9" width="6.85546875" customWidth="1"/>
    <col min="10" max="10" width="8.140625" customWidth="1"/>
    <col min="11" max="11" width="6.85546875" style="130" customWidth="1"/>
    <col min="12" max="12" width="8.5703125" customWidth="1"/>
    <col min="13" max="13" width="8.140625" customWidth="1"/>
    <col min="14" max="14" width="6.85546875" style="130" customWidth="1"/>
    <col min="15" max="15" width="9.140625" style="130" customWidth="1"/>
    <col min="16" max="17" width="8.5703125" customWidth="1"/>
    <col min="19" max="19" width="8.140625" customWidth="1"/>
  </cols>
  <sheetData>
    <row r="2" spans="2:19" ht="15.75" thickBot="1"/>
    <row r="3" spans="2:19" ht="16.5" thickBot="1">
      <c r="B3" s="2066" t="s">
        <v>128</v>
      </c>
      <c r="C3" s="2067"/>
      <c r="D3" s="2067"/>
      <c r="E3" s="2067"/>
      <c r="F3" s="2067"/>
      <c r="G3" s="2067"/>
      <c r="H3" s="2067"/>
      <c r="I3" s="2067"/>
      <c r="J3" s="2067"/>
      <c r="K3" s="2067"/>
      <c r="L3" s="2067"/>
      <c r="M3" s="2067"/>
      <c r="N3" s="2067"/>
      <c r="O3" s="2067"/>
      <c r="P3" s="2067"/>
      <c r="Q3" s="2067"/>
      <c r="R3" s="2067"/>
      <c r="S3" s="2068"/>
    </row>
    <row r="4" spans="2:19" ht="15" customHeight="1">
      <c r="B4" s="2069" t="s">
        <v>0</v>
      </c>
      <c r="C4" s="2069" t="s">
        <v>79</v>
      </c>
      <c r="D4" s="2071"/>
      <c r="E4" s="2072"/>
      <c r="F4" s="2069" t="s">
        <v>80</v>
      </c>
      <c r="G4" s="2071"/>
      <c r="H4" s="2072"/>
      <c r="I4" s="2069" t="s">
        <v>81</v>
      </c>
      <c r="J4" s="2071"/>
      <c r="K4" s="2072"/>
      <c r="L4" s="2069" t="s">
        <v>82</v>
      </c>
      <c r="M4" s="2071"/>
      <c r="N4" s="2072"/>
      <c r="O4" s="2075" t="s">
        <v>125</v>
      </c>
      <c r="P4" s="137" t="s">
        <v>83</v>
      </c>
      <c r="Q4" s="137" t="s">
        <v>84</v>
      </c>
      <c r="R4" s="2073" t="s">
        <v>124</v>
      </c>
      <c r="S4" s="2074"/>
    </row>
    <row r="5" spans="2:19" s="51" customFormat="1" ht="30.75" customHeight="1">
      <c r="B5" s="2070"/>
      <c r="C5" s="145" t="s">
        <v>127</v>
      </c>
      <c r="D5" s="146" t="s">
        <v>126</v>
      </c>
      <c r="E5" s="168" t="s">
        <v>129</v>
      </c>
      <c r="F5" s="145" t="s">
        <v>127</v>
      </c>
      <c r="G5" s="166" t="s">
        <v>126</v>
      </c>
      <c r="H5" s="168" t="s">
        <v>129</v>
      </c>
      <c r="I5" s="167" t="s">
        <v>127</v>
      </c>
      <c r="J5" s="166" t="s">
        <v>126</v>
      </c>
      <c r="K5" s="168" t="s">
        <v>129</v>
      </c>
      <c r="L5" s="167" t="s">
        <v>127</v>
      </c>
      <c r="M5" s="166" t="s">
        <v>126</v>
      </c>
      <c r="N5" s="168" t="s">
        <v>129</v>
      </c>
      <c r="O5" s="2076"/>
      <c r="P5" s="138" t="s">
        <v>127</v>
      </c>
      <c r="Q5" s="138" t="s">
        <v>127</v>
      </c>
      <c r="R5" s="147" t="s">
        <v>127</v>
      </c>
      <c r="S5" s="158" t="s">
        <v>126</v>
      </c>
    </row>
    <row r="6" spans="2:19" ht="15.75">
      <c r="B6" s="131" t="s">
        <v>4</v>
      </c>
      <c r="C6" s="134">
        <v>70</v>
      </c>
      <c r="D6" s="110">
        <v>72.22</v>
      </c>
      <c r="E6" s="161">
        <f>D6-C6</f>
        <v>2.2199999999999989</v>
      </c>
      <c r="F6" s="134">
        <v>45</v>
      </c>
      <c r="G6" s="110">
        <v>24.060000000000002</v>
      </c>
      <c r="H6" s="161">
        <f>G6-F6</f>
        <v>-20.939999999999998</v>
      </c>
      <c r="I6" s="134">
        <v>80</v>
      </c>
      <c r="J6" s="110">
        <v>72.48</v>
      </c>
      <c r="K6" s="161">
        <f>J6-I6</f>
        <v>-7.519999999999996</v>
      </c>
      <c r="L6" s="134">
        <v>90</v>
      </c>
      <c r="M6" s="110">
        <v>30</v>
      </c>
      <c r="N6" s="161">
        <f>M6-L6</f>
        <v>-60</v>
      </c>
      <c r="O6" s="161">
        <f>E6+H6+K6+N6</f>
        <v>-86.24</v>
      </c>
      <c r="P6" s="139">
        <v>100</v>
      </c>
      <c r="Q6" s="139">
        <v>15</v>
      </c>
      <c r="R6" s="142">
        <f t="shared" ref="R6:R11" si="0">C6+F6+I6+L6+P6+Q6</f>
        <v>400</v>
      </c>
      <c r="S6" s="111">
        <f>D6+G6+J6+M6+P6+Q6</f>
        <v>313.76</v>
      </c>
    </row>
    <row r="7" spans="2:19" ht="15.75">
      <c r="B7" s="132" t="s">
        <v>5</v>
      </c>
      <c r="C7" s="135">
        <v>50</v>
      </c>
      <c r="D7" s="112">
        <v>50</v>
      </c>
      <c r="E7" s="162">
        <f t="shared" ref="E7:E18" si="1">D7-C7</f>
        <v>0</v>
      </c>
      <c r="F7" s="135">
        <v>40</v>
      </c>
      <c r="G7" s="112">
        <v>40</v>
      </c>
      <c r="H7" s="162">
        <f t="shared" ref="H7:H18" si="2">G7-F7</f>
        <v>0</v>
      </c>
      <c r="I7" s="135">
        <v>45</v>
      </c>
      <c r="J7" s="112">
        <v>40</v>
      </c>
      <c r="K7" s="162">
        <f t="shared" ref="K7:K18" si="3">J7-I7</f>
        <v>-5</v>
      </c>
      <c r="L7" s="135">
        <v>45</v>
      </c>
      <c r="M7" s="112">
        <v>40</v>
      </c>
      <c r="N7" s="162">
        <f t="shared" ref="N7:N18" si="4">M7-L7</f>
        <v>-5</v>
      </c>
      <c r="O7" s="162">
        <f t="shared" ref="O7:O18" si="5">E7+H7+K7+N7</f>
        <v>-10</v>
      </c>
      <c r="P7" s="140">
        <v>40</v>
      </c>
      <c r="Q7" s="140">
        <v>0</v>
      </c>
      <c r="R7" s="143">
        <f t="shared" si="0"/>
        <v>220</v>
      </c>
      <c r="S7" s="113">
        <f t="shared" ref="S7:S18" si="6">D7+G7+J7+M7+P7+Q7</f>
        <v>210</v>
      </c>
    </row>
    <row r="8" spans="2:19" ht="15.75">
      <c r="B8" s="132" t="s">
        <v>6</v>
      </c>
      <c r="C8" s="135">
        <v>12</v>
      </c>
      <c r="D8" s="112">
        <v>12</v>
      </c>
      <c r="E8" s="162">
        <f t="shared" si="1"/>
        <v>0</v>
      </c>
      <c r="F8" s="135">
        <v>20</v>
      </c>
      <c r="G8" s="112">
        <v>15.5</v>
      </c>
      <c r="H8" s="162">
        <f t="shared" si="2"/>
        <v>-4.5</v>
      </c>
      <c r="I8" s="135">
        <v>30</v>
      </c>
      <c r="J8" s="112">
        <v>24</v>
      </c>
      <c r="K8" s="162">
        <f t="shared" si="3"/>
        <v>-6</v>
      </c>
      <c r="L8" s="135">
        <v>25</v>
      </c>
      <c r="M8" s="112">
        <v>9</v>
      </c>
      <c r="N8" s="162">
        <f t="shared" si="4"/>
        <v>-16</v>
      </c>
      <c r="O8" s="162">
        <f t="shared" si="5"/>
        <v>-26.5</v>
      </c>
      <c r="P8" s="140">
        <v>35</v>
      </c>
      <c r="Q8" s="140">
        <v>0</v>
      </c>
      <c r="R8" s="143">
        <f t="shared" si="0"/>
        <v>122</v>
      </c>
      <c r="S8" s="113">
        <f t="shared" si="6"/>
        <v>95.5</v>
      </c>
    </row>
    <row r="9" spans="2:19" ht="15.75">
      <c r="B9" s="132" t="s">
        <v>7</v>
      </c>
      <c r="C9" s="135">
        <v>30</v>
      </c>
      <c r="D9" s="112">
        <v>40</v>
      </c>
      <c r="E9" s="162">
        <f t="shared" si="1"/>
        <v>10</v>
      </c>
      <c r="F9" s="135">
        <v>30</v>
      </c>
      <c r="G9" s="112">
        <v>30</v>
      </c>
      <c r="H9" s="162">
        <f t="shared" si="2"/>
        <v>0</v>
      </c>
      <c r="I9" s="135">
        <v>40</v>
      </c>
      <c r="J9" s="112">
        <v>30</v>
      </c>
      <c r="K9" s="162">
        <f t="shared" si="3"/>
        <v>-10</v>
      </c>
      <c r="L9" s="135">
        <v>40</v>
      </c>
      <c r="M9" s="112">
        <v>40</v>
      </c>
      <c r="N9" s="162">
        <f t="shared" si="4"/>
        <v>0</v>
      </c>
      <c r="O9" s="162">
        <f t="shared" si="5"/>
        <v>0</v>
      </c>
      <c r="P9" s="140">
        <v>60</v>
      </c>
      <c r="Q9" s="140">
        <v>0</v>
      </c>
      <c r="R9" s="143">
        <f t="shared" si="0"/>
        <v>200</v>
      </c>
      <c r="S9" s="113">
        <f t="shared" si="6"/>
        <v>200</v>
      </c>
    </row>
    <row r="10" spans="2:19" ht="15.75">
      <c r="B10" s="132" t="s">
        <v>8</v>
      </c>
      <c r="C10" s="135">
        <v>10</v>
      </c>
      <c r="D10" s="112">
        <v>10</v>
      </c>
      <c r="E10" s="162">
        <f t="shared" si="1"/>
        <v>0</v>
      </c>
      <c r="F10" s="135">
        <v>10</v>
      </c>
      <c r="G10" s="112">
        <v>10</v>
      </c>
      <c r="H10" s="162">
        <f t="shared" si="2"/>
        <v>0</v>
      </c>
      <c r="I10" s="135">
        <v>10</v>
      </c>
      <c r="J10" s="112">
        <v>10</v>
      </c>
      <c r="K10" s="162">
        <f t="shared" si="3"/>
        <v>0</v>
      </c>
      <c r="L10" s="135">
        <v>15</v>
      </c>
      <c r="M10" s="112">
        <v>10</v>
      </c>
      <c r="N10" s="162">
        <f t="shared" si="4"/>
        <v>-5</v>
      </c>
      <c r="O10" s="162">
        <f t="shared" si="5"/>
        <v>-5</v>
      </c>
      <c r="P10" s="140">
        <v>20</v>
      </c>
      <c r="Q10" s="140">
        <v>0</v>
      </c>
      <c r="R10" s="143">
        <f t="shared" si="0"/>
        <v>65</v>
      </c>
      <c r="S10" s="113">
        <f t="shared" si="6"/>
        <v>60</v>
      </c>
    </row>
    <row r="11" spans="2:19" ht="15.75">
      <c r="B11" s="133" t="s">
        <v>9</v>
      </c>
      <c r="C11" s="136">
        <v>50</v>
      </c>
      <c r="D11" s="114">
        <v>50</v>
      </c>
      <c r="E11" s="163">
        <f t="shared" si="1"/>
        <v>0</v>
      </c>
      <c r="F11" s="136">
        <v>65</v>
      </c>
      <c r="G11" s="114">
        <v>40</v>
      </c>
      <c r="H11" s="163">
        <f t="shared" si="2"/>
        <v>-25</v>
      </c>
      <c r="I11" s="136">
        <v>75</v>
      </c>
      <c r="J11" s="114">
        <v>75</v>
      </c>
      <c r="K11" s="163">
        <f t="shared" si="3"/>
        <v>0</v>
      </c>
      <c r="L11" s="136">
        <v>90</v>
      </c>
      <c r="M11" s="114">
        <v>50</v>
      </c>
      <c r="N11" s="163">
        <f t="shared" si="4"/>
        <v>-40</v>
      </c>
      <c r="O11" s="163">
        <f t="shared" si="5"/>
        <v>-65</v>
      </c>
      <c r="P11" s="141">
        <v>120</v>
      </c>
      <c r="Q11" s="141">
        <v>0</v>
      </c>
      <c r="R11" s="144">
        <f t="shared" si="0"/>
        <v>400</v>
      </c>
      <c r="S11" s="115">
        <f t="shared" si="6"/>
        <v>335</v>
      </c>
    </row>
    <row r="12" spans="2:19">
      <c r="B12" s="148" t="s">
        <v>10</v>
      </c>
      <c r="C12" s="149">
        <f t="shared" ref="C12:R12" si="7">SUM(C6:C11)</f>
        <v>222</v>
      </c>
      <c r="D12" s="150">
        <f t="shared" si="7"/>
        <v>234.22</v>
      </c>
      <c r="E12" s="164">
        <f t="shared" si="1"/>
        <v>12.219999999999999</v>
      </c>
      <c r="F12" s="149">
        <f t="shared" si="7"/>
        <v>210</v>
      </c>
      <c r="G12" s="150">
        <f t="shared" si="7"/>
        <v>159.56</v>
      </c>
      <c r="H12" s="164">
        <f t="shared" si="2"/>
        <v>-50.44</v>
      </c>
      <c r="I12" s="149">
        <f t="shared" si="7"/>
        <v>280</v>
      </c>
      <c r="J12" s="150">
        <f t="shared" si="7"/>
        <v>251.48000000000002</v>
      </c>
      <c r="K12" s="164">
        <f t="shared" si="3"/>
        <v>-28.519999999999982</v>
      </c>
      <c r="L12" s="149">
        <f t="shared" si="7"/>
        <v>305</v>
      </c>
      <c r="M12" s="150">
        <f t="shared" ref="M12" si="8">SUM(M6:M11)</f>
        <v>179</v>
      </c>
      <c r="N12" s="164">
        <f t="shared" si="4"/>
        <v>-126</v>
      </c>
      <c r="O12" s="164">
        <f t="shared" si="5"/>
        <v>-192.73999999999998</v>
      </c>
      <c r="P12" s="151">
        <f t="shared" si="7"/>
        <v>375</v>
      </c>
      <c r="Q12" s="151">
        <f t="shared" si="7"/>
        <v>15</v>
      </c>
      <c r="R12" s="152">
        <f t="shared" si="7"/>
        <v>1407</v>
      </c>
      <c r="S12" s="159">
        <f t="shared" si="6"/>
        <v>1214.26</v>
      </c>
    </row>
    <row r="13" spans="2:19" ht="15.75">
      <c r="B13" s="131" t="s">
        <v>11</v>
      </c>
      <c r="C13" s="134">
        <v>101</v>
      </c>
      <c r="D13" s="110">
        <v>101</v>
      </c>
      <c r="E13" s="161">
        <f t="shared" si="1"/>
        <v>0</v>
      </c>
      <c r="F13" s="134">
        <v>69</v>
      </c>
      <c r="G13" s="110">
        <v>41.7</v>
      </c>
      <c r="H13" s="161">
        <f t="shared" si="2"/>
        <v>-27.299999999999997</v>
      </c>
      <c r="I13" s="134">
        <v>140</v>
      </c>
      <c r="J13" s="110">
        <v>131.87</v>
      </c>
      <c r="K13" s="161">
        <f t="shared" si="3"/>
        <v>-8.1299999999999955</v>
      </c>
      <c r="L13" s="134">
        <v>150</v>
      </c>
      <c r="M13" s="110">
        <v>164.08999999999997</v>
      </c>
      <c r="N13" s="161">
        <f t="shared" si="4"/>
        <v>14.089999999999975</v>
      </c>
      <c r="O13" s="161">
        <f t="shared" si="5"/>
        <v>-21.340000000000018</v>
      </c>
      <c r="P13" s="139">
        <v>175</v>
      </c>
      <c r="Q13" s="139">
        <v>15</v>
      </c>
      <c r="R13" s="142">
        <f>C13+F13+I13+L13+P13+Q13</f>
        <v>650</v>
      </c>
      <c r="S13" s="111">
        <f t="shared" si="6"/>
        <v>628.66</v>
      </c>
    </row>
    <row r="14" spans="2:19" ht="15.75">
      <c r="B14" s="132" t="s">
        <v>12</v>
      </c>
      <c r="C14" s="135">
        <v>10</v>
      </c>
      <c r="D14" s="112">
        <v>10.1</v>
      </c>
      <c r="E14" s="162">
        <f t="shared" si="1"/>
        <v>9.9999999999999645E-2</v>
      </c>
      <c r="F14" s="135">
        <v>10</v>
      </c>
      <c r="G14" s="112">
        <v>13</v>
      </c>
      <c r="H14" s="162">
        <f t="shared" si="2"/>
        <v>3</v>
      </c>
      <c r="I14" s="135">
        <v>20</v>
      </c>
      <c r="J14" s="112">
        <v>25</v>
      </c>
      <c r="K14" s="162">
        <f t="shared" si="3"/>
        <v>5</v>
      </c>
      <c r="L14" s="135">
        <v>20</v>
      </c>
      <c r="M14" s="112">
        <v>12</v>
      </c>
      <c r="N14" s="162">
        <f t="shared" si="4"/>
        <v>-8</v>
      </c>
      <c r="O14" s="162">
        <f t="shared" si="5"/>
        <v>9.9999999999999645E-2</v>
      </c>
      <c r="P14" s="140">
        <v>10</v>
      </c>
      <c r="Q14" s="140">
        <v>0</v>
      </c>
      <c r="R14" s="143">
        <f>C14+F14+I14+L14+P14+Q14</f>
        <v>70</v>
      </c>
      <c r="S14" s="113">
        <f t="shared" si="6"/>
        <v>70.099999999999994</v>
      </c>
    </row>
    <row r="15" spans="2:19" ht="15.75">
      <c r="B15" s="132" t="s">
        <v>13</v>
      </c>
      <c r="C15" s="135">
        <v>55</v>
      </c>
      <c r="D15" s="112">
        <v>55</v>
      </c>
      <c r="E15" s="162">
        <f t="shared" si="1"/>
        <v>0</v>
      </c>
      <c r="F15" s="135">
        <v>50</v>
      </c>
      <c r="G15" s="112">
        <v>51</v>
      </c>
      <c r="H15" s="162">
        <f t="shared" si="2"/>
        <v>1</v>
      </c>
      <c r="I15" s="135">
        <v>60</v>
      </c>
      <c r="J15" s="112">
        <v>60</v>
      </c>
      <c r="K15" s="162">
        <f t="shared" si="3"/>
        <v>0</v>
      </c>
      <c r="L15" s="135">
        <v>50</v>
      </c>
      <c r="M15" s="112">
        <v>50</v>
      </c>
      <c r="N15" s="162">
        <f t="shared" si="4"/>
        <v>0</v>
      </c>
      <c r="O15" s="162">
        <f t="shared" si="5"/>
        <v>1</v>
      </c>
      <c r="P15" s="140">
        <v>65</v>
      </c>
      <c r="Q15" s="140">
        <v>0</v>
      </c>
      <c r="R15" s="143">
        <f>C15+F15+I15+L15+P15+Q15</f>
        <v>280</v>
      </c>
      <c r="S15" s="113">
        <f t="shared" si="6"/>
        <v>281</v>
      </c>
    </row>
    <row r="16" spans="2:19" ht="15.75">
      <c r="B16" s="133" t="s">
        <v>14</v>
      </c>
      <c r="C16" s="136">
        <v>40</v>
      </c>
      <c r="D16" s="114">
        <v>40.869999999999997</v>
      </c>
      <c r="E16" s="163">
        <f t="shared" si="1"/>
        <v>0.86999999999999744</v>
      </c>
      <c r="F16" s="136">
        <v>40</v>
      </c>
      <c r="G16" s="114">
        <v>40.239999999999995</v>
      </c>
      <c r="H16" s="163">
        <f t="shared" si="2"/>
        <v>0.23999999999999488</v>
      </c>
      <c r="I16" s="136">
        <v>50</v>
      </c>
      <c r="J16" s="114">
        <v>50.1</v>
      </c>
      <c r="K16" s="163">
        <f t="shared" si="3"/>
        <v>0.10000000000000142</v>
      </c>
      <c r="L16" s="136">
        <v>60</v>
      </c>
      <c r="M16" s="114">
        <v>68.709999999999994</v>
      </c>
      <c r="N16" s="163">
        <f t="shared" si="4"/>
        <v>8.7099999999999937</v>
      </c>
      <c r="O16" s="163">
        <f t="shared" si="5"/>
        <v>9.9199999999999875</v>
      </c>
      <c r="P16" s="141">
        <v>60</v>
      </c>
      <c r="Q16" s="141">
        <v>0</v>
      </c>
      <c r="R16" s="144">
        <f>C16+F16+I16+L16+P16+Q16</f>
        <v>250</v>
      </c>
      <c r="S16" s="115">
        <f t="shared" si="6"/>
        <v>259.91999999999996</v>
      </c>
    </row>
    <row r="17" spans="2:19">
      <c r="B17" s="148" t="s">
        <v>15</v>
      </c>
      <c r="C17" s="149">
        <f t="shared" ref="C17:R17" si="9">SUM(C13:C16)</f>
        <v>206</v>
      </c>
      <c r="D17" s="150">
        <f t="shared" si="9"/>
        <v>206.97</v>
      </c>
      <c r="E17" s="164">
        <f t="shared" si="1"/>
        <v>0.96999999999999886</v>
      </c>
      <c r="F17" s="149">
        <f t="shared" si="9"/>
        <v>169</v>
      </c>
      <c r="G17" s="150">
        <f t="shared" si="9"/>
        <v>145.94</v>
      </c>
      <c r="H17" s="164">
        <f t="shared" si="2"/>
        <v>-23.060000000000002</v>
      </c>
      <c r="I17" s="149">
        <f t="shared" si="9"/>
        <v>270</v>
      </c>
      <c r="J17" s="150">
        <f t="shared" si="9"/>
        <v>266.97000000000003</v>
      </c>
      <c r="K17" s="164">
        <f t="shared" si="3"/>
        <v>-3.0299999999999727</v>
      </c>
      <c r="L17" s="149">
        <f t="shared" si="9"/>
        <v>280</v>
      </c>
      <c r="M17" s="150">
        <f t="shared" ref="M17" si="10">SUM(M13:M16)</f>
        <v>294.79999999999995</v>
      </c>
      <c r="N17" s="164">
        <f t="shared" si="4"/>
        <v>14.799999999999955</v>
      </c>
      <c r="O17" s="164">
        <f t="shared" si="5"/>
        <v>-10.320000000000022</v>
      </c>
      <c r="P17" s="151">
        <f t="shared" si="9"/>
        <v>310</v>
      </c>
      <c r="Q17" s="151">
        <f t="shared" si="9"/>
        <v>15</v>
      </c>
      <c r="R17" s="152">
        <f t="shared" si="9"/>
        <v>1250</v>
      </c>
      <c r="S17" s="159">
        <f t="shared" si="6"/>
        <v>1239.6799999999998</v>
      </c>
    </row>
    <row r="18" spans="2:19" ht="19.5" thickBot="1">
      <c r="B18" s="153" t="s">
        <v>17</v>
      </c>
      <c r="C18" s="154">
        <f>C12+C17</f>
        <v>428</v>
      </c>
      <c r="D18" s="155">
        <f t="shared" ref="D18:R18" si="11">D12+D17</f>
        <v>441.19</v>
      </c>
      <c r="E18" s="165">
        <f t="shared" si="1"/>
        <v>13.189999999999998</v>
      </c>
      <c r="F18" s="154">
        <f t="shared" si="11"/>
        <v>379</v>
      </c>
      <c r="G18" s="155">
        <f t="shared" si="11"/>
        <v>305.5</v>
      </c>
      <c r="H18" s="165">
        <f t="shared" si="2"/>
        <v>-73.5</v>
      </c>
      <c r="I18" s="154">
        <f t="shared" si="11"/>
        <v>550</v>
      </c>
      <c r="J18" s="155">
        <f t="shared" si="11"/>
        <v>518.45000000000005</v>
      </c>
      <c r="K18" s="165">
        <f t="shared" si="3"/>
        <v>-31.549999999999955</v>
      </c>
      <c r="L18" s="154">
        <f t="shared" si="11"/>
        <v>585</v>
      </c>
      <c r="M18" s="155">
        <f t="shared" ref="M18" si="12">M12+M17</f>
        <v>473.79999999999995</v>
      </c>
      <c r="N18" s="165">
        <f t="shared" si="4"/>
        <v>-111.20000000000005</v>
      </c>
      <c r="O18" s="165">
        <f t="shared" si="5"/>
        <v>-203.06</v>
      </c>
      <c r="P18" s="156">
        <f t="shared" si="11"/>
        <v>685</v>
      </c>
      <c r="Q18" s="156">
        <f t="shared" si="11"/>
        <v>30</v>
      </c>
      <c r="R18" s="157">
        <f t="shared" si="11"/>
        <v>2657</v>
      </c>
      <c r="S18" s="160">
        <f t="shared" si="6"/>
        <v>2453.94</v>
      </c>
    </row>
  </sheetData>
  <mergeCells count="8">
    <mergeCell ref="B3:S3"/>
    <mergeCell ref="B4:B5"/>
    <mergeCell ref="C4:E4"/>
    <mergeCell ref="I4:K4"/>
    <mergeCell ref="F4:H4"/>
    <mergeCell ref="R4:S4"/>
    <mergeCell ref="O4:O5"/>
    <mergeCell ref="L4:N4"/>
  </mergeCells>
  <conditionalFormatting sqref="E6:E18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H6:H18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K6:K18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N6:N18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O6:O18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BS160"/>
  <sheetViews>
    <sheetView showGridLines="0" topLeftCell="AQ1" zoomScale="70" zoomScaleNormal="70" workbookViewId="0">
      <selection activeCell="BD12" sqref="BD12"/>
    </sheetView>
  </sheetViews>
  <sheetFormatPr defaultColWidth="9.140625" defaultRowHeight="23.25"/>
  <cols>
    <col min="1" max="1" width="4.85546875" style="804" customWidth="1"/>
    <col min="2" max="2" width="25.42578125" style="867" bestFit="1" customWidth="1"/>
    <col min="3" max="3" width="7" style="804" bestFit="1" customWidth="1"/>
    <col min="4" max="4" width="9.7109375" style="806" bestFit="1" customWidth="1"/>
    <col min="5" max="5" width="14.140625" style="806" customWidth="1"/>
    <col min="6" max="6" width="11.28515625" style="806" bestFit="1" customWidth="1"/>
    <col min="7" max="7" width="7" style="806" bestFit="1" customWidth="1"/>
    <col min="8" max="8" width="9.7109375" style="806" bestFit="1" customWidth="1"/>
    <col min="9" max="9" width="14.7109375" style="804" bestFit="1" customWidth="1"/>
    <col min="10" max="10" width="11.28515625" style="804" bestFit="1" customWidth="1"/>
    <col min="11" max="11" width="7" style="804" customWidth="1"/>
    <col min="12" max="12" width="9.7109375" style="806" customWidth="1"/>
    <col min="13" max="13" width="14.7109375" style="806" customWidth="1"/>
    <col min="14" max="14" width="11.28515625" style="806" customWidth="1"/>
    <col min="15" max="15" width="7" style="804" customWidth="1"/>
    <col min="16" max="16" width="9.7109375" style="806" customWidth="1"/>
    <col min="17" max="17" width="14.7109375" style="806" customWidth="1"/>
    <col min="18" max="18" width="11.28515625" style="806" customWidth="1"/>
    <col min="19" max="19" width="7" style="804" customWidth="1"/>
    <col min="20" max="20" width="9.7109375" style="806" customWidth="1"/>
    <col min="21" max="21" width="14.7109375" style="806" customWidth="1"/>
    <col min="22" max="22" width="11.28515625" style="806" customWidth="1"/>
    <col min="23" max="23" width="7" style="804" customWidth="1"/>
    <col min="24" max="24" width="9.7109375" style="806" customWidth="1"/>
    <col min="25" max="25" width="14.7109375" style="806" customWidth="1"/>
    <col min="26" max="26" width="11.28515625" style="806" customWidth="1"/>
    <col min="27" max="27" width="7" style="804" customWidth="1"/>
    <col min="28" max="28" width="9.7109375" style="806" customWidth="1"/>
    <col min="29" max="29" width="14.7109375" style="806" customWidth="1"/>
    <col min="30" max="30" width="11.28515625" style="806" customWidth="1"/>
    <col min="31" max="31" width="7" style="804" customWidth="1"/>
    <col min="32" max="32" width="9.7109375" style="806" customWidth="1"/>
    <col min="33" max="33" width="14.7109375" style="806" customWidth="1"/>
    <col min="34" max="34" width="11.28515625" style="806" customWidth="1"/>
    <col min="35" max="35" width="7" style="804" customWidth="1"/>
    <col min="36" max="36" width="9.7109375" style="806" customWidth="1"/>
    <col min="37" max="37" width="14.7109375" style="806" customWidth="1"/>
    <col min="38" max="38" width="11.28515625" style="806" customWidth="1"/>
    <col min="39" max="39" width="7" style="804" customWidth="1"/>
    <col min="40" max="40" width="9.7109375" style="804" customWidth="1"/>
    <col min="41" max="41" width="14.7109375" style="804" customWidth="1"/>
    <col min="42" max="42" width="11.28515625" style="804" customWidth="1"/>
    <col min="43" max="43" width="13.5703125" style="804" bestFit="1" customWidth="1"/>
    <col min="44" max="44" width="11.7109375" style="806" bestFit="1" customWidth="1"/>
    <col min="45" max="45" width="14.7109375" style="806" bestFit="1" customWidth="1"/>
    <col min="46" max="46" width="11.7109375" style="806" bestFit="1" customWidth="1"/>
    <col min="47" max="47" width="24" style="804" bestFit="1" customWidth="1"/>
    <col min="48" max="48" width="22.7109375" style="804" bestFit="1" customWidth="1"/>
    <col min="49" max="49" width="9" style="901" bestFit="1" customWidth="1"/>
    <col min="50" max="50" width="6.42578125" style="804" customWidth="1"/>
    <col min="51" max="51" width="22.7109375" style="805" bestFit="1" customWidth="1"/>
    <col min="52" max="52" width="8.28515625" style="804" bestFit="1" customWidth="1"/>
    <col min="53" max="53" width="7.7109375" style="804" bestFit="1" customWidth="1"/>
    <col min="54" max="54" width="8.28515625" style="804" bestFit="1" customWidth="1"/>
    <col min="55" max="55" width="8.7109375" style="804" bestFit="1" customWidth="1"/>
    <col min="56" max="56" width="7.7109375" style="804" bestFit="1" customWidth="1"/>
    <col min="57" max="57" width="7.7109375" style="804" customWidth="1"/>
    <col min="58" max="58" width="10.5703125" style="807" bestFit="1" customWidth="1"/>
    <col min="59" max="59" width="11.5703125" style="807" bestFit="1" customWidth="1"/>
    <col min="60" max="60" width="9.85546875" style="807" customWidth="1"/>
    <col min="61" max="61" width="8.42578125" style="807" bestFit="1" customWidth="1"/>
    <col min="62" max="62" width="9.85546875" style="804" hidden="1" customWidth="1"/>
    <col min="63" max="63" width="8.28515625" style="807" hidden="1" customWidth="1"/>
    <col min="64" max="64" width="7.7109375" style="807" hidden="1" customWidth="1"/>
    <col min="65" max="65" width="8.7109375" style="807" bestFit="1" customWidth="1"/>
    <col min="66" max="66" width="7.7109375" style="807" bestFit="1" customWidth="1"/>
    <col min="67" max="67" width="3.28515625" style="807" bestFit="1" customWidth="1"/>
    <col min="68" max="68" width="10.5703125" style="807" bestFit="1" customWidth="1"/>
    <col min="69" max="69" width="9.85546875" style="807" bestFit="1" customWidth="1"/>
    <col min="70" max="70" width="5.85546875" style="807" bestFit="1" customWidth="1"/>
    <col min="71" max="71" width="9" style="807" bestFit="1" customWidth="1"/>
    <col min="72" max="16384" width="9.140625" style="807"/>
  </cols>
  <sheetData>
    <row r="1" spans="2:63" ht="24" thickBot="1"/>
    <row r="2" spans="2:63" ht="36.75" customHeight="1" thickBot="1">
      <c r="B2" s="1717" t="s">
        <v>277</v>
      </c>
      <c r="C2" s="1718"/>
      <c r="D2" s="1718"/>
      <c r="E2" s="1718"/>
      <c r="F2" s="1718"/>
      <c r="G2" s="1681"/>
      <c r="H2" s="1681"/>
      <c r="I2" s="1681"/>
      <c r="J2" s="1681"/>
      <c r="K2" s="1681"/>
      <c r="L2" s="1681"/>
      <c r="M2" s="1681"/>
      <c r="N2" s="1681"/>
      <c r="O2" s="1681"/>
      <c r="P2" s="1681"/>
      <c r="Q2" s="1681"/>
      <c r="R2" s="1681"/>
      <c r="S2" s="1681"/>
      <c r="T2" s="1681"/>
      <c r="U2" s="1681"/>
      <c r="V2" s="1681"/>
      <c r="W2" s="1681"/>
      <c r="X2" s="1681"/>
      <c r="Y2" s="1681"/>
      <c r="Z2" s="1681"/>
      <c r="AA2" s="1681"/>
      <c r="AB2" s="1681"/>
      <c r="AC2" s="1681"/>
      <c r="AD2" s="1681"/>
      <c r="AE2" s="1681"/>
      <c r="AF2" s="1681"/>
      <c r="AG2" s="1681"/>
      <c r="AH2" s="1681"/>
      <c r="AI2" s="1681"/>
      <c r="AJ2" s="1681"/>
      <c r="AK2" s="1681"/>
      <c r="AL2" s="1681"/>
      <c r="AM2" s="1681"/>
      <c r="AN2" s="1681"/>
      <c r="AO2" s="1681"/>
      <c r="AP2" s="1681"/>
      <c r="AQ2" s="1681"/>
      <c r="AR2" s="1681"/>
      <c r="AS2" s="808"/>
      <c r="AT2" s="808"/>
      <c r="AU2" s="808"/>
      <c r="AV2" s="809"/>
      <c r="AW2" s="902"/>
      <c r="AX2" s="810"/>
      <c r="AY2" s="1701" t="s">
        <v>399</v>
      </c>
      <c r="AZ2" s="1702"/>
      <c r="BA2" s="1702"/>
      <c r="BB2" s="1702"/>
      <c r="BC2" s="1702"/>
      <c r="BD2" s="1702"/>
      <c r="BE2" s="1702"/>
      <c r="BF2" s="1703"/>
      <c r="BG2" s="1703"/>
      <c r="BH2" s="1703"/>
      <c r="BI2" s="1704"/>
      <c r="BJ2" s="1681"/>
      <c r="BK2" s="1682"/>
    </row>
    <row r="3" spans="2:63" ht="24" customHeight="1" thickBot="1">
      <c r="B3" s="1719" t="s">
        <v>0</v>
      </c>
      <c r="C3" s="1721" t="s">
        <v>85</v>
      </c>
      <c r="D3" s="1722"/>
      <c r="E3" s="1722"/>
      <c r="F3" s="1723"/>
      <c r="G3" s="1721" t="s">
        <v>86</v>
      </c>
      <c r="H3" s="1722"/>
      <c r="I3" s="1722"/>
      <c r="J3" s="1723"/>
      <c r="K3" s="1721" t="s">
        <v>88</v>
      </c>
      <c r="L3" s="1722"/>
      <c r="M3" s="1722"/>
      <c r="N3" s="1723"/>
      <c r="O3" s="1721" t="s">
        <v>84</v>
      </c>
      <c r="P3" s="1722"/>
      <c r="Q3" s="1722"/>
      <c r="R3" s="1723"/>
      <c r="S3" s="1721" t="s">
        <v>358</v>
      </c>
      <c r="T3" s="1722"/>
      <c r="U3" s="1722"/>
      <c r="V3" s="1723"/>
      <c r="W3" s="1721" t="s">
        <v>88</v>
      </c>
      <c r="X3" s="1722"/>
      <c r="Y3" s="1722"/>
      <c r="Z3" s="1723"/>
      <c r="AA3" s="1721"/>
      <c r="AB3" s="1722"/>
      <c r="AC3" s="1722"/>
      <c r="AD3" s="1723"/>
      <c r="AE3" s="1721"/>
      <c r="AF3" s="1722"/>
      <c r="AG3" s="1722"/>
      <c r="AH3" s="1723"/>
      <c r="AI3" s="1721"/>
      <c r="AJ3" s="1722"/>
      <c r="AK3" s="1722"/>
      <c r="AL3" s="1723"/>
      <c r="AM3" s="1721" t="s">
        <v>92</v>
      </c>
      <c r="AN3" s="1722"/>
      <c r="AO3" s="1722"/>
      <c r="AP3" s="1723"/>
      <c r="AQ3" s="1724" t="s">
        <v>265</v>
      </c>
      <c r="AR3" s="1725"/>
      <c r="AS3" s="1725"/>
      <c r="AT3" s="1726"/>
      <c r="AU3" s="1713" t="s">
        <v>255</v>
      </c>
      <c r="AV3" s="1715" t="s">
        <v>256</v>
      </c>
      <c r="AW3" s="903"/>
      <c r="AX3" s="811"/>
      <c r="AY3" s="1705" t="s">
        <v>0</v>
      </c>
      <c r="AZ3" s="1556" t="s">
        <v>85</v>
      </c>
      <c r="BA3" s="1556" t="s">
        <v>86</v>
      </c>
      <c r="BB3" s="1556" t="s">
        <v>88</v>
      </c>
      <c r="BC3" s="1556" t="s">
        <v>89</v>
      </c>
      <c r="BD3" s="1556" t="s">
        <v>90</v>
      </c>
      <c r="BE3" s="1556" t="s">
        <v>92</v>
      </c>
      <c r="BF3" s="1707" t="s">
        <v>191</v>
      </c>
      <c r="BG3" s="1709" t="s">
        <v>207</v>
      </c>
      <c r="BH3" s="1711" t="s">
        <v>270</v>
      </c>
      <c r="BI3" s="1711"/>
      <c r="BJ3" s="1727" t="s">
        <v>259</v>
      </c>
      <c r="BK3" s="760" t="s">
        <v>188</v>
      </c>
    </row>
    <row r="4" spans="2:63" ht="24" thickBot="1">
      <c r="B4" s="1720"/>
      <c r="C4" s="812" t="s">
        <v>1</v>
      </c>
      <c r="D4" s="813" t="s">
        <v>2</v>
      </c>
      <c r="E4" s="813" t="s">
        <v>187</v>
      </c>
      <c r="F4" s="814" t="s">
        <v>247</v>
      </c>
      <c r="G4" s="812" t="s">
        <v>1</v>
      </c>
      <c r="H4" s="813" t="s">
        <v>2</v>
      </c>
      <c r="I4" s="813" t="s">
        <v>187</v>
      </c>
      <c r="J4" s="814" t="s">
        <v>247</v>
      </c>
      <c r="K4" s="812" t="s">
        <v>1</v>
      </c>
      <c r="L4" s="813" t="s">
        <v>2</v>
      </c>
      <c r="M4" s="813" t="s">
        <v>187</v>
      </c>
      <c r="N4" s="814" t="s">
        <v>247</v>
      </c>
      <c r="O4" s="812" t="s">
        <v>1</v>
      </c>
      <c r="P4" s="813" t="s">
        <v>2</v>
      </c>
      <c r="Q4" s="813" t="s">
        <v>187</v>
      </c>
      <c r="R4" s="814" t="s">
        <v>247</v>
      </c>
      <c r="S4" s="812" t="s">
        <v>1</v>
      </c>
      <c r="T4" s="813" t="s">
        <v>2</v>
      </c>
      <c r="U4" s="813" t="s">
        <v>187</v>
      </c>
      <c r="V4" s="814" t="s">
        <v>247</v>
      </c>
      <c r="W4" s="815" t="s">
        <v>1</v>
      </c>
      <c r="X4" s="816" t="s">
        <v>2</v>
      </c>
      <c r="Y4" s="817" t="s">
        <v>187</v>
      </c>
      <c r="Z4" s="818" t="s">
        <v>247</v>
      </c>
      <c r="AA4" s="815" t="s">
        <v>1</v>
      </c>
      <c r="AB4" s="816" t="s">
        <v>2</v>
      </c>
      <c r="AC4" s="817" t="s">
        <v>187</v>
      </c>
      <c r="AD4" s="818" t="s">
        <v>247</v>
      </c>
      <c r="AE4" s="815" t="s">
        <v>1</v>
      </c>
      <c r="AF4" s="816" t="s">
        <v>2</v>
      </c>
      <c r="AG4" s="817" t="s">
        <v>187</v>
      </c>
      <c r="AH4" s="818" t="s">
        <v>247</v>
      </c>
      <c r="AI4" s="815" t="s">
        <v>1</v>
      </c>
      <c r="AJ4" s="816" t="s">
        <v>2</v>
      </c>
      <c r="AK4" s="817" t="s">
        <v>187</v>
      </c>
      <c r="AL4" s="818" t="s">
        <v>247</v>
      </c>
      <c r="AM4" s="815" t="s">
        <v>1</v>
      </c>
      <c r="AN4" s="816" t="s">
        <v>2</v>
      </c>
      <c r="AO4" s="817" t="s">
        <v>187</v>
      </c>
      <c r="AP4" s="818" t="s">
        <v>247</v>
      </c>
      <c r="AQ4" s="819" t="s">
        <v>1</v>
      </c>
      <c r="AR4" s="820" t="s">
        <v>2</v>
      </c>
      <c r="AS4" s="820" t="s">
        <v>187</v>
      </c>
      <c r="AT4" s="820" t="s">
        <v>247</v>
      </c>
      <c r="AU4" s="1714"/>
      <c r="AV4" s="1716"/>
      <c r="AW4" s="904"/>
      <c r="AX4" s="811"/>
      <c r="AY4" s="1706"/>
      <c r="AZ4" s="1556" t="s">
        <v>52</v>
      </c>
      <c r="BA4" s="1556" t="s">
        <v>53</v>
      </c>
      <c r="BB4" s="1556" t="s">
        <v>3</v>
      </c>
      <c r="BC4" s="1556" t="s">
        <v>50</v>
      </c>
      <c r="BD4" s="1556" t="s">
        <v>51</v>
      </c>
      <c r="BE4" s="1556" t="s">
        <v>52</v>
      </c>
      <c r="BF4" s="1708"/>
      <c r="BG4" s="1710"/>
      <c r="BH4" s="1712"/>
      <c r="BI4" s="1712"/>
      <c r="BJ4" s="1728"/>
      <c r="BK4" s="761"/>
    </row>
    <row r="5" spans="2:63">
      <c r="B5" s="868" t="s">
        <v>4</v>
      </c>
      <c r="C5" s="536">
        <f>'24'!$J$26</f>
        <v>51</v>
      </c>
      <c r="D5" s="535">
        <f>'24'!$K$26</f>
        <v>26.85</v>
      </c>
      <c r="E5" s="535">
        <f>'24'!$L$26</f>
        <v>4.8499999999999996</v>
      </c>
      <c r="F5" s="658">
        <f>'24'!$M$26</f>
        <v>0</v>
      </c>
      <c r="G5" s="536">
        <f>'25'!$J$26</f>
        <v>60</v>
      </c>
      <c r="H5" s="535">
        <f>'25'!$K$26</f>
        <v>46.05</v>
      </c>
      <c r="I5" s="535">
        <f>'25'!$L$26</f>
        <v>6.05</v>
      </c>
      <c r="J5" s="658">
        <f>'25'!$M$26</f>
        <v>21.3</v>
      </c>
      <c r="K5" s="536">
        <f>'27'!$J$26</f>
        <v>76</v>
      </c>
      <c r="L5" s="535">
        <f>'27'!$K$26</f>
        <v>63.16</v>
      </c>
      <c r="M5" s="535">
        <f>'27'!$L$26</f>
        <v>52.16</v>
      </c>
      <c r="N5" s="658">
        <f>'27'!$M$26</f>
        <v>42</v>
      </c>
      <c r="O5" s="536">
        <f>'28'!$J$26</f>
        <v>100</v>
      </c>
      <c r="P5" s="535">
        <f>'28'!$K$26</f>
        <v>80.7</v>
      </c>
      <c r="Q5" s="535">
        <f>'28'!$L$26</f>
        <v>5.2</v>
      </c>
      <c r="R5" s="658">
        <f>'28'!$M$26</f>
        <v>0</v>
      </c>
      <c r="S5" s="536"/>
      <c r="T5" s="535"/>
      <c r="U5" s="535"/>
      <c r="V5" s="658"/>
      <c r="W5" s="742"/>
      <c r="X5" s="743"/>
      <c r="Y5" s="743"/>
      <c r="Z5" s="658"/>
      <c r="AA5" s="821"/>
      <c r="AB5" s="822"/>
      <c r="AC5" s="822"/>
      <c r="AD5" s="824"/>
      <c r="AE5" s="821"/>
      <c r="AF5" s="822"/>
      <c r="AG5" s="823"/>
      <c r="AH5" s="824"/>
      <c r="AI5" s="821"/>
      <c r="AJ5" s="822"/>
      <c r="AK5" s="823"/>
      <c r="AL5" s="824"/>
      <c r="AM5" s="821"/>
      <c r="AN5" s="822"/>
      <c r="AO5" s="823"/>
      <c r="AP5" s="824"/>
      <c r="AQ5" s="894">
        <f>C5+AA5+K5+O5+S5+G5+AE5+AI5+W5+AM5</f>
        <v>287</v>
      </c>
      <c r="AR5" s="894">
        <f>D5+AB5+L5+P5+T5+H5+AF5+AJ5+X5+AN5</f>
        <v>216.76</v>
      </c>
      <c r="AS5" s="894">
        <f>E5+AC5+M5+Q5+U5+I5+AG5+AK5+Y5+AO5</f>
        <v>68.260000000000005</v>
      </c>
      <c r="AT5" s="894">
        <f>F5+AD5+N5+R5+V5+J5+AH5+AL5+Z5+AP5</f>
        <v>63.3</v>
      </c>
      <c r="AU5" s="825">
        <f>AQ5-AS5</f>
        <v>218.74</v>
      </c>
      <c r="AV5" s="826">
        <f>AR5-AS5</f>
        <v>148.5</v>
      </c>
      <c r="AW5" s="879">
        <f>AS5+AT5</f>
        <v>131.56</v>
      </c>
      <c r="AX5" s="866"/>
      <c r="AY5" s="672" t="s">
        <v>4</v>
      </c>
      <c r="AZ5" s="825">
        <v>27</v>
      </c>
      <c r="BA5" s="825">
        <v>60</v>
      </c>
      <c r="BB5" s="825">
        <v>100</v>
      </c>
      <c r="BC5" s="825">
        <v>100</v>
      </c>
      <c r="BD5" s="825">
        <v>80</v>
      </c>
      <c r="BE5" s="825">
        <v>120</v>
      </c>
      <c r="BF5" s="1554">
        <f>SUM(AZ5:BE5)</f>
        <v>487</v>
      </c>
      <c r="BG5" s="987">
        <f t="shared" ref="BG5:BG16" si="0">BF5/BF$18</f>
        <v>0.22011299435028248</v>
      </c>
      <c r="BH5" s="995"/>
      <c r="BI5" s="1239"/>
      <c r="BJ5" s="1233">
        <v>800</v>
      </c>
      <c r="BK5" s="673">
        <f>BJ5-BF5</f>
        <v>313</v>
      </c>
    </row>
    <row r="6" spans="2:63">
      <c r="B6" s="869" t="s">
        <v>5</v>
      </c>
      <c r="C6" s="473">
        <f>'24'!$N$26</f>
        <v>9</v>
      </c>
      <c r="D6" s="474">
        <f>'24'!$O$26</f>
        <v>10.5</v>
      </c>
      <c r="E6" s="474">
        <f>'24'!$P$26</f>
        <v>10.5</v>
      </c>
      <c r="F6" s="533">
        <f>'24'!$Q$26</f>
        <v>0</v>
      </c>
      <c r="G6" s="473">
        <f>'25'!$N$26</f>
        <v>21</v>
      </c>
      <c r="H6" s="474">
        <f>'25'!$O$26</f>
        <v>17.149999999999999</v>
      </c>
      <c r="I6" s="474">
        <f>'25'!$P$26</f>
        <v>0</v>
      </c>
      <c r="J6" s="533">
        <f>'25'!$Q$26</f>
        <v>19.16</v>
      </c>
      <c r="K6" s="473">
        <f>'27'!$N$26</f>
        <v>30</v>
      </c>
      <c r="L6" s="474">
        <f>'27'!$O$26</f>
        <v>9.9600000000000009</v>
      </c>
      <c r="M6" s="474">
        <f>'27'!$P$26</f>
        <v>2</v>
      </c>
      <c r="N6" s="533">
        <f>'27'!$Q$26</f>
        <v>17.399999999999999</v>
      </c>
      <c r="O6" s="473">
        <f>'28'!$N$26</f>
        <v>30</v>
      </c>
      <c r="P6" s="474">
        <f>'28'!$O$26</f>
        <v>27</v>
      </c>
      <c r="Q6" s="474">
        <f>'28'!$P$26</f>
        <v>27</v>
      </c>
      <c r="R6" s="533">
        <f>'28'!$Q$26</f>
        <v>0</v>
      </c>
      <c r="S6" s="473"/>
      <c r="T6" s="474"/>
      <c r="U6" s="474"/>
      <c r="V6" s="533"/>
      <c r="W6" s="473"/>
      <c r="X6" s="474"/>
      <c r="Y6" s="474"/>
      <c r="Z6" s="533"/>
      <c r="AA6" s="827"/>
      <c r="AB6" s="828"/>
      <c r="AC6" s="828"/>
      <c r="AD6" s="830"/>
      <c r="AE6" s="827"/>
      <c r="AF6" s="828"/>
      <c r="AG6" s="829"/>
      <c r="AH6" s="830"/>
      <c r="AI6" s="827"/>
      <c r="AJ6" s="828"/>
      <c r="AK6" s="829"/>
      <c r="AL6" s="830"/>
      <c r="AM6" s="827"/>
      <c r="AN6" s="828"/>
      <c r="AO6" s="829"/>
      <c r="AP6" s="830"/>
      <c r="AQ6" s="895">
        <f t="shared" ref="AQ6:AT18" si="1">C6+AA6+K6+O6+S6+G6+AE6+AI6+W6+AM6</f>
        <v>90</v>
      </c>
      <c r="AR6" s="895">
        <f t="shared" si="1"/>
        <v>64.61</v>
      </c>
      <c r="AS6" s="895">
        <f t="shared" si="1"/>
        <v>39.5</v>
      </c>
      <c r="AT6" s="895">
        <f t="shared" si="1"/>
        <v>36.56</v>
      </c>
      <c r="AU6" s="825">
        <f t="shared" ref="AU6:AU15" si="2">AQ6-AS6</f>
        <v>50.5</v>
      </c>
      <c r="AV6" s="826">
        <f t="shared" ref="AV6:AV15" si="3">AR6-AS6</f>
        <v>25.11</v>
      </c>
      <c r="AW6" s="880">
        <f t="shared" ref="AW6:AW18" si="4">AS6+AT6</f>
        <v>76.06</v>
      </c>
      <c r="AX6" s="866"/>
      <c r="AY6" s="666" t="s">
        <v>5</v>
      </c>
      <c r="AZ6" s="825">
        <v>11</v>
      </c>
      <c r="BA6" s="825">
        <v>39</v>
      </c>
      <c r="BB6" s="825">
        <v>40</v>
      </c>
      <c r="BC6" s="825">
        <v>60</v>
      </c>
      <c r="BD6" s="825">
        <v>50</v>
      </c>
      <c r="BE6" s="825">
        <v>50</v>
      </c>
      <c r="BF6" s="1554">
        <f t="shared" ref="BF6:BF10" si="5">SUM(AZ6:BE6)</f>
        <v>250</v>
      </c>
      <c r="BG6" s="988">
        <f t="shared" si="0"/>
        <v>0.11299435028248588</v>
      </c>
      <c r="BH6" s="667"/>
      <c r="BI6" s="1240"/>
      <c r="BJ6" s="1234">
        <v>400</v>
      </c>
      <c r="BK6" s="667">
        <f t="shared" ref="BK6:BK15" si="6">BJ6-BF6</f>
        <v>150</v>
      </c>
    </row>
    <row r="7" spans="2:63">
      <c r="B7" s="869" t="s">
        <v>6</v>
      </c>
      <c r="C7" s="473">
        <f>'24'!$R$26</f>
        <v>3.5</v>
      </c>
      <c r="D7" s="474">
        <f>'24'!$S$26</f>
        <v>0</v>
      </c>
      <c r="E7" s="474">
        <f>'24'!$T$26</f>
        <v>0</v>
      </c>
      <c r="F7" s="533">
        <f>'24'!$U$26</f>
        <v>0</v>
      </c>
      <c r="G7" s="473">
        <f>'25'!$R$26</f>
        <v>15</v>
      </c>
      <c r="H7" s="474">
        <f>'25'!$S$26</f>
        <v>9.5</v>
      </c>
      <c r="I7" s="474">
        <f>'25'!$T$26</f>
        <v>4.5</v>
      </c>
      <c r="J7" s="533">
        <f>'25'!$U$26</f>
        <v>0</v>
      </c>
      <c r="K7" s="473">
        <f>'27'!$R$26</f>
        <v>15</v>
      </c>
      <c r="L7" s="474">
        <f>'27'!$S$26</f>
        <v>7.2</v>
      </c>
      <c r="M7" s="474">
        <f>'27'!$T$26</f>
        <v>2.2000000000000002</v>
      </c>
      <c r="N7" s="533">
        <f>'27'!$U$26</f>
        <v>0</v>
      </c>
      <c r="O7" s="473">
        <f>'28'!$R$26</f>
        <v>25</v>
      </c>
      <c r="P7" s="474">
        <f>'28'!$S$26</f>
        <v>1.5</v>
      </c>
      <c r="Q7" s="474">
        <f>'28'!$T$26</f>
        <v>1.5</v>
      </c>
      <c r="R7" s="533">
        <f>'28'!$U$26</f>
        <v>5</v>
      </c>
      <c r="S7" s="473"/>
      <c r="T7" s="474"/>
      <c r="U7" s="474"/>
      <c r="V7" s="533"/>
      <c r="W7" s="473"/>
      <c r="X7" s="474"/>
      <c r="Y7" s="474"/>
      <c r="Z7" s="533"/>
      <c r="AA7" s="827"/>
      <c r="AB7" s="828"/>
      <c r="AC7" s="828"/>
      <c r="AD7" s="830"/>
      <c r="AE7" s="827"/>
      <c r="AF7" s="828"/>
      <c r="AG7" s="829"/>
      <c r="AH7" s="830"/>
      <c r="AI7" s="827"/>
      <c r="AJ7" s="828"/>
      <c r="AK7" s="829"/>
      <c r="AL7" s="830"/>
      <c r="AM7" s="827"/>
      <c r="AN7" s="828"/>
      <c r="AO7" s="829"/>
      <c r="AP7" s="830"/>
      <c r="AQ7" s="895">
        <f t="shared" si="1"/>
        <v>58.5</v>
      </c>
      <c r="AR7" s="895">
        <f t="shared" si="1"/>
        <v>18.2</v>
      </c>
      <c r="AS7" s="895">
        <f t="shared" si="1"/>
        <v>8.1999999999999993</v>
      </c>
      <c r="AT7" s="895">
        <f t="shared" si="1"/>
        <v>5</v>
      </c>
      <c r="AU7" s="825">
        <f t="shared" si="2"/>
        <v>50.3</v>
      </c>
      <c r="AV7" s="826">
        <f t="shared" si="3"/>
        <v>10</v>
      </c>
      <c r="AW7" s="880">
        <f t="shared" si="4"/>
        <v>13.2</v>
      </c>
      <c r="AX7" s="866"/>
      <c r="AY7" s="666" t="s">
        <v>6</v>
      </c>
      <c r="AZ7" s="825"/>
      <c r="BA7" s="825">
        <v>15</v>
      </c>
      <c r="BB7" s="825">
        <v>15</v>
      </c>
      <c r="BC7" s="825">
        <v>20</v>
      </c>
      <c r="BD7" s="825">
        <v>20</v>
      </c>
      <c r="BE7" s="825">
        <v>30</v>
      </c>
      <c r="BF7" s="1554">
        <f t="shared" si="5"/>
        <v>100</v>
      </c>
      <c r="BG7" s="988">
        <f t="shared" si="0"/>
        <v>4.519774011299435E-2</v>
      </c>
      <c r="BH7" s="667">
        <v>5</v>
      </c>
      <c r="BI7" s="1240"/>
      <c r="BJ7" s="1234">
        <v>200</v>
      </c>
      <c r="BK7" s="667">
        <f t="shared" si="6"/>
        <v>100</v>
      </c>
    </row>
    <row r="8" spans="2:63">
      <c r="B8" s="869" t="s">
        <v>7</v>
      </c>
      <c r="C8" s="473">
        <f>'24'!$V$26</f>
        <v>8</v>
      </c>
      <c r="D8" s="474">
        <f>'24'!$W$26</f>
        <v>2</v>
      </c>
      <c r="E8" s="474">
        <f>'24'!$X$26</f>
        <v>1</v>
      </c>
      <c r="F8" s="533">
        <f>'24'!$Y$26</f>
        <v>0</v>
      </c>
      <c r="G8" s="473">
        <f>'25'!$V$26</f>
        <v>10</v>
      </c>
      <c r="H8" s="474">
        <f>'25'!$W$26</f>
        <v>7</v>
      </c>
      <c r="I8" s="474">
        <f>'25'!$X$26</f>
        <v>0</v>
      </c>
      <c r="J8" s="533">
        <f>'25'!$Y$26</f>
        <v>0</v>
      </c>
      <c r="K8" s="473">
        <f>'27'!$V$26</f>
        <v>17</v>
      </c>
      <c r="L8" s="474">
        <f>'27'!$W$26</f>
        <v>13.5</v>
      </c>
      <c r="M8" s="474">
        <f>'27'!$X$26</f>
        <v>1.5</v>
      </c>
      <c r="N8" s="533">
        <f>'27'!$Y$26</f>
        <v>6</v>
      </c>
      <c r="O8" s="473">
        <f>'28'!$V$26</f>
        <v>10</v>
      </c>
      <c r="P8" s="474">
        <f>'28'!$W$26</f>
        <v>9</v>
      </c>
      <c r="Q8" s="474">
        <f>'28'!$X$26</f>
        <v>9</v>
      </c>
      <c r="R8" s="533">
        <f>'28'!$Y$26</f>
        <v>0</v>
      </c>
      <c r="S8" s="473"/>
      <c r="T8" s="474"/>
      <c r="U8" s="474"/>
      <c r="V8" s="533"/>
      <c r="W8" s="473"/>
      <c r="X8" s="474"/>
      <c r="Y8" s="474"/>
      <c r="Z8" s="533"/>
      <c r="AA8" s="827"/>
      <c r="AB8" s="828"/>
      <c r="AC8" s="828"/>
      <c r="AD8" s="830"/>
      <c r="AE8" s="827"/>
      <c r="AF8" s="828"/>
      <c r="AG8" s="829"/>
      <c r="AH8" s="830"/>
      <c r="AI8" s="827"/>
      <c r="AJ8" s="828"/>
      <c r="AK8" s="829"/>
      <c r="AL8" s="830"/>
      <c r="AM8" s="827"/>
      <c r="AN8" s="828"/>
      <c r="AO8" s="829"/>
      <c r="AP8" s="830"/>
      <c r="AQ8" s="895">
        <f t="shared" si="1"/>
        <v>45</v>
      </c>
      <c r="AR8" s="895">
        <f t="shared" si="1"/>
        <v>31.5</v>
      </c>
      <c r="AS8" s="895">
        <f t="shared" si="1"/>
        <v>11.5</v>
      </c>
      <c r="AT8" s="895">
        <f t="shared" si="1"/>
        <v>6</v>
      </c>
      <c r="AU8" s="825">
        <f t="shared" si="2"/>
        <v>33.5</v>
      </c>
      <c r="AV8" s="826">
        <f t="shared" si="3"/>
        <v>20</v>
      </c>
      <c r="AW8" s="880">
        <f t="shared" si="4"/>
        <v>17.5</v>
      </c>
      <c r="AX8" s="866"/>
      <c r="AY8" s="666" t="s">
        <v>7</v>
      </c>
      <c r="AZ8" s="825">
        <v>2</v>
      </c>
      <c r="BA8" s="825">
        <v>10</v>
      </c>
      <c r="BB8" s="825">
        <v>30</v>
      </c>
      <c r="BC8" s="825">
        <v>45</v>
      </c>
      <c r="BD8" s="825">
        <v>55</v>
      </c>
      <c r="BE8" s="825">
        <v>55</v>
      </c>
      <c r="BF8" s="1554">
        <f t="shared" si="5"/>
        <v>197</v>
      </c>
      <c r="BG8" s="988">
        <f t="shared" si="0"/>
        <v>8.9039548022598863E-2</v>
      </c>
      <c r="BH8" s="667"/>
      <c r="BI8" s="1240"/>
      <c r="BJ8" s="1234">
        <v>400</v>
      </c>
      <c r="BK8" s="667">
        <f t="shared" si="6"/>
        <v>203</v>
      </c>
    </row>
    <row r="9" spans="2:63">
      <c r="B9" s="869" t="s">
        <v>8</v>
      </c>
      <c r="C9" s="473">
        <f>'24'!$Z$26</f>
        <v>0</v>
      </c>
      <c r="D9" s="474">
        <f>'24'!$AA$26</f>
        <v>0</v>
      </c>
      <c r="E9" s="474">
        <f>'24'!$AB$26</f>
        <v>0</v>
      </c>
      <c r="F9" s="533">
        <f>'24'!$AC$26</f>
        <v>0</v>
      </c>
      <c r="G9" s="473">
        <f>'25'!$Z$26</f>
        <v>5</v>
      </c>
      <c r="H9" s="474">
        <f>'25'!$AA$26</f>
        <v>0</v>
      </c>
      <c r="I9" s="474">
        <f>'25'!$AB$26</f>
        <v>0</v>
      </c>
      <c r="J9" s="533">
        <f>'25'!$AC$26</f>
        <v>0</v>
      </c>
      <c r="K9" s="473">
        <f>'27'!$Z$26</f>
        <v>2</v>
      </c>
      <c r="L9" s="474">
        <f>'27'!$AA$26</f>
        <v>0</v>
      </c>
      <c r="M9" s="474">
        <f>'27'!$AB$26</f>
        <v>0</v>
      </c>
      <c r="N9" s="533">
        <f>'27'!$AC$26</f>
        <v>0</v>
      </c>
      <c r="O9" s="473">
        <f>'28'!$Z$26</f>
        <v>0</v>
      </c>
      <c r="P9" s="474">
        <f>'28'!$AA$26</f>
        <v>0</v>
      </c>
      <c r="Q9" s="474">
        <f>'28'!$AB$26</f>
        <v>0</v>
      </c>
      <c r="R9" s="533">
        <f>'28'!$AC$26</f>
        <v>0</v>
      </c>
      <c r="S9" s="473"/>
      <c r="T9" s="474"/>
      <c r="U9" s="474"/>
      <c r="V9" s="533"/>
      <c r="W9" s="473"/>
      <c r="X9" s="474"/>
      <c r="Y9" s="474"/>
      <c r="Z9" s="533"/>
      <c r="AA9" s="827"/>
      <c r="AB9" s="828"/>
      <c r="AC9" s="828"/>
      <c r="AD9" s="830"/>
      <c r="AE9" s="827"/>
      <c r="AF9" s="828"/>
      <c r="AG9" s="829"/>
      <c r="AH9" s="830"/>
      <c r="AI9" s="827"/>
      <c r="AJ9" s="828"/>
      <c r="AK9" s="829"/>
      <c r="AL9" s="830"/>
      <c r="AM9" s="827"/>
      <c r="AN9" s="828"/>
      <c r="AO9" s="829"/>
      <c r="AP9" s="830"/>
      <c r="AQ9" s="895">
        <f t="shared" si="1"/>
        <v>7</v>
      </c>
      <c r="AR9" s="895">
        <f t="shared" si="1"/>
        <v>0</v>
      </c>
      <c r="AS9" s="895">
        <f t="shared" si="1"/>
        <v>0</v>
      </c>
      <c r="AT9" s="895">
        <f t="shared" si="1"/>
        <v>0</v>
      </c>
      <c r="AU9" s="825">
        <f t="shared" si="2"/>
        <v>7</v>
      </c>
      <c r="AV9" s="826">
        <f t="shared" si="3"/>
        <v>0</v>
      </c>
      <c r="AW9" s="880">
        <f t="shared" si="4"/>
        <v>0</v>
      </c>
      <c r="AX9" s="866"/>
      <c r="AY9" s="666" t="s">
        <v>8</v>
      </c>
      <c r="AZ9" s="825"/>
      <c r="BA9" s="825">
        <v>5</v>
      </c>
      <c r="BB9" s="825">
        <v>7</v>
      </c>
      <c r="BC9" s="825">
        <v>8</v>
      </c>
      <c r="BD9" s="825">
        <v>12</v>
      </c>
      <c r="BE9" s="825">
        <v>15</v>
      </c>
      <c r="BF9" s="1554">
        <f t="shared" si="5"/>
        <v>47</v>
      </c>
      <c r="BG9" s="988">
        <f t="shared" si="0"/>
        <v>2.1242937853107345E-2</v>
      </c>
      <c r="BH9" s="667"/>
      <c r="BI9" s="1240"/>
      <c r="BJ9" s="1234">
        <v>100</v>
      </c>
      <c r="BK9" s="667">
        <f t="shared" si="6"/>
        <v>53</v>
      </c>
    </row>
    <row r="10" spans="2:63">
      <c r="B10" s="870" t="s">
        <v>9</v>
      </c>
      <c r="C10" s="475">
        <f>'24'!$AD$26</f>
        <v>10</v>
      </c>
      <c r="D10" s="484">
        <f>'24'!$AE$26</f>
        <v>0</v>
      </c>
      <c r="E10" s="484">
        <f>'24'!$AF$26</f>
        <v>0</v>
      </c>
      <c r="F10" s="534">
        <f>'24'!$AG$26</f>
        <v>0</v>
      </c>
      <c r="G10" s="475">
        <f>'25'!$AD$26</f>
        <v>20</v>
      </c>
      <c r="H10" s="484">
        <f>'25'!$AE$26</f>
        <v>0</v>
      </c>
      <c r="I10" s="484">
        <f>'25'!$AF$26</f>
        <v>0</v>
      </c>
      <c r="J10" s="534">
        <f>'25'!$AG$26</f>
        <v>0</v>
      </c>
      <c r="K10" s="475">
        <f>'27'!$AD$26</f>
        <v>40</v>
      </c>
      <c r="L10" s="484">
        <f>'27'!$AE$26</f>
        <v>30</v>
      </c>
      <c r="M10" s="484">
        <f>'27'!$AF$26</f>
        <v>0</v>
      </c>
      <c r="N10" s="534">
        <f>'27'!$AG$26</f>
        <v>0</v>
      </c>
      <c r="O10" s="475">
        <f>'28'!$AD$26</f>
        <v>60</v>
      </c>
      <c r="P10" s="484">
        <f>'28'!$AE$26</f>
        <v>25</v>
      </c>
      <c r="Q10" s="484">
        <f>'28'!$AF$26</f>
        <v>25</v>
      </c>
      <c r="R10" s="534">
        <f>'28'!$AG$26</f>
        <v>0</v>
      </c>
      <c r="S10" s="475"/>
      <c r="T10" s="484"/>
      <c r="U10" s="484"/>
      <c r="V10" s="534"/>
      <c r="W10" s="475"/>
      <c r="X10" s="484"/>
      <c r="Y10" s="484"/>
      <c r="Z10" s="534"/>
      <c r="AA10" s="831"/>
      <c r="AB10" s="832"/>
      <c r="AC10" s="832"/>
      <c r="AD10" s="834"/>
      <c r="AE10" s="831"/>
      <c r="AF10" s="832"/>
      <c r="AG10" s="833"/>
      <c r="AH10" s="834"/>
      <c r="AI10" s="831"/>
      <c r="AJ10" s="832"/>
      <c r="AK10" s="833"/>
      <c r="AL10" s="834"/>
      <c r="AM10" s="831"/>
      <c r="AN10" s="832"/>
      <c r="AO10" s="833"/>
      <c r="AP10" s="834"/>
      <c r="AQ10" s="896">
        <f t="shared" si="1"/>
        <v>130</v>
      </c>
      <c r="AR10" s="896">
        <f t="shared" si="1"/>
        <v>55</v>
      </c>
      <c r="AS10" s="896">
        <f t="shared" si="1"/>
        <v>25</v>
      </c>
      <c r="AT10" s="896">
        <f t="shared" si="1"/>
        <v>0</v>
      </c>
      <c r="AU10" s="825">
        <f t="shared" si="2"/>
        <v>105</v>
      </c>
      <c r="AV10" s="826">
        <f t="shared" si="3"/>
        <v>30</v>
      </c>
      <c r="AW10" s="881">
        <f t="shared" si="4"/>
        <v>25</v>
      </c>
      <c r="AX10" s="866"/>
      <c r="AY10" s="668" t="s">
        <v>9</v>
      </c>
      <c r="AZ10" s="825"/>
      <c r="BA10" s="825">
        <v>20</v>
      </c>
      <c r="BB10" s="825">
        <v>60</v>
      </c>
      <c r="BC10" s="825">
        <v>70</v>
      </c>
      <c r="BD10" s="825">
        <v>80</v>
      </c>
      <c r="BE10" s="825">
        <v>70</v>
      </c>
      <c r="BF10" s="1554">
        <f t="shared" si="5"/>
        <v>300</v>
      </c>
      <c r="BG10" s="989">
        <f t="shared" si="0"/>
        <v>0.13559322033898305</v>
      </c>
      <c r="BH10" s="669"/>
      <c r="BI10" s="1241"/>
      <c r="BJ10" s="1235">
        <v>600</v>
      </c>
      <c r="BK10" s="669">
        <f t="shared" si="6"/>
        <v>300</v>
      </c>
    </row>
    <row r="11" spans="2:63">
      <c r="B11" s="871" t="s">
        <v>10</v>
      </c>
      <c r="C11" s="531">
        <f>SUM(C5:C10)</f>
        <v>81.5</v>
      </c>
      <c r="D11" s="531">
        <f t="shared" ref="D11:F11" si="7">SUM(D5:D10)</f>
        <v>39.35</v>
      </c>
      <c r="E11" s="531">
        <f t="shared" si="7"/>
        <v>16.350000000000001</v>
      </c>
      <c r="F11" s="531">
        <f t="shared" si="7"/>
        <v>0</v>
      </c>
      <c r="G11" s="531">
        <f>SUM(G5:G10)</f>
        <v>131</v>
      </c>
      <c r="H11" s="531">
        <f t="shared" ref="H11:J11" si="8">SUM(H5:H10)</f>
        <v>79.699999999999989</v>
      </c>
      <c r="I11" s="531">
        <f t="shared" si="8"/>
        <v>10.55</v>
      </c>
      <c r="J11" s="531">
        <f t="shared" si="8"/>
        <v>40.46</v>
      </c>
      <c r="K11" s="531">
        <f>SUM(K5:K10)</f>
        <v>180</v>
      </c>
      <c r="L11" s="531">
        <f t="shared" ref="L11:N11" si="9">SUM(L5:L10)</f>
        <v>123.82000000000001</v>
      </c>
      <c r="M11" s="531">
        <f t="shared" si="9"/>
        <v>57.86</v>
      </c>
      <c r="N11" s="531">
        <f t="shared" si="9"/>
        <v>65.400000000000006</v>
      </c>
      <c r="O11" s="531">
        <f>SUM(O5:O10)</f>
        <v>225</v>
      </c>
      <c r="P11" s="531">
        <f t="shared" ref="P11:R11" si="10">SUM(P5:P10)</f>
        <v>143.19999999999999</v>
      </c>
      <c r="Q11" s="531">
        <f t="shared" si="10"/>
        <v>67.7</v>
      </c>
      <c r="R11" s="531">
        <f t="shared" si="10"/>
        <v>5</v>
      </c>
      <c r="S11" s="531"/>
      <c r="T11" s="531"/>
      <c r="U11" s="531"/>
      <c r="V11" s="531"/>
      <c r="W11" s="478"/>
      <c r="X11" s="478"/>
      <c r="Y11" s="478"/>
      <c r="Z11" s="478"/>
      <c r="AA11" s="882"/>
      <c r="AB11" s="883"/>
      <c r="AC11" s="883"/>
      <c r="AD11" s="884"/>
      <c r="AE11" s="835"/>
      <c r="AF11" s="836"/>
      <c r="AG11" s="837"/>
      <c r="AH11" s="838"/>
      <c r="AI11" s="835"/>
      <c r="AJ11" s="836"/>
      <c r="AK11" s="837"/>
      <c r="AL11" s="838"/>
      <c r="AM11" s="835"/>
      <c r="AN11" s="836"/>
      <c r="AO11" s="837"/>
      <c r="AP11" s="838"/>
      <c r="AQ11" s="897">
        <f t="shared" si="1"/>
        <v>617.5</v>
      </c>
      <c r="AR11" s="897">
        <f t="shared" si="1"/>
        <v>386.07</v>
      </c>
      <c r="AS11" s="897">
        <f t="shared" si="1"/>
        <v>152.46000000000004</v>
      </c>
      <c r="AT11" s="897">
        <f t="shared" si="1"/>
        <v>110.86000000000001</v>
      </c>
      <c r="AU11" s="839">
        <f t="shared" ref="AU11:AV11" si="11">SUM(AU5:AU10)</f>
        <v>465.04</v>
      </c>
      <c r="AV11" s="840">
        <f t="shared" si="11"/>
        <v>233.61</v>
      </c>
      <c r="AW11" s="884">
        <f t="shared" si="4"/>
        <v>263.32000000000005</v>
      </c>
      <c r="AX11" s="866"/>
      <c r="AY11" s="670" t="s">
        <v>10</v>
      </c>
      <c r="AZ11" s="1557">
        <f>SUM(AZ5:AZ10)</f>
        <v>40</v>
      </c>
      <c r="BA11" s="1557">
        <f t="shared" ref="BA11:BE11" si="12">SUM(BA5:BA10)</f>
        <v>149</v>
      </c>
      <c r="BB11" s="1557">
        <f t="shared" si="12"/>
        <v>252</v>
      </c>
      <c r="BC11" s="1557">
        <f t="shared" si="12"/>
        <v>303</v>
      </c>
      <c r="BD11" s="1557">
        <f t="shared" si="12"/>
        <v>297</v>
      </c>
      <c r="BE11" s="1557">
        <f t="shared" si="12"/>
        <v>340</v>
      </c>
      <c r="BF11" s="1557">
        <f>SUM(BF5:BF10)</f>
        <v>1381</v>
      </c>
      <c r="BG11" s="990">
        <f t="shared" si="0"/>
        <v>0.62418079096045198</v>
      </c>
      <c r="BH11" s="765">
        <f>SUM(BH5:BH10)</f>
        <v>5</v>
      </c>
      <c r="BI11" s="1242">
        <f>SUM(BI5:BI10)</f>
        <v>0</v>
      </c>
      <c r="BJ11" s="1236">
        <f>SUM(BJ5:BJ10)</f>
        <v>2500</v>
      </c>
      <c r="BK11" s="671">
        <f>SUM(BK5:BK10)</f>
        <v>1119</v>
      </c>
    </row>
    <row r="12" spans="2:63">
      <c r="B12" s="872" t="s">
        <v>11</v>
      </c>
      <c r="C12" s="475">
        <f>'24'!$AL$26</f>
        <v>22</v>
      </c>
      <c r="D12" s="484">
        <f>'24'!$AM$26</f>
        <v>29.83</v>
      </c>
      <c r="E12" s="484">
        <f>'24'!$AN$26</f>
        <v>29.8</v>
      </c>
      <c r="F12" s="534">
        <f>'24'!$AO$26</f>
        <v>17.7</v>
      </c>
      <c r="G12" s="475">
        <f>'25'!$AL$26</f>
        <v>22.5</v>
      </c>
      <c r="H12" s="484">
        <f>'25'!$AM$26</f>
        <v>23</v>
      </c>
      <c r="I12" s="484">
        <f>'25'!$AN$26</f>
        <v>0</v>
      </c>
      <c r="J12" s="534">
        <f>'25'!$AO$26</f>
        <v>0</v>
      </c>
      <c r="K12" s="475">
        <f>'27'!$AL$26</f>
        <v>6</v>
      </c>
      <c r="L12" s="484">
        <f>'27'!$AM$26</f>
        <v>9</v>
      </c>
      <c r="M12" s="484">
        <f>'27'!$AN$26</f>
        <v>0</v>
      </c>
      <c r="N12" s="534">
        <f>'27'!$AO$26</f>
        <v>20</v>
      </c>
      <c r="O12" s="475">
        <f>'28'!$AL$26</f>
        <v>172</v>
      </c>
      <c r="P12" s="484">
        <f>'28'!$AM$26</f>
        <v>174.5</v>
      </c>
      <c r="Q12" s="484">
        <f>'28'!$AN$26</f>
        <v>4.5</v>
      </c>
      <c r="R12" s="534">
        <f>'28'!$AO$26</f>
        <v>8</v>
      </c>
      <c r="S12" s="475"/>
      <c r="T12" s="484"/>
      <c r="U12" s="484"/>
      <c r="V12" s="534"/>
      <c r="W12" s="475"/>
      <c r="X12" s="484"/>
      <c r="Y12" s="484"/>
      <c r="Z12" s="534"/>
      <c r="AA12" s="831"/>
      <c r="AB12" s="832"/>
      <c r="AC12" s="832"/>
      <c r="AD12" s="834"/>
      <c r="AE12" s="831"/>
      <c r="AF12" s="832"/>
      <c r="AG12" s="833"/>
      <c r="AH12" s="834"/>
      <c r="AI12" s="831"/>
      <c r="AJ12" s="832"/>
      <c r="AK12" s="833"/>
      <c r="AL12" s="834"/>
      <c r="AM12" s="831"/>
      <c r="AN12" s="832"/>
      <c r="AO12" s="833"/>
      <c r="AP12" s="834"/>
      <c r="AQ12" s="898">
        <f t="shared" si="1"/>
        <v>222.5</v>
      </c>
      <c r="AR12" s="898">
        <f t="shared" si="1"/>
        <v>236.32999999999998</v>
      </c>
      <c r="AS12" s="896">
        <f t="shared" si="1"/>
        <v>34.299999999999997</v>
      </c>
      <c r="AT12" s="898">
        <f t="shared" si="1"/>
        <v>45.7</v>
      </c>
      <c r="AU12" s="825">
        <f t="shared" si="2"/>
        <v>188.2</v>
      </c>
      <c r="AV12" s="826">
        <f t="shared" si="3"/>
        <v>202.02999999999997</v>
      </c>
      <c r="AW12" s="881">
        <f t="shared" si="4"/>
        <v>80</v>
      </c>
      <c r="AX12" s="866"/>
      <c r="AY12" s="672" t="s">
        <v>11</v>
      </c>
      <c r="AZ12" s="825">
        <v>30</v>
      </c>
      <c r="BA12" s="825">
        <v>21</v>
      </c>
      <c r="BB12" s="825">
        <v>33.5</v>
      </c>
      <c r="BC12" s="825">
        <v>172</v>
      </c>
      <c r="BD12" s="825">
        <v>60</v>
      </c>
      <c r="BE12" s="825">
        <v>34</v>
      </c>
      <c r="BF12" s="1554">
        <f>SUM(AZ12:BE12)</f>
        <v>350.5</v>
      </c>
      <c r="BG12" s="987">
        <f t="shared" si="0"/>
        <v>0.15841807909604519</v>
      </c>
      <c r="BH12" s="673"/>
      <c r="BI12" s="1239"/>
      <c r="BJ12" s="1233">
        <v>800</v>
      </c>
      <c r="BK12" s="673">
        <f t="shared" si="6"/>
        <v>449.5</v>
      </c>
    </row>
    <row r="13" spans="2:63">
      <c r="B13" s="869" t="s">
        <v>12</v>
      </c>
      <c r="C13" s="475">
        <f>'24'!$AP$26</f>
        <v>15</v>
      </c>
      <c r="D13" s="484">
        <f>'24'!$AQ$26</f>
        <v>0</v>
      </c>
      <c r="E13" s="484">
        <f>'24'!$AR$26</f>
        <v>0</v>
      </c>
      <c r="F13" s="534">
        <f>'24'!$AS$26</f>
        <v>0</v>
      </c>
      <c r="G13" s="475">
        <f>'25'!$AP$26</f>
        <v>5</v>
      </c>
      <c r="H13" s="484">
        <f>'25'!$AQ$26</f>
        <v>0.4</v>
      </c>
      <c r="I13" s="484">
        <f>'25'!$AR$26</f>
        <v>0.4</v>
      </c>
      <c r="J13" s="534">
        <f>'25'!$AS$26</f>
        <v>0</v>
      </c>
      <c r="K13" s="475">
        <f>'27'!$AP$26</f>
        <v>16</v>
      </c>
      <c r="L13" s="484">
        <f>'27'!$AQ$26</f>
        <v>16</v>
      </c>
      <c r="M13" s="484">
        <f>'27'!$AR$26</f>
        <v>1</v>
      </c>
      <c r="N13" s="534">
        <f>'27'!$AS$26</f>
        <v>0</v>
      </c>
      <c r="O13" s="475">
        <f>'28'!$AP$26</f>
        <v>10</v>
      </c>
      <c r="P13" s="484">
        <f>'28'!$AQ$26</f>
        <v>8</v>
      </c>
      <c r="Q13" s="484">
        <f>'28'!$AR$26</f>
        <v>0</v>
      </c>
      <c r="R13" s="534">
        <f>'28'!$AS$26</f>
        <v>0</v>
      </c>
      <c r="S13" s="475"/>
      <c r="T13" s="484"/>
      <c r="U13" s="484"/>
      <c r="V13" s="534"/>
      <c r="W13" s="475"/>
      <c r="X13" s="484"/>
      <c r="Y13" s="484"/>
      <c r="Z13" s="534"/>
      <c r="AA13" s="831"/>
      <c r="AB13" s="832"/>
      <c r="AC13" s="832"/>
      <c r="AD13" s="834"/>
      <c r="AE13" s="831"/>
      <c r="AF13" s="832"/>
      <c r="AG13" s="833"/>
      <c r="AH13" s="834"/>
      <c r="AI13" s="831"/>
      <c r="AJ13" s="832"/>
      <c r="AK13" s="833"/>
      <c r="AL13" s="834"/>
      <c r="AM13" s="831"/>
      <c r="AN13" s="832"/>
      <c r="AO13" s="833"/>
      <c r="AP13" s="834"/>
      <c r="AQ13" s="898">
        <f t="shared" si="1"/>
        <v>46</v>
      </c>
      <c r="AR13" s="898">
        <f t="shared" si="1"/>
        <v>24.4</v>
      </c>
      <c r="AS13" s="896">
        <f t="shared" si="1"/>
        <v>1.4</v>
      </c>
      <c r="AT13" s="898">
        <f t="shared" si="1"/>
        <v>0</v>
      </c>
      <c r="AU13" s="825">
        <f t="shared" si="2"/>
        <v>44.6</v>
      </c>
      <c r="AV13" s="826">
        <f t="shared" si="3"/>
        <v>23</v>
      </c>
      <c r="AW13" s="881">
        <f t="shared" si="4"/>
        <v>1.4</v>
      </c>
      <c r="AX13" s="866"/>
      <c r="AY13" s="666" t="s">
        <v>12</v>
      </c>
      <c r="AZ13" s="825"/>
      <c r="BA13" s="825">
        <v>5</v>
      </c>
      <c r="BB13" s="825">
        <v>20</v>
      </c>
      <c r="BC13" s="825">
        <v>25</v>
      </c>
      <c r="BD13" s="825">
        <v>15</v>
      </c>
      <c r="BE13" s="825">
        <v>35</v>
      </c>
      <c r="BF13" s="1474">
        <f>SUM(AZ13:BE13)</f>
        <v>100</v>
      </c>
      <c r="BG13" s="988">
        <f t="shared" si="0"/>
        <v>4.519774011299435E-2</v>
      </c>
      <c r="BH13" s="667"/>
      <c r="BI13" s="1240"/>
      <c r="BJ13" s="1234">
        <v>200</v>
      </c>
      <c r="BK13" s="667">
        <f t="shared" si="6"/>
        <v>100</v>
      </c>
    </row>
    <row r="14" spans="2:63">
      <c r="B14" s="869" t="s">
        <v>13</v>
      </c>
      <c r="C14" s="475">
        <f>'24'!$AT$26</f>
        <v>8</v>
      </c>
      <c r="D14" s="484">
        <f>'24'!$AU$26</f>
        <v>3</v>
      </c>
      <c r="E14" s="484">
        <f>'24'!$AV$26</f>
        <v>3</v>
      </c>
      <c r="F14" s="534">
        <f>'24'!$AW$26</f>
        <v>13</v>
      </c>
      <c r="G14" s="475">
        <f>'25'!$AT$26</f>
        <v>10</v>
      </c>
      <c r="H14" s="484">
        <f>'25'!$AU$26</f>
        <v>8</v>
      </c>
      <c r="I14" s="484">
        <f>'25'!$AV$26</f>
        <v>8</v>
      </c>
      <c r="J14" s="534">
        <f>'25'!$AW$26</f>
        <v>0</v>
      </c>
      <c r="K14" s="475">
        <f>'27'!$AT$26</f>
        <v>60</v>
      </c>
      <c r="L14" s="484">
        <f>'27'!$AU$26</f>
        <v>14.5</v>
      </c>
      <c r="M14" s="484">
        <f>'27'!$AV$26</f>
        <v>13.5</v>
      </c>
      <c r="N14" s="534">
        <f>'27'!$AW$26</f>
        <v>0</v>
      </c>
      <c r="O14" s="475">
        <f>'28'!$AT$26</f>
        <v>35</v>
      </c>
      <c r="P14" s="484">
        <f>'28'!$AU$26</f>
        <v>20</v>
      </c>
      <c r="Q14" s="484">
        <f>'28'!$AV$26</f>
        <v>0</v>
      </c>
      <c r="R14" s="534">
        <f>'28'!$AW$26</f>
        <v>0</v>
      </c>
      <c r="S14" s="475"/>
      <c r="T14" s="484"/>
      <c r="U14" s="484"/>
      <c r="V14" s="534"/>
      <c r="W14" s="475"/>
      <c r="X14" s="484"/>
      <c r="Y14" s="484"/>
      <c r="Z14" s="534"/>
      <c r="AA14" s="831"/>
      <c r="AB14" s="832"/>
      <c r="AC14" s="832"/>
      <c r="AD14" s="834"/>
      <c r="AE14" s="831"/>
      <c r="AF14" s="832"/>
      <c r="AG14" s="833"/>
      <c r="AH14" s="834"/>
      <c r="AI14" s="831"/>
      <c r="AJ14" s="832"/>
      <c r="AK14" s="833"/>
      <c r="AL14" s="834"/>
      <c r="AM14" s="831"/>
      <c r="AN14" s="832"/>
      <c r="AO14" s="833"/>
      <c r="AP14" s="834"/>
      <c r="AQ14" s="898">
        <f t="shared" si="1"/>
        <v>113</v>
      </c>
      <c r="AR14" s="896">
        <f t="shared" si="1"/>
        <v>45.5</v>
      </c>
      <c r="AS14" s="896">
        <f t="shared" si="1"/>
        <v>24.5</v>
      </c>
      <c r="AT14" s="896">
        <f t="shared" si="1"/>
        <v>13</v>
      </c>
      <c r="AU14" s="825">
        <f t="shared" si="2"/>
        <v>88.5</v>
      </c>
      <c r="AV14" s="826">
        <f t="shared" si="3"/>
        <v>21</v>
      </c>
      <c r="AW14" s="881">
        <f t="shared" si="4"/>
        <v>37.5</v>
      </c>
      <c r="AX14" s="866"/>
      <c r="AY14" s="666" t="s">
        <v>13</v>
      </c>
      <c r="AZ14" s="825">
        <v>3</v>
      </c>
      <c r="BA14" s="825">
        <v>10</v>
      </c>
      <c r="BB14" s="825">
        <v>60</v>
      </c>
      <c r="BC14" s="825">
        <v>75</v>
      </c>
      <c r="BD14" s="825">
        <v>100</v>
      </c>
      <c r="BE14" s="825">
        <v>52</v>
      </c>
      <c r="BF14" s="1474">
        <f>SUM(AZ14:BE14)</f>
        <v>300</v>
      </c>
      <c r="BG14" s="988">
        <f t="shared" si="0"/>
        <v>0.13559322033898305</v>
      </c>
      <c r="BH14" s="667">
        <v>13</v>
      </c>
      <c r="BI14" s="1240"/>
      <c r="BJ14" s="1234">
        <v>600</v>
      </c>
      <c r="BK14" s="667">
        <f t="shared" si="6"/>
        <v>300</v>
      </c>
    </row>
    <row r="15" spans="2:63">
      <c r="B15" s="870" t="s">
        <v>14</v>
      </c>
      <c r="C15" s="475">
        <f>'24'!$AX$26</f>
        <v>0</v>
      </c>
      <c r="D15" s="484">
        <f>'24'!$AY$26</f>
        <v>0</v>
      </c>
      <c r="E15" s="484">
        <f>'24'!$AZ$26</f>
        <v>0</v>
      </c>
      <c r="F15" s="534">
        <f>'24'!$BA$26</f>
        <v>20</v>
      </c>
      <c r="G15" s="475">
        <f>'25'!$AX$26</f>
        <v>6</v>
      </c>
      <c r="H15" s="484">
        <f>'25'!$AY$26</f>
        <v>0</v>
      </c>
      <c r="I15" s="484">
        <f>'25'!$AZ$26</f>
        <v>0</v>
      </c>
      <c r="J15" s="534">
        <f>'25'!$BA$26</f>
        <v>0</v>
      </c>
      <c r="K15" s="475">
        <f>'27'!$AX$26</f>
        <v>17</v>
      </c>
      <c r="L15" s="484">
        <f>'27'!$AY$26</f>
        <v>6</v>
      </c>
      <c r="M15" s="484">
        <f>'27'!$AZ$26</f>
        <v>6</v>
      </c>
      <c r="N15" s="534">
        <f>'27'!$BA$26</f>
        <v>0</v>
      </c>
      <c r="O15" s="475">
        <f>'28'!$AX$26</f>
        <v>7</v>
      </c>
      <c r="P15" s="484">
        <f>'28'!$AY$26</f>
        <v>17</v>
      </c>
      <c r="Q15" s="484">
        <f>'28'!$AZ$26</f>
        <v>10</v>
      </c>
      <c r="R15" s="534">
        <f>'28'!$BA$26</f>
        <v>0</v>
      </c>
      <c r="S15" s="475"/>
      <c r="T15" s="484"/>
      <c r="U15" s="484"/>
      <c r="V15" s="534"/>
      <c r="W15" s="475"/>
      <c r="X15" s="484"/>
      <c r="Y15" s="484"/>
      <c r="Z15" s="534"/>
      <c r="AA15" s="831"/>
      <c r="AB15" s="832"/>
      <c r="AC15" s="832"/>
      <c r="AD15" s="834"/>
      <c r="AE15" s="831"/>
      <c r="AF15" s="832"/>
      <c r="AG15" s="833"/>
      <c r="AH15" s="834"/>
      <c r="AI15" s="831"/>
      <c r="AJ15" s="832"/>
      <c r="AK15" s="833"/>
      <c r="AL15" s="834"/>
      <c r="AM15" s="831"/>
      <c r="AN15" s="832"/>
      <c r="AO15" s="833"/>
      <c r="AP15" s="834"/>
      <c r="AQ15" s="898">
        <f t="shared" si="1"/>
        <v>30</v>
      </c>
      <c r="AR15" s="898">
        <f t="shared" si="1"/>
        <v>23</v>
      </c>
      <c r="AS15" s="896">
        <f t="shared" si="1"/>
        <v>16</v>
      </c>
      <c r="AT15" s="896">
        <f t="shared" si="1"/>
        <v>20</v>
      </c>
      <c r="AU15" s="825">
        <f t="shared" si="2"/>
        <v>14</v>
      </c>
      <c r="AV15" s="826">
        <f t="shared" si="3"/>
        <v>7</v>
      </c>
      <c r="AW15" s="881">
        <f t="shared" si="4"/>
        <v>36</v>
      </c>
      <c r="AX15" s="866"/>
      <c r="AY15" s="668" t="s">
        <v>14</v>
      </c>
      <c r="AZ15" s="825"/>
      <c r="BA15" s="825"/>
      <c r="BB15" s="825">
        <v>17</v>
      </c>
      <c r="BC15" s="825">
        <v>7</v>
      </c>
      <c r="BD15" s="825">
        <v>44</v>
      </c>
      <c r="BE15" s="825">
        <v>13</v>
      </c>
      <c r="BF15" s="1555">
        <f>SUM(AZ15:BE15)</f>
        <v>81</v>
      </c>
      <c r="BG15" s="989">
        <f t="shared" si="0"/>
        <v>3.6610169491525422E-2</v>
      </c>
      <c r="BH15" s="669">
        <v>20</v>
      </c>
      <c r="BI15" s="1241"/>
      <c r="BJ15" s="1235">
        <v>250</v>
      </c>
      <c r="BK15" s="669">
        <f t="shared" si="6"/>
        <v>169</v>
      </c>
    </row>
    <row r="16" spans="2:63" ht="24" thickBot="1">
      <c r="B16" s="873" t="s">
        <v>15</v>
      </c>
      <c r="C16" s="488">
        <f>SUM(C12:C15)</f>
        <v>45</v>
      </c>
      <c r="D16" s="488">
        <f t="shared" ref="D16:F16" si="13">SUM(D12:D15)</f>
        <v>32.83</v>
      </c>
      <c r="E16" s="488">
        <f t="shared" si="13"/>
        <v>32.799999999999997</v>
      </c>
      <c r="F16" s="488">
        <f t="shared" si="13"/>
        <v>50.7</v>
      </c>
      <c r="G16" s="488">
        <f>SUM(G12:G15)</f>
        <v>43.5</v>
      </c>
      <c r="H16" s="488">
        <f t="shared" ref="H16:J16" si="14">SUM(H12:H15)</f>
        <v>31.4</v>
      </c>
      <c r="I16" s="488">
        <f t="shared" si="14"/>
        <v>8.4</v>
      </c>
      <c r="J16" s="488">
        <f t="shared" si="14"/>
        <v>0</v>
      </c>
      <c r="K16" s="488">
        <f>SUM(K12:K15)</f>
        <v>99</v>
      </c>
      <c r="L16" s="488">
        <f t="shared" ref="L16:N16" si="15">SUM(L12:L15)</f>
        <v>45.5</v>
      </c>
      <c r="M16" s="488">
        <f t="shared" si="15"/>
        <v>20.5</v>
      </c>
      <c r="N16" s="488">
        <f t="shared" si="15"/>
        <v>20</v>
      </c>
      <c r="O16" s="488">
        <f>SUM(O12:O15)</f>
        <v>224</v>
      </c>
      <c r="P16" s="488">
        <f t="shared" ref="P16:R16" si="16">SUM(P12:P15)</f>
        <v>219.5</v>
      </c>
      <c r="Q16" s="488">
        <f t="shared" si="16"/>
        <v>14.5</v>
      </c>
      <c r="R16" s="488">
        <f t="shared" si="16"/>
        <v>8</v>
      </c>
      <c r="S16" s="488"/>
      <c r="T16" s="488"/>
      <c r="U16" s="488"/>
      <c r="V16" s="488"/>
      <c r="W16" s="488"/>
      <c r="X16" s="488"/>
      <c r="Y16" s="488">
        <f t="shared" ref="Y16:Z16" si="17">SUM(Y12:Y15)</f>
        <v>0</v>
      </c>
      <c r="Z16" s="488">
        <f t="shared" si="17"/>
        <v>0</v>
      </c>
      <c r="AA16" s="885"/>
      <c r="AB16" s="886"/>
      <c r="AC16" s="886"/>
      <c r="AD16" s="887"/>
      <c r="AE16" s="841"/>
      <c r="AF16" s="842"/>
      <c r="AG16" s="843"/>
      <c r="AH16" s="844"/>
      <c r="AI16" s="841"/>
      <c r="AJ16" s="842"/>
      <c r="AK16" s="843"/>
      <c r="AL16" s="844"/>
      <c r="AM16" s="841"/>
      <c r="AN16" s="842"/>
      <c r="AO16" s="843"/>
      <c r="AP16" s="844"/>
      <c r="AQ16" s="899">
        <f t="shared" si="1"/>
        <v>411.5</v>
      </c>
      <c r="AR16" s="1280">
        <f t="shared" si="1"/>
        <v>329.22999999999996</v>
      </c>
      <c r="AS16" s="1280">
        <f t="shared" si="1"/>
        <v>76.2</v>
      </c>
      <c r="AT16" s="1280">
        <f t="shared" si="1"/>
        <v>78.7</v>
      </c>
      <c r="AU16" s="845">
        <f t="shared" ref="AU16:AV16" si="18">SUM(AU12:AU15)</f>
        <v>335.29999999999995</v>
      </c>
      <c r="AV16" s="846">
        <f t="shared" si="18"/>
        <v>253.02999999999997</v>
      </c>
      <c r="AW16" s="887">
        <f t="shared" si="4"/>
        <v>154.9</v>
      </c>
      <c r="AX16" s="866"/>
      <c r="AY16" s="674" t="s">
        <v>15</v>
      </c>
      <c r="AZ16" s="675">
        <f t="shared" ref="AZ16:BE16" si="19">SUM(AZ12:AZ15)</f>
        <v>33</v>
      </c>
      <c r="BA16" s="675">
        <f t="shared" si="19"/>
        <v>36</v>
      </c>
      <c r="BB16" s="675">
        <f t="shared" si="19"/>
        <v>130.5</v>
      </c>
      <c r="BC16" s="675">
        <f t="shared" si="19"/>
        <v>279</v>
      </c>
      <c r="BD16" s="675">
        <f t="shared" si="19"/>
        <v>219</v>
      </c>
      <c r="BE16" s="675">
        <f t="shared" si="19"/>
        <v>134</v>
      </c>
      <c r="BF16" s="1244">
        <f>SUM(AZ16:BE16)</f>
        <v>831.5</v>
      </c>
      <c r="BG16" s="991">
        <f t="shared" si="0"/>
        <v>0.37581920903954802</v>
      </c>
      <c r="BH16" s="766">
        <f>SUM(BH12:BH15)</f>
        <v>33</v>
      </c>
      <c r="BI16" s="992">
        <f>SUM(BI12:BI15)</f>
        <v>0</v>
      </c>
      <c r="BJ16" s="1237">
        <f>SUM(BJ12:BJ15)</f>
        <v>1850</v>
      </c>
      <c r="BK16" s="675">
        <f>SUM(BK12:BK15)</f>
        <v>1018.5</v>
      </c>
    </row>
    <row r="17" spans="1:71" ht="23.25" hidden="1" customHeight="1">
      <c r="B17" s="874" t="s">
        <v>16</v>
      </c>
      <c r="C17" s="888"/>
      <c r="D17" s="889"/>
      <c r="E17" s="889"/>
      <c r="F17" s="890"/>
      <c r="G17" s="888"/>
      <c r="H17" s="889"/>
      <c r="I17" s="889"/>
      <c r="J17" s="890"/>
      <c r="K17" s="888"/>
      <c r="L17" s="889"/>
      <c r="M17" s="889"/>
      <c r="N17" s="890"/>
      <c r="O17" s="888"/>
      <c r="P17" s="889"/>
      <c r="Q17" s="889"/>
      <c r="R17" s="890"/>
      <c r="S17" s="888"/>
      <c r="T17" s="889"/>
      <c r="U17" s="889"/>
      <c r="V17" s="890"/>
      <c r="W17" s="888"/>
      <c r="X17" s="889"/>
      <c r="Y17" s="889"/>
      <c r="Z17" s="890"/>
      <c r="AA17" s="888"/>
      <c r="AB17" s="889"/>
      <c r="AC17" s="889"/>
      <c r="AD17" s="890"/>
      <c r="AE17" s="847"/>
      <c r="AF17" s="848"/>
      <c r="AG17" s="849"/>
      <c r="AH17" s="849"/>
      <c r="AI17" s="847"/>
      <c r="AJ17" s="848"/>
      <c r="AK17" s="849"/>
      <c r="AL17" s="849"/>
      <c r="AM17" s="847"/>
      <c r="AN17" s="848"/>
      <c r="AO17" s="849"/>
      <c r="AP17" s="849"/>
      <c r="AQ17" s="888"/>
      <c r="AR17" s="1281"/>
      <c r="AS17" s="1281"/>
      <c r="AT17" s="1281">
        <f t="shared" si="1"/>
        <v>0</v>
      </c>
      <c r="AU17" s="850"/>
      <c r="AV17" s="826"/>
      <c r="AW17" s="890">
        <f t="shared" si="4"/>
        <v>0</v>
      </c>
      <c r="AX17" s="866"/>
      <c r="AY17" s="674"/>
      <c r="AZ17" s="675"/>
      <c r="BA17" s="675"/>
      <c r="BB17" s="675"/>
      <c r="BC17" s="675"/>
      <c r="BD17" s="675"/>
      <c r="BE17" s="1464"/>
      <c r="BF17" s="992"/>
      <c r="BG17" s="992"/>
      <c r="BH17" s="676"/>
      <c r="BI17" s="992"/>
      <c r="BJ17" s="1237"/>
      <c r="BK17" s="675"/>
    </row>
    <row r="18" spans="1:71" ht="24" thickBot="1">
      <c r="B18" s="875" t="s">
        <v>17</v>
      </c>
      <c r="C18" s="891">
        <f t="shared" ref="C18:F18" si="20">C11+C16+C17</f>
        <v>126.5</v>
      </c>
      <c r="D18" s="892">
        <f t="shared" si="20"/>
        <v>72.180000000000007</v>
      </c>
      <c r="E18" s="892">
        <f t="shared" si="20"/>
        <v>49.15</v>
      </c>
      <c r="F18" s="893">
        <f t="shared" si="20"/>
        <v>50.7</v>
      </c>
      <c r="G18" s="891">
        <f t="shared" ref="G18:J18" si="21">G11+G16+G17</f>
        <v>174.5</v>
      </c>
      <c r="H18" s="892">
        <f t="shared" si="21"/>
        <v>111.1</v>
      </c>
      <c r="I18" s="892">
        <f t="shared" si="21"/>
        <v>18.950000000000003</v>
      </c>
      <c r="J18" s="893">
        <f t="shared" si="21"/>
        <v>40.46</v>
      </c>
      <c r="K18" s="891">
        <f t="shared" ref="K18:N18" si="22">K11+K16+K17</f>
        <v>279</v>
      </c>
      <c r="L18" s="892">
        <f t="shared" si="22"/>
        <v>169.32</v>
      </c>
      <c r="M18" s="892">
        <f t="shared" si="22"/>
        <v>78.36</v>
      </c>
      <c r="N18" s="893">
        <f t="shared" si="22"/>
        <v>85.4</v>
      </c>
      <c r="O18" s="891">
        <f t="shared" ref="O18:R18" si="23">O11+O16+O17</f>
        <v>449</v>
      </c>
      <c r="P18" s="892">
        <f t="shared" si="23"/>
        <v>362.7</v>
      </c>
      <c r="Q18" s="892">
        <f t="shared" si="23"/>
        <v>82.2</v>
      </c>
      <c r="R18" s="893">
        <f t="shared" si="23"/>
        <v>13</v>
      </c>
      <c r="S18" s="891">
        <f t="shared" ref="S18:AD18" si="24">S11+S16+S17</f>
        <v>0</v>
      </c>
      <c r="T18" s="892">
        <f t="shared" si="24"/>
        <v>0</v>
      </c>
      <c r="U18" s="892">
        <f t="shared" si="24"/>
        <v>0</v>
      </c>
      <c r="V18" s="893">
        <f t="shared" si="24"/>
        <v>0</v>
      </c>
      <c r="W18" s="891">
        <f t="shared" si="24"/>
        <v>0</v>
      </c>
      <c r="X18" s="892">
        <f t="shared" si="24"/>
        <v>0</v>
      </c>
      <c r="Y18" s="892">
        <f t="shared" si="24"/>
        <v>0</v>
      </c>
      <c r="Z18" s="893">
        <f t="shared" si="24"/>
        <v>0</v>
      </c>
      <c r="AA18" s="891">
        <f t="shared" si="24"/>
        <v>0</v>
      </c>
      <c r="AB18" s="892">
        <f t="shared" si="24"/>
        <v>0</v>
      </c>
      <c r="AC18" s="892">
        <f t="shared" si="24"/>
        <v>0</v>
      </c>
      <c r="AD18" s="893">
        <f t="shared" si="24"/>
        <v>0</v>
      </c>
      <c r="AE18" s="851">
        <f t="shared" ref="AE18:AP18" si="25">AE11+AE16+AE17</f>
        <v>0</v>
      </c>
      <c r="AF18" s="852">
        <f t="shared" si="25"/>
        <v>0</v>
      </c>
      <c r="AG18" s="853">
        <f t="shared" si="25"/>
        <v>0</v>
      </c>
      <c r="AH18" s="853">
        <f t="shared" si="25"/>
        <v>0</v>
      </c>
      <c r="AI18" s="851">
        <f t="shared" si="25"/>
        <v>0</v>
      </c>
      <c r="AJ18" s="852">
        <f t="shared" si="25"/>
        <v>0</v>
      </c>
      <c r="AK18" s="853">
        <f t="shared" si="25"/>
        <v>0</v>
      </c>
      <c r="AL18" s="853">
        <f t="shared" si="25"/>
        <v>0</v>
      </c>
      <c r="AM18" s="851">
        <f t="shared" si="25"/>
        <v>0</v>
      </c>
      <c r="AN18" s="852">
        <f t="shared" si="25"/>
        <v>0</v>
      </c>
      <c r="AO18" s="853">
        <f t="shared" si="25"/>
        <v>0</v>
      </c>
      <c r="AP18" s="853">
        <f t="shared" si="25"/>
        <v>0</v>
      </c>
      <c r="AQ18" s="900">
        <f t="shared" ref="AQ18:AS18" si="26">AQ11+AQ16+AQ17</f>
        <v>1029</v>
      </c>
      <c r="AR18" s="1282">
        <f t="shared" si="26"/>
        <v>715.3</v>
      </c>
      <c r="AS18" s="1282">
        <f t="shared" si="26"/>
        <v>228.66000000000003</v>
      </c>
      <c r="AT18" s="1282">
        <f t="shared" si="1"/>
        <v>189.56000000000003</v>
      </c>
      <c r="AU18" s="854">
        <f>AU11+AU16</f>
        <v>800.33999999999992</v>
      </c>
      <c r="AV18" s="855">
        <f>AV11+AV16</f>
        <v>486.64</v>
      </c>
      <c r="AW18" s="893">
        <f t="shared" si="4"/>
        <v>418.22</v>
      </c>
      <c r="AX18" s="866"/>
      <c r="AY18" s="767" t="s">
        <v>17</v>
      </c>
      <c r="AZ18" s="768">
        <f>AZ11+AZ16</f>
        <v>73</v>
      </c>
      <c r="BA18" s="768">
        <f t="shared" ref="BA18:BD18" si="27">BA11+BA16</f>
        <v>185</v>
      </c>
      <c r="BB18" s="768">
        <f t="shared" si="27"/>
        <v>382.5</v>
      </c>
      <c r="BC18" s="768">
        <f t="shared" si="27"/>
        <v>582</v>
      </c>
      <c r="BD18" s="768">
        <f t="shared" si="27"/>
        <v>516</v>
      </c>
      <c r="BE18" s="768">
        <f>BE11+BE16</f>
        <v>474</v>
      </c>
      <c r="BF18" s="1232">
        <f>SUM(AZ18:BE18)</f>
        <v>2212.5</v>
      </c>
      <c r="BG18" s="993"/>
      <c r="BH18" s="769">
        <f>BH11+BH16</f>
        <v>38</v>
      </c>
      <c r="BI18" s="1243">
        <f>BI11+BI16</f>
        <v>0</v>
      </c>
      <c r="BJ18" s="1238">
        <f>BJ11+BJ16</f>
        <v>4350</v>
      </c>
      <c r="BK18" s="768">
        <f>BK11+BK16</f>
        <v>2137.5</v>
      </c>
    </row>
    <row r="19" spans="1:71" s="770" customFormat="1" ht="33" customHeight="1">
      <c r="A19" s="804"/>
      <c r="B19" s="876"/>
      <c r="C19" s="857"/>
      <c r="D19" s="857"/>
      <c r="E19" s="857"/>
      <c r="F19" s="857"/>
      <c r="G19" s="858"/>
      <c r="H19" s="858"/>
      <c r="I19" s="857"/>
      <c r="J19" s="858"/>
      <c r="K19" s="857"/>
      <c r="L19" s="857"/>
      <c r="M19" s="857"/>
      <c r="N19" s="857"/>
      <c r="O19" s="857"/>
      <c r="P19" s="857"/>
      <c r="Q19" s="857"/>
      <c r="R19" s="857"/>
      <c r="S19" s="858"/>
      <c r="T19" s="858"/>
      <c r="U19" s="858"/>
      <c r="V19" s="858"/>
      <c r="W19" s="858"/>
      <c r="X19" s="858"/>
      <c r="Y19" s="858"/>
      <c r="Z19" s="858"/>
      <c r="AA19" s="857"/>
      <c r="AB19" s="857"/>
      <c r="AC19" s="857"/>
      <c r="AD19" s="857"/>
      <c r="AE19" s="859"/>
      <c r="AF19" s="860"/>
      <c r="AG19" s="860"/>
      <c r="AH19" s="860"/>
      <c r="AI19" s="859"/>
      <c r="AJ19" s="860"/>
      <c r="AK19" s="860"/>
      <c r="AL19" s="860"/>
      <c r="AM19" s="859"/>
      <c r="AN19" s="861"/>
      <c r="AO19" s="861"/>
      <c r="AP19" s="861"/>
      <c r="AQ19" s="861"/>
      <c r="AR19" s="860"/>
      <c r="AS19" s="860"/>
      <c r="AT19" s="860"/>
      <c r="AU19" s="861"/>
      <c r="AV19" s="861"/>
      <c r="AW19" s="877"/>
      <c r="AX19" s="861"/>
      <c r="BB19" s="1696" t="s">
        <v>248</v>
      </c>
      <c r="BC19" s="1697"/>
      <c r="BD19" s="1697"/>
      <c r="BE19" s="1463"/>
      <c r="BF19" s="1698">
        <f>BF18+BH18+BI18</f>
        <v>2250.5</v>
      </c>
      <c r="BG19" s="1699"/>
      <c r="BH19" s="1699"/>
      <c r="BI19" s="1700"/>
      <c r="BJ19" s="861"/>
      <c r="BL19" s="807"/>
      <c r="BM19" s="807"/>
      <c r="BN19" s="807"/>
      <c r="BO19" s="807"/>
      <c r="BP19" s="807"/>
      <c r="BQ19" s="807"/>
      <c r="BR19" s="807"/>
      <c r="BS19" s="807"/>
    </row>
    <row r="20" spans="1:71" s="770" customFormat="1">
      <c r="A20" s="804"/>
      <c r="B20" s="876"/>
      <c r="C20" s="857"/>
      <c r="D20" s="857"/>
      <c r="E20" s="857"/>
      <c r="F20" s="857"/>
      <c r="G20" s="858"/>
      <c r="H20" s="858"/>
      <c r="I20" s="858"/>
      <c r="J20" s="858"/>
      <c r="K20" s="857"/>
      <c r="L20" s="857"/>
      <c r="M20" s="857"/>
      <c r="N20" s="857"/>
      <c r="O20" s="857"/>
      <c r="P20" s="857"/>
      <c r="Q20" s="857"/>
      <c r="R20" s="857"/>
      <c r="S20" s="858"/>
      <c r="T20" s="858"/>
      <c r="U20" s="858"/>
      <c r="V20" s="858"/>
      <c r="W20" s="858"/>
      <c r="X20" s="858"/>
      <c r="Y20" s="858"/>
      <c r="Z20" s="858"/>
      <c r="AA20" s="857"/>
      <c r="AB20" s="857"/>
      <c r="AC20" s="857"/>
      <c r="AD20" s="857"/>
      <c r="AE20" s="861"/>
      <c r="AF20" s="860"/>
      <c r="AG20" s="860"/>
      <c r="AH20" s="860"/>
      <c r="AI20" s="861"/>
      <c r="AJ20" s="860"/>
      <c r="AK20" s="860"/>
      <c r="AL20" s="860"/>
      <c r="AM20" s="861"/>
      <c r="AN20" s="861"/>
      <c r="AO20" s="861"/>
      <c r="AP20" s="861"/>
      <c r="AQ20" s="861"/>
      <c r="AR20" s="860"/>
      <c r="AS20" s="860"/>
      <c r="AT20" s="860"/>
      <c r="AU20" s="861"/>
      <c r="AV20" s="861"/>
      <c r="AW20" s="877"/>
      <c r="AX20" s="861"/>
      <c r="AY20" s="856"/>
      <c r="AZ20" s="857"/>
      <c r="BA20" s="857"/>
      <c r="BB20" s="857"/>
      <c r="BC20" s="857"/>
      <c r="BD20" s="857"/>
      <c r="BE20" s="857"/>
      <c r="BF20" s="857"/>
      <c r="BG20" s="857"/>
      <c r="BJ20" s="861"/>
      <c r="BL20" s="807"/>
      <c r="BM20" s="807"/>
      <c r="BN20" s="807"/>
      <c r="BO20" s="807"/>
      <c r="BP20" s="807"/>
      <c r="BQ20" s="807"/>
      <c r="BR20" s="807"/>
      <c r="BS20" s="807"/>
    </row>
    <row r="21" spans="1:71" ht="24" thickBot="1">
      <c r="B21" s="877"/>
      <c r="C21" s="861"/>
      <c r="D21" s="860"/>
      <c r="E21" s="860"/>
      <c r="F21" s="860"/>
      <c r="G21" s="860"/>
      <c r="H21" s="860"/>
      <c r="I21" s="861"/>
      <c r="J21" s="861"/>
      <c r="K21" s="861"/>
      <c r="L21" s="860"/>
      <c r="M21" s="860"/>
      <c r="N21" s="860"/>
      <c r="O21" s="861"/>
      <c r="P21" s="860"/>
      <c r="Q21" s="860"/>
      <c r="R21" s="860"/>
      <c r="S21" s="861"/>
      <c r="T21" s="860"/>
      <c r="U21" s="860"/>
      <c r="V21" s="860"/>
      <c r="W21" s="861"/>
      <c r="X21" s="860"/>
      <c r="Y21" s="860"/>
      <c r="Z21" s="860"/>
      <c r="AA21" s="861"/>
      <c r="AB21" s="862"/>
      <c r="AC21" s="860"/>
      <c r="AD21" s="860"/>
      <c r="AE21" s="861"/>
      <c r="AF21" s="860"/>
      <c r="AG21" s="860"/>
      <c r="AH21" s="860"/>
      <c r="AI21" s="861"/>
      <c r="AJ21" s="860"/>
      <c r="AK21" s="860"/>
      <c r="AL21" s="860"/>
      <c r="AM21" s="861"/>
      <c r="AN21" s="861"/>
      <c r="AO21" s="861"/>
      <c r="AP21" s="861"/>
      <c r="AQ21" s="861"/>
      <c r="AR21" s="860"/>
      <c r="AS21" s="860"/>
      <c r="AT21" s="860"/>
      <c r="AU21" s="861"/>
      <c r="AV21" s="861"/>
      <c r="AW21" s="877"/>
      <c r="AX21" s="861"/>
      <c r="AY21" s="863"/>
      <c r="AZ21" s="863"/>
      <c r="BA21" s="863"/>
      <c r="BB21" s="863"/>
      <c r="BC21" s="863"/>
      <c r="BD21" s="863"/>
      <c r="BE21" s="863"/>
      <c r="BF21" s="863"/>
      <c r="BG21" s="863"/>
      <c r="BH21" s="863"/>
      <c r="BI21" s="863"/>
      <c r="BJ21" s="864"/>
      <c r="BK21" s="863"/>
    </row>
    <row r="22" spans="1:71" ht="27" thickBot="1">
      <c r="B22" s="878"/>
      <c r="C22" s="861"/>
      <c r="D22" s="860"/>
      <c r="E22" s="860"/>
      <c r="F22" s="860"/>
      <c r="G22" s="860"/>
      <c r="H22" s="860"/>
      <c r="I22" s="861"/>
      <c r="J22" s="861"/>
      <c r="K22" s="859"/>
      <c r="L22" s="860"/>
      <c r="M22" s="860"/>
      <c r="N22" s="860"/>
      <c r="O22" s="859"/>
      <c r="P22" s="860"/>
      <c r="Q22" s="860"/>
      <c r="R22" s="860"/>
      <c r="S22" s="861"/>
      <c r="T22" s="860"/>
      <c r="U22" s="860"/>
      <c r="V22" s="860"/>
      <c r="W22" s="861"/>
      <c r="X22" s="860"/>
      <c r="Y22" s="860"/>
      <c r="Z22" s="860"/>
      <c r="AA22" s="859"/>
      <c r="AB22" s="860"/>
      <c r="AC22" s="858"/>
      <c r="AD22" s="858"/>
      <c r="AE22" s="861"/>
      <c r="AF22" s="860"/>
      <c r="AG22" s="860"/>
      <c r="AH22" s="860"/>
      <c r="AI22" s="861"/>
      <c r="AJ22" s="860"/>
      <c r="AK22" s="860"/>
      <c r="AL22" s="860"/>
      <c r="AM22" s="861"/>
      <c r="AN22" s="861"/>
      <c r="AO22" s="861"/>
      <c r="AP22" s="861"/>
      <c r="AQ22" s="864"/>
      <c r="AR22" s="860"/>
      <c r="AS22" s="860"/>
      <c r="AT22" s="860"/>
      <c r="AU22" s="861"/>
      <c r="AV22" s="861"/>
      <c r="AW22" s="877"/>
      <c r="AX22" s="861"/>
      <c r="AY22" s="1701" t="s">
        <v>399</v>
      </c>
      <c r="AZ22" s="1702"/>
      <c r="BA22" s="1702"/>
      <c r="BB22" s="1702"/>
      <c r="BC22" s="1702"/>
      <c r="BD22" s="1702"/>
      <c r="BE22" s="1702"/>
      <c r="BF22" s="1703"/>
      <c r="BG22" s="1703"/>
      <c r="BH22" s="1703"/>
      <c r="BI22" s="1704"/>
    </row>
    <row r="23" spans="1:71">
      <c r="B23" s="878"/>
      <c r="C23" s="861"/>
      <c r="D23" s="860"/>
      <c r="E23" s="860"/>
      <c r="F23" s="860"/>
      <c r="G23" s="860"/>
      <c r="H23" s="860"/>
      <c r="I23" s="861"/>
      <c r="J23" s="861"/>
      <c r="K23" s="859"/>
      <c r="L23" s="860"/>
      <c r="M23" s="860"/>
      <c r="N23" s="860"/>
      <c r="O23" s="859"/>
      <c r="P23" s="860"/>
      <c r="Q23" s="860"/>
      <c r="R23" s="860"/>
      <c r="S23" s="861"/>
      <c r="T23" s="860"/>
      <c r="U23" s="860"/>
      <c r="V23" s="860"/>
      <c r="W23" s="861"/>
      <c r="X23" s="860"/>
      <c r="Y23" s="860"/>
      <c r="Z23" s="860"/>
      <c r="AA23" s="859"/>
      <c r="AB23" s="860"/>
      <c r="AC23" s="858"/>
      <c r="AD23" s="858"/>
      <c r="AE23" s="861"/>
      <c r="AF23" s="860"/>
      <c r="AG23" s="860"/>
      <c r="AH23" s="860"/>
      <c r="AI23" s="861"/>
      <c r="AJ23" s="860"/>
      <c r="AK23" s="860"/>
      <c r="AL23" s="860"/>
      <c r="AM23" s="861"/>
      <c r="AN23" s="861"/>
      <c r="AO23" s="861"/>
      <c r="AP23" s="861"/>
      <c r="AQ23" s="864"/>
      <c r="AR23" s="860"/>
      <c r="AS23" s="860"/>
      <c r="AT23" s="860"/>
      <c r="AU23" s="861"/>
      <c r="AV23" s="861"/>
      <c r="AW23" s="877"/>
      <c r="AX23" s="861"/>
      <c r="AY23" s="1705" t="s">
        <v>0</v>
      </c>
      <c r="AZ23" s="1556" t="s">
        <v>85</v>
      </c>
      <c r="BA23" s="1556" t="s">
        <v>86</v>
      </c>
      <c r="BB23" s="1556" t="s">
        <v>88</v>
      </c>
      <c r="BC23" s="1556" t="s">
        <v>89</v>
      </c>
      <c r="BD23" s="1556" t="s">
        <v>90</v>
      </c>
      <c r="BE23" s="1556" t="s">
        <v>92</v>
      </c>
      <c r="BF23" s="1707" t="s">
        <v>191</v>
      </c>
      <c r="BG23" s="1709" t="s">
        <v>207</v>
      </c>
      <c r="BH23" s="1711" t="s">
        <v>270</v>
      </c>
      <c r="BI23" s="1711"/>
    </row>
    <row r="24" spans="1:71">
      <c r="B24" s="878"/>
      <c r="C24" s="861"/>
      <c r="D24" s="860"/>
      <c r="E24" s="860"/>
      <c r="F24" s="860"/>
      <c r="G24" s="860"/>
      <c r="H24" s="860"/>
      <c r="I24" s="861"/>
      <c r="J24" s="861"/>
      <c r="K24" s="859"/>
      <c r="L24" s="860"/>
      <c r="M24" s="860"/>
      <c r="N24" s="860"/>
      <c r="O24" s="859"/>
      <c r="P24" s="860"/>
      <c r="Q24" s="860"/>
      <c r="R24" s="860"/>
      <c r="S24" s="861"/>
      <c r="T24" s="860"/>
      <c r="U24" s="860"/>
      <c r="V24" s="860"/>
      <c r="W24" s="861"/>
      <c r="X24" s="860"/>
      <c r="Y24" s="860"/>
      <c r="Z24" s="860"/>
      <c r="AA24" s="859"/>
      <c r="AB24" s="860"/>
      <c r="AC24" s="858"/>
      <c r="AD24" s="858"/>
      <c r="AE24" s="861"/>
      <c r="AF24" s="860"/>
      <c r="AG24" s="860"/>
      <c r="AH24" s="860"/>
      <c r="AI24" s="861"/>
      <c r="AJ24" s="860"/>
      <c r="AK24" s="860"/>
      <c r="AL24" s="860"/>
      <c r="AM24" s="861"/>
      <c r="AN24" s="861"/>
      <c r="AO24" s="861"/>
      <c r="AP24" s="861"/>
      <c r="AQ24" s="864"/>
      <c r="AR24" s="860"/>
      <c r="AS24" s="860"/>
      <c r="AT24" s="860"/>
      <c r="AU24" s="861"/>
      <c r="AV24" s="861"/>
      <c r="AW24" s="877"/>
      <c r="AX24" s="861"/>
      <c r="AY24" s="1706"/>
      <c r="AZ24" s="1556" t="s">
        <v>52</v>
      </c>
      <c r="BA24" s="1556" t="s">
        <v>53</v>
      </c>
      <c r="BB24" s="1556" t="s">
        <v>3</v>
      </c>
      <c r="BC24" s="1556" t="s">
        <v>50</v>
      </c>
      <c r="BD24" s="1556" t="s">
        <v>51</v>
      </c>
      <c r="BE24" s="1556" t="s">
        <v>52</v>
      </c>
      <c r="BF24" s="1708"/>
      <c r="BG24" s="1710"/>
      <c r="BH24" s="1712"/>
      <c r="BI24" s="1712"/>
    </row>
    <row r="25" spans="1:71">
      <c r="B25" s="878"/>
      <c r="C25" s="861"/>
      <c r="D25" s="860"/>
      <c r="E25" s="860"/>
      <c r="F25" s="860"/>
      <c r="G25" s="860"/>
      <c r="H25" s="860"/>
      <c r="I25" s="861"/>
      <c r="J25" s="861"/>
      <c r="K25" s="859"/>
      <c r="L25" s="860"/>
      <c r="M25" s="860"/>
      <c r="N25" s="860"/>
      <c r="O25" s="859"/>
      <c r="P25" s="860"/>
      <c r="Q25" s="860"/>
      <c r="R25" s="860"/>
      <c r="S25" s="861"/>
      <c r="T25" s="860"/>
      <c r="U25" s="860"/>
      <c r="V25" s="860"/>
      <c r="W25" s="861"/>
      <c r="X25" s="860"/>
      <c r="Y25" s="860"/>
      <c r="Z25" s="860"/>
      <c r="AA25" s="859"/>
      <c r="AB25" s="860"/>
      <c r="AC25" s="858"/>
      <c r="AD25" s="858"/>
      <c r="AE25" s="861"/>
      <c r="AF25" s="860"/>
      <c r="AG25" s="860"/>
      <c r="AH25" s="860"/>
      <c r="AI25" s="861"/>
      <c r="AJ25" s="860"/>
      <c r="AK25" s="860"/>
      <c r="AL25" s="860"/>
      <c r="AM25" s="861"/>
      <c r="AN25" s="861"/>
      <c r="AO25" s="861"/>
      <c r="AP25" s="861"/>
      <c r="AQ25" s="864"/>
      <c r="AR25" s="860"/>
      <c r="AS25" s="860"/>
      <c r="AT25" s="860"/>
      <c r="AU25" s="861"/>
      <c r="AV25" s="861"/>
      <c r="AW25" s="877"/>
      <c r="AX25" s="861"/>
      <c r="AY25" s="672" t="s">
        <v>4</v>
      </c>
      <c r="AZ25" s="825">
        <v>27</v>
      </c>
      <c r="BA25" s="825">
        <v>60</v>
      </c>
      <c r="BB25" s="825">
        <v>80</v>
      </c>
      <c r="BC25" s="825">
        <v>80</v>
      </c>
      <c r="BD25" s="825">
        <v>60</v>
      </c>
      <c r="BE25" s="825">
        <v>100</v>
      </c>
      <c r="BF25" s="1554">
        <f>SUM(AZ25:BE25)</f>
        <v>407</v>
      </c>
      <c r="BG25" s="987">
        <f t="shared" ref="BG25:BG36" si="28">BF25/BF$18</f>
        <v>0.183954802259887</v>
      </c>
      <c r="BH25" s="995"/>
      <c r="BI25" s="1239"/>
    </row>
    <row r="26" spans="1:71">
      <c r="B26" s="878"/>
      <c r="C26" s="861"/>
      <c r="D26" s="860"/>
      <c r="E26" s="860"/>
      <c r="F26" s="860"/>
      <c r="G26" s="860"/>
      <c r="H26" s="860"/>
      <c r="I26" s="861"/>
      <c r="J26" s="861"/>
      <c r="K26" s="859"/>
      <c r="L26" s="860"/>
      <c r="M26" s="860"/>
      <c r="N26" s="860"/>
      <c r="O26" s="859"/>
      <c r="P26" s="860"/>
      <c r="Q26" s="860"/>
      <c r="R26" s="860"/>
      <c r="S26" s="861"/>
      <c r="T26" s="860"/>
      <c r="U26" s="860"/>
      <c r="V26" s="860"/>
      <c r="W26" s="861"/>
      <c r="X26" s="860"/>
      <c r="Y26" s="860"/>
      <c r="Z26" s="860"/>
      <c r="AA26" s="859"/>
      <c r="AB26" s="860"/>
      <c r="AC26" s="858"/>
      <c r="AD26" s="858"/>
      <c r="AE26" s="861"/>
      <c r="AF26" s="860"/>
      <c r="AG26" s="860"/>
      <c r="AH26" s="860"/>
      <c r="AI26" s="861"/>
      <c r="AJ26" s="860"/>
      <c r="AK26" s="860"/>
      <c r="AL26" s="860"/>
      <c r="AM26" s="861"/>
      <c r="AN26" s="861"/>
      <c r="AO26" s="861"/>
      <c r="AP26" s="861"/>
      <c r="AQ26" s="864"/>
      <c r="AR26" s="860"/>
      <c r="AS26" s="860"/>
      <c r="AT26" s="860"/>
      <c r="AU26" s="861"/>
      <c r="AV26" s="861"/>
      <c r="AW26" s="877"/>
      <c r="AX26" s="861"/>
      <c r="AY26" s="666" t="s">
        <v>5</v>
      </c>
      <c r="AZ26" s="825">
        <v>20</v>
      </c>
      <c r="BA26" s="825">
        <v>30</v>
      </c>
      <c r="BB26" s="825">
        <v>40</v>
      </c>
      <c r="BC26" s="825">
        <v>60</v>
      </c>
      <c r="BD26" s="825">
        <v>50</v>
      </c>
      <c r="BE26" s="825">
        <v>50</v>
      </c>
      <c r="BF26" s="1554">
        <f t="shared" ref="BF26:BF30" si="29">SUM(AZ26:BE26)</f>
        <v>250</v>
      </c>
      <c r="BG26" s="988">
        <f t="shared" si="28"/>
        <v>0.11299435028248588</v>
      </c>
      <c r="BH26" s="667"/>
      <c r="BI26" s="1240"/>
    </row>
    <row r="27" spans="1:71">
      <c r="B27" s="878"/>
      <c r="C27" s="861"/>
      <c r="D27" s="860"/>
      <c r="E27" s="860"/>
      <c r="F27" s="860"/>
      <c r="G27" s="860"/>
      <c r="H27" s="860"/>
      <c r="I27" s="861"/>
      <c r="J27" s="861"/>
      <c r="K27" s="859"/>
      <c r="L27" s="860"/>
      <c r="M27" s="860"/>
      <c r="N27" s="860"/>
      <c r="O27" s="859"/>
      <c r="P27" s="860"/>
      <c r="Q27" s="860"/>
      <c r="R27" s="860"/>
      <c r="S27" s="861"/>
      <c r="T27" s="860"/>
      <c r="U27" s="860"/>
      <c r="V27" s="860"/>
      <c r="W27" s="861"/>
      <c r="X27" s="860"/>
      <c r="Y27" s="860"/>
      <c r="Z27" s="860"/>
      <c r="AA27" s="859"/>
      <c r="AB27" s="860"/>
      <c r="AC27" s="858"/>
      <c r="AD27" s="858"/>
      <c r="AE27" s="861"/>
      <c r="AF27" s="860"/>
      <c r="AG27" s="860"/>
      <c r="AH27" s="860"/>
      <c r="AI27" s="861"/>
      <c r="AJ27" s="860"/>
      <c r="AK27" s="860"/>
      <c r="AL27" s="860"/>
      <c r="AM27" s="861"/>
      <c r="AN27" s="861"/>
      <c r="AO27" s="861"/>
      <c r="AP27" s="861"/>
      <c r="AQ27" s="864"/>
      <c r="AR27" s="860"/>
      <c r="AS27" s="860"/>
      <c r="AT27" s="860"/>
      <c r="AU27" s="861"/>
      <c r="AV27" s="861"/>
      <c r="AW27" s="877"/>
      <c r="AX27" s="861"/>
      <c r="AY27" s="666" t="s">
        <v>6</v>
      </c>
      <c r="AZ27" s="825"/>
      <c r="BA27" s="825">
        <v>15</v>
      </c>
      <c r="BB27" s="825">
        <v>15</v>
      </c>
      <c r="BC27" s="825">
        <v>20</v>
      </c>
      <c r="BD27" s="825">
        <v>20</v>
      </c>
      <c r="BE27" s="825">
        <v>30</v>
      </c>
      <c r="BF27" s="1554">
        <f t="shared" si="29"/>
        <v>100</v>
      </c>
      <c r="BG27" s="988">
        <f t="shared" si="28"/>
        <v>4.519774011299435E-2</v>
      </c>
      <c r="BH27" s="667">
        <v>5</v>
      </c>
      <c r="BI27" s="1240"/>
    </row>
    <row r="28" spans="1:71">
      <c r="B28" s="878"/>
      <c r="C28" s="861"/>
      <c r="D28" s="860"/>
      <c r="E28" s="860"/>
      <c r="F28" s="860"/>
      <c r="G28" s="860"/>
      <c r="H28" s="860"/>
      <c r="I28" s="861"/>
      <c r="J28" s="861"/>
      <c r="K28" s="859"/>
      <c r="L28" s="860"/>
      <c r="M28" s="860"/>
      <c r="N28" s="860"/>
      <c r="O28" s="859"/>
      <c r="P28" s="860"/>
      <c r="Q28" s="860"/>
      <c r="R28" s="860"/>
      <c r="S28" s="861"/>
      <c r="T28" s="860"/>
      <c r="U28" s="860"/>
      <c r="V28" s="860"/>
      <c r="W28" s="861"/>
      <c r="X28" s="860"/>
      <c r="Y28" s="860"/>
      <c r="Z28" s="860"/>
      <c r="AA28" s="859"/>
      <c r="AB28" s="860"/>
      <c r="AC28" s="858"/>
      <c r="AD28" s="858"/>
      <c r="AE28" s="861"/>
      <c r="AF28" s="860"/>
      <c r="AG28" s="860"/>
      <c r="AH28" s="860"/>
      <c r="AI28" s="861"/>
      <c r="AJ28" s="860"/>
      <c r="AK28" s="860"/>
      <c r="AL28" s="860"/>
      <c r="AM28" s="861"/>
      <c r="AN28" s="861"/>
      <c r="AO28" s="861"/>
      <c r="AP28" s="861"/>
      <c r="AQ28" s="864"/>
      <c r="AR28" s="860"/>
      <c r="AS28" s="860"/>
      <c r="AT28" s="860"/>
      <c r="AU28" s="861"/>
      <c r="AV28" s="861"/>
      <c r="AW28" s="877"/>
      <c r="AX28" s="861"/>
      <c r="AY28" s="666" t="s">
        <v>7</v>
      </c>
      <c r="AZ28" s="825"/>
      <c r="BA28" s="825">
        <v>10</v>
      </c>
      <c r="BB28" s="825">
        <v>30</v>
      </c>
      <c r="BC28" s="825">
        <v>45</v>
      </c>
      <c r="BD28" s="825">
        <v>55</v>
      </c>
      <c r="BE28" s="825">
        <v>55</v>
      </c>
      <c r="BF28" s="1554">
        <f t="shared" si="29"/>
        <v>195</v>
      </c>
      <c r="BG28" s="988">
        <f t="shared" si="28"/>
        <v>8.8135593220338981E-2</v>
      </c>
      <c r="BH28" s="667"/>
      <c r="BI28" s="1240"/>
    </row>
    <row r="29" spans="1:71">
      <c r="B29" s="878"/>
      <c r="C29" s="861"/>
      <c r="D29" s="860"/>
      <c r="E29" s="860"/>
      <c r="F29" s="860"/>
      <c r="G29" s="860"/>
      <c r="H29" s="860"/>
      <c r="I29" s="861"/>
      <c r="J29" s="861"/>
      <c r="K29" s="859"/>
      <c r="L29" s="860"/>
      <c r="M29" s="860"/>
      <c r="N29" s="860"/>
      <c r="O29" s="859"/>
      <c r="P29" s="860"/>
      <c r="Q29" s="860"/>
      <c r="R29" s="860"/>
      <c r="S29" s="861"/>
      <c r="T29" s="860"/>
      <c r="U29" s="860"/>
      <c r="V29" s="860"/>
      <c r="W29" s="861"/>
      <c r="X29" s="860"/>
      <c r="Y29" s="860"/>
      <c r="Z29" s="860"/>
      <c r="AA29" s="859"/>
      <c r="AB29" s="860"/>
      <c r="AC29" s="858"/>
      <c r="AD29" s="858"/>
      <c r="AE29" s="861"/>
      <c r="AF29" s="860"/>
      <c r="AG29" s="860"/>
      <c r="AH29" s="860"/>
      <c r="AI29" s="861"/>
      <c r="AJ29" s="860"/>
      <c r="AK29" s="860"/>
      <c r="AL29" s="860"/>
      <c r="AM29" s="861"/>
      <c r="AN29" s="861"/>
      <c r="AO29" s="861"/>
      <c r="AP29" s="861"/>
      <c r="AQ29" s="864"/>
      <c r="AR29" s="860"/>
      <c r="AS29" s="860"/>
      <c r="AT29" s="860"/>
      <c r="AU29" s="861"/>
      <c r="AV29" s="861"/>
      <c r="AW29" s="877"/>
      <c r="AX29" s="861"/>
      <c r="AY29" s="666" t="s">
        <v>8</v>
      </c>
      <c r="AZ29" s="825"/>
      <c r="BA29" s="825">
        <v>5</v>
      </c>
      <c r="BB29" s="825">
        <v>7</v>
      </c>
      <c r="BC29" s="825">
        <v>8</v>
      </c>
      <c r="BD29" s="825">
        <v>12</v>
      </c>
      <c r="BE29" s="825">
        <v>15</v>
      </c>
      <c r="BF29" s="1554">
        <f t="shared" si="29"/>
        <v>47</v>
      </c>
      <c r="BG29" s="988">
        <f t="shared" si="28"/>
        <v>2.1242937853107345E-2</v>
      </c>
      <c r="BH29" s="667"/>
      <c r="BI29" s="1240"/>
    </row>
    <row r="30" spans="1:71">
      <c r="B30" s="878"/>
      <c r="C30" s="861"/>
      <c r="D30" s="860"/>
      <c r="E30" s="860"/>
      <c r="F30" s="860"/>
      <c r="G30" s="860"/>
      <c r="H30" s="860"/>
      <c r="I30" s="861"/>
      <c r="J30" s="861"/>
      <c r="K30" s="859"/>
      <c r="L30" s="860"/>
      <c r="M30" s="860"/>
      <c r="N30" s="860"/>
      <c r="O30" s="859"/>
      <c r="P30" s="860"/>
      <c r="Q30" s="860"/>
      <c r="R30" s="860"/>
      <c r="S30" s="861"/>
      <c r="T30" s="860"/>
      <c r="U30" s="860"/>
      <c r="V30" s="860"/>
      <c r="W30" s="861"/>
      <c r="X30" s="860"/>
      <c r="Y30" s="860"/>
      <c r="Z30" s="860"/>
      <c r="AA30" s="859"/>
      <c r="AB30" s="860"/>
      <c r="AC30" s="858"/>
      <c r="AD30" s="858"/>
      <c r="AE30" s="861"/>
      <c r="AF30" s="860"/>
      <c r="AG30" s="860"/>
      <c r="AH30" s="860"/>
      <c r="AI30" s="861"/>
      <c r="AJ30" s="860"/>
      <c r="AK30" s="860"/>
      <c r="AL30" s="860"/>
      <c r="AM30" s="861"/>
      <c r="AN30" s="861"/>
      <c r="AO30" s="861"/>
      <c r="AP30" s="861"/>
      <c r="AQ30" s="864"/>
      <c r="AR30" s="860"/>
      <c r="AS30" s="860"/>
      <c r="AT30" s="860"/>
      <c r="AU30" s="861"/>
      <c r="AV30" s="861"/>
      <c r="AW30" s="877"/>
      <c r="AX30" s="861"/>
      <c r="AY30" s="668" t="s">
        <v>9</v>
      </c>
      <c r="AZ30" s="825"/>
      <c r="BA30" s="825">
        <v>20</v>
      </c>
      <c r="BB30" s="825">
        <v>60</v>
      </c>
      <c r="BC30" s="825">
        <v>70</v>
      </c>
      <c r="BD30" s="825">
        <v>80</v>
      </c>
      <c r="BE30" s="825">
        <v>70</v>
      </c>
      <c r="BF30" s="1554">
        <f t="shared" si="29"/>
        <v>300</v>
      </c>
      <c r="BG30" s="989">
        <f t="shared" si="28"/>
        <v>0.13559322033898305</v>
      </c>
      <c r="BH30" s="669"/>
      <c r="BI30" s="1241"/>
    </row>
    <row r="31" spans="1:71">
      <c r="B31" s="878"/>
      <c r="C31" s="861"/>
      <c r="D31" s="860"/>
      <c r="E31" s="860"/>
      <c r="F31" s="860"/>
      <c r="G31" s="860"/>
      <c r="H31" s="860"/>
      <c r="I31" s="861"/>
      <c r="J31" s="861"/>
      <c r="K31" s="859"/>
      <c r="L31" s="860"/>
      <c r="M31" s="860"/>
      <c r="N31" s="860"/>
      <c r="O31" s="859"/>
      <c r="P31" s="860"/>
      <c r="Q31" s="860"/>
      <c r="R31" s="860"/>
      <c r="S31" s="861"/>
      <c r="T31" s="860"/>
      <c r="U31" s="860"/>
      <c r="V31" s="860"/>
      <c r="W31" s="861"/>
      <c r="X31" s="860"/>
      <c r="Y31" s="860"/>
      <c r="Z31" s="860"/>
      <c r="AA31" s="859"/>
      <c r="AB31" s="860"/>
      <c r="AC31" s="858"/>
      <c r="AD31" s="858"/>
      <c r="AE31" s="861"/>
      <c r="AF31" s="860"/>
      <c r="AG31" s="860"/>
      <c r="AH31" s="860"/>
      <c r="AI31" s="861"/>
      <c r="AJ31" s="860"/>
      <c r="AK31" s="860"/>
      <c r="AL31" s="860"/>
      <c r="AM31" s="861"/>
      <c r="AN31" s="861"/>
      <c r="AO31" s="861"/>
      <c r="AP31" s="861"/>
      <c r="AQ31" s="864"/>
      <c r="AR31" s="860"/>
      <c r="AS31" s="860"/>
      <c r="AT31" s="860"/>
      <c r="AU31" s="861"/>
      <c r="AV31" s="861"/>
      <c r="AW31" s="877"/>
      <c r="AX31" s="861"/>
      <c r="AY31" s="670" t="s">
        <v>10</v>
      </c>
      <c r="AZ31" s="1557">
        <f>SUM(AZ25:AZ30)</f>
        <v>47</v>
      </c>
      <c r="BA31" s="1557">
        <f t="shared" ref="BA31:BE31" si="30">SUM(BA25:BA30)</f>
        <v>140</v>
      </c>
      <c r="BB31" s="1557">
        <f t="shared" si="30"/>
        <v>232</v>
      </c>
      <c r="BC31" s="1557">
        <f t="shared" si="30"/>
        <v>283</v>
      </c>
      <c r="BD31" s="1557">
        <f t="shared" si="30"/>
        <v>277</v>
      </c>
      <c r="BE31" s="1557">
        <f t="shared" si="30"/>
        <v>320</v>
      </c>
      <c r="BF31" s="1557">
        <f>SUM(BF25:BF30)</f>
        <v>1299</v>
      </c>
      <c r="BG31" s="990">
        <f t="shared" si="28"/>
        <v>0.58711864406779657</v>
      </c>
      <c r="BH31" s="765">
        <f>SUM(BH25:BH30)</f>
        <v>5</v>
      </c>
      <c r="BI31" s="1242">
        <f>SUM(BI25:BI30)</f>
        <v>0</v>
      </c>
    </row>
    <row r="32" spans="1:71">
      <c r="B32" s="878"/>
      <c r="C32" s="861"/>
      <c r="D32" s="860"/>
      <c r="E32" s="860"/>
      <c r="F32" s="860"/>
      <c r="G32" s="860"/>
      <c r="H32" s="860"/>
      <c r="I32" s="861"/>
      <c r="J32" s="861"/>
      <c r="K32" s="859"/>
      <c r="L32" s="860"/>
      <c r="M32" s="860"/>
      <c r="N32" s="860"/>
      <c r="O32" s="859"/>
      <c r="P32" s="860"/>
      <c r="Q32" s="860"/>
      <c r="R32" s="860"/>
      <c r="S32" s="861"/>
      <c r="T32" s="860"/>
      <c r="U32" s="860"/>
      <c r="V32" s="860"/>
      <c r="W32" s="861"/>
      <c r="X32" s="860"/>
      <c r="Y32" s="860"/>
      <c r="Z32" s="860"/>
      <c r="AA32" s="859"/>
      <c r="AB32" s="860"/>
      <c r="AC32" s="858"/>
      <c r="AD32" s="858"/>
      <c r="AE32" s="861"/>
      <c r="AF32" s="860"/>
      <c r="AG32" s="860"/>
      <c r="AH32" s="860"/>
      <c r="AI32" s="861"/>
      <c r="AJ32" s="860"/>
      <c r="AK32" s="860"/>
      <c r="AL32" s="860"/>
      <c r="AM32" s="861"/>
      <c r="AN32" s="861"/>
      <c r="AO32" s="861"/>
      <c r="AP32" s="861"/>
      <c r="AQ32" s="864"/>
      <c r="AR32" s="860"/>
      <c r="AS32" s="860"/>
      <c r="AT32" s="860"/>
      <c r="AU32" s="861"/>
      <c r="AV32" s="861"/>
      <c r="AW32" s="877"/>
      <c r="AX32" s="861"/>
      <c r="AY32" s="672" t="s">
        <v>11</v>
      </c>
      <c r="AZ32" s="825">
        <v>30</v>
      </c>
      <c r="BA32" s="825">
        <v>21</v>
      </c>
      <c r="BB32" s="825">
        <v>33.5</v>
      </c>
      <c r="BC32" s="825">
        <v>172</v>
      </c>
      <c r="BD32" s="825">
        <v>60</v>
      </c>
      <c r="BE32" s="825">
        <v>34</v>
      </c>
      <c r="BF32" s="1554">
        <f>SUM(AZ32:BE32)</f>
        <v>350.5</v>
      </c>
      <c r="BG32" s="987">
        <f t="shared" si="28"/>
        <v>0.15841807909604519</v>
      </c>
      <c r="BH32" s="673"/>
      <c r="BI32" s="1239"/>
    </row>
    <row r="33" spans="2:61">
      <c r="B33" s="878"/>
      <c r="C33" s="861"/>
      <c r="D33" s="860"/>
      <c r="E33" s="860"/>
      <c r="F33" s="860"/>
      <c r="G33" s="860"/>
      <c r="H33" s="860"/>
      <c r="I33" s="861"/>
      <c r="J33" s="861"/>
      <c r="K33" s="859"/>
      <c r="L33" s="860"/>
      <c r="M33" s="860"/>
      <c r="N33" s="860"/>
      <c r="O33" s="859"/>
      <c r="P33" s="860"/>
      <c r="Q33" s="860"/>
      <c r="R33" s="860"/>
      <c r="S33" s="861"/>
      <c r="T33" s="860"/>
      <c r="U33" s="860"/>
      <c r="V33" s="860"/>
      <c r="W33" s="861"/>
      <c r="X33" s="860"/>
      <c r="Y33" s="860"/>
      <c r="Z33" s="860"/>
      <c r="AA33" s="859"/>
      <c r="AB33" s="860"/>
      <c r="AC33" s="858"/>
      <c r="AD33" s="858"/>
      <c r="AE33" s="861"/>
      <c r="AF33" s="860"/>
      <c r="AG33" s="860"/>
      <c r="AH33" s="860"/>
      <c r="AI33" s="861"/>
      <c r="AJ33" s="860"/>
      <c r="AK33" s="860"/>
      <c r="AL33" s="860"/>
      <c r="AM33" s="861"/>
      <c r="AN33" s="861"/>
      <c r="AO33" s="861"/>
      <c r="AP33" s="861"/>
      <c r="AQ33" s="864"/>
      <c r="AR33" s="860"/>
      <c r="AS33" s="860"/>
      <c r="AT33" s="860"/>
      <c r="AU33" s="861"/>
      <c r="AV33" s="861"/>
      <c r="AW33" s="877"/>
      <c r="AX33" s="861"/>
      <c r="AY33" s="666" t="s">
        <v>12</v>
      </c>
      <c r="AZ33" s="825">
        <v>15</v>
      </c>
      <c r="BA33" s="825">
        <v>5</v>
      </c>
      <c r="BB33" s="825">
        <v>10</v>
      </c>
      <c r="BC33" s="825">
        <v>10</v>
      </c>
      <c r="BD33" s="825">
        <v>10</v>
      </c>
      <c r="BE33" s="825">
        <v>10</v>
      </c>
      <c r="BF33" s="1474">
        <f>SUM(AZ33:BE33)</f>
        <v>60</v>
      </c>
      <c r="BG33" s="988">
        <f t="shared" si="28"/>
        <v>2.7118644067796609E-2</v>
      </c>
      <c r="BH33" s="667"/>
      <c r="BI33" s="1240"/>
    </row>
    <row r="34" spans="2:61">
      <c r="B34" s="878"/>
      <c r="C34" s="861"/>
      <c r="D34" s="860"/>
      <c r="E34" s="860"/>
      <c r="F34" s="860"/>
      <c r="G34" s="860"/>
      <c r="H34" s="860"/>
      <c r="I34" s="861"/>
      <c r="J34" s="861"/>
      <c r="K34" s="859"/>
      <c r="L34" s="860"/>
      <c r="M34" s="860"/>
      <c r="N34" s="860"/>
      <c r="O34" s="859"/>
      <c r="P34" s="860"/>
      <c r="Q34" s="860"/>
      <c r="R34" s="860"/>
      <c r="S34" s="861"/>
      <c r="T34" s="860"/>
      <c r="U34" s="860"/>
      <c r="V34" s="860"/>
      <c r="W34" s="861"/>
      <c r="X34" s="860"/>
      <c r="Y34" s="860"/>
      <c r="Z34" s="860"/>
      <c r="AA34" s="859"/>
      <c r="AB34" s="860"/>
      <c r="AC34" s="858"/>
      <c r="AD34" s="858"/>
      <c r="AE34" s="861"/>
      <c r="AF34" s="860"/>
      <c r="AG34" s="860"/>
      <c r="AH34" s="860"/>
      <c r="AI34" s="861"/>
      <c r="AJ34" s="860"/>
      <c r="AK34" s="860"/>
      <c r="AL34" s="860"/>
      <c r="AM34" s="861"/>
      <c r="AN34" s="861"/>
      <c r="AO34" s="861"/>
      <c r="AP34" s="861"/>
      <c r="AQ34" s="864"/>
      <c r="AR34" s="860"/>
      <c r="AS34" s="860"/>
      <c r="AT34" s="860"/>
      <c r="AU34" s="861"/>
      <c r="AV34" s="861"/>
      <c r="AW34" s="877"/>
      <c r="AX34" s="861"/>
      <c r="AY34" s="666" t="s">
        <v>13</v>
      </c>
      <c r="AZ34" s="825">
        <v>8</v>
      </c>
      <c r="BA34" s="825">
        <v>10</v>
      </c>
      <c r="BB34" s="825">
        <v>50</v>
      </c>
      <c r="BC34" s="825">
        <v>60</v>
      </c>
      <c r="BD34" s="825">
        <v>100</v>
      </c>
      <c r="BE34" s="825">
        <v>30</v>
      </c>
      <c r="BF34" s="1474">
        <f>SUM(AZ34:BE34)</f>
        <v>258</v>
      </c>
      <c r="BG34" s="988">
        <f t="shared" si="28"/>
        <v>0.11661016949152542</v>
      </c>
      <c r="BH34" s="667">
        <v>13</v>
      </c>
      <c r="BI34" s="1240"/>
    </row>
    <row r="35" spans="2:61">
      <c r="B35" s="878"/>
      <c r="C35" s="861"/>
      <c r="D35" s="860"/>
      <c r="E35" s="860"/>
      <c r="F35" s="860"/>
      <c r="G35" s="860"/>
      <c r="H35" s="860"/>
      <c r="I35" s="861"/>
      <c r="J35" s="861"/>
      <c r="K35" s="859"/>
      <c r="L35" s="860"/>
      <c r="M35" s="860"/>
      <c r="N35" s="860"/>
      <c r="O35" s="859"/>
      <c r="P35" s="860"/>
      <c r="Q35" s="860"/>
      <c r="R35" s="860"/>
      <c r="S35" s="861"/>
      <c r="T35" s="860"/>
      <c r="U35" s="860"/>
      <c r="V35" s="860"/>
      <c r="W35" s="861"/>
      <c r="X35" s="860"/>
      <c r="Y35" s="860"/>
      <c r="Z35" s="860"/>
      <c r="AA35" s="859"/>
      <c r="AB35" s="860"/>
      <c r="AC35" s="858"/>
      <c r="AD35" s="858"/>
      <c r="AE35" s="861"/>
      <c r="AF35" s="860"/>
      <c r="AG35" s="860"/>
      <c r="AH35" s="860"/>
      <c r="AI35" s="861"/>
      <c r="AJ35" s="860"/>
      <c r="AK35" s="860"/>
      <c r="AL35" s="860"/>
      <c r="AM35" s="861"/>
      <c r="AN35" s="861"/>
      <c r="AO35" s="861"/>
      <c r="AP35" s="861"/>
      <c r="AQ35" s="864"/>
      <c r="AR35" s="860"/>
      <c r="AS35" s="860"/>
      <c r="AT35" s="860"/>
      <c r="AU35" s="861"/>
      <c r="AV35" s="861"/>
      <c r="AW35" s="877"/>
      <c r="AX35" s="861"/>
      <c r="AY35" s="668" t="s">
        <v>14</v>
      </c>
      <c r="AZ35" s="825"/>
      <c r="BA35" s="825"/>
      <c r="BB35" s="825"/>
      <c r="BC35" s="825"/>
      <c r="BD35" s="825"/>
      <c r="BE35" s="825"/>
      <c r="BF35" s="1555">
        <f>SUM(AZ35:BD35)</f>
        <v>0</v>
      </c>
      <c r="BG35" s="989">
        <f t="shared" si="28"/>
        <v>0</v>
      </c>
      <c r="BH35" s="669">
        <v>20</v>
      </c>
      <c r="BI35" s="1241"/>
    </row>
    <row r="36" spans="2:61">
      <c r="B36" s="878"/>
      <c r="C36" s="861"/>
      <c r="D36" s="860"/>
      <c r="E36" s="860"/>
      <c r="F36" s="860"/>
      <c r="G36" s="860"/>
      <c r="H36" s="860"/>
      <c r="I36" s="861"/>
      <c r="J36" s="861"/>
      <c r="K36" s="859"/>
      <c r="L36" s="860"/>
      <c r="M36" s="860"/>
      <c r="N36" s="860"/>
      <c r="O36" s="859"/>
      <c r="P36" s="860"/>
      <c r="Q36" s="860"/>
      <c r="R36" s="860"/>
      <c r="S36" s="861"/>
      <c r="T36" s="860"/>
      <c r="U36" s="860"/>
      <c r="V36" s="860"/>
      <c r="W36" s="861"/>
      <c r="X36" s="860"/>
      <c r="Y36" s="860"/>
      <c r="Z36" s="860"/>
      <c r="AA36" s="859"/>
      <c r="AB36" s="860"/>
      <c r="AC36" s="858"/>
      <c r="AD36" s="858"/>
      <c r="AE36" s="861"/>
      <c r="AF36" s="860"/>
      <c r="AG36" s="860"/>
      <c r="AH36" s="860"/>
      <c r="AI36" s="861"/>
      <c r="AJ36" s="860"/>
      <c r="AK36" s="860"/>
      <c r="AL36" s="860"/>
      <c r="AM36" s="861"/>
      <c r="AN36" s="861"/>
      <c r="AO36" s="861"/>
      <c r="AP36" s="861"/>
      <c r="AQ36" s="864"/>
      <c r="AR36" s="860"/>
      <c r="AS36" s="860"/>
      <c r="AT36" s="860"/>
      <c r="AU36" s="861"/>
      <c r="AV36" s="861"/>
      <c r="AW36" s="877"/>
      <c r="AX36" s="861"/>
      <c r="AY36" s="674" t="s">
        <v>15</v>
      </c>
      <c r="AZ36" s="675">
        <f t="shared" ref="AZ36:BE36" si="31">SUM(AZ32:AZ35)</f>
        <v>53</v>
      </c>
      <c r="BA36" s="675">
        <f t="shared" si="31"/>
        <v>36</v>
      </c>
      <c r="BB36" s="675">
        <f t="shared" si="31"/>
        <v>93.5</v>
      </c>
      <c r="BC36" s="675">
        <f t="shared" si="31"/>
        <v>242</v>
      </c>
      <c r="BD36" s="675">
        <f t="shared" si="31"/>
        <v>170</v>
      </c>
      <c r="BE36" s="675">
        <f t="shared" si="31"/>
        <v>74</v>
      </c>
      <c r="BF36" s="1244">
        <f>SUM(AZ36:BE36)</f>
        <v>668.5</v>
      </c>
      <c r="BG36" s="991">
        <f t="shared" si="28"/>
        <v>0.30214689265536721</v>
      </c>
      <c r="BH36" s="766">
        <f>SUM(BH32:BH35)</f>
        <v>33</v>
      </c>
      <c r="BI36" s="992">
        <f>SUM(BI32:BI35)</f>
        <v>0</v>
      </c>
    </row>
    <row r="37" spans="2:61" ht="24" thickBot="1">
      <c r="B37" s="878"/>
      <c r="C37" s="861"/>
      <c r="D37" s="860"/>
      <c r="E37" s="860"/>
      <c r="F37" s="860"/>
      <c r="G37" s="860"/>
      <c r="H37" s="860"/>
      <c r="I37" s="861"/>
      <c r="J37" s="861"/>
      <c r="K37" s="859"/>
      <c r="L37" s="860"/>
      <c r="M37" s="860"/>
      <c r="N37" s="860"/>
      <c r="O37" s="859"/>
      <c r="P37" s="860"/>
      <c r="Q37" s="860"/>
      <c r="R37" s="860"/>
      <c r="S37" s="861"/>
      <c r="T37" s="860"/>
      <c r="U37" s="860"/>
      <c r="V37" s="860"/>
      <c r="W37" s="861"/>
      <c r="X37" s="860"/>
      <c r="Y37" s="860"/>
      <c r="Z37" s="860"/>
      <c r="AA37" s="859"/>
      <c r="AB37" s="860"/>
      <c r="AC37" s="858"/>
      <c r="AD37" s="858"/>
      <c r="AE37" s="861"/>
      <c r="AF37" s="860"/>
      <c r="AG37" s="860"/>
      <c r="AH37" s="860"/>
      <c r="AI37" s="861"/>
      <c r="AJ37" s="860"/>
      <c r="AK37" s="860"/>
      <c r="AL37" s="860"/>
      <c r="AM37" s="861"/>
      <c r="AN37" s="861"/>
      <c r="AO37" s="861"/>
      <c r="AP37" s="861"/>
      <c r="AQ37" s="864"/>
      <c r="AR37" s="860"/>
      <c r="AS37" s="860"/>
      <c r="AT37" s="860"/>
      <c r="AU37" s="861"/>
      <c r="AV37" s="861"/>
      <c r="AW37" s="877"/>
      <c r="AX37" s="861"/>
      <c r="AY37" s="674"/>
      <c r="AZ37" s="675"/>
      <c r="BA37" s="675"/>
      <c r="BB37" s="675"/>
      <c r="BC37" s="675"/>
      <c r="BD37" s="675"/>
      <c r="BE37" s="1464"/>
      <c r="BF37" s="992"/>
      <c r="BG37" s="992"/>
      <c r="BH37" s="676"/>
      <c r="BI37" s="992"/>
    </row>
    <row r="38" spans="2:61" ht="24" thickBot="1">
      <c r="B38" s="878"/>
      <c r="C38" s="861"/>
      <c r="D38" s="860"/>
      <c r="E38" s="860"/>
      <c r="F38" s="860"/>
      <c r="G38" s="860"/>
      <c r="H38" s="860"/>
      <c r="I38" s="861"/>
      <c r="J38" s="861"/>
      <c r="K38" s="859"/>
      <c r="L38" s="860"/>
      <c r="M38" s="860"/>
      <c r="N38" s="860"/>
      <c r="O38" s="859"/>
      <c r="P38" s="860"/>
      <c r="Q38" s="860"/>
      <c r="R38" s="860"/>
      <c r="S38" s="861"/>
      <c r="T38" s="860"/>
      <c r="U38" s="860"/>
      <c r="V38" s="860"/>
      <c r="W38" s="861"/>
      <c r="X38" s="860"/>
      <c r="Y38" s="860"/>
      <c r="Z38" s="860"/>
      <c r="AA38" s="859"/>
      <c r="AB38" s="860"/>
      <c r="AC38" s="858"/>
      <c r="AD38" s="858"/>
      <c r="AE38" s="861"/>
      <c r="AF38" s="860"/>
      <c r="AG38" s="860"/>
      <c r="AH38" s="860"/>
      <c r="AI38" s="861"/>
      <c r="AJ38" s="860"/>
      <c r="AK38" s="860"/>
      <c r="AL38" s="860"/>
      <c r="AM38" s="861"/>
      <c r="AN38" s="861"/>
      <c r="AO38" s="861"/>
      <c r="AP38" s="861"/>
      <c r="AQ38" s="864"/>
      <c r="AR38" s="860"/>
      <c r="AS38" s="860"/>
      <c r="AT38" s="860"/>
      <c r="AU38" s="861"/>
      <c r="AV38" s="861"/>
      <c r="AW38" s="877"/>
      <c r="AX38" s="861"/>
      <c r="AY38" s="767" t="s">
        <v>17</v>
      </c>
      <c r="AZ38" s="768">
        <f>AZ31+AZ36</f>
        <v>100</v>
      </c>
      <c r="BA38" s="768">
        <f t="shared" ref="BA38:BD38" si="32">BA31+BA36</f>
        <v>176</v>
      </c>
      <c r="BB38" s="768">
        <f t="shared" si="32"/>
        <v>325.5</v>
      </c>
      <c r="BC38" s="768">
        <f t="shared" si="32"/>
        <v>525</v>
      </c>
      <c r="BD38" s="768">
        <f t="shared" si="32"/>
        <v>447</v>
      </c>
      <c r="BE38" s="768">
        <f>BE31+BE36</f>
        <v>394</v>
      </c>
      <c r="BF38" s="1232">
        <f>SUM(AZ38:BE38)</f>
        <v>1967.5</v>
      </c>
      <c r="BG38" s="993"/>
      <c r="BH38" s="769">
        <f>BH31+BH36</f>
        <v>38</v>
      </c>
      <c r="BI38" s="1243">
        <f>BI31+BI36</f>
        <v>0</v>
      </c>
    </row>
    <row r="39" spans="2:61" ht="26.25">
      <c r="B39" s="878"/>
      <c r="C39" s="861"/>
      <c r="D39" s="860"/>
      <c r="E39" s="860"/>
      <c r="F39" s="860"/>
      <c r="G39" s="860"/>
      <c r="H39" s="860"/>
      <c r="I39" s="861"/>
      <c r="J39" s="861"/>
      <c r="K39" s="859"/>
      <c r="L39" s="860"/>
      <c r="M39" s="860"/>
      <c r="N39" s="860"/>
      <c r="O39" s="859"/>
      <c r="P39" s="860"/>
      <c r="Q39" s="860"/>
      <c r="R39" s="860"/>
      <c r="S39" s="861"/>
      <c r="T39" s="860"/>
      <c r="U39" s="860"/>
      <c r="V39" s="860"/>
      <c r="W39" s="861"/>
      <c r="X39" s="860"/>
      <c r="Y39" s="860"/>
      <c r="Z39" s="860"/>
      <c r="AA39" s="859"/>
      <c r="AB39" s="860"/>
      <c r="AC39" s="858"/>
      <c r="AD39" s="858"/>
      <c r="AE39" s="861"/>
      <c r="AF39" s="860"/>
      <c r="AG39" s="860"/>
      <c r="AH39" s="860"/>
      <c r="AI39" s="861"/>
      <c r="AJ39" s="860"/>
      <c r="AK39" s="860"/>
      <c r="AL39" s="860"/>
      <c r="AM39" s="861"/>
      <c r="AN39" s="861"/>
      <c r="AO39" s="861"/>
      <c r="AP39" s="861"/>
      <c r="AQ39" s="864"/>
      <c r="AR39" s="860"/>
      <c r="AS39" s="860"/>
      <c r="AT39" s="860"/>
      <c r="AU39" s="861"/>
      <c r="AV39" s="861"/>
      <c r="AW39" s="877"/>
      <c r="AX39" s="861"/>
      <c r="AY39" s="770"/>
      <c r="AZ39" s="770"/>
      <c r="BA39" s="770"/>
      <c r="BB39" s="1696" t="s">
        <v>248</v>
      </c>
      <c r="BC39" s="1697"/>
      <c r="BD39" s="1697"/>
      <c r="BE39" s="1558"/>
      <c r="BF39" s="1698">
        <f>BF38+BH38+BI38</f>
        <v>2005.5</v>
      </c>
      <c r="BG39" s="1699"/>
      <c r="BH39" s="1699"/>
      <c r="BI39" s="1700"/>
    </row>
    <row r="40" spans="2:61">
      <c r="B40" s="878"/>
      <c r="C40" s="861"/>
      <c r="D40" s="860"/>
      <c r="E40" s="860"/>
      <c r="F40" s="860"/>
      <c r="G40" s="860"/>
      <c r="H40" s="860"/>
      <c r="I40" s="861"/>
      <c r="J40" s="861"/>
      <c r="K40" s="859"/>
      <c r="L40" s="860"/>
      <c r="M40" s="860"/>
      <c r="N40" s="860"/>
      <c r="O40" s="859"/>
      <c r="P40" s="860"/>
      <c r="Q40" s="860"/>
      <c r="R40" s="860"/>
      <c r="S40" s="861"/>
      <c r="T40" s="860"/>
      <c r="U40" s="860"/>
      <c r="V40" s="860"/>
      <c r="W40" s="861"/>
      <c r="X40" s="860"/>
      <c r="Y40" s="860"/>
      <c r="Z40" s="860"/>
      <c r="AA40" s="859"/>
      <c r="AB40" s="860"/>
      <c r="AC40" s="858"/>
      <c r="AD40" s="858"/>
      <c r="AE40" s="861"/>
      <c r="AF40" s="860"/>
      <c r="AG40" s="860"/>
      <c r="AH40" s="860"/>
      <c r="AI40" s="861"/>
      <c r="AJ40" s="860"/>
      <c r="AK40" s="860"/>
      <c r="AL40" s="860"/>
      <c r="AM40" s="861"/>
      <c r="AN40" s="861"/>
      <c r="AO40" s="861"/>
      <c r="AP40" s="861"/>
      <c r="AQ40" s="864"/>
      <c r="AR40" s="860"/>
      <c r="AS40" s="860"/>
      <c r="AT40" s="860"/>
      <c r="AU40" s="861"/>
      <c r="AV40" s="861"/>
      <c r="AW40" s="877"/>
      <c r="AX40" s="861"/>
    </row>
    <row r="41" spans="2:61">
      <c r="B41" s="878"/>
      <c r="C41" s="861"/>
      <c r="D41" s="860"/>
      <c r="E41" s="860"/>
      <c r="F41" s="860"/>
      <c r="G41" s="860"/>
      <c r="H41" s="860"/>
      <c r="I41" s="861"/>
      <c r="J41" s="861"/>
      <c r="K41" s="859"/>
      <c r="L41" s="860"/>
      <c r="M41" s="860"/>
      <c r="N41" s="860"/>
      <c r="O41" s="859"/>
      <c r="P41" s="860"/>
      <c r="Q41" s="860"/>
      <c r="R41" s="860"/>
      <c r="S41" s="861"/>
      <c r="T41" s="860"/>
      <c r="U41" s="860"/>
      <c r="V41" s="860"/>
      <c r="W41" s="861"/>
      <c r="X41" s="860"/>
      <c r="Y41" s="860"/>
      <c r="Z41" s="860"/>
      <c r="AA41" s="859"/>
      <c r="AB41" s="860"/>
      <c r="AC41" s="858"/>
      <c r="AD41" s="858"/>
      <c r="AE41" s="861"/>
      <c r="AF41" s="860"/>
      <c r="AG41" s="860"/>
      <c r="AH41" s="860"/>
      <c r="AI41" s="861"/>
      <c r="AJ41" s="860"/>
      <c r="AK41" s="860"/>
      <c r="AL41" s="860"/>
      <c r="AM41" s="861"/>
      <c r="AN41" s="861"/>
      <c r="AO41" s="861"/>
      <c r="AP41" s="861"/>
      <c r="AQ41" s="864"/>
      <c r="AR41" s="860"/>
      <c r="AS41" s="860"/>
      <c r="AT41" s="860"/>
      <c r="AU41" s="861"/>
      <c r="AV41" s="861"/>
      <c r="AW41" s="877"/>
      <c r="AX41" s="861"/>
    </row>
    <row r="42" spans="2:61">
      <c r="B42" s="878"/>
      <c r="C42" s="861"/>
      <c r="D42" s="860"/>
      <c r="E42" s="860"/>
      <c r="F42" s="860"/>
      <c r="G42" s="860"/>
      <c r="H42" s="860"/>
      <c r="I42" s="861"/>
      <c r="J42" s="861"/>
      <c r="K42" s="859"/>
      <c r="L42" s="860"/>
      <c r="M42" s="860"/>
      <c r="N42" s="860"/>
      <c r="O42" s="859"/>
      <c r="P42" s="860"/>
      <c r="Q42" s="860"/>
      <c r="R42" s="860"/>
      <c r="S42" s="861"/>
      <c r="T42" s="860"/>
      <c r="U42" s="860"/>
      <c r="V42" s="860"/>
      <c r="W42" s="861"/>
      <c r="X42" s="860"/>
      <c r="Y42" s="860"/>
      <c r="Z42" s="860"/>
      <c r="AA42" s="859"/>
      <c r="AB42" s="860"/>
      <c r="AC42" s="858"/>
      <c r="AD42" s="858"/>
      <c r="AE42" s="861"/>
      <c r="AF42" s="860"/>
      <c r="AG42" s="860"/>
      <c r="AH42" s="860"/>
      <c r="AI42" s="861"/>
      <c r="AJ42" s="860"/>
      <c r="AK42" s="860"/>
      <c r="AL42" s="860"/>
      <c r="AM42" s="861"/>
      <c r="AN42" s="861"/>
      <c r="AO42" s="861"/>
      <c r="AP42" s="861"/>
      <c r="AQ42" s="864"/>
      <c r="AR42" s="860"/>
      <c r="AS42" s="860"/>
      <c r="AT42" s="860"/>
      <c r="AU42" s="861"/>
      <c r="AV42" s="861"/>
      <c r="AW42" s="877"/>
      <c r="AX42" s="861"/>
    </row>
    <row r="43" spans="2:61">
      <c r="B43" s="878"/>
      <c r="C43" s="861"/>
      <c r="D43" s="860"/>
      <c r="E43" s="860"/>
      <c r="F43" s="860"/>
      <c r="G43" s="860"/>
      <c r="H43" s="860"/>
      <c r="I43" s="861"/>
      <c r="J43" s="861"/>
      <c r="K43" s="859"/>
      <c r="L43" s="860"/>
      <c r="M43" s="860"/>
      <c r="N43" s="860"/>
      <c r="O43" s="859"/>
      <c r="P43" s="860"/>
      <c r="Q43" s="860"/>
      <c r="R43" s="860"/>
      <c r="S43" s="861"/>
      <c r="T43" s="860"/>
      <c r="U43" s="860"/>
      <c r="V43" s="860"/>
      <c r="W43" s="861"/>
      <c r="X43" s="860"/>
      <c r="Y43" s="860"/>
      <c r="Z43" s="860"/>
      <c r="AA43" s="859"/>
      <c r="AB43" s="860"/>
      <c r="AC43" s="858"/>
      <c r="AD43" s="858"/>
      <c r="AE43" s="861"/>
      <c r="AF43" s="860"/>
      <c r="AG43" s="860"/>
      <c r="AH43" s="860"/>
      <c r="AI43" s="861"/>
      <c r="AJ43" s="860"/>
      <c r="AK43" s="860"/>
      <c r="AL43" s="860"/>
      <c r="AM43" s="861"/>
      <c r="AN43" s="861"/>
      <c r="AO43" s="861"/>
      <c r="AP43" s="861"/>
      <c r="AQ43" s="864"/>
      <c r="AR43" s="860"/>
      <c r="AS43" s="860"/>
      <c r="AT43" s="860"/>
      <c r="AU43" s="861"/>
      <c r="AV43" s="861"/>
      <c r="AW43" s="877"/>
      <c r="AX43" s="861"/>
    </row>
    <row r="44" spans="2:61">
      <c r="B44" s="878"/>
      <c r="C44" s="861"/>
      <c r="D44" s="860"/>
      <c r="E44" s="860"/>
      <c r="F44" s="860"/>
      <c r="G44" s="860"/>
      <c r="H44" s="860"/>
      <c r="I44" s="861"/>
      <c r="J44" s="861"/>
      <c r="K44" s="859"/>
      <c r="L44" s="860"/>
      <c r="M44" s="860"/>
      <c r="N44" s="860"/>
      <c r="O44" s="859"/>
      <c r="P44" s="860"/>
      <c r="Q44" s="860"/>
      <c r="R44" s="860"/>
      <c r="S44" s="861"/>
      <c r="T44" s="860"/>
      <c r="U44" s="860"/>
      <c r="V44" s="860"/>
      <c r="W44" s="861"/>
      <c r="X44" s="860"/>
      <c r="Y44" s="860"/>
      <c r="Z44" s="860"/>
      <c r="AA44" s="859"/>
      <c r="AB44" s="860"/>
      <c r="AC44" s="858"/>
      <c r="AD44" s="858"/>
      <c r="AE44" s="861"/>
      <c r="AF44" s="860"/>
      <c r="AG44" s="860"/>
      <c r="AH44" s="860"/>
      <c r="AI44" s="861"/>
      <c r="AJ44" s="860"/>
      <c r="AK44" s="860"/>
      <c r="AL44" s="860"/>
      <c r="AM44" s="861"/>
      <c r="AN44" s="861"/>
      <c r="AO44" s="861"/>
      <c r="AP44" s="861"/>
      <c r="AQ44" s="864"/>
      <c r="AR44" s="860"/>
      <c r="AS44" s="860"/>
      <c r="AT44" s="860"/>
      <c r="AU44" s="861"/>
      <c r="AV44" s="861"/>
      <c r="AW44" s="877"/>
      <c r="AX44" s="861"/>
    </row>
    <row r="45" spans="2:61">
      <c r="B45" s="878"/>
      <c r="C45" s="861"/>
      <c r="D45" s="860"/>
      <c r="E45" s="860"/>
      <c r="F45" s="860"/>
      <c r="G45" s="860"/>
      <c r="H45" s="860"/>
      <c r="I45" s="861"/>
      <c r="J45" s="861"/>
      <c r="K45" s="859"/>
      <c r="L45" s="860"/>
      <c r="M45" s="860"/>
      <c r="N45" s="860"/>
      <c r="O45" s="859"/>
      <c r="P45" s="860"/>
      <c r="Q45" s="860"/>
      <c r="R45" s="860"/>
      <c r="S45" s="861"/>
      <c r="T45" s="860"/>
      <c r="U45" s="860"/>
      <c r="V45" s="860"/>
      <c r="W45" s="861"/>
      <c r="X45" s="860"/>
      <c r="Y45" s="860"/>
      <c r="Z45" s="860"/>
      <c r="AA45" s="859"/>
      <c r="AB45" s="860"/>
      <c r="AC45" s="858"/>
      <c r="AD45" s="858"/>
      <c r="AE45" s="861"/>
      <c r="AF45" s="860"/>
      <c r="AG45" s="860"/>
      <c r="AH45" s="860"/>
      <c r="AI45" s="861"/>
      <c r="AJ45" s="860"/>
      <c r="AK45" s="860"/>
      <c r="AL45" s="860"/>
      <c r="AM45" s="861"/>
      <c r="AN45" s="861"/>
      <c r="AO45" s="861"/>
      <c r="AP45" s="861"/>
      <c r="AQ45" s="864"/>
      <c r="AR45" s="860"/>
      <c r="AS45" s="860"/>
      <c r="AT45" s="860"/>
      <c r="AU45" s="861"/>
      <c r="AV45" s="861"/>
      <c r="AW45" s="877"/>
      <c r="AX45" s="861"/>
    </row>
    <row r="46" spans="2:61">
      <c r="B46" s="878"/>
      <c r="C46" s="861"/>
      <c r="D46" s="860"/>
      <c r="E46" s="860"/>
      <c r="F46" s="860"/>
      <c r="G46" s="860"/>
      <c r="H46" s="860"/>
      <c r="I46" s="861"/>
      <c r="J46" s="861"/>
      <c r="K46" s="859"/>
      <c r="L46" s="860"/>
      <c r="M46" s="860"/>
      <c r="N46" s="860"/>
      <c r="O46" s="859"/>
      <c r="P46" s="860"/>
      <c r="Q46" s="860"/>
      <c r="R46" s="860"/>
      <c r="S46" s="861"/>
      <c r="T46" s="860"/>
      <c r="U46" s="860"/>
      <c r="V46" s="860"/>
      <c r="W46" s="861"/>
      <c r="X46" s="860"/>
      <c r="Y46" s="860"/>
      <c r="Z46" s="860"/>
      <c r="AA46" s="859"/>
      <c r="AB46" s="860"/>
      <c r="AC46" s="858"/>
      <c r="AD46" s="858"/>
      <c r="AE46" s="861"/>
      <c r="AF46" s="860"/>
      <c r="AG46" s="860"/>
      <c r="AH46" s="860"/>
      <c r="AI46" s="861"/>
      <c r="AJ46" s="860"/>
      <c r="AK46" s="860"/>
      <c r="AL46" s="860"/>
      <c r="AM46" s="861"/>
      <c r="AN46" s="861"/>
      <c r="AO46" s="861"/>
      <c r="AP46" s="861"/>
      <c r="AQ46" s="864"/>
      <c r="AR46" s="860"/>
      <c r="AS46" s="860"/>
      <c r="AT46" s="860"/>
      <c r="AU46" s="861"/>
      <c r="AV46" s="861"/>
      <c r="AW46" s="877"/>
      <c r="AX46" s="861"/>
    </row>
    <row r="47" spans="2:61">
      <c r="B47" s="878"/>
      <c r="C47" s="861"/>
      <c r="D47" s="860"/>
      <c r="E47" s="860"/>
      <c r="F47" s="860"/>
      <c r="G47" s="860"/>
      <c r="H47" s="860"/>
      <c r="I47" s="861"/>
      <c r="J47" s="861"/>
      <c r="K47" s="859"/>
      <c r="L47" s="860"/>
      <c r="M47" s="860"/>
      <c r="N47" s="860"/>
      <c r="O47" s="859"/>
      <c r="P47" s="860"/>
      <c r="Q47" s="860"/>
      <c r="R47" s="860"/>
      <c r="S47" s="861"/>
      <c r="T47" s="860"/>
      <c r="U47" s="860"/>
      <c r="V47" s="860"/>
      <c r="W47" s="861"/>
      <c r="X47" s="860"/>
      <c r="Y47" s="860"/>
      <c r="Z47" s="860"/>
      <c r="AA47" s="859"/>
      <c r="AB47" s="860"/>
      <c r="AC47" s="858"/>
      <c r="AD47" s="858"/>
      <c r="AE47" s="861"/>
      <c r="AF47" s="860"/>
      <c r="AG47" s="860"/>
      <c r="AH47" s="860"/>
      <c r="AI47" s="861"/>
      <c r="AJ47" s="860"/>
      <c r="AK47" s="860"/>
      <c r="AL47" s="860"/>
      <c r="AM47" s="861"/>
      <c r="AN47" s="861"/>
      <c r="AO47" s="861"/>
      <c r="AP47" s="861"/>
      <c r="AQ47" s="864"/>
      <c r="AR47" s="860"/>
      <c r="AS47" s="860"/>
      <c r="AT47" s="860"/>
      <c r="AU47" s="861"/>
      <c r="AV47" s="861"/>
      <c r="AW47" s="877"/>
      <c r="AX47" s="861"/>
    </row>
    <row r="48" spans="2:61">
      <c r="B48" s="878"/>
      <c r="C48" s="861"/>
      <c r="D48" s="860"/>
      <c r="E48" s="860"/>
      <c r="F48" s="860"/>
      <c r="G48" s="860"/>
      <c r="H48" s="860"/>
      <c r="I48" s="861"/>
      <c r="J48" s="861"/>
      <c r="K48" s="859"/>
      <c r="L48" s="860"/>
      <c r="M48" s="860"/>
      <c r="N48" s="860"/>
      <c r="O48" s="859"/>
      <c r="P48" s="860"/>
      <c r="Q48" s="860"/>
      <c r="R48" s="860"/>
      <c r="S48" s="861"/>
      <c r="T48" s="860"/>
      <c r="U48" s="860"/>
      <c r="V48" s="860"/>
      <c r="W48" s="861"/>
      <c r="X48" s="860"/>
      <c r="Y48" s="860"/>
      <c r="Z48" s="860"/>
      <c r="AA48" s="859"/>
      <c r="AB48" s="860"/>
      <c r="AC48" s="858"/>
      <c r="AD48" s="858"/>
      <c r="AE48" s="861"/>
      <c r="AF48" s="860"/>
      <c r="AG48" s="860"/>
      <c r="AH48" s="860"/>
      <c r="AI48" s="861"/>
      <c r="AJ48" s="860"/>
      <c r="AK48" s="860"/>
      <c r="AL48" s="860"/>
      <c r="AM48" s="861"/>
      <c r="AN48" s="861"/>
      <c r="AO48" s="861"/>
      <c r="AP48" s="861"/>
      <c r="AQ48" s="864"/>
      <c r="AR48" s="860"/>
      <c r="AS48" s="860"/>
      <c r="AT48" s="860"/>
      <c r="AU48" s="861"/>
      <c r="AV48" s="861"/>
      <c r="AW48" s="877"/>
      <c r="AX48" s="861"/>
    </row>
    <row r="49" spans="2:50">
      <c r="B49" s="878"/>
      <c r="C49" s="861"/>
      <c r="D49" s="860"/>
      <c r="E49" s="860"/>
      <c r="F49" s="860"/>
      <c r="G49" s="860"/>
      <c r="H49" s="860"/>
      <c r="I49" s="861"/>
      <c r="J49" s="861"/>
      <c r="K49" s="859"/>
      <c r="L49" s="860"/>
      <c r="M49" s="860"/>
      <c r="N49" s="860"/>
      <c r="O49" s="859"/>
      <c r="P49" s="860"/>
      <c r="Q49" s="860"/>
      <c r="R49" s="860"/>
      <c r="S49" s="861"/>
      <c r="T49" s="860"/>
      <c r="U49" s="860"/>
      <c r="V49" s="860"/>
      <c r="W49" s="861"/>
      <c r="X49" s="860"/>
      <c r="Y49" s="860"/>
      <c r="Z49" s="860"/>
      <c r="AA49" s="859"/>
      <c r="AB49" s="860"/>
      <c r="AC49" s="858"/>
      <c r="AD49" s="858"/>
      <c r="AE49" s="861"/>
      <c r="AF49" s="860"/>
      <c r="AG49" s="860"/>
      <c r="AH49" s="860"/>
      <c r="AI49" s="861"/>
      <c r="AJ49" s="860"/>
      <c r="AK49" s="860"/>
      <c r="AL49" s="860"/>
      <c r="AM49" s="861"/>
      <c r="AN49" s="861"/>
      <c r="AO49" s="861"/>
      <c r="AP49" s="861"/>
      <c r="AQ49" s="864"/>
      <c r="AR49" s="860"/>
      <c r="AS49" s="860"/>
      <c r="AT49" s="860"/>
      <c r="AU49" s="861"/>
      <c r="AV49" s="861"/>
      <c r="AW49" s="877"/>
      <c r="AX49" s="861"/>
    </row>
    <row r="50" spans="2:50">
      <c r="B50" s="878"/>
      <c r="C50" s="861"/>
      <c r="D50" s="860"/>
      <c r="E50" s="860"/>
      <c r="F50" s="860"/>
      <c r="G50" s="860"/>
      <c r="H50" s="860"/>
      <c r="I50" s="861"/>
      <c r="J50" s="861"/>
      <c r="K50" s="859"/>
      <c r="L50" s="860"/>
      <c r="M50" s="860"/>
      <c r="N50" s="860"/>
      <c r="O50" s="859"/>
      <c r="P50" s="860"/>
      <c r="Q50" s="860"/>
      <c r="R50" s="860"/>
      <c r="S50" s="861"/>
      <c r="T50" s="860"/>
      <c r="U50" s="860"/>
      <c r="V50" s="860"/>
      <c r="W50" s="861"/>
      <c r="X50" s="860"/>
      <c r="Y50" s="860"/>
      <c r="Z50" s="860"/>
      <c r="AA50" s="859"/>
      <c r="AB50" s="860"/>
      <c r="AC50" s="858"/>
      <c r="AD50" s="858"/>
      <c r="AE50" s="861"/>
      <c r="AF50" s="860"/>
      <c r="AG50" s="860"/>
      <c r="AH50" s="860"/>
      <c r="AI50" s="861"/>
      <c r="AJ50" s="860"/>
      <c r="AK50" s="860"/>
      <c r="AL50" s="860"/>
      <c r="AM50" s="861"/>
      <c r="AN50" s="861"/>
      <c r="AO50" s="861"/>
      <c r="AP50" s="861"/>
      <c r="AQ50" s="864"/>
      <c r="AR50" s="860"/>
      <c r="AS50" s="860"/>
      <c r="AT50" s="860"/>
      <c r="AU50" s="861"/>
      <c r="AV50" s="861"/>
      <c r="AW50" s="877"/>
      <c r="AX50" s="861"/>
    </row>
    <row r="51" spans="2:50">
      <c r="B51" s="878"/>
      <c r="C51" s="861"/>
      <c r="D51" s="860"/>
      <c r="E51" s="860"/>
      <c r="F51" s="860"/>
      <c r="G51" s="860"/>
      <c r="H51" s="860"/>
      <c r="I51" s="861"/>
      <c r="J51" s="861"/>
      <c r="K51" s="859"/>
      <c r="L51" s="860"/>
      <c r="M51" s="860"/>
      <c r="N51" s="860"/>
      <c r="O51" s="859"/>
      <c r="P51" s="860"/>
      <c r="Q51" s="860"/>
      <c r="R51" s="860"/>
      <c r="S51" s="861"/>
      <c r="T51" s="860"/>
      <c r="U51" s="860"/>
      <c r="V51" s="860"/>
      <c r="W51" s="861"/>
      <c r="X51" s="860"/>
      <c r="Y51" s="860"/>
      <c r="Z51" s="860"/>
      <c r="AA51" s="859"/>
      <c r="AB51" s="860"/>
      <c r="AC51" s="858"/>
      <c r="AD51" s="858"/>
      <c r="AE51" s="861"/>
      <c r="AF51" s="860"/>
      <c r="AG51" s="860"/>
      <c r="AH51" s="860"/>
      <c r="AI51" s="861"/>
      <c r="AJ51" s="860"/>
      <c r="AK51" s="860"/>
      <c r="AL51" s="860"/>
      <c r="AM51" s="861"/>
      <c r="AN51" s="861"/>
      <c r="AO51" s="861"/>
      <c r="AP51" s="861"/>
      <c r="AQ51" s="864"/>
      <c r="AR51" s="860"/>
      <c r="AS51" s="860"/>
      <c r="AT51" s="860"/>
      <c r="AU51" s="861"/>
      <c r="AV51" s="861"/>
      <c r="AW51" s="877"/>
      <c r="AX51" s="861"/>
    </row>
    <row r="52" spans="2:50">
      <c r="B52" s="878"/>
      <c r="C52" s="861"/>
      <c r="D52" s="860"/>
      <c r="E52" s="860"/>
      <c r="F52" s="860"/>
      <c r="G52" s="860"/>
      <c r="H52" s="860"/>
      <c r="I52" s="861"/>
      <c r="J52" s="861"/>
      <c r="K52" s="859"/>
      <c r="L52" s="860"/>
      <c r="M52" s="860"/>
      <c r="N52" s="860"/>
      <c r="O52" s="859"/>
      <c r="P52" s="860"/>
      <c r="Q52" s="860"/>
      <c r="R52" s="860"/>
      <c r="S52" s="861"/>
      <c r="T52" s="860"/>
      <c r="U52" s="860"/>
      <c r="V52" s="860"/>
      <c r="W52" s="861"/>
      <c r="X52" s="860"/>
      <c r="Y52" s="860"/>
      <c r="Z52" s="860"/>
      <c r="AA52" s="859"/>
      <c r="AB52" s="860"/>
      <c r="AC52" s="858"/>
      <c r="AD52" s="858"/>
      <c r="AE52" s="861"/>
      <c r="AF52" s="860"/>
      <c r="AG52" s="860"/>
      <c r="AH52" s="860"/>
      <c r="AI52" s="861"/>
      <c r="AJ52" s="860"/>
      <c r="AK52" s="860"/>
      <c r="AL52" s="860"/>
      <c r="AM52" s="861"/>
      <c r="AN52" s="861"/>
      <c r="AO52" s="861"/>
      <c r="AP52" s="861"/>
      <c r="AQ52" s="864"/>
      <c r="AR52" s="860"/>
      <c r="AS52" s="860"/>
      <c r="AT52" s="860"/>
      <c r="AU52" s="861"/>
      <c r="AV52" s="861"/>
      <c r="AW52" s="877"/>
      <c r="AX52" s="861"/>
    </row>
    <row r="53" spans="2:50">
      <c r="B53" s="878"/>
      <c r="C53" s="861"/>
      <c r="D53" s="860"/>
      <c r="E53" s="860"/>
      <c r="F53" s="860"/>
      <c r="G53" s="860"/>
      <c r="H53" s="860"/>
      <c r="I53" s="861"/>
      <c r="J53" s="861"/>
      <c r="K53" s="859"/>
      <c r="L53" s="860"/>
      <c r="M53" s="860"/>
      <c r="N53" s="860"/>
      <c r="O53" s="859"/>
      <c r="P53" s="860"/>
      <c r="Q53" s="860"/>
      <c r="R53" s="860"/>
      <c r="S53" s="861"/>
      <c r="T53" s="860"/>
      <c r="U53" s="860"/>
      <c r="V53" s="860"/>
      <c r="W53" s="861"/>
      <c r="X53" s="860"/>
      <c r="Y53" s="860"/>
      <c r="Z53" s="860"/>
      <c r="AA53" s="859"/>
      <c r="AB53" s="860"/>
      <c r="AC53" s="858"/>
      <c r="AD53" s="858"/>
      <c r="AE53" s="861"/>
      <c r="AF53" s="860"/>
      <c r="AG53" s="860"/>
      <c r="AH53" s="860"/>
      <c r="AI53" s="861"/>
      <c r="AJ53" s="860"/>
      <c r="AK53" s="860"/>
      <c r="AL53" s="860"/>
      <c r="AM53" s="861"/>
      <c r="AN53" s="861"/>
      <c r="AO53" s="861"/>
      <c r="AP53" s="861"/>
      <c r="AQ53" s="864"/>
      <c r="AR53" s="860"/>
      <c r="AS53" s="860"/>
      <c r="AT53" s="860"/>
      <c r="AU53" s="861"/>
      <c r="AV53" s="861"/>
      <c r="AW53" s="877"/>
      <c r="AX53" s="861"/>
    </row>
    <row r="54" spans="2:50">
      <c r="B54" s="878"/>
      <c r="C54" s="861"/>
      <c r="D54" s="860"/>
      <c r="E54" s="860"/>
      <c r="F54" s="860"/>
      <c r="G54" s="860"/>
      <c r="H54" s="860"/>
      <c r="I54" s="861"/>
      <c r="J54" s="861"/>
      <c r="K54" s="859"/>
      <c r="L54" s="860"/>
      <c r="M54" s="860"/>
      <c r="N54" s="860"/>
      <c r="O54" s="859"/>
      <c r="P54" s="860"/>
      <c r="Q54" s="860"/>
      <c r="R54" s="860"/>
      <c r="S54" s="861"/>
      <c r="T54" s="860"/>
      <c r="U54" s="860"/>
      <c r="V54" s="860"/>
      <c r="W54" s="861"/>
      <c r="X54" s="860"/>
      <c r="Y54" s="860"/>
      <c r="Z54" s="860"/>
      <c r="AA54" s="859"/>
      <c r="AB54" s="860"/>
      <c r="AC54" s="858"/>
      <c r="AD54" s="858"/>
      <c r="AE54" s="861"/>
      <c r="AF54" s="860"/>
      <c r="AG54" s="860"/>
      <c r="AH54" s="860"/>
      <c r="AI54" s="861"/>
      <c r="AJ54" s="860"/>
      <c r="AK54" s="860"/>
      <c r="AL54" s="860"/>
      <c r="AM54" s="861"/>
      <c r="AN54" s="861"/>
      <c r="AO54" s="861"/>
      <c r="AP54" s="861"/>
      <c r="AQ54" s="864"/>
      <c r="AR54" s="860"/>
      <c r="AS54" s="860"/>
      <c r="AT54" s="860"/>
      <c r="AU54" s="861"/>
      <c r="AV54" s="861"/>
      <c r="AW54" s="877"/>
      <c r="AX54" s="861"/>
    </row>
    <row r="55" spans="2:50">
      <c r="B55" s="878"/>
      <c r="C55" s="861"/>
      <c r="D55" s="860"/>
      <c r="E55" s="860"/>
      <c r="F55" s="860"/>
      <c r="G55" s="860"/>
      <c r="H55" s="860"/>
      <c r="I55" s="861"/>
      <c r="J55" s="861"/>
      <c r="K55" s="859"/>
      <c r="L55" s="860"/>
      <c r="M55" s="860"/>
      <c r="N55" s="860"/>
      <c r="O55" s="859"/>
      <c r="P55" s="860"/>
      <c r="Q55" s="860"/>
      <c r="R55" s="860"/>
      <c r="S55" s="861"/>
      <c r="T55" s="860"/>
      <c r="U55" s="860"/>
      <c r="V55" s="860"/>
      <c r="W55" s="861"/>
      <c r="X55" s="860"/>
      <c r="Y55" s="860"/>
      <c r="Z55" s="860"/>
      <c r="AA55" s="859"/>
      <c r="AB55" s="860"/>
      <c r="AC55" s="858"/>
      <c r="AD55" s="858"/>
      <c r="AE55" s="861"/>
      <c r="AF55" s="860"/>
      <c r="AG55" s="860"/>
      <c r="AH55" s="860"/>
      <c r="AI55" s="861"/>
      <c r="AJ55" s="860"/>
      <c r="AK55" s="860"/>
      <c r="AL55" s="860"/>
      <c r="AM55" s="861"/>
      <c r="AN55" s="861"/>
      <c r="AO55" s="861"/>
      <c r="AP55" s="861"/>
      <c r="AQ55" s="864"/>
      <c r="AR55" s="860"/>
      <c r="AS55" s="860"/>
      <c r="AT55" s="860"/>
      <c r="AU55" s="861"/>
      <c r="AV55" s="861"/>
      <c r="AW55" s="877"/>
      <c r="AX55" s="861"/>
    </row>
    <row r="56" spans="2:50">
      <c r="B56" s="878"/>
      <c r="C56" s="861"/>
      <c r="D56" s="860"/>
      <c r="E56" s="860"/>
      <c r="F56" s="860"/>
      <c r="G56" s="860"/>
      <c r="H56" s="860"/>
      <c r="I56" s="861"/>
      <c r="J56" s="861"/>
      <c r="K56" s="859"/>
      <c r="L56" s="860"/>
      <c r="M56" s="860"/>
      <c r="N56" s="860"/>
      <c r="O56" s="859"/>
      <c r="P56" s="860"/>
      <c r="Q56" s="860"/>
      <c r="R56" s="860"/>
      <c r="S56" s="861"/>
      <c r="T56" s="860"/>
      <c r="U56" s="860"/>
      <c r="V56" s="860"/>
      <c r="W56" s="861"/>
      <c r="X56" s="860"/>
      <c r="Y56" s="860"/>
      <c r="Z56" s="860"/>
      <c r="AA56" s="859"/>
      <c r="AB56" s="860"/>
      <c r="AC56" s="858"/>
      <c r="AD56" s="858"/>
      <c r="AE56" s="861"/>
      <c r="AF56" s="860"/>
      <c r="AG56" s="860"/>
      <c r="AH56" s="860"/>
      <c r="AI56" s="861"/>
      <c r="AJ56" s="860"/>
      <c r="AK56" s="860"/>
      <c r="AL56" s="860"/>
      <c r="AM56" s="861"/>
      <c r="AN56" s="861"/>
      <c r="AO56" s="861"/>
      <c r="AP56" s="861"/>
      <c r="AQ56" s="864"/>
      <c r="AR56" s="860"/>
      <c r="AS56" s="860"/>
      <c r="AT56" s="860"/>
      <c r="AU56" s="861"/>
      <c r="AV56" s="861"/>
      <c r="AW56" s="877"/>
      <c r="AX56" s="861"/>
    </row>
    <row r="57" spans="2:50">
      <c r="B57" s="878"/>
      <c r="C57" s="861"/>
      <c r="D57" s="860"/>
      <c r="E57" s="860"/>
      <c r="F57" s="860"/>
      <c r="G57" s="860"/>
      <c r="H57" s="860"/>
      <c r="I57" s="861"/>
      <c r="J57" s="861"/>
      <c r="K57" s="859"/>
      <c r="L57" s="860"/>
      <c r="M57" s="860"/>
      <c r="N57" s="860"/>
      <c r="O57" s="859"/>
      <c r="P57" s="860"/>
      <c r="Q57" s="860"/>
      <c r="R57" s="860"/>
      <c r="S57" s="861"/>
      <c r="T57" s="860"/>
      <c r="U57" s="860"/>
      <c r="V57" s="860"/>
      <c r="W57" s="861"/>
      <c r="X57" s="860"/>
      <c r="Y57" s="860"/>
      <c r="Z57" s="860"/>
      <c r="AA57" s="859"/>
      <c r="AB57" s="860"/>
      <c r="AC57" s="858"/>
      <c r="AD57" s="858"/>
      <c r="AE57" s="861"/>
      <c r="AF57" s="860"/>
      <c r="AG57" s="860"/>
      <c r="AH57" s="860"/>
      <c r="AI57" s="861"/>
      <c r="AJ57" s="860"/>
      <c r="AK57" s="860"/>
      <c r="AL57" s="860"/>
      <c r="AM57" s="861"/>
      <c r="AN57" s="861"/>
      <c r="AO57" s="861"/>
      <c r="AP57" s="861"/>
      <c r="AQ57" s="864"/>
      <c r="AR57" s="860"/>
      <c r="AS57" s="860"/>
      <c r="AT57" s="860"/>
      <c r="AU57" s="861"/>
      <c r="AV57" s="861"/>
      <c r="AW57" s="877"/>
      <c r="AX57" s="861"/>
    </row>
    <row r="58" spans="2:50">
      <c r="B58" s="878"/>
      <c r="C58" s="861"/>
      <c r="D58" s="860"/>
      <c r="E58" s="860"/>
      <c r="F58" s="860"/>
      <c r="G58" s="860"/>
      <c r="H58" s="860"/>
      <c r="I58" s="861"/>
      <c r="J58" s="861"/>
      <c r="K58" s="859"/>
      <c r="L58" s="860"/>
      <c r="M58" s="860"/>
      <c r="N58" s="860"/>
      <c r="O58" s="859"/>
      <c r="P58" s="860"/>
      <c r="Q58" s="860"/>
      <c r="R58" s="860"/>
      <c r="S58" s="861"/>
      <c r="T58" s="860"/>
      <c r="U58" s="860"/>
      <c r="V58" s="860"/>
      <c r="W58" s="861"/>
      <c r="X58" s="860"/>
      <c r="Y58" s="860"/>
      <c r="Z58" s="860"/>
      <c r="AA58" s="859"/>
      <c r="AB58" s="860"/>
      <c r="AC58" s="858"/>
      <c r="AD58" s="858"/>
      <c r="AE58" s="861"/>
      <c r="AF58" s="860"/>
      <c r="AG58" s="860"/>
      <c r="AH58" s="860"/>
      <c r="AI58" s="861"/>
      <c r="AJ58" s="860"/>
      <c r="AK58" s="860"/>
      <c r="AL58" s="860"/>
      <c r="AM58" s="861"/>
      <c r="AN58" s="861"/>
      <c r="AO58" s="861"/>
      <c r="AP58" s="861"/>
      <c r="AQ58" s="864"/>
      <c r="AR58" s="860"/>
      <c r="AS58" s="860"/>
      <c r="AT58" s="860"/>
      <c r="AU58" s="861"/>
      <c r="AV58" s="861"/>
      <c r="AW58" s="877"/>
      <c r="AX58" s="861"/>
    </row>
    <row r="59" spans="2:50">
      <c r="B59" s="878"/>
      <c r="C59" s="861"/>
      <c r="D59" s="860"/>
      <c r="E59" s="860"/>
      <c r="F59" s="860"/>
      <c r="G59" s="860"/>
      <c r="H59" s="860"/>
      <c r="I59" s="861"/>
      <c r="J59" s="861"/>
      <c r="K59" s="859"/>
      <c r="L59" s="860"/>
      <c r="M59" s="860"/>
      <c r="N59" s="860"/>
      <c r="O59" s="859"/>
      <c r="P59" s="860"/>
      <c r="Q59" s="860"/>
      <c r="R59" s="860"/>
      <c r="S59" s="861"/>
      <c r="T59" s="860"/>
      <c r="U59" s="860"/>
      <c r="V59" s="860"/>
      <c r="W59" s="861"/>
      <c r="X59" s="860"/>
      <c r="Y59" s="860"/>
      <c r="Z59" s="860"/>
      <c r="AA59" s="859"/>
      <c r="AB59" s="860"/>
      <c r="AC59" s="858"/>
      <c r="AD59" s="858"/>
      <c r="AE59" s="861"/>
      <c r="AF59" s="860"/>
      <c r="AG59" s="860"/>
      <c r="AH59" s="860"/>
      <c r="AI59" s="861"/>
      <c r="AJ59" s="860"/>
      <c r="AK59" s="860"/>
      <c r="AL59" s="860"/>
      <c r="AM59" s="861"/>
      <c r="AN59" s="861"/>
      <c r="AO59" s="861"/>
      <c r="AP59" s="861"/>
      <c r="AQ59" s="864"/>
      <c r="AR59" s="860"/>
      <c r="AS59" s="860"/>
      <c r="AT59" s="860"/>
      <c r="AU59" s="861"/>
      <c r="AV59" s="861"/>
      <c r="AW59" s="877"/>
      <c r="AX59" s="861"/>
    </row>
    <row r="60" spans="2:50">
      <c r="B60" s="878"/>
      <c r="C60" s="861"/>
      <c r="D60" s="860"/>
      <c r="E60" s="860"/>
      <c r="F60" s="860"/>
      <c r="G60" s="860"/>
      <c r="H60" s="860"/>
      <c r="I60" s="861"/>
      <c r="J60" s="861"/>
      <c r="K60" s="859"/>
      <c r="L60" s="860"/>
      <c r="M60" s="860"/>
      <c r="N60" s="860"/>
      <c r="O60" s="859"/>
      <c r="P60" s="860"/>
      <c r="Q60" s="860"/>
      <c r="R60" s="860"/>
      <c r="S60" s="861"/>
      <c r="T60" s="860"/>
      <c r="U60" s="860"/>
      <c r="V60" s="860"/>
      <c r="W60" s="861"/>
      <c r="X60" s="860"/>
      <c r="Y60" s="860"/>
      <c r="Z60" s="860"/>
      <c r="AA60" s="859"/>
      <c r="AB60" s="860"/>
      <c r="AC60" s="858"/>
      <c r="AD60" s="858"/>
      <c r="AE60" s="861"/>
      <c r="AF60" s="860"/>
      <c r="AG60" s="860"/>
      <c r="AH60" s="860"/>
      <c r="AI60" s="861"/>
      <c r="AJ60" s="860"/>
      <c r="AK60" s="860"/>
      <c r="AL60" s="860"/>
      <c r="AM60" s="861"/>
      <c r="AN60" s="861"/>
      <c r="AO60" s="861"/>
      <c r="AP60" s="861"/>
      <c r="AQ60" s="864"/>
      <c r="AR60" s="860"/>
      <c r="AS60" s="860"/>
      <c r="AT60" s="860"/>
      <c r="AU60" s="861"/>
      <c r="AV60" s="861"/>
      <c r="AW60" s="877"/>
      <c r="AX60" s="861"/>
    </row>
    <row r="61" spans="2:50">
      <c r="B61" s="878"/>
      <c r="C61" s="861"/>
      <c r="D61" s="860"/>
      <c r="E61" s="860"/>
      <c r="F61" s="860"/>
      <c r="G61" s="860"/>
      <c r="H61" s="860"/>
      <c r="I61" s="861"/>
      <c r="J61" s="861"/>
      <c r="K61" s="859"/>
      <c r="L61" s="860"/>
      <c r="M61" s="860"/>
      <c r="N61" s="860"/>
      <c r="O61" s="859"/>
      <c r="P61" s="860"/>
      <c r="Q61" s="860"/>
      <c r="R61" s="860"/>
      <c r="S61" s="861"/>
      <c r="T61" s="860"/>
      <c r="U61" s="860"/>
      <c r="V61" s="860"/>
      <c r="W61" s="861"/>
      <c r="X61" s="860"/>
      <c r="Y61" s="860"/>
      <c r="Z61" s="860"/>
      <c r="AA61" s="859"/>
      <c r="AB61" s="860"/>
      <c r="AC61" s="858"/>
      <c r="AD61" s="858"/>
      <c r="AE61" s="861"/>
      <c r="AF61" s="860"/>
      <c r="AG61" s="860"/>
      <c r="AH61" s="860"/>
      <c r="AI61" s="861"/>
      <c r="AJ61" s="860"/>
      <c r="AK61" s="860"/>
      <c r="AL61" s="860"/>
      <c r="AM61" s="861"/>
      <c r="AN61" s="861"/>
      <c r="AO61" s="861"/>
      <c r="AP61" s="861"/>
      <c r="AQ61" s="864"/>
      <c r="AR61" s="860"/>
      <c r="AS61" s="860"/>
      <c r="AT61" s="860"/>
      <c r="AU61" s="861"/>
      <c r="AV61" s="861"/>
      <c r="AW61" s="877"/>
      <c r="AX61" s="861"/>
    </row>
    <row r="62" spans="2:50">
      <c r="B62" s="878"/>
      <c r="C62" s="861"/>
      <c r="D62" s="860"/>
      <c r="E62" s="860"/>
      <c r="F62" s="860"/>
      <c r="G62" s="860"/>
      <c r="H62" s="860"/>
      <c r="I62" s="861"/>
      <c r="J62" s="861"/>
      <c r="K62" s="859"/>
      <c r="L62" s="860"/>
      <c r="M62" s="860"/>
      <c r="N62" s="860"/>
      <c r="O62" s="859"/>
      <c r="P62" s="860"/>
      <c r="Q62" s="860"/>
      <c r="R62" s="860"/>
      <c r="S62" s="861"/>
      <c r="T62" s="860"/>
      <c r="U62" s="860"/>
      <c r="V62" s="860"/>
      <c r="W62" s="861"/>
      <c r="X62" s="860"/>
      <c r="Y62" s="860"/>
      <c r="Z62" s="860"/>
      <c r="AA62" s="859"/>
      <c r="AB62" s="860"/>
      <c r="AC62" s="858"/>
      <c r="AD62" s="858"/>
      <c r="AE62" s="861"/>
      <c r="AF62" s="860"/>
      <c r="AG62" s="860"/>
      <c r="AH62" s="860"/>
      <c r="AI62" s="861"/>
      <c r="AJ62" s="860"/>
      <c r="AK62" s="860"/>
      <c r="AL62" s="860"/>
      <c r="AM62" s="861"/>
      <c r="AN62" s="861"/>
      <c r="AO62" s="861"/>
      <c r="AP62" s="861"/>
      <c r="AQ62" s="864"/>
      <c r="AR62" s="860"/>
      <c r="AS62" s="860"/>
      <c r="AT62" s="860"/>
      <c r="AU62" s="861"/>
      <c r="AV62" s="861"/>
      <c r="AW62" s="877"/>
      <c r="AX62" s="861"/>
    </row>
    <row r="63" spans="2:50">
      <c r="B63" s="878"/>
      <c r="C63" s="861"/>
      <c r="D63" s="860"/>
      <c r="E63" s="860"/>
      <c r="F63" s="860"/>
      <c r="G63" s="860"/>
      <c r="H63" s="860"/>
      <c r="I63" s="861"/>
      <c r="J63" s="861"/>
      <c r="K63" s="859"/>
      <c r="L63" s="860"/>
      <c r="M63" s="860"/>
      <c r="N63" s="860"/>
      <c r="O63" s="859"/>
      <c r="P63" s="860"/>
      <c r="Q63" s="860"/>
      <c r="R63" s="860"/>
      <c r="S63" s="861"/>
      <c r="T63" s="860"/>
      <c r="U63" s="860"/>
      <c r="V63" s="860"/>
      <c r="W63" s="861"/>
      <c r="X63" s="860"/>
      <c r="Y63" s="860"/>
      <c r="Z63" s="860"/>
      <c r="AA63" s="859"/>
      <c r="AB63" s="860"/>
      <c r="AC63" s="858"/>
      <c r="AD63" s="858"/>
      <c r="AE63" s="861"/>
      <c r="AF63" s="860"/>
      <c r="AG63" s="860"/>
      <c r="AH63" s="860"/>
      <c r="AI63" s="861"/>
      <c r="AJ63" s="860"/>
      <c r="AK63" s="860"/>
      <c r="AL63" s="860"/>
      <c r="AM63" s="861"/>
      <c r="AN63" s="861"/>
      <c r="AO63" s="861"/>
      <c r="AP63" s="861"/>
      <c r="AQ63" s="864"/>
      <c r="AR63" s="860"/>
      <c r="AS63" s="860"/>
      <c r="AT63" s="860"/>
      <c r="AU63" s="861"/>
      <c r="AV63" s="861"/>
      <c r="AW63" s="877"/>
      <c r="AX63" s="861"/>
    </row>
    <row r="64" spans="2:50">
      <c r="B64" s="878"/>
      <c r="C64" s="861"/>
      <c r="D64" s="860"/>
      <c r="E64" s="860"/>
      <c r="F64" s="860"/>
      <c r="G64" s="860"/>
      <c r="H64" s="860"/>
      <c r="I64" s="861"/>
      <c r="J64" s="861"/>
      <c r="K64" s="859"/>
      <c r="L64" s="860"/>
      <c r="M64" s="860"/>
      <c r="N64" s="860"/>
      <c r="O64" s="859"/>
      <c r="P64" s="860"/>
      <c r="Q64" s="860"/>
      <c r="R64" s="860"/>
      <c r="S64" s="861"/>
      <c r="T64" s="860"/>
      <c r="U64" s="860"/>
      <c r="V64" s="860"/>
      <c r="W64" s="861"/>
      <c r="X64" s="860"/>
      <c r="Y64" s="860"/>
      <c r="Z64" s="860"/>
      <c r="AA64" s="859"/>
      <c r="AB64" s="860"/>
      <c r="AC64" s="858"/>
      <c r="AD64" s="858"/>
      <c r="AE64" s="861"/>
      <c r="AF64" s="860"/>
      <c r="AG64" s="860"/>
      <c r="AH64" s="860"/>
      <c r="AI64" s="861"/>
      <c r="AJ64" s="860"/>
      <c r="AK64" s="860"/>
      <c r="AL64" s="860"/>
      <c r="AM64" s="861"/>
      <c r="AN64" s="861"/>
      <c r="AO64" s="861"/>
      <c r="AP64" s="861"/>
      <c r="AQ64" s="864"/>
      <c r="AR64" s="860"/>
      <c r="AS64" s="860"/>
      <c r="AT64" s="860"/>
      <c r="AU64" s="861"/>
      <c r="AV64" s="861"/>
      <c r="AW64" s="877"/>
      <c r="AX64" s="861"/>
    </row>
    <row r="65" spans="2:50">
      <c r="B65" s="878"/>
      <c r="C65" s="861"/>
      <c r="D65" s="860"/>
      <c r="E65" s="860"/>
      <c r="F65" s="860"/>
      <c r="G65" s="860"/>
      <c r="H65" s="860"/>
      <c r="I65" s="861"/>
      <c r="J65" s="861"/>
      <c r="K65" s="859"/>
      <c r="L65" s="860"/>
      <c r="M65" s="860"/>
      <c r="N65" s="860"/>
      <c r="O65" s="859"/>
      <c r="P65" s="860"/>
      <c r="Q65" s="860"/>
      <c r="R65" s="860"/>
      <c r="S65" s="861"/>
      <c r="T65" s="860"/>
      <c r="U65" s="860"/>
      <c r="V65" s="860"/>
      <c r="W65" s="861"/>
      <c r="X65" s="860"/>
      <c r="Y65" s="860"/>
      <c r="Z65" s="860"/>
      <c r="AA65" s="859"/>
      <c r="AB65" s="860"/>
      <c r="AC65" s="858"/>
      <c r="AD65" s="858"/>
      <c r="AE65" s="861"/>
      <c r="AF65" s="860"/>
      <c r="AG65" s="860"/>
      <c r="AH65" s="860"/>
      <c r="AI65" s="861"/>
      <c r="AJ65" s="860"/>
      <c r="AK65" s="860"/>
      <c r="AL65" s="860"/>
      <c r="AM65" s="861"/>
      <c r="AN65" s="861"/>
      <c r="AO65" s="861"/>
      <c r="AP65" s="861"/>
      <c r="AQ65" s="864"/>
      <c r="AR65" s="860"/>
      <c r="AS65" s="860"/>
      <c r="AT65" s="860"/>
      <c r="AU65" s="861"/>
      <c r="AV65" s="861"/>
      <c r="AW65" s="877"/>
      <c r="AX65" s="861"/>
    </row>
    <row r="66" spans="2:50">
      <c r="B66" s="878"/>
      <c r="C66" s="861"/>
      <c r="D66" s="860"/>
      <c r="E66" s="860"/>
      <c r="F66" s="860"/>
      <c r="G66" s="860"/>
      <c r="H66" s="860"/>
      <c r="I66" s="861"/>
      <c r="J66" s="861"/>
      <c r="K66" s="859"/>
      <c r="L66" s="860"/>
      <c r="M66" s="860"/>
      <c r="N66" s="860"/>
      <c r="O66" s="859"/>
      <c r="P66" s="860"/>
      <c r="Q66" s="860"/>
      <c r="R66" s="860"/>
      <c r="S66" s="861"/>
      <c r="T66" s="860"/>
      <c r="U66" s="860"/>
      <c r="V66" s="860"/>
      <c r="W66" s="861"/>
      <c r="X66" s="860"/>
      <c r="Y66" s="860"/>
      <c r="Z66" s="860"/>
      <c r="AA66" s="859"/>
      <c r="AB66" s="860"/>
      <c r="AC66" s="858"/>
      <c r="AD66" s="858"/>
      <c r="AE66" s="861"/>
      <c r="AF66" s="860"/>
      <c r="AG66" s="860"/>
      <c r="AH66" s="860"/>
      <c r="AI66" s="861"/>
      <c r="AJ66" s="860"/>
      <c r="AK66" s="860"/>
      <c r="AL66" s="860"/>
      <c r="AM66" s="861"/>
      <c r="AN66" s="861"/>
      <c r="AO66" s="861"/>
      <c r="AP66" s="861"/>
      <c r="AQ66" s="864"/>
      <c r="AR66" s="860"/>
      <c r="AS66" s="860"/>
      <c r="AT66" s="860"/>
      <c r="AU66" s="861"/>
      <c r="AV66" s="861"/>
      <c r="AW66" s="877"/>
      <c r="AX66" s="861"/>
    </row>
    <row r="67" spans="2:50">
      <c r="B67" s="878"/>
      <c r="C67" s="861"/>
      <c r="D67" s="860"/>
      <c r="E67" s="860"/>
      <c r="F67" s="860"/>
      <c r="G67" s="860"/>
      <c r="H67" s="860"/>
      <c r="I67" s="861"/>
      <c r="J67" s="861"/>
      <c r="K67" s="859"/>
      <c r="L67" s="860"/>
      <c r="M67" s="860"/>
      <c r="N67" s="860"/>
      <c r="O67" s="859"/>
      <c r="P67" s="860"/>
      <c r="Q67" s="860"/>
      <c r="R67" s="860"/>
      <c r="S67" s="861"/>
      <c r="T67" s="860"/>
      <c r="U67" s="860"/>
      <c r="V67" s="860"/>
      <c r="W67" s="861"/>
      <c r="X67" s="860"/>
      <c r="Y67" s="860"/>
      <c r="Z67" s="860"/>
      <c r="AA67" s="859"/>
      <c r="AB67" s="860"/>
      <c r="AC67" s="858"/>
      <c r="AD67" s="858"/>
      <c r="AE67" s="861"/>
      <c r="AF67" s="860"/>
      <c r="AG67" s="860"/>
      <c r="AH67" s="860"/>
      <c r="AI67" s="861"/>
      <c r="AJ67" s="860"/>
      <c r="AK67" s="860"/>
      <c r="AL67" s="860"/>
      <c r="AM67" s="861"/>
      <c r="AN67" s="861"/>
      <c r="AO67" s="861"/>
      <c r="AP67" s="861"/>
      <c r="AQ67" s="864"/>
      <c r="AR67" s="860"/>
      <c r="AS67" s="860"/>
      <c r="AT67" s="860"/>
      <c r="AU67" s="861"/>
      <c r="AV67" s="861"/>
      <c r="AW67" s="877"/>
      <c r="AX67" s="861"/>
    </row>
    <row r="68" spans="2:50">
      <c r="B68" s="878"/>
      <c r="C68" s="861"/>
      <c r="D68" s="860"/>
      <c r="E68" s="860"/>
      <c r="F68" s="860"/>
      <c r="G68" s="860"/>
      <c r="H68" s="860"/>
      <c r="I68" s="861"/>
      <c r="J68" s="861"/>
      <c r="K68" s="859"/>
      <c r="L68" s="860"/>
      <c r="M68" s="860"/>
      <c r="N68" s="860"/>
      <c r="O68" s="859"/>
      <c r="P68" s="860"/>
      <c r="Q68" s="860"/>
      <c r="R68" s="860"/>
      <c r="S68" s="861"/>
      <c r="T68" s="860"/>
      <c r="U68" s="860"/>
      <c r="V68" s="860"/>
      <c r="W68" s="861"/>
      <c r="X68" s="860"/>
      <c r="Y68" s="860"/>
      <c r="Z68" s="860"/>
      <c r="AA68" s="859"/>
      <c r="AB68" s="860"/>
      <c r="AC68" s="858"/>
      <c r="AD68" s="858"/>
      <c r="AE68" s="861"/>
      <c r="AF68" s="860"/>
      <c r="AG68" s="860"/>
      <c r="AH68" s="860"/>
      <c r="AI68" s="861"/>
      <c r="AJ68" s="860"/>
      <c r="AK68" s="860"/>
      <c r="AL68" s="860"/>
      <c r="AM68" s="861"/>
      <c r="AN68" s="861"/>
      <c r="AO68" s="861"/>
      <c r="AP68" s="861"/>
      <c r="AQ68" s="864"/>
      <c r="AR68" s="860"/>
      <c r="AS68" s="860"/>
      <c r="AT68" s="860"/>
      <c r="AU68" s="861"/>
      <c r="AV68" s="861"/>
      <c r="AW68" s="877"/>
      <c r="AX68" s="861"/>
    </row>
    <row r="69" spans="2:50">
      <c r="B69" s="878"/>
      <c r="C69" s="861"/>
      <c r="D69" s="860"/>
      <c r="E69" s="860"/>
      <c r="F69" s="860"/>
      <c r="G69" s="860"/>
      <c r="H69" s="860"/>
      <c r="I69" s="861"/>
      <c r="J69" s="861"/>
      <c r="K69" s="859"/>
      <c r="L69" s="860"/>
      <c r="M69" s="860"/>
      <c r="N69" s="860"/>
      <c r="O69" s="859"/>
      <c r="P69" s="860"/>
      <c r="Q69" s="860"/>
      <c r="R69" s="860"/>
      <c r="S69" s="861"/>
      <c r="T69" s="860"/>
      <c r="U69" s="860"/>
      <c r="V69" s="860"/>
      <c r="W69" s="861"/>
      <c r="X69" s="860"/>
      <c r="Y69" s="860"/>
      <c r="Z69" s="860"/>
      <c r="AA69" s="859"/>
      <c r="AB69" s="860"/>
      <c r="AC69" s="858"/>
      <c r="AD69" s="858"/>
      <c r="AE69" s="861"/>
      <c r="AF69" s="860"/>
      <c r="AG69" s="860"/>
      <c r="AH69" s="860"/>
      <c r="AI69" s="861"/>
      <c r="AJ69" s="860"/>
      <c r="AK69" s="860"/>
      <c r="AL69" s="860"/>
      <c r="AM69" s="861"/>
      <c r="AN69" s="861"/>
      <c r="AO69" s="861"/>
      <c r="AP69" s="861"/>
      <c r="AQ69" s="864"/>
      <c r="AR69" s="860"/>
      <c r="AS69" s="860"/>
      <c r="AT69" s="860"/>
      <c r="AU69" s="861"/>
      <c r="AV69" s="861"/>
      <c r="AW69" s="877"/>
      <c r="AX69" s="861"/>
    </row>
    <row r="70" spans="2:50">
      <c r="B70" s="878"/>
      <c r="C70" s="861"/>
      <c r="D70" s="860"/>
      <c r="E70" s="860"/>
      <c r="F70" s="860"/>
      <c r="G70" s="860"/>
      <c r="H70" s="860"/>
      <c r="I70" s="861"/>
      <c r="J70" s="861"/>
      <c r="K70" s="859"/>
      <c r="L70" s="860"/>
      <c r="M70" s="860"/>
      <c r="N70" s="860"/>
      <c r="O70" s="859"/>
      <c r="P70" s="860"/>
      <c r="Q70" s="860"/>
      <c r="R70" s="860"/>
      <c r="S70" s="861"/>
      <c r="T70" s="860"/>
      <c r="U70" s="860"/>
      <c r="V70" s="860"/>
      <c r="W70" s="861"/>
      <c r="X70" s="860"/>
      <c r="Y70" s="860"/>
      <c r="Z70" s="860"/>
      <c r="AA70" s="859"/>
      <c r="AB70" s="860"/>
      <c r="AC70" s="858"/>
      <c r="AD70" s="858"/>
      <c r="AE70" s="861"/>
      <c r="AF70" s="860"/>
      <c r="AG70" s="860"/>
      <c r="AH70" s="860"/>
      <c r="AI70" s="861"/>
      <c r="AJ70" s="860"/>
      <c r="AK70" s="860"/>
      <c r="AL70" s="860"/>
      <c r="AM70" s="861"/>
      <c r="AN70" s="861"/>
      <c r="AO70" s="861"/>
      <c r="AP70" s="861"/>
      <c r="AQ70" s="864"/>
      <c r="AR70" s="860"/>
      <c r="AS70" s="860"/>
      <c r="AT70" s="860"/>
      <c r="AU70" s="861"/>
      <c r="AV70" s="861"/>
      <c r="AW70" s="877"/>
      <c r="AX70" s="861"/>
    </row>
    <row r="71" spans="2:50">
      <c r="B71" s="878"/>
      <c r="C71" s="861"/>
      <c r="D71" s="860"/>
      <c r="E71" s="860"/>
      <c r="F71" s="860"/>
      <c r="G71" s="860"/>
      <c r="H71" s="860"/>
      <c r="I71" s="861"/>
      <c r="J71" s="861"/>
      <c r="K71" s="859"/>
      <c r="L71" s="860"/>
      <c r="M71" s="860"/>
      <c r="N71" s="860"/>
      <c r="O71" s="859"/>
      <c r="P71" s="860"/>
      <c r="Q71" s="860"/>
      <c r="R71" s="860"/>
      <c r="S71" s="861"/>
      <c r="T71" s="860"/>
      <c r="U71" s="860"/>
      <c r="V71" s="860"/>
      <c r="W71" s="861"/>
      <c r="X71" s="860"/>
      <c r="Y71" s="860"/>
      <c r="Z71" s="860"/>
      <c r="AA71" s="859"/>
      <c r="AB71" s="860"/>
      <c r="AC71" s="858"/>
      <c r="AD71" s="858"/>
      <c r="AE71" s="861"/>
      <c r="AF71" s="860"/>
      <c r="AG71" s="860"/>
      <c r="AH71" s="860"/>
      <c r="AI71" s="861"/>
      <c r="AJ71" s="860"/>
      <c r="AK71" s="860"/>
      <c r="AL71" s="860"/>
      <c r="AM71" s="861"/>
      <c r="AN71" s="861"/>
      <c r="AO71" s="861"/>
      <c r="AP71" s="861"/>
      <c r="AQ71" s="864"/>
      <c r="AR71" s="860"/>
      <c r="AS71" s="860"/>
      <c r="AT71" s="860"/>
      <c r="AU71" s="861"/>
      <c r="AV71" s="861"/>
      <c r="AW71" s="877"/>
      <c r="AX71" s="861"/>
    </row>
    <row r="72" spans="2:50">
      <c r="B72" s="878"/>
      <c r="C72" s="861"/>
      <c r="D72" s="860"/>
      <c r="E72" s="860"/>
      <c r="F72" s="860"/>
      <c r="G72" s="860"/>
      <c r="H72" s="860"/>
      <c r="I72" s="861"/>
      <c r="J72" s="861"/>
      <c r="K72" s="859"/>
      <c r="L72" s="860"/>
      <c r="M72" s="860"/>
      <c r="N72" s="860"/>
      <c r="O72" s="859"/>
      <c r="P72" s="860"/>
      <c r="Q72" s="860"/>
      <c r="R72" s="860"/>
      <c r="S72" s="861"/>
      <c r="T72" s="860"/>
      <c r="U72" s="860"/>
      <c r="V72" s="860"/>
      <c r="W72" s="861"/>
      <c r="X72" s="860"/>
      <c r="Y72" s="860"/>
      <c r="Z72" s="860"/>
      <c r="AA72" s="859"/>
      <c r="AB72" s="860"/>
      <c r="AC72" s="858"/>
      <c r="AD72" s="858"/>
      <c r="AE72" s="861"/>
      <c r="AF72" s="860"/>
      <c r="AG72" s="860"/>
      <c r="AH72" s="860"/>
      <c r="AI72" s="861"/>
      <c r="AJ72" s="860"/>
      <c r="AK72" s="860"/>
      <c r="AL72" s="860"/>
      <c r="AM72" s="861"/>
      <c r="AN72" s="861"/>
      <c r="AO72" s="861"/>
      <c r="AP72" s="861"/>
      <c r="AQ72" s="864"/>
      <c r="AR72" s="860"/>
      <c r="AS72" s="860"/>
      <c r="AT72" s="860"/>
      <c r="AU72" s="861"/>
      <c r="AV72" s="861"/>
      <c r="AW72" s="877"/>
      <c r="AX72" s="861"/>
    </row>
    <row r="73" spans="2:50">
      <c r="B73" s="878"/>
      <c r="C73" s="861"/>
      <c r="D73" s="860"/>
      <c r="E73" s="860"/>
      <c r="F73" s="860"/>
      <c r="G73" s="860"/>
      <c r="H73" s="860"/>
      <c r="I73" s="861"/>
      <c r="J73" s="861"/>
      <c r="K73" s="859"/>
      <c r="L73" s="860"/>
      <c r="M73" s="860"/>
      <c r="N73" s="860"/>
      <c r="O73" s="859"/>
      <c r="P73" s="860"/>
      <c r="Q73" s="860"/>
      <c r="R73" s="860"/>
      <c r="S73" s="861"/>
      <c r="T73" s="860"/>
      <c r="U73" s="860"/>
      <c r="V73" s="860"/>
      <c r="W73" s="861"/>
      <c r="X73" s="860"/>
      <c r="Y73" s="860"/>
      <c r="Z73" s="860"/>
      <c r="AA73" s="859"/>
      <c r="AB73" s="860"/>
      <c r="AC73" s="858"/>
      <c r="AD73" s="858"/>
      <c r="AE73" s="861"/>
      <c r="AF73" s="860"/>
      <c r="AG73" s="860"/>
      <c r="AH73" s="860"/>
      <c r="AI73" s="861"/>
      <c r="AJ73" s="860"/>
      <c r="AK73" s="860"/>
      <c r="AL73" s="860"/>
      <c r="AM73" s="861"/>
      <c r="AN73" s="861"/>
      <c r="AO73" s="861"/>
      <c r="AP73" s="861"/>
      <c r="AQ73" s="864"/>
      <c r="AR73" s="860"/>
      <c r="AS73" s="860"/>
      <c r="AT73" s="860"/>
      <c r="AU73" s="861"/>
      <c r="AV73" s="861"/>
      <c r="AW73" s="877"/>
      <c r="AX73" s="861"/>
    </row>
    <row r="74" spans="2:50">
      <c r="B74" s="878"/>
      <c r="C74" s="861"/>
      <c r="D74" s="860"/>
      <c r="E74" s="860"/>
      <c r="F74" s="860"/>
      <c r="G74" s="860"/>
      <c r="H74" s="860"/>
      <c r="I74" s="861"/>
      <c r="J74" s="861"/>
      <c r="K74" s="859"/>
      <c r="L74" s="860"/>
      <c r="M74" s="860"/>
      <c r="N74" s="860"/>
      <c r="O74" s="859"/>
      <c r="P74" s="860"/>
      <c r="Q74" s="860"/>
      <c r="R74" s="860"/>
      <c r="S74" s="861"/>
      <c r="T74" s="860"/>
      <c r="U74" s="860"/>
      <c r="V74" s="860"/>
      <c r="W74" s="861"/>
      <c r="X74" s="860"/>
      <c r="Y74" s="860"/>
      <c r="Z74" s="860"/>
      <c r="AA74" s="859"/>
      <c r="AB74" s="860"/>
      <c r="AC74" s="858"/>
      <c r="AD74" s="858"/>
      <c r="AE74" s="861"/>
      <c r="AF74" s="860"/>
      <c r="AG74" s="860"/>
      <c r="AH74" s="860"/>
      <c r="AI74" s="861"/>
      <c r="AJ74" s="860"/>
      <c r="AK74" s="860"/>
      <c r="AL74" s="860"/>
      <c r="AM74" s="861"/>
      <c r="AN74" s="861"/>
      <c r="AO74" s="861"/>
      <c r="AP74" s="861"/>
      <c r="AQ74" s="864"/>
      <c r="AR74" s="860"/>
      <c r="AS74" s="860"/>
      <c r="AT74" s="860"/>
      <c r="AU74" s="861"/>
      <c r="AV74" s="861"/>
      <c r="AW74" s="877"/>
      <c r="AX74" s="861"/>
    </row>
    <row r="75" spans="2:50">
      <c r="B75" s="878"/>
      <c r="C75" s="861"/>
      <c r="D75" s="860"/>
      <c r="E75" s="860"/>
      <c r="F75" s="860"/>
      <c r="G75" s="860"/>
      <c r="H75" s="860"/>
      <c r="I75" s="861"/>
      <c r="J75" s="861"/>
      <c r="K75" s="859"/>
      <c r="L75" s="860"/>
      <c r="M75" s="860"/>
      <c r="N75" s="860"/>
      <c r="O75" s="859"/>
      <c r="P75" s="860"/>
      <c r="Q75" s="860"/>
      <c r="R75" s="860"/>
      <c r="S75" s="861"/>
      <c r="T75" s="860"/>
      <c r="U75" s="860"/>
      <c r="V75" s="860"/>
      <c r="W75" s="861"/>
      <c r="X75" s="860"/>
      <c r="Y75" s="860"/>
      <c r="Z75" s="860"/>
      <c r="AA75" s="859"/>
      <c r="AB75" s="860"/>
      <c r="AC75" s="858"/>
      <c r="AD75" s="858"/>
      <c r="AE75" s="861"/>
      <c r="AF75" s="860"/>
      <c r="AG75" s="860"/>
      <c r="AH75" s="860"/>
      <c r="AI75" s="861"/>
      <c r="AJ75" s="860"/>
      <c r="AK75" s="860"/>
      <c r="AL75" s="860"/>
      <c r="AM75" s="861"/>
      <c r="AN75" s="861"/>
      <c r="AO75" s="861"/>
      <c r="AP75" s="861"/>
      <c r="AQ75" s="864"/>
      <c r="AR75" s="860"/>
      <c r="AS75" s="860"/>
      <c r="AT75" s="860"/>
      <c r="AU75" s="861"/>
      <c r="AV75" s="861"/>
      <c r="AW75" s="877"/>
      <c r="AX75" s="861"/>
    </row>
    <row r="76" spans="2:50">
      <c r="B76" s="878"/>
      <c r="C76" s="861"/>
      <c r="D76" s="860"/>
      <c r="E76" s="860"/>
      <c r="F76" s="860"/>
      <c r="G76" s="860"/>
      <c r="H76" s="860"/>
      <c r="I76" s="861"/>
      <c r="J76" s="861"/>
      <c r="K76" s="859"/>
      <c r="L76" s="860"/>
      <c r="M76" s="860"/>
      <c r="N76" s="860"/>
      <c r="O76" s="859"/>
      <c r="P76" s="860"/>
      <c r="Q76" s="860"/>
      <c r="R76" s="860"/>
      <c r="S76" s="861"/>
      <c r="T76" s="860"/>
      <c r="U76" s="860"/>
      <c r="V76" s="860"/>
      <c r="W76" s="861"/>
      <c r="X76" s="860"/>
      <c r="Y76" s="860"/>
      <c r="Z76" s="860"/>
      <c r="AA76" s="859"/>
      <c r="AB76" s="860"/>
      <c r="AC76" s="858"/>
      <c r="AD76" s="858"/>
      <c r="AE76" s="861"/>
      <c r="AF76" s="860"/>
      <c r="AG76" s="860"/>
      <c r="AH76" s="860"/>
      <c r="AI76" s="861"/>
      <c r="AJ76" s="860"/>
      <c r="AK76" s="860"/>
      <c r="AL76" s="860"/>
      <c r="AM76" s="861"/>
      <c r="AN76" s="861"/>
      <c r="AO76" s="861"/>
      <c r="AP76" s="861"/>
      <c r="AQ76" s="864"/>
      <c r="AR76" s="860"/>
      <c r="AS76" s="860"/>
      <c r="AT76" s="860"/>
      <c r="AU76" s="861"/>
      <c r="AV76" s="861"/>
      <c r="AW76" s="877"/>
      <c r="AX76" s="861"/>
    </row>
    <row r="77" spans="2:50">
      <c r="B77" s="878"/>
      <c r="C77" s="861"/>
      <c r="D77" s="860"/>
      <c r="E77" s="860"/>
      <c r="F77" s="860"/>
      <c r="G77" s="860"/>
      <c r="H77" s="860"/>
      <c r="I77" s="861"/>
      <c r="J77" s="861"/>
      <c r="K77" s="859"/>
      <c r="L77" s="860"/>
      <c r="M77" s="860"/>
      <c r="N77" s="860"/>
      <c r="O77" s="859"/>
      <c r="P77" s="860"/>
      <c r="Q77" s="860"/>
      <c r="R77" s="860"/>
      <c r="S77" s="861"/>
      <c r="T77" s="860"/>
      <c r="U77" s="860"/>
      <c r="V77" s="860"/>
      <c r="W77" s="861"/>
      <c r="X77" s="860"/>
      <c r="Y77" s="860"/>
      <c r="Z77" s="860"/>
      <c r="AA77" s="859"/>
      <c r="AB77" s="860"/>
      <c r="AC77" s="858"/>
      <c r="AD77" s="858"/>
      <c r="AE77" s="861"/>
      <c r="AF77" s="860"/>
      <c r="AG77" s="860"/>
      <c r="AH77" s="860"/>
      <c r="AI77" s="861"/>
      <c r="AJ77" s="860"/>
      <c r="AK77" s="860"/>
      <c r="AL77" s="860"/>
      <c r="AM77" s="861"/>
      <c r="AN77" s="861"/>
      <c r="AO77" s="861"/>
      <c r="AP77" s="861"/>
      <c r="AQ77" s="864"/>
      <c r="AR77" s="860"/>
      <c r="AS77" s="860"/>
      <c r="AT77" s="860"/>
      <c r="AU77" s="861"/>
      <c r="AV77" s="861"/>
      <c r="AW77" s="877"/>
      <c r="AX77" s="861"/>
    </row>
    <row r="78" spans="2:50">
      <c r="B78" s="878"/>
      <c r="C78" s="861"/>
      <c r="D78" s="860"/>
      <c r="E78" s="860"/>
      <c r="F78" s="860"/>
      <c r="G78" s="860"/>
      <c r="H78" s="860"/>
      <c r="I78" s="861"/>
      <c r="J78" s="861"/>
      <c r="K78" s="859"/>
      <c r="L78" s="860"/>
      <c r="M78" s="860"/>
      <c r="N78" s="860"/>
      <c r="O78" s="859"/>
      <c r="P78" s="860"/>
      <c r="Q78" s="860"/>
      <c r="R78" s="860"/>
      <c r="S78" s="861"/>
      <c r="T78" s="860"/>
      <c r="U78" s="860"/>
      <c r="V78" s="860"/>
      <c r="W78" s="861"/>
      <c r="X78" s="860"/>
      <c r="Y78" s="860"/>
      <c r="Z78" s="860"/>
      <c r="AA78" s="859"/>
      <c r="AB78" s="860"/>
      <c r="AC78" s="858"/>
      <c r="AD78" s="858"/>
      <c r="AE78" s="861"/>
      <c r="AF78" s="860"/>
      <c r="AG78" s="860"/>
      <c r="AH78" s="860"/>
      <c r="AI78" s="861"/>
      <c r="AJ78" s="860"/>
      <c r="AK78" s="860"/>
      <c r="AL78" s="860"/>
      <c r="AM78" s="861"/>
      <c r="AN78" s="861"/>
      <c r="AO78" s="861"/>
      <c r="AP78" s="861"/>
      <c r="AQ78" s="864"/>
      <c r="AR78" s="860"/>
      <c r="AS78" s="860"/>
      <c r="AT78" s="860"/>
      <c r="AU78" s="861"/>
      <c r="AV78" s="861"/>
      <c r="AW78" s="877"/>
      <c r="AX78" s="861"/>
    </row>
    <row r="79" spans="2:50">
      <c r="B79" s="878"/>
      <c r="C79" s="861"/>
      <c r="D79" s="860"/>
      <c r="E79" s="860"/>
      <c r="F79" s="860"/>
      <c r="G79" s="860"/>
      <c r="H79" s="860"/>
      <c r="I79" s="861"/>
      <c r="J79" s="861"/>
      <c r="K79" s="859"/>
      <c r="L79" s="860"/>
      <c r="M79" s="860"/>
      <c r="N79" s="860"/>
      <c r="O79" s="859"/>
      <c r="P79" s="860"/>
      <c r="Q79" s="860"/>
      <c r="R79" s="860"/>
      <c r="S79" s="861"/>
      <c r="T79" s="860"/>
      <c r="U79" s="860"/>
      <c r="V79" s="860"/>
      <c r="W79" s="861"/>
      <c r="X79" s="860"/>
      <c r="Y79" s="860"/>
      <c r="Z79" s="860"/>
      <c r="AA79" s="859"/>
      <c r="AB79" s="860"/>
      <c r="AC79" s="858"/>
      <c r="AD79" s="858"/>
      <c r="AE79" s="861"/>
      <c r="AF79" s="860"/>
      <c r="AG79" s="860"/>
      <c r="AH79" s="860"/>
      <c r="AI79" s="861"/>
      <c r="AJ79" s="860"/>
      <c r="AK79" s="860"/>
      <c r="AL79" s="860"/>
      <c r="AM79" s="861"/>
      <c r="AN79" s="861"/>
      <c r="AO79" s="861"/>
      <c r="AP79" s="861"/>
      <c r="AQ79" s="864"/>
      <c r="AR79" s="860"/>
      <c r="AS79" s="860"/>
      <c r="AT79" s="860"/>
      <c r="AU79" s="861"/>
      <c r="AV79" s="861"/>
      <c r="AW79" s="877"/>
      <c r="AX79" s="861"/>
    </row>
    <row r="80" spans="2:50">
      <c r="B80" s="878"/>
      <c r="C80" s="861"/>
      <c r="D80" s="860"/>
      <c r="E80" s="860"/>
      <c r="F80" s="860"/>
      <c r="G80" s="860"/>
      <c r="H80" s="860"/>
      <c r="I80" s="861"/>
      <c r="J80" s="861"/>
      <c r="K80" s="859"/>
      <c r="L80" s="860"/>
      <c r="M80" s="860"/>
      <c r="N80" s="860"/>
      <c r="O80" s="859"/>
      <c r="P80" s="860"/>
      <c r="Q80" s="860"/>
      <c r="R80" s="860"/>
      <c r="S80" s="861"/>
      <c r="T80" s="860"/>
      <c r="U80" s="860"/>
      <c r="V80" s="860"/>
      <c r="W80" s="861"/>
      <c r="X80" s="860"/>
      <c r="Y80" s="860"/>
      <c r="Z80" s="860"/>
      <c r="AA80" s="859"/>
      <c r="AB80" s="860"/>
      <c r="AC80" s="858"/>
      <c r="AD80" s="858"/>
      <c r="AE80" s="861"/>
      <c r="AF80" s="860"/>
      <c r="AG80" s="860"/>
      <c r="AH80" s="860"/>
      <c r="AI80" s="861"/>
      <c r="AJ80" s="860"/>
      <c r="AK80" s="860"/>
      <c r="AL80" s="860"/>
      <c r="AM80" s="861"/>
      <c r="AN80" s="861"/>
      <c r="AO80" s="861"/>
      <c r="AP80" s="861"/>
      <c r="AQ80" s="864"/>
      <c r="AR80" s="860"/>
      <c r="AS80" s="860"/>
      <c r="AT80" s="860"/>
      <c r="AU80" s="861"/>
      <c r="AV80" s="861"/>
      <c r="AW80" s="877"/>
      <c r="AX80" s="861"/>
    </row>
    <row r="81" spans="2:50">
      <c r="B81" s="878"/>
      <c r="C81" s="861"/>
      <c r="D81" s="860"/>
      <c r="E81" s="860"/>
      <c r="F81" s="860"/>
      <c r="G81" s="860"/>
      <c r="H81" s="860"/>
      <c r="I81" s="861"/>
      <c r="J81" s="861"/>
      <c r="K81" s="859"/>
      <c r="L81" s="860"/>
      <c r="M81" s="860"/>
      <c r="N81" s="860"/>
      <c r="O81" s="859"/>
      <c r="P81" s="860"/>
      <c r="Q81" s="860"/>
      <c r="R81" s="860"/>
      <c r="S81" s="861"/>
      <c r="T81" s="860"/>
      <c r="U81" s="860"/>
      <c r="V81" s="860"/>
      <c r="W81" s="861"/>
      <c r="X81" s="860"/>
      <c r="Y81" s="860"/>
      <c r="Z81" s="860"/>
      <c r="AA81" s="859"/>
      <c r="AB81" s="860"/>
      <c r="AC81" s="858"/>
      <c r="AD81" s="858"/>
      <c r="AE81" s="861"/>
      <c r="AF81" s="860"/>
      <c r="AG81" s="860"/>
      <c r="AH81" s="860"/>
      <c r="AI81" s="861"/>
      <c r="AJ81" s="860"/>
      <c r="AK81" s="860"/>
      <c r="AL81" s="860"/>
      <c r="AM81" s="861"/>
      <c r="AN81" s="861"/>
      <c r="AO81" s="861"/>
      <c r="AP81" s="861"/>
      <c r="AQ81" s="864"/>
      <c r="AR81" s="860"/>
      <c r="AS81" s="860"/>
      <c r="AT81" s="860"/>
      <c r="AU81" s="861"/>
      <c r="AV81" s="861"/>
      <c r="AW81" s="877"/>
      <c r="AX81" s="861"/>
    </row>
    <row r="82" spans="2:50">
      <c r="B82" s="878"/>
      <c r="C82" s="861"/>
      <c r="D82" s="860"/>
      <c r="E82" s="860"/>
      <c r="F82" s="860"/>
      <c r="G82" s="860"/>
      <c r="H82" s="860"/>
      <c r="I82" s="861"/>
      <c r="J82" s="861"/>
      <c r="K82" s="859"/>
      <c r="L82" s="860"/>
      <c r="M82" s="860"/>
      <c r="N82" s="860"/>
      <c r="O82" s="859"/>
      <c r="P82" s="860"/>
      <c r="Q82" s="860"/>
      <c r="R82" s="860"/>
      <c r="S82" s="861"/>
      <c r="T82" s="860"/>
      <c r="U82" s="860"/>
      <c r="V82" s="860"/>
      <c r="W82" s="861"/>
      <c r="X82" s="860"/>
      <c r="Y82" s="860"/>
      <c r="Z82" s="860"/>
      <c r="AA82" s="859"/>
      <c r="AB82" s="860"/>
      <c r="AC82" s="858"/>
      <c r="AD82" s="858"/>
      <c r="AE82" s="861"/>
      <c r="AF82" s="860"/>
      <c r="AG82" s="860"/>
      <c r="AH82" s="860"/>
      <c r="AI82" s="861"/>
      <c r="AJ82" s="860"/>
      <c r="AK82" s="860"/>
      <c r="AL82" s="860"/>
      <c r="AM82" s="861"/>
      <c r="AN82" s="861"/>
      <c r="AO82" s="861"/>
      <c r="AP82" s="861"/>
      <c r="AQ82" s="864"/>
      <c r="AR82" s="860"/>
      <c r="AS82" s="860"/>
      <c r="AT82" s="860"/>
      <c r="AU82" s="861"/>
      <c r="AV82" s="861"/>
      <c r="AW82" s="877"/>
      <c r="AX82" s="861"/>
    </row>
    <row r="83" spans="2:50">
      <c r="B83" s="878"/>
      <c r="C83" s="861"/>
      <c r="D83" s="860"/>
      <c r="E83" s="860"/>
      <c r="F83" s="860"/>
      <c r="G83" s="860"/>
      <c r="H83" s="860"/>
      <c r="I83" s="861"/>
      <c r="J83" s="861"/>
      <c r="K83" s="859"/>
      <c r="L83" s="860"/>
      <c r="M83" s="860"/>
      <c r="N83" s="860"/>
      <c r="O83" s="859"/>
      <c r="P83" s="860"/>
      <c r="Q83" s="860"/>
      <c r="R83" s="860"/>
      <c r="S83" s="861"/>
      <c r="T83" s="860"/>
      <c r="U83" s="860"/>
      <c r="V83" s="860"/>
      <c r="W83" s="861"/>
      <c r="X83" s="860"/>
      <c r="Y83" s="860"/>
      <c r="Z83" s="860"/>
      <c r="AA83" s="859"/>
      <c r="AB83" s="860"/>
      <c r="AC83" s="858"/>
      <c r="AD83" s="858"/>
      <c r="AE83" s="861"/>
      <c r="AF83" s="860"/>
      <c r="AG83" s="860"/>
      <c r="AH83" s="860"/>
      <c r="AI83" s="861"/>
      <c r="AJ83" s="860"/>
      <c r="AK83" s="860"/>
      <c r="AL83" s="860"/>
      <c r="AM83" s="861"/>
      <c r="AN83" s="861"/>
      <c r="AO83" s="861"/>
      <c r="AP83" s="861"/>
      <c r="AQ83" s="864"/>
      <c r="AR83" s="860"/>
      <c r="AS83" s="860"/>
      <c r="AT83" s="860"/>
      <c r="AU83" s="861"/>
      <c r="AV83" s="861"/>
      <c r="AW83" s="877"/>
      <c r="AX83" s="861"/>
    </row>
    <row r="84" spans="2:50">
      <c r="B84" s="878"/>
      <c r="C84" s="861"/>
      <c r="D84" s="860"/>
      <c r="E84" s="860"/>
      <c r="F84" s="860"/>
      <c r="G84" s="860"/>
      <c r="H84" s="860"/>
      <c r="I84" s="861"/>
      <c r="J84" s="861"/>
      <c r="K84" s="859"/>
      <c r="L84" s="860"/>
      <c r="M84" s="860"/>
      <c r="N84" s="860"/>
      <c r="O84" s="859"/>
      <c r="P84" s="860"/>
      <c r="Q84" s="860"/>
      <c r="R84" s="860"/>
      <c r="S84" s="861"/>
      <c r="T84" s="860"/>
      <c r="U84" s="860"/>
      <c r="V84" s="860"/>
      <c r="W84" s="861"/>
      <c r="X84" s="860"/>
      <c r="Y84" s="860"/>
      <c r="Z84" s="860"/>
      <c r="AA84" s="859"/>
      <c r="AB84" s="860"/>
      <c r="AC84" s="858"/>
      <c r="AD84" s="858"/>
      <c r="AE84" s="861"/>
      <c r="AF84" s="860"/>
      <c r="AG84" s="860"/>
      <c r="AH84" s="860"/>
      <c r="AI84" s="861"/>
      <c r="AJ84" s="860"/>
      <c r="AK84" s="860"/>
      <c r="AL84" s="860"/>
      <c r="AM84" s="861"/>
      <c r="AN84" s="861"/>
      <c r="AO84" s="861"/>
      <c r="AP84" s="861"/>
      <c r="AQ84" s="864"/>
      <c r="AR84" s="860"/>
      <c r="AS84" s="860"/>
      <c r="AT84" s="860"/>
      <c r="AU84" s="861"/>
      <c r="AV84" s="861"/>
      <c r="AW84" s="877"/>
      <c r="AX84" s="861"/>
    </row>
    <row r="85" spans="2:50">
      <c r="B85" s="878"/>
      <c r="C85" s="861"/>
      <c r="D85" s="860"/>
      <c r="E85" s="860"/>
      <c r="F85" s="860"/>
      <c r="G85" s="860"/>
      <c r="H85" s="860"/>
      <c r="I85" s="861"/>
      <c r="J85" s="861"/>
      <c r="K85" s="859"/>
      <c r="L85" s="860"/>
      <c r="M85" s="860"/>
      <c r="N85" s="860"/>
      <c r="O85" s="859"/>
      <c r="P85" s="860"/>
      <c r="Q85" s="860"/>
      <c r="R85" s="860"/>
      <c r="S85" s="861"/>
      <c r="T85" s="860"/>
      <c r="U85" s="860"/>
      <c r="V85" s="860"/>
      <c r="W85" s="861"/>
      <c r="X85" s="860"/>
      <c r="Y85" s="860"/>
      <c r="Z85" s="860"/>
      <c r="AA85" s="859"/>
      <c r="AB85" s="860"/>
      <c r="AC85" s="858"/>
      <c r="AD85" s="858"/>
      <c r="AE85" s="861"/>
      <c r="AF85" s="860"/>
      <c r="AG85" s="860"/>
      <c r="AH85" s="860"/>
      <c r="AI85" s="861"/>
      <c r="AJ85" s="860"/>
      <c r="AK85" s="860"/>
      <c r="AL85" s="860"/>
      <c r="AM85" s="861"/>
      <c r="AN85" s="861"/>
      <c r="AO85" s="861"/>
      <c r="AP85" s="861"/>
      <c r="AQ85" s="864"/>
      <c r="AR85" s="860"/>
      <c r="AS85" s="860"/>
      <c r="AT85" s="860"/>
      <c r="AU85" s="861"/>
      <c r="AV85" s="861"/>
      <c r="AW85" s="877"/>
      <c r="AX85" s="861"/>
    </row>
    <row r="86" spans="2:50">
      <c r="B86" s="878"/>
      <c r="C86" s="861"/>
      <c r="D86" s="860"/>
      <c r="E86" s="860"/>
      <c r="F86" s="860"/>
      <c r="G86" s="860"/>
      <c r="H86" s="860"/>
      <c r="I86" s="861"/>
      <c r="J86" s="861"/>
      <c r="K86" s="859"/>
      <c r="L86" s="860"/>
      <c r="M86" s="860"/>
      <c r="N86" s="860"/>
      <c r="O86" s="859"/>
      <c r="P86" s="860"/>
      <c r="Q86" s="860"/>
      <c r="R86" s="860"/>
      <c r="S86" s="861"/>
      <c r="T86" s="860"/>
      <c r="U86" s="860"/>
      <c r="V86" s="860"/>
      <c r="W86" s="861"/>
      <c r="X86" s="860"/>
      <c r="Y86" s="860"/>
      <c r="Z86" s="860"/>
      <c r="AA86" s="859"/>
      <c r="AB86" s="860"/>
      <c r="AC86" s="858"/>
      <c r="AD86" s="858"/>
      <c r="AE86" s="861"/>
      <c r="AF86" s="860"/>
      <c r="AG86" s="860"/>
      <c r="AH86" s="860"/>
      <c r="AI86" s="861"/>
      <c r="AJ86" s="860"/>
      <c r="AK86" s="860"/>
      <c r="AL86" s="860"/>
      <c r="AM86" s="861"/>
      <c r="AN86" s="861"/>
      <c r="AO86" s="861"/>
      <c r="AP86" s="861"/>
      <c r="AQ86" s="864"/>
      <c r="AR86" s="860"/>
      <c r="AS86" s="860"/>
      <c r="AT86" s="860"/>
      <c r="AU86" s="861"/>
      <c r="AV86" s="861"/>
      <c r="AW86" s="877"/>
      <c r="AX86" s="861"/>
    </row>
    <row r="87" spans="2:50">
      <c r="B87" s="878"/>
      <c r="C87" s="861"/>
      <c r="D87" s="860"/>
      <c r="E87" s="860"/>
      <c r="F87" s="860"/>
      <c r="G87" s="860"/>
      <c r="H87" s="860"/>
      <c r="I87" s="861"/>
      <c r="J87" s="861"/>
      <c r="K87" s="859"/>
      <c r="L87" s="860"/>
      <c r="M87" s="860"/>
      <c r="N87" s="860"/>
      <c r="O87" s="859"/>
      <c r="P87" s="860"/>
      <c r="Q87" s="860"/>
      <c r="R87" s="860"/>
      <c r="S87" s="861"/>
      <c r="T87" s="860"/>
      <c r="U87" s="860"/>
      <c r="V87" s="860"/>
      <c r="W87" s="861"/>
      <c r="X87" s="860"/>
      <c r="Y87" s="860"/>
      <c r="Z87" s="860"/>
      <c r="AA87" s="859"/>
      <c r="AB87" s="860"/>
      <c r="AC87" s="858"/>
      <c r="AD87" s="858"/>
      <c r="AE87" s="861"/>
      <c r="AF87" s="860"/>
      <c r="AG87" s="860"/>
      <c r="AH87" s="860"/>
      <c r="AI87" s="861"/>
      <c r="AJ87" s="860"/>
      <c r="AK87" s="860"/>
      <c r="AL87" s="860"/>
      <c r="AM87" s="861"/>
      <c r="AN87" s="861"/>
      <c r="AO87" s="861"/>
      <c r="AP87" s="861"/>
      <c r="AQ87" s="864"/>
      <c r="AR87" s="860"/>
      <c r="AS87" s="860"/>
      <c r="AT87" s="860"/>
      <c r="AU87" s="861"/>
      <c r="AV87" s="861"/>
      <c r="AW87" s="877"/>
      <c r="AX87" s="861"/>
    </row>
    <row r="88" spans="2:50">
      <c r="B88" s="878"/>
      <c r="C88" s="861"/>
      <c r="D88" s="860"/>
      <c r="E88" s="860"/>
      <c r="F88" s="860"/>
      <c r="G88" s="860"/>
      <c r="H88" s="860"/>
      <c r="I88" s="861"/>
      <c r="J88" s="861"/>
      <c r="K88" s="859"/>
      <c r="L88" s="860"/>
      <c r="M88" s="860"/>
      <c r="N88" s="860"/>
      <c r="O88" s="859"/>
      <c r="P88" s="860"/>
      <c r="Q88" s="860"/>
      <c r="R88" s="860"/>
      <c r="S88" s="861"/>
      <c r="T88" s="860"/>
      <c r="U88" s="860"/>
      <c r="V88" s="860"/>
      <c r="W88" s="861"/>
      <c r="X88" s="860"/>
      <c r="Y88" s="860"/>
      <c r="Z88" s="860"/>
      <c r="AA88" s="859"/>
      <c r="AB88" s="860"/>
      <c r="AC88" s="858"/>
      <c r="AD88" s="858"/>
      <c r="AE88" s="861"/>
      <c r="AF88" s="860"/>
      <c r="AG88" s="860"/>
      <c r="AH88" s="860"/>
      <c r="AI88" s="861"/>
      <c r="AJ88" s="860"/>
      <c r="AK88" s="860"/>
      <c r="AL88" s="860"/>
      <c r="AM88" s="861"/>
      <c r="AN88" s="861"/>
      <c r="AO88" s="861"/>
      <c r="AP88" s="861"/>
      <c r="AQ88" s="864"/>
      <c r="AR88" s="860"/>
      <c r="AS88" s="860"/>
      <c r="AT88" s="860"/>
      <c r="AU88" s="861"/>
      <c r="AV88" s="861"/>
      <c r="AW88" s="877"/>
      <c r="AX88" s="861"/>
    </row>
    <row r="89" spans="2:50">
      <c r="B89" s="878"/>
      <c r="C89" s="861"/>
      <c r="D89" s="860"/>
      <c r="E89" s="860"/>
      <c r="F89" s="860"/>
      <c r="G89" s="860"/>
      <c r="H89" s="860"/>
      <c r="I89" s="861"/>
      <c r="J89" s="861"/>
      <c r="K89" s="859"/>
      <c r="L89" s="860"/>
      <c r="M89" s="860"/>
      <c r="N89" s="860"/>
      <c r="O89" s="859"/>
      <c r="P89" s="860"/>
      <c r="Q89" s="860"/>
      <c r="R89" s="860"/>
      <c r="S89" s="861"/>
      <c r="T89" s="860"/>
      <c r="U89" s="860"/>
      <c r="V89" s="860"/>
      <c r="W89" s="861"/>
      <c r="X89" s="860"/>
      <c r="Y89" s="860"/>
      <c r="Z89" s="860"/>
      <c r="AA89" s="859"/>
      <c r="AB89" s="860"/>
      <c r="AC89" s="858"/>
      <c r="AD89" s="858"/>
      <c r="AE89" s="861"/>
      <c r="AF89" s="860"/>
      <c r="AG89" s="860"/>
      <c r="AH89" s="860"/>
      <c r="AI89" s="861"/>
      <c r="AJ89" s="860"/>
      <c r="AK89" s="860"/>
      <c r="AL89" s="860"/>
      <c r="AM89" s="861"/>
      <c r="AN89" s="861"/>
      <c r="AO89" s="861"/>
      <c r="AP89" s="861"/>
      <c r="AQ89" s="864"/>
      <c r="AR89" s="860"/>
      <c r="AS89" s="860"/>
      <c r="AT89" s="860"/>
      <c r="AU89" s="861"/>
      <c r="AV89" s="861"/>
      <c r="AW89" s="877"/>
      <c r="AX89" s="861"/>
    </row>
    <row r="90" spans="2:50">
      <c r="B90" s="878"/>
      <c r="C90" s="861"/>
      <c r="D90" s="860"/>
      <c r="E90" s="860"/>
      <c r="F90" s="860"/>
      <c r="G90" s="860"/>
      <c r="H90" s="860"/>
      <c r="I90" s="861"/>
      <c r="J90" s="861"/>
      <c r="K90" s="859"/>
      <c r="L90" s="860"/>
      <c r="M90" s="860"/>
      <c r="N90" s="860"/>
      <c r="O90" s="859"/>
      <c r="P90" s="860"/>
      <c r="Q90" s="860"/>
      <c r="R90" s="860"/>
      <c r="S90" s="861"/>
      <c r="T90" s="860"/>
      <c r="U90" s="860"/>
      <c r="V90" s="860"/>
      <c r="W90" s="861"/>
      <c r="X90" s="860"/>
      <c r="Y90" s="860"/>
      <c r="Z90" s="860"/>
      <c r="AA90" s="859"/>
      <c r="AB90" s="860"/>
      <c r="AC90" s="858"/>
      <c r="AD90" s="858"/>
      <c r="AE90" s="861"/>
      <c r="AF90" s="860"/>
      <c r="AG90" s="860"/>
      <c r="AH90" s="860"/>
      <c r="AI90" s="861"/>
      <c r="AJ90" s="860"/>
      <c r="AK90" s="860"/>
      <c r="AL90" s="860"/>
      <c r="AM90" s="861"/>
      <c r="AN90" s="861"/>
      <c r="AO90" s="861"/>
      <c r="AP90" s="861"/>
      <c r="AQ90" s="864"/>
      <c r="AR90" s="860"/>
      <c r="AS90" s="860"/>
      <c r="AT90" s="860"/>
      <c r="AU90" s="861"/>
      <c r="AV90" s="861"/>
      <c r="AW90" s="877"/>
      <c r="AX90" s="861"/>
    </row>
    <row r="91" spans="2:50">
      <c r="B91" s="878"/>
      <c r="C91" s="861"/>
      <c r="D91" s="860"/>
      <c r="E91" s="860"/>
      <c r="F91" s="860"/>
      <c r="G91" s="860"/>
      <c r="H91" s="860"/>
      <c r="I91" s="861"/>
      <c r="J91" s="861"/>
      <c r="K91" s="859"/>
      <c r="L91" s="860"/>
      <c r="M91" s="860"/>
      <c r="N91" s="860"/>
      <c r="O91" s="859"/>
      <c r="P91" s="860"/>
      <c r="Q91" s="860"/>
      <c r="R91" s="860"/>
      <c r="S91" s="861"/>
      <c r="T91" s="860"/>
      <c r="U91" s="860"/>
      <c r="V91" s="860"/>
      <c r="W91" s="861"/>
      <c r="X91" s="860"/>
      <c r="Y91" s="860"/>
      <c r="Z91" s="860"/>
      <c r="AA91" s="859"/>
      <c r="AB91" s="860"/>
      <c r="AC91" s="858"/>
      <c r="AD91" s="858"/>
      <c r="AE91" s="861"/>
      <c r="AF91" s="860"/>
      <c r="AG91" s="860"/>
      <c r="AH91" s="860"/>
      <c r="AI91" s="861"/>
      <c r="AJ91" s="860"/>
      <c r="AK91" s="860"/>
      <c r="AL91" s="860"/>
      <c r="AM91" s="861"/>
      <c r="AN91" s="861"/>
      <c r="AO91" s="861"/>
      <c r="AP91" s="861"/>
      <c r="AQ91" s="864"/>
      <c r="AR91" s="860"/>
      <c r="AS91" s="860"/>
      <c r="AT91" s="860"/>
      <c r="AU91" s="861"/>
      <c r="AV91" s="861"/>
      <c r="AW91" s="877"/>
      <c r="AX91" s="861"/>
    </row>
    <row r="92" spans="2:50">
      <c r="B92" s="878"/>
      <c r="C92" s="861"/>
      <c r="D92" s="860"/>
      <c r="E92" s="860"/>
      <c r="F92" s="860"/>
      <c r="G92" s="860"/>
      <c r="H92" s="860"/>
      <c r="I92" s="861"/>
      <c r="J92" s="861"/>
      <c r="K92" s="859"/>
      <c r="L92" s="860"/>
      <c r="M92" s="860"/>
      <c r="N92" s="860"/>
      <c r="O92" s="859"/>
      <c r="P92" s="860"/>
      <c r="Q92" s="860"/>
      <c r="R92" s="860"/>
      <c r="S92" s="861"/>
      <c r="T92" s="860"/>
      <c r="U92" s="860"/>
      <c r="V92" s="860"/>
      <c r="W92" s="861"/>
      <c r="X92" s="860"/>
      <c r="Y92" s="860"/>
      <c r="Z92" s="860"/>
      <c r="AA92" s="859"/>
      <c r="AB92" s="860"/>
      <c r="AC92" s="858"/>
      <c r="AD92" s="858"/>
      <c r="AE92" s="861"/>
      <c r="AF92" s="860"/>
      <c r="AG92" s="860"/>
      <c r="AH92" s="860"/>
      <c r="AI92" s="861"/>
      <c r="AJ92" s="860"/>
      <c r="AK92" s="860"/>
      <c r="AL92" s="860"/>
      <c r="AM92" s="861"/>
      <c r="AN92" s="861"/>
      <c r="AO92" s="861"/>
      <c r="AP92" s="861"/>
      <c r="AQ92" s="864"/>
      <c r="AR92" s="860"/>
      <c r="AS92" s="860"/>
      <c r="AT92" s="860"/>
      <c r="AU92" s="861"/>
      <c r="AV92" s="861"/>
      <c r="AW92" s="877"/>
      <c r="AX92" s="861"/>
    </row>
    <row r="93" spans="2:50">
      <c r="B93" s="878"/>
      <c r="C93" s="861"/>
      <c r="D93" s="860"/>
      <c r="E93" s="860"/>
      <c r="F93" s="860"/>
      <c r="G93" s="860"/>
      <c r="H93" s="860"/>
      <c r="I93" s="861"/>
      <c r="J93" s="861"/>
      <c r="K93" s="859"/>
      <c r="L93" s="860"/>
      <c r="M93" s="860"/>
      <c r="N93" s="860"/>
      <c r="O93" s="859"/>
      <c r="P93" s="860"/>
      <c r="Q93" s="860"/>
      <c r="R93" s="860"/>
      <c r="S93" s="861"/>
      <c r="T93" s="860"/>
      <c r="U93" s="860"/>
      <c r="V93" s="860"/>
      <c r="W93" s="861"/>
      <c r="X93" s="860"/>
      <c r="Y93" s="860"/>
      <c r="Z93" s="860"/>
      <c r="AA93" s="859"/>
      <c r="AB93" s="860"/>
      <c r="AC93" s="858"/>
      <c r="AD93" s="858"/>
      <c r="AE93" s="861"/>
      <c r="AF93" s="860"/>
      <c r="AG93" s="860"/>
      <c r="AH93" s="860"/>
      <c r="AI93" s="861"/>
      <c r="AJ93" s="860"/>
      <c r="AK93" s="860"/>
      <c r="AL93" s="860"/>
      <c r="AM93" s="861"/>
      <c r="AN93" s="861"/>
      <c r="AO93" s="861"/>
      <c r="AP93" s="861"/>
      <c r="AQ93" s="864"/>
      <c r="AR93" s="860"/>
      <c r="AS93" s="860"/>
      <c r="AT93" s="860"/>
      <c r="AU93" s="861"/>
      <c r="AV93" s="861"/>
      <c r="AW93" s="877"/>
      <c r="AX93" s="861"/>
    </row>
    <row r="94" spans="2:50">
      <c r="B94" s="878"/>
      <c r="C94" s="861"/>
      <c r="D94" s="860"/>
      <c r="E94" s="860"/>
      <c r="F94" s="860"/>
      <c r="G94" s="860"/>
      <c r="H94" s="860"/>
      <c r="I94" s="861"/>
      <c r="J94" s="861"/>
      <c r="K94" s="859"/>
      <c r="L94" s="860"/>
      <c r="M94" s="860"/>
      <c r="N94" s="860"/>
      <c r="O94" s="859"/>
      <c r="P94" s="860"/>
      <c r="Q94" s="860"/>
      <c r="R94" s="860"/>
      <c r="S94" s="861"/>
      <c r="T94" s="860"/>
      <c r="U94" s="860"/>
      <c r="V94" s="860"/>
      <c r="W94" s="861"/>
      <c r="X94" s="860"/>
      <c r="Y94" s="860"/>
      <c r="Z94" s="860"/>
      <c r="AA94" s="859"/>
      <c r="AB94" s="860"/>
      <c r="AC94" s="858"/>
      <c r="AD94" s="858"/>
      <c r="AE94" s="861"/>
      <c r="AF94" s="860"/>
      <c r="AG94" s="860"/>
      <c r="AH94" s="860"/>
      <c r="AI94" s="861"/>
      <c r="AJ94" s="860"/>
      <c r="AK94" s="860"/>
      <c r="AL94" s="860"/>
      <c r="AM94" s="861"/>
      <c r="AN94" s="861"/>
      <c r="AO94" s="861"/>
      <c r="AP94" s="861"/>
      <c r="AQ94" s="864"/>
      <c r="AR94" s="860"/>
      <c r="AS94" s="860"/>
      <c r="AT94" s="860"/>
      <c r="AU94" s="861"/>
      <c r="AV94" s="861"/>
      <c r="AW94" s="877"/>
      <c r="AX94" s="861"/>
    </row>
    <row r="95" spans="2:50">
      <c r="B95" s="878"/>
      <c r="C95" s="861"/>
      <c r="D95" s="860"/>
      <c r="E95" s="860"/>
      <c r="F95" s="860"/>
      <c r="G95" s="860"/>
      <c r="H95" s="860"/>
      <c r="I95" s="861"/>
      <c r="J95" s="861"/>
      <c r="K95" s="859"/>
      <c r="L95" s="860"/>
      <c r="M95" s="860"/>
      <c r="N95" s="860"/>
      <c r="O95" s="859"/>
      <c r="P95" s="860"/>
      <c r="Q95" s="860"/>
      <c r="R95" s="860"/>
      <c r="S95" s="861"/>
      <c r="T95" s="860"/>
      <c r="U95" s="860"/>
      <c r="V95" s="860"/>
      <c r="W95" s="861"/>
      <c r="X95" s="860"/>
      <c r="Y95" s="860"/>
      <c r="Z95" s="860"/>
      <c r="AA95" s="859"/>
      <c r="AB95" s="860"/>
      <c r="AC95" s="858"/>
      <c r="AD95" s="858"/>
      <c r="AE95" s="861"/>
      <c r="AF95" s="860"/>
      <c r="AG95" s="860"/>
      <c r="AH95" s="860"/>
      <c r="AI95" s="861"/>
      <c r="AJ95" s="860"/>
      <c r="AK95" s="860"/>
      <c r="AL95" s="860"/>
      <c r="AM95" s="861"/>
      <c r="AN95" s="861"/>
      <c r="AO95" s="861"/>
      <c r="AP95" s="861"/>
      <c r="AQ95" s="864"/>
      <c r="AR95" s="860"/>
      <c r="AS95" s="860"/>
      <c r="AT95" s="860"/>
      <c r="AU95" s="861"/>
      <c r="AV95" s="861"/>
      <c r="AW95" s="877"/>
      <c r="AX95" s="861"/>
    </row>
    <row r="96" spans="2:50">
      <c r="B96" s="878"/>
      <c r="C96" s="861"/>
      <c r="D96" s="860"/>
      <c r="E96" s="860"/>
      <c r="F96" s="860"/>
      <c r="G96" s="860"/>
      <c r="H96" s="860"/>
      <c r="I96" s="861"/>
      <c r="J96" s="861"/>
      <c r="K96" s="859"/>
      <c r="L96" s="860"/>
      <c r="M96" s="860"/>
      <c r="N96" s="860"/>
      <c r="O96" s="859"/>
      <c r="P96" s="860"/>
      <c r="Q96" s="860"/>
      <c r="R96" s="860"/>
      <c r="S96" s="861"/>
      <c r="T96" s="860"/>
      <c r="U96" s="860"/>
      <c r="V96" s="860"/>
      <c r="W96" s="861"/>
      <c r="X96" s="860"/>
      <c r="Y96" s="860"/>
      <c r="Z96" s="860"/>
      <c r="AA96" s="859"/>
      <c r="AB96" s="860"/>
      <c r="AC96" s="858"/>
      <c r="AD96" s="858"/>
      <c r="AE96" s="861"/>
      <c r="AF96" s="860"/>
      <c r="AG96" s="860"/>
      <c r="AH96" s="860"/>
      <c r="AI96" s="861"/>
      <c r="AJ96" s="860"/>
      <c r="AK96" s="860"/>
      <c r="AL96" s="860"/>
      <c r="AM96" s="861"/>
      <c r="AN96" s="861"/>
      <c r="AO96" s="861"/>
      <c r="AP96" s="861"/>
      <c r="AQ96" s="864"/>
      <c r="AR96" s="860"/>
      <c r="AS96" s="860"/>
      <c r="AT96" s="860"/>
      <c r="AU96" s="861"/>
      <c r="AV96" s="861"/>
      <c r="AW96" s="877"/>
      <c r="AX96" s="861"/>
    </row>
    <row r="97" spans="2:50">
      <c r="B97" s="878"/>
      <c r="C97" s="861"/>
      <c r="D97" s="860"/>
      <c r="E97" s="860"/>
      <c r="F97" s="860"/>
      <c r="G97" s="860"/>
      <c r="H97" s="860"/>
      <c r="I97" s="861"/>
      <c r="J97" s="861"/>
      <c r="K97" s="859"/>
      <c r="L97" s="860"/>
      <c r="M97" s="860"/>
      <c r="N97" s="860"/>
      <c r="O97" s="859"/>
      <c r="P97" s="860"/>
      <c r="Q97" s="860"/>
      <c r="R97" s="860"/>
      <c r="S97" s="861"/>
      <c r="T97" s="860"/>
      <c r="U97" s="860"/>
      <c r="V97" s="860"/>
      <c r="W97" s="861"/>
      <c r="X97" s="860"/>
      <c r="Y97" s="860"/>
      <c r="Z97" s="860"/>
      <c r="AA97" s="859"/>
      <c r="AB97" s="860"/>
      <c r="AC97" s="858"/>
      <c r="AD97" s="858"/>
      <c r="AE97" s="861"/>
      <c r="AF97" s="860"/>
      <c r="AG97" s="860"/>
      <c r="AH97" s="860"/>
      <c r="AI97" s="861"/>
      <c r="AJ97" s="860"/>
      <c r="AK97" s="860"/>
      <c r="AL97" s="860"/>
      <c r="AM97" s="861"/>
      <c r="AN97" s="861"/>
      <c r="AO97" s="861"/>
      <c r="AP97" s="861"/>
      <c r="AQ97" s="864"/>
      <c r="AR97" s="860"/>
      <c r="AS97" s="860"/>
      <c r="AT97" s="860"/>
      <c r="AU97" s="861"/>
      <c r="AV97" s="861"/>
      <c r="AW97" s="877"/>
      <c r="AX97" s="861"/>
    </row>
    <row r="98" spans="2:50">
      <c r="B98" s="878"/>
      <c r="C98" s="861"/>
      <c r="D98" s="860"/>
      <c r="E98" s="860"/>
      <c r="F98" s="860"/>
      <c r="G98" s="860"/>
      <c r="H98" s="860"/>
      <c r="I98" s="861"/>
      <c r="J98" s="861"/>
      <c r="K98" s="859"/>
      <c r="L98" s="860"/>
      <c r="M98" s="860"/>
      <c r="N98" s="860"/>
      <c r="O98" s="859"/>
      <c r="P98" s="860"/>
      <c r="Q98" s="860"/>
      <c r="R98" s="860"/>
      <c r="S98" s="861"/>
      <c r="T98" s="860"/>
      <c r="U98" s="860"/>
      <c r="V98" s="860"/>
      <c r="W98" s="861"/>
      <c r="X98" s="860"/>
      <c r="Y98" s="860"/>
      <c r="Z98" s="860"/>
      <c r="AA98" s="859"/>
      <c r="AB98" s="860"/>
      <c r="AC98" s="858"/>
      <c r="AD98" s="858"/>
      <c r="AE98" s="861"/>
      <c r="AF98" s="860"/>
      <c r="AG98" s="860"/>
      <c r="AH98" s="860"/>
      <c r="AI98" s="861"/>
      <c r="AJ98" s="860"/>
      <c r="AK98" s="860"/>
      <c r="AL98" s="860"/>
      <c r="AM98" s="861"/>
      <c r="AN98" s="861"/>
      <c r="AO98" s="861"/>
      <c r="AP98" s="861"/>
      <c r="AQ98" s="864"/>
      <c r="AR98" s="860"/>
      <c r="AS98" s="860"/>
      <c r="AT98" s="860"/>
      <c r="AU98" s="861"/>
      <c r="AV98" s="861"/>
      <c r="AW98" s="877"/>
      <c r="AX98" s="861"/>
    </row>
    <row r="99" spans="2:50">
      <c r="B99" s="878"/>
      <c r="C99" s="861"/>
      <c r="D99" s="860"/>
      <c r="E99" s="860"/>
      <c r="F99" s="860"/>
      <c r="G99" s="860"/>
      <c r="H99" s="860"/>
      <c r="I99" s="861"/>
      <c r="J99" s="861"/>
      <c r="K99" s="859"/>
      <c r="L99" s="860"/>
      <c r="M99" s="860"/>
      <c r="N99" s="860"/>
      <c r="O99" s="859"/>
      <c r="P99" s="860"/>
      <c r="Q99" s="860"/>
      <c r="R99" s="860"/>
      <c r="S99" s="861"/>
      <c r="T99" s="860"/>
      <c r="U99" s="860"/>
      <c r="V99" s="860"/>
      <c r="W99" s="861"/>
      <c r="X99" s="860"/>
      <c r="Y99" s="860"/>
      <c r="Z99" s="860"/>
      <c r="AA99" s="859"/>
      <c r="AB99" s="860"/>
      <c r="AC99" s="858"/>
      <c r="AD99" s="858"/>
      <c r="AE99" s="861"/>
      <c r="AF99" s="860"/>
      <c r="AG99" s="860"/>
      <c r="AH99" s="860"/>
      <c r="AI99" s="861"/>
      <c r="AJ99" s="860"/>
      <c r="AK99" s="860"/>
      <c r="AL99" s="860"/>
      <c r="AM99" s="861"/>
      <c r="AN99" s="861"/>
      <c r="AO99" s="861"/>
      <c r="AP99" s="861"/>
      <c r="AQ99" s="864"/>
      <c r="AR99" s="860"/>
      <c r="AS99" s="860"/>
      <c r="AT99" s="860"/>
      <c r="AU99" s="861"/>
      <c r="AV99" s="861"/>
      <c r="AW99" s="877"/>
      <c r="AX99" s="861"/>
    </row>
    <row r="100" spans="2:50">
      <c r="B100" s="878"/>
      <c r="C100" s="861"/>
      <c r="D100" s="860"/>
      <c r="E100" s="860"/>
      <c r="F100" s="860"/>
      <c r="G100" s="860"/>
      <c r="H100" s="860"/>
      <c r="I100" s="861"/>
      <c r="J100" s="861"/>
      <c r="K100" s="859"/>
      <c r="L100" s="860"/>
      <c r="M100" s="860"/>
      <c r="N100" s="860"/>
      <c r="O100" s="859"/>
      <c r="P100" s="860"/>
      <c r="Q100" s="860"/>
      <c r="R100" s="860"/>
      <c r="S100" s="861"/>
      <c r="T100" s="860"/>
      <c r="U100" s="860"/>
      <c r="V100" s="860"/>
      <c r="W100" s="861"/>
      <c r="X100" s="860"/>
      <c r="Y100" s="860"/>
      <c r="Z100" s="860"/>
      <c r="AA100" s="859"/>
      <c r="AB100" s="860"/>
      <c r="AC100" s="858"/>
      <c r="AD100" s="858"/>
      <c r="AE100" s="861"/>
      <c r="AF100" s="860"/>
      <c r="AG100" s="860"/>
      <c r="AH100" s="860"/>
      <c r="AI100" s="861"/>
      <c r="AJ100" s="860"/>
      <c r="AK100" s="860"/>
      <c r="AL100" s="860"/>
      <c r="AM100" s="861"/>
      <c r="AN100" s="861"/>
      <c r="AO100" s="861"/>
      <c r="AP100" s="861"/>
      <c r="AQ100" s="864"/>
      <c r="AR100" s="860"/>
      <c r="AS100" s="860"/>
      <c r="AT100" s="860"/>
      <c r="AU100" s="861"/>
      <c r="AV100" s="861"/>
      <c r="AW100" s="877"/>
      <c r="AX100" s="861"/>
    </row>
    <row r="101" spans="2:50">
      <c r="B101" s="878"/>
      <c r="C101" s="861"/>
      <c r="D101" s="860"/>
      <c r="E101" s="860"/>
      <c r="F101" s="860"/>
      <c r="G101" s="860"/>
      <c r="H101" s="860"/>
      <c r="I101" s="861"/>
      <c r="J101" s="861"/>
      <c r="K101" s="859"/>
      <c r="L101" s="860"/>
      <c r="M101" s="860"/>
      <c r="N101" s="860"/>
      <c r="O101" s="859"/>
      <c r="P101" s="860"/>
      <c r="Q101" s="860"/>
      <c r="R101" s="860"/>
      <c r="S101" s="861"/>
      <c r="T101" s="860"/>
      <c r="U101" s="860"/>
      <c r="V101" s="860"/>
      <c r="W101" s="861"/>
      <c r="X101" s="860"/>
      <c r="Y101" s="860"/>
      <c r="Z101" s="860"/>
      <c r="AA101" s="859"/>
      <c r="AB101" s="860"/>
      <c r="AC101" s="858"/>
      <c r="AD101" s="858"/>
      <c r="AE101" s="861"/>
      <c r="AF101" s="860"/>
      <c r="AG101" s="860"/>
      <c r="AH101" s="860"/>
      <c r="AI101" s="861"/>
      <c r="AJ101" s="860"/>
      <c r="AK101" s="860"/>
      <c r="AL101" s="860"/>
      <c r="AM101" s="861"/>
      <c r="AN101" s="861"/>
      <c r="AO101" s="861"/>
      <c r="AP101" s="861"/>
      <c r="AQ101" s="864"/>
      <c r="AR101" s="860"/>
      <c r="AS101" s="860"/>
      <c r="AT101" s="860"/>
      <c r="AU101" s="861"/>
      <c r="AV101" s="861"/>
      <c r="AW101" s="877"/>
      <c r="AX101" s="861"/>
    </row>
    <row r="102" spans="2:50">
      <c r="B102" s="878"/>
      <c r="C102" s="861"/>
      <c r="D102" s="860"/>
      <c r="E102" s="860"/>
      <c r="F102" s="860"/>
      <c r="G102" s="860"/>
      <c r="H102" s="860"/>
      <c r="I102" s="861"/>
      <c r="J102" s="861"/>
      <c r="K102" s="859"/>
      <c r="L102" s="860"/>
      <c r="M102" s="860"/>
      <c r="N102" s="860"/>
      <c r="O102" s="859"/>
      <c r="P102" s="860"/>
      <c r="Q102" s="860"/>
      <c r="R102" s="860"/>
      <c r="S102" s="861"/>
      <c r="T102" s="860"/>
      <c r="U102" s="860"/>
      <c r="V102" s="860"/>
      <c r="W102" s="861"/>
      <c r="X102" s="860"/>
      <c r="Y102" s="860"/>
      <c r="Z102" s="860"/>
      <c r="AA102" s="859"/>
      <c r="AB102" s="860"/>
      <c r="AC102" s="858"/>
      <c r="AD102" s="858"/>
      <c r="AE102" s="861"/>
      <c r="AF102" s="860"/>
      <c r="AG102" s="860"/>
      <c r="AH102" s="860"/>
      <c r="AI102" s="861"/>
      <c r="AJ102" s="860"/>
      <c r="AK102" s="860"/>
      <c r="AL102" s="860"/>
      <c r="AM102" s="861"/>
      <c r="AN102" s="861"/>
      <c r="AO102" s="861"/>
      <c r="AP102" s="861"/>
      <c r="AQ102" s="864"/>
      <c r="AR102" s="860"/>
      <c r="AS102" s="860"/>
      <c r="AT102" s="860"/>
      <c r="AU102" s="861"/>
      <c r="AV102" s="861"/>
      <c r="AW102" s="877"/>
      <c r="AX102" s="861"/>
    </row>
    <row r="103" spans="2:50">
      <c r="B103" s="878"/>
      <c r="C103" s="861"/>
      <c r="D103" s="860"/>
      <c r="E103" s="860"/>
      <c r="F103" s="860"/>
      <c r="G103" s="860"/>
      <c r="H103" s="860"/>
      <c r="I103" s="861"/>
      <c r="J103" s="861"/>
      <c r="K103" s="859"/>
      <c r="L103" s="860"/>
      <c r="M103" s="860"/>
      <c r="N103" s="860"/>
      <c r="O103" s="859"/>
      <c r="P103" s="860"/>
      <c r="Q103" s="860"/>
      <c r="R103" s="860"/>
      <c r="S103" s="861"/>
      <c r="T103" s="860"/>
      <c r="U103" s="860"/>
      <c r="V103" s="860"/>
      <c r="W103" s="861"/>
      <c r="X103" s="860"/>
      <c r="Y103" s="860"/>
      <c r="Z103" s="860"/>
      <c r="AA103" s="859"/>
      <c r="AB103" s="860"/>
      <c r="AC103" s="858"/>
      <c r="AD103" s="858"/>
      <c r="AE103" s="861"/>
      <c r="AF103" s="860"/>
      <c r="AG103" s="860"/>
      <c r="AH103" s="860"/>
      <c r="AI103" s="861"/>
      <c r="AJ103" s="860"/>
      <c r="AK103" s="860"/>
      <c r="AL103" s="860"/>
      <c r="AM103" s="861"/>
      <c r="AN103" s="861"/>
      <c r="AO103" s="861"/>
      <c r="AP103" s="861"/>
      <c r="AQ103" s="864"/>
      <c r="AR103" s="860"/>
      <c r="AS103" s="860"/>
      <c r="AT103" s="860"/>
      <c r="AU103" s="861"/>
      <c r="AV103" s="861"/>
      <c r="AW103" s="877"/>
      <c r="AX103" s="861"/>
    </row>
    <row r="104" spans="2:50">
      <c r="B104" s="878"/>
      <c r="C104" s="861"/>
      <c r="D104" s="860"/>
      <c r="E104" s="860"/>
      <c r="F104" s="860"/>
      <c r="G104" s="860"/>
      <c r="H104" s="860"/>
      <c r="I104" s="861"/>
      <c r="J104" s="861"/>
      <c r="K104" s="859"/>
      <c r="L104" s="860"/>
      <c r="M104" s="860"/>
      <c r="N104" s="860"/>
      <c r="O104" s="859"/>
      <c r="P104" s="860"/>
      <c r="Q104" s="860"/>
      <c r="R104" s="860"/>
      <c r="S104" s="861"/>
      <c r="T104" s="860"/>
      <c r="U104" s="860"/>
      <c r="V104" s="860"/>
      <c r="W104" s="861"/>
      <c r="X104" s="860"/>
      <c r="Y104" s="860"/>
      <c r="Z104" s="860"/>
      <c r="AA104" s="859"/>
      <c r="AB104" s="860"/>
      <c r="AC104" s="858"/>
      <c r="AD104" s="858"/>
      <c r="AE104" s="861"/>
      <c r="AF104" s="860"/>
      <c r="AG104" s="860"/>
      <c r="AH104" s="860"/>
      <c r="AI104" s="861"/>
      <c r="AJ104" s="860"/>
      <c r="AK104" s="860"/>
      <c r="AL104" s="860"/>
      <c r="AM104" s="861"/>
      <c r="AN104" s="861"/>
      <c r="AO104" s="861"/>
      <c r="AP104" s="861"/>
      <c r="AQ104" s="864"/>
      <c r="AR104" s="860"/>
      <c r="AS104" s="860"/>
      <c r="AT104" s="860"/>
      <c r="AU104" s="861"/>
      <c r="AV104" s="861"/>
      <c r="AW104" s="877"/>
      <c r="AX104" s="861"/>
    </row>
    <row r="105" spans="2:50">
      <c r="B105" s="878"/>
      <c r="C105" s="861"/>
      <c r="D105" s="860"/>
      <c r="E105" s="860"/>
      <c r="F105" s="860"/>
      <c r="G105" s="860"/>
      <c r="H105" s="860"/>
      <c r="I105" s="861"/>
      <c r="J105" s="861"/>
      <c r="K105" s="859"/>
      <c r="L105" s="860"/>
      <c r="M105" s="860"/>
      <c r="N105" s="860"/>
      <c r="O105" s="859"/>
      <c r="P105" s="860"/>
      <c r="Q105" s="860"/>
      <c r="R105" s="860"/>
      <c r="S105" s="861"/>
      <c r="T105" s="860"/>
      <c r="U105" s="860"/>
      <c r="V105" s="860"/>
      <c r="W105" s="861"/>
      <c r="X105" s="860"/>
      <c r="Y105" s="860"/>
      <c r="Z105" s="860"/>
      <c r="AA105" s="859"/>
      <c r="AB105" s="860"/>
      <c r="AC105" s="858"/>
      <c r="AD105" s="858"/>
      <c r="AE105" s="861"/>
      <c r="AF105" s="860"/>
      <c r="AG105" s="860"/>
      <c r="AH105" s="860"/>
      <c r="AI105" s="861"/>
      <c r="AJ105" s="860"/>
      <c r="AK105" s="860"/>
      <c r="AL105" s="860"/>
      <c r="AM105" s="861"/>
      <c r="AN105" s="861"/>
      <c r="AO105" s="861"/>
      <c r="AP105" s="861"/>
      <c r="AQ105" s="864"/>
      <c r="AR105" s="860"/>
      <c r="AS105" s="860"/>
      <c r="AT105" s="860"/>
      <c r="AU105" s="861"/>
      <c r="AV105" s="861"/>
      <c r="AW105" s="877"/>
      <c r="AX105" s="861"/>
    </row>
    <row r="106" spans="2:50">
      <c r="B106" s="878"/>
      <c r="C106" s="861"/>
      <c r="D106" s="860"/>
      <c r="E106" s="860"/>
      <c r="F106" s="860"/>
      <c r="G106" s="860"/>
      <c r="H106" s="860"/>
      <c r="I106" s="861"/>
      <c r="J106" s="861"/>
      <c r="K106" s="859"/>
      <c r="L106" s="860"/>
      <c r="M106" s="860"/>
      <c r="N106" s="860"/>
      <c r="O106" s="859"/>
      <c r="P106" s="860"/>
      <c r="Q106" s="860"/>
      <c r="R106" s="860"/>
      <c r="S106" s="861"/>
      <c r="T106" s="860"/>
      <c r="U106" s="860"/>
      <c r="V106" s="860"/>
      <c r="W106" s="861"/>
      <c r="X106" s="860"/>
      <c r="Y106" s="860"/>
      <c r="Z106" s="860"/>
      <c r="AA106" s="859"/>
      <c r="AB106" s="860"/>
      <c r="AC106" s="858"/>
      <c r="AD106" s="858"/>
      <c r="AE106" s="861"/>
      <c r="AF106" s="860"/>
      <c r="AG106" s="860"/>
      <c r="AH106" s="860"/>
      <c r="AI106" s="861"/>
      <c r="AJ106" s="860"/>
      <c r="AK106" s="860"/>
      <c r="AL106" s="860"/>
      <c r="AM106" s="861"/>
      <c r="AN106" s="861"/>
      <c r="AO106" s="861"/>
      <c r="AP106" s="861"/>
      <c r="AQ106" s="864"/>
      <c r="AR106" s="860"/>
      <c r="AS106" s="860"/>
      <c r="AT106" s="860"/>
      <c r="AU106" s="861"/>
      <c r="AV106" s="861"/>
      <c r="AW106" s="877"/>
      <c r="AX106" s="861"/>
    </row>
    <row r="107" spans="2:50">
      <c r="B107" s="878"/>
      <c r="C107" s="861"/>
      <c r="D107" s="860"/>
      <c r="E107" s="860"/>
      <c r="F107" s="860"/>
      <c r="G107" s="860"/>
      <c r="H107" s="860"/>
      <c r="I107" s="861"/>
      <c r="J107" s="861"/>
      <c r="K107" s="859"/>
      <c r="L107" s="860"/>
      <c r="M107" s="860"/>
      <c r="N107" s="860"/>
      <c r="O107" s="859"/>
      <c r="P107" s="860"/>
      <c r="Q107" s="860"/>
      <c r="R107" s="860"/>
      <c r="S107" s="861"/>
      <c r="T107" s="860"/>
      <c r="U107" s="860"/>
      <c r="V107" s="860"/>
      <c r="W107" s="861"/>
      <c r="X107" s="860"/>
      <c r="Y107" s="860"/>
      <c r="Z107" s="860"/>
      <c r="AA107" s="859"/>
      <c r="AB107" s="860"/>
      <c r="AC107" s="858"/>
      <c r="AD107" s="858"/>
      <c r="AE107" s="861"/>
      <c r="AF107" s="860"/>
      <c r="AG107" s="860"/>
      <c r="AH107" s="860"/>
      <c r="AI107" s="861"/>
      <c r="AJ107" s="860"/>
      <c r="AK107" s="860"/>
      <c r="AL107" s="860"/>
      <c r="AM107" s="861"/>
      <c r="AN107" s="861"/>
      <c r="AO107" s="861"/>
      <c r="AP107" s="861"/>
      <c r="AQ107" s="864"/>
      <c r="AR107" s="860"/>
      <c r="AS107" s="860"/>
      <c r="AT107" s="860"/>
      <c r="AU107" s="861"/>
      <c r="AV107" s="861"/>
      <c r="AW107" s="877"/>
      <c r="AX107" s="861"/>
    </row>
    <row r="108" spans="2:50">
      <c r="B108" s="878"/>
      <c r="C108" s="861"/>
      <c r="D108" s="860"/>
      <c r="E108" s="860"/>
      <c r="F108" s="860"/>
      <c r="G108" s="860"/>
      <c r="H108" s="860"/>
      <c r="I108" s="861"/>
      <c r="J108" s="861"/>
      <c r="K108" s="859"/>
      <c r="L108" s="860"/>
      <c r="M108" s="860"/>
      <c r="N108" s="860"/>
      <c r="O108" s="859"/>
      <c r="P108" s="860"/>
      <c r="Q108" s="860"/>
      <c r="R108" s="860"/>
      <c r="S108" s="861"/>
      <c r="T108" s="860"/>
      <c r="U108" s="860"/>
      <c r="V108" s="860"/>
      <c r="W108" s="861"/>
      <c r="X108" s="860"/>
      <c r="Y108" s="860"/>
      <c r="Z108" s="860"/>
      <c r="AA108" s="859"/>
      <c r="AB108" s="860"/>
      <c r="AC108" s="858"/>
      <c r="AD108" s="858"/>
      <c r="AE108" s="861"/>
      <c r="AF108" s="860"/>
      <c r="AG108" s="860"/>
      <c r="AH108" s="860"/>
      <c r="AI108" s="861"/>
      <c r="AJ108" s="860"/>
      <c r="AK108" s="860"/>
      <c r="AL108" s="860"/>
      <c r="AM108" s="861"/>
      <c r="AN108" s="861"/>
      <c r="AO108" s="861"/>
      <c r="AP108" s="861"/>
      <c r="AQ108" s="864"/>
      <c r="AR108" s="860"/>
      <c r="AS108" s="860"/>
      <c r="AT108" s="860"/>
      <c r="AU108" s="861"/>
      <c r="AV108" s="861"/>
      <c r="AW108" s="877"/>
      <c r="AX108" s="861"/>
    </row>
    <row r="109" spans="2:50">
      <c r="B109" s="878"/>
      <c r="C109" s="861"/>
      <c r="D109" s="860"/>
      <c r="E109" s="860"/>
      <c r="F109" s="860"/>
      <c r="G109" s="860"/>
      <c r="H109" s="860"/>
      <c r="I109" s="861"/>
      <c r="J109" s="861"/>
      <c r="K109" s="859"/>
      <c r="L109" s="860"/>
      <c r="M109" s="860"/>
      <c r="N109" s="860"/>
      <c r="O109" s="859"/>
      <c r="P109" s="860"/>
      <c r="Q109" s="860"/>
      <c r="R109" s="860"/>
      <c r="S109" s="861"/>
      <c r="T109" s="860"/>
      <c r="U109" s="860"/>
      <c r="V109" s="860"/>
      <c r="W109" s="861"/>
      <c r="X109" s="860"/>
      <c r="Y109" s="860"/>
      <c r="Z109" s="860"/>
      <c r="AA109" s="859"/>
      <c r="AB109" s="860"/>
      <c r="AC109" s="858"/>
      <c r="AD109" s="858"/>
      <c r="AE109" s="861"/>
      <c r="AF109" s="860"/>
      <c r="AG109" s="860"/>
      <c r="AH109" s="860"/>
      <c r="AI109" s="861"/>
      <c r="AJ109" s="860"/>
      <c r="AK109" s="860"/>
      <c r="AL109" s="860"/>
      <c r="AM109" s="861"/>
      <c r="AN109" s="861"/>
      <c r="AO109" s="861"/>
      <c r="AP109" s="861"/>
      <c r="AQ109" s="864"/>
      <c r="AR109" s="860"/>
      <c r="AS109" s="860"/>
      <c r="AT109" s="860"/>
      <c r="AU109" s="861"/>
      <c r="AV109" s="861"/>
      <c r="AW109" s="877"/>
      <c r="AX109" s="861"/>
    </row>
    <row r="110" spans="2:50">
      <c r="B110" s="878"/>
      <c r="C110" s="861"/>
      <c r="D110" s="860"/>
      <c r="E110" s="860"/>
      <c r="F110" s="860"/>
      <c r="G110" s="860"/>
      <c r="H110" s="860"/>
      <c r="I110" s="861"/>
      <c r="J110" s="861"/>
      <c r="K110" s="859"/>
      <c r="L110" s="860"/>
      <c r="M110" s="860"/>
      <c r="N110" s="860"/>
      <c r="O110" s="859"/>
      <c r="P110" s="860"/>
      <c r="Q110" s="860"/>
      <c r="R110" s="860"/>
      <c r="S110" s="861"/>
      <c r="T110" s="860"/>
      <c r="U110" s="860"/>
      <c r="V110" s="860"/>
      <c r="W110" s="861"/>
      <c r="X110" s="860"/>
      <c r="Y110" s="860"/>
      <c r="Z110" s="860"/>
      <c r="AA110" s="859"/>
      <c r="AB110" s="860"/>
      <c r="AC110" s="858"/>
      <c r="AD110" s="858"/>
      <c r="AE110" s="861"/>
      <c r="AF110" s="860"/>
      <c r="AG110" s="860"/>
      <c r="AH110" s="860"/>
      <c r="AI110" s="861"/>
      <c r="AJ110" s="860"/>
      <c r="AK110" s="860"/>
      <c r="AL110" s="860"/>
      <c r="AM110" s="861"/>
      <c r="AN110" s="861"/>
      <c r="AO110" s="861"/>
      <c r="AP110" s="861"/>
      <c r="AQ110" s="864"/>
      <c r="AR110" s="860"/>
      <c r="AS110" s="860"/>
      <c r="AT110" s="860"/>
      <c r="AU110" s="861"/>
      <c r="AV110" s="861"/>
      <c r="AW110" s="877"/>
      <c r="AX110" s="861"/>
    </row>
    <row r="111" spans="2:50">
      <c r="B111" s="878"/>
      <c r="C111" s="861"/>
      <c r="D111" s="860"/>
      <c r="E111" s="860"/>
      <c r="F111" s="860"/>
      <c r="G111" s="860"/>
      <c r="H111" s="860"/>
      <c r="I111" s="861"/>
      <c r="J111" s="861"/>
      <c r="K111" s="859"/>
      <c r="L111" s="860"/>
      <c r="M111" s="860"/>
      <c r="N111" s="860"/>
      <c r="O111" s="859"/>
      <c r="P111" s="860"/>
      <c r="Q111" s="860"/>
      <c r="R111" s="860"/>
      <c r="S111" s="861"/>
      <c r="T111" s="860"/>
      <c r="U111" s="860"/>
      <c r="V111" s="860"/>
      <c r="W111" s="861"/>
      <c r="X111" s="860"/>
      <c r="Y111" s="860"/>
      <c r="Z111" s="860"/>
      <c r="AA111" s="859"/>
      <c r="AB111" s="860"/>
      <c r="AC111" s="858"/>
      <c r="AD111" s="858"/>
      <c r="AE111" s="861"/>
      <c r="AF111" s="860"/>
      <c r="AG111" s="860"/>
      <c r="AH111" s="860"/>
      <c r="AI111" s="861"/>
      <c r="AJ111" s="860"/>
      <c r="AK111" s="860"/>
      <c r="AL111" s="860"/>
      <c r="AM111" s="861"/>
      <c r="AN111" s="861"/>
      <c r="AO111" s="861"/>
      <c r="AP111" s="861"/>
      <c r="AQ111" s="864"/>
      <c r="AR111" s="860"/>
      <c r="AS111" s="860"/>
      <c r="AT111" s="860"/>
      <c r="AU111" s="861"/>
      <c r="AV111" s="861"/>
      <c r="AW111" s="877"/>
      <c r="AX111" s="861"/>
    </row>
    <row r="112" spans="2:50">
      <c r="B112" s="878"/>
      <c r="C112" s="861"/>
      <c r="D112" s="860"/>
      <c r="E112" s="860"/>
      <c r="F112" s="860"/>
      <c r="G112" s="860"/>
      <c r="H112" s="860"/>
      <c r="I112" s="861"/>
      <c r="J112" s="861"/>
      <c r="K112" s="859"/>
      <c r="L112" s="860"/>
      <c r="M112" s="860"/>
      <c r="N112" s="860"/>
      <c r="O112" s="859"/>
      <c r="P112" s="860"/>
      <c r="Q112" s="860"/>
      <c r="R112" s="860"/>
      <c r="S112" s="861"/>
      <c r="T112" s="860"/>
      <c r="U112" s="860"/>
      <c r="V112" s="860"/>
      <c r="W112" s="861"/>
      <c r="X112" s="860"/>
      <c r="Y112" s="860"/>
      <c r="Z112" s="860"/>
      <c r="AA112" s="859"/>
      <c r="AB112" s="860"/>
      <c r="AC112" s="858"/>
      <c r="AD112" s="858"/>
      <c r="AE112" s="861"/>
      <c r="AF112" s="860"/>
      <c r="AG112" s="860"/>
      <c r="AH112" s="860"/>
      <c r="AI112" s="861"/>
      <c r="AJ112" s="860"/>
      <c r="AK112" s="860"/>
      <c r="AL112" s="860"/>
      <c r="AM112" s="861"/>
      <c r="AN112" s="861"/>
      <c r="AO112" s="861"/>
      <c r="AP112" s="861"/>
      <c r="AQ112" s="864"/>
      <c r="AR112" s="860"/>
      <c r="AS112" s="860"/>
      <c r="AT112" s="860"/>
      <c r="AU112" s="861"/>
      <c r="AV112" s="861"/>
      <c r="AW112" s="877"/>
      <c r="AX112" s="861"/>
    </row>
    <row r="113" spans="2:50">
      <c r="B113" s="878"/>
      <c r="C113" s="861"/>
      <c r="D113" s="860"/>
      <c r="E113" s="860"/>
      <c r="F113" s="860"/>
      <c r="G113" s="860"/>
      <c r="H113" s="860"/>
      <c r="I113" s="861"/>
      <c r="J113" s="861"/>
      <c r="K113" s="859"/>
      <c r="L113" s="860"/>
      <c r="M113" s="860"/>
      <c r="N113" s="860"/>
      <c r="O113" s="859"/>
      <c r="P113" s="860"/>
      <c r="Q113" s="860"/>
      <c r="R113" s="860"/>
      <c r="S113" s="861"/>
      <c r="T113" s="860"/>
      <c r="U113" s="860"/>
      <c r="V113" s="860"/>
      <c r="W113" s="861"/>
      <c r="X113" s="860"/>
      <c r="Y113" s="860"/>
      <c r="Z113" s="860"/>
      <c r="AA113" s="859"/>
      <c r="AB113" s="860"/>
      <c r="AC113" s="858"/>
      <c r="AD113" s="858"/>
      <c r="AE113" s="861"/>
      <c r="AF113" s="860"/>
      <c r="AG113" s="860"/>
      <c r="AH113" s="860"/>
      <c r="AI113" s="861"/>
      <c r="AJ113" s="860"/>
      <c r="AK113" s="860"/>
      <c r="AL113" s="860"/>
      <c r="AM113" s="861"/>
      <c r="AN113" s="861"/>
      <c r="AO113" s="861"/>
      <c r="AP113" s="861"/>
      <c r="AQ113" s="864"/>
      <c r="AR113" s="860"/>
      <c r="AS113" s="860"/>
      <c r="AT113" s="860"/>
      <c r="AU113" s="861"/>
      <c r="AV113" s="861"/>
      <c r="AW113" s="877"/>
      <c r="AX113" s="861"/>
    </row>
    <row r="114" spans="2:50">
      <c r="B114" s="878"/>
      <c r="C114" s="861"/>
      <c r="D114" s="860"/>
      <c r="E114" s="860"/>
      <c r="F114" s="860"/>
      <c r="G114" s="860"/>
      <c r="H114" s="860"/>
      <c r="I114" s="861"/>
      <c r="J114" s="861"/>
      <c r="K114" s="859"/>
      <c r="L114" s="860"/>
      <c r="M114" s="860"/>
      <c r="N114" s="860"/>
      <c r="O114" s="859"/>
      <c r="P114" s="860"/>
      <c r="Q114" s="860"/>
      <c r="R114" s="860"/>
      <c r="S114" s="861"/>
      <c r="T114" s="860"/>
      <c r="U114" s="860"/>
      <c r="V114" s="860"/>
      <c r="W114" s="861"/>
      <c r="X114" s="860"/>
      <c r="Y114" s="860"/>
      <c r="Z114" s="860"/>
      <c r="AA114" s="859"/>
      <c r="AB114" s="860"/>
      <c r="AC114" s="858"/>
      <c r="AD114" s="858"/>
      <c r="AE114" s="861"/>
      <c r="AF114" s="860"/>
      <c r="AG114" s="860"/>
      <c r="AH114" s="860"/>
      <c r="AI114" s="861"/>
      <c r="AJ114" s="860"/>
      <c r="AK114" s="860"/>
      <c r="AL114" s="860"/>
      <c r="AM114" s="861"/>
      <c r="AN114" s="861"/>
      <c r="AO114" s="861"/>
      <c r="AP114" s="861"/>
      <c r="AQ114" s="864"/>
      <c r="AR114" s="860"/>
      <c r="AS114" s="860"/>
      <c r="AT114" s="860"/>
      <c r="AU114" s="861"/>
      <c r="AV114" s="861"/>
      <c r="AW114" s="877"/>
      <c r="AX114" s="861"/>
    </row>
    <row r="115" spans="2:50">
      <c r="B115" s="878"/>
      <c r="C115" s="861"/>
      <c r="D115" s="860"/>
      <c r="E115" s="860"/>
      <c r="F115" s="860"/>
      <c r="G115" s="860"/>
      <c r="H115" s="860"/>
      <c r="I115" s="861"/>
      <c r="J115" s="861"/>
      <c r="K115" s="859"/>
      <c r="L115" s="860"/>
      <c r="M115" s="860"/>
      <c r="N115" s="860"/>
      <c r="O115" s="859"/>
      <c r="P115" s="860"/>
      <c r="Q115" s="860"/>
      <c r="R115" s="860"/>
      <c r="S115" s="861"/>
      <c r="T115" s="860"/>
      <c r="U115" s="860"/>
      <c r="V115" s="860"/>
      <c r="W115" s="861"/>
      <c r="X115" s="860"/>
      <c r="Y115" s="860"/>
      <c r="Z115" s="860"/>
      <c r="AA115" s="859"/>
      <c r="AB115" s="860"/>
      <c r="AC115" s="858"/>
      <c r="AD115" s="858"/>
      <c r="AE115" s="861"/>
      <c r="AF115" s="860"/>
      <c r="AG115" s="860"/>
      <c r="AH115" s="860"/>
      <c r="AI115" s="861"/>
      <c r="AJ115" s="860"/>
      <c r="AK115" s="860"/>
      <c r="AL115" s="860"/>
      <c r="AM115" s="861"/>
      <c r="AN115" s="861"/>
      <c r="AO115" s="861"/>
      <c r="AP115" s="861"/>
      <c r="AQ115" s="864"/>
      <c r="AR115" s="860"/>
      <c r="AS115" s="860"/>
      <c r="AT115" s="860"/>
      <c r="AU115" s="861"/>
      <c r="AV115" s="861"/>
      <c r="AW115" s="877"/>
      <c r="AX115" s="861"/>
    </row>
    <row r="116" spans="2:50">
      <c r="B116" s="878"/>
      <c r="C116" s="861"/>
      <c r="D116" s="860"/>
      <c r="E116" s="860"/>
      <c r="F116" s="860"/>
      <c r="G116" s="860"/>
      <c r="H116" s="860"/>
      <c r="I116" s="861"/>
      <c r="J116" s="861"/>
      <c r="K116" s="859"/>
      <c r="L116" s="860"/>
      <c r="M116" s="860"/>
      <c r="N116" s="860"/>
      <c r="O116" s="859"/>
      <c r="P116" s="860"/>
      <c r="Q116" s="860"/>
      <c r="R116" s="860"/>
      <c r="S116" s="861"/>
      <c r="T116" s="860"/>
      <c r="U116" s="860"/>
      <c r="V116" s="860"/>
      <c r="W116" s="861"/>
      <c r="X116" s="860"/>
      <c r="Y116" s="860"/>
      <c r="Z116" s="860"/>
      <c r="AA116" s="859"/>
      <c r="AB116" s="860"/>
      <c r="AC116" s="858"/>
      <c r="AD116" s="858"/>
      <c r="AE116" s="861"/>
      <c r="AF116" s="860"/>
      <c r="AG116" s="860"/>
      <c r="AH116" s="860"/>
      <c r="AI116" s="861"/>
      <c r="AJ116" s="860"/>
      <c r="AK116" s="860"/>
      <c r="AL116" s="860"/>
      <c r="AM116" s="861"/>
      <c r="AN116" s="861"/>
      <c r="AO116" s="861"/>
      <c r="AP116" s="861"/>
      <c r="AQ116" s="864"/>
      <c r="AR116" s="860"/>
      <c r="AS116" s="860"/>
      <c r="AT116" s="860"/>
      <c r="AU116" s="861"/>
      <c r="AV116" s="861"/>
      <c r="AW116" s="877"/>
      <c r="AX116" s="861"/>
    </row>
    <row r="117" spans="2:50">
      <c r="B117" s="878"/>
      <c r="C117" s="861"/>
      <c r="D117" s="860"/>
      <c r="E117" s="860"/>
      <c r="F117" s="860"/>
      <c r="G117" s="860"/>
      <c r="H117" s="860"/>
      <c r="I117" s="861"/>
      <c r="J117" s="861"/>
      <c r="K117" s="859"/>
      <c r="L117" s="860"/>
      <c r="M117" s="860"/>
      <c r="N117" s="860"/>
      <c r="O117" s="859"/>
      <c r="P117" s="860"/>
      <c r="Q117" s="860"/>
      <c r="R117" s="860"/>
      <c r="S117" s="861"/>
      <c r="T117" s="860"/>
      <c r="U117" s="860"/>
      <c r="V117" s="860"/>
      <c r="W117" s="861"/>
      <c r="X117" s="860"/>
      <c r="Y117" s="860"/>
      <c r="Z117" s="860"/>
      <c r="AA117" s="859"/>
      <c r="AB117" s="860"/>
      <c r="AC117" s="858"/>
      <c r="AD117" s="858"/>
      <c r="AE117" s="861"/>
      <c r="AF117" s="860"/>
      <c r="AG117" s="860"/>
      <c r="AH117" s="860"/>
      <c r="AI117" s="861"/>
      <c r="AJ117" s="860"/>
      <c r="AK117" s="860"/>
      <c r="AL117" s="860"/>
      <c r="AM117" s="861"/>
      <c r="AN117" s="861"/>
      <c r="AO117" s="861"/>
      <c r="AP117" s="861"/>
      <c r="AQ117" s="864"/>
      <c r="AR117" s="860"/>
      <c r="AS117" s="860"/>
      <c r="AT117" s="860"/>
      <c r="AU117" s="861"/>
      <c r="AV117" s="861"/>
      <c r="AW117" s="877"/>
      <c r="AX117" s="861"/>
    </row>
    <row r="118" spans="2:50">
      <c r="B118" s="878"/>
      <c r="C118" s="861"/>
      <c r="D118" s="860"/>
      <c r="E118" s="860"/>
      <c r="F118" s="860"/>
      <c r="G118" s="860"/>
      <c r="H118" s="860"/>
      <c r="I118" s="861"/>
      <c r="J118" s="861"/>
      <c r="K118" s="859"/>
      <c r="L118" s="860"/>
      <c r="M118" s="860"/>
      <c r="N118" s="860"/>
      <c r="O118" s="859"/>
      <c r="P118" s="860"/>
      <c r="Q118" s="860"/>
      <c r="R118" s="860"/>
      <c r="S118" s="861"/>
      <c r="T118" s="860"/>
      <c r="U118" s="860"/>
      <c r="V118" s="860"/>
      <c r="W118" s="861"/>
      <c r="X118" s="860"/>
      <c r="Y118" s="860"/>
      <c r="Z118" s="860"/>
      <c r="AA118" s="859"/>
      <c r="AB118" s="860"/>
      <c r="AC118" s="858"/>
      <c r="AD118" s="858"/>
      <c r="AE118" s="861"/>
      <c r="AF118" s="860"/>
      <c r="AG118" s="860"/>
      <c r="AH118" s="860"/>
      <c r="AI118" s="861"/>
      <c r="AJ118" s="860"/>
      <c r="AK118" s="860"/>
      <c r="AL118" s="860"/>
      <c r="AM118" s="861"/>
      <c r="AN118" s="861"/>
      <c r="AO118" s="861"/>
      <c r="AP118" s="861"/>
      <c r="AQ118" s="864"/>
      <c r="AR118" s="860"/>
      <c r="AS118" s="860"/>
      <c r="AT118" s="860"/>
      <c r="AU118" s="861"/>
      <c r="AV118" s="861"/>
      <c r="AW118" s="877"/>
      <c r="AX118" s="861"/>
    </row>
    <row r="119" spans="2:50">
      <c r="B119" s="878"/>
      <c r="C119" s="861"/>
      <c r="D119" s="860"/>
      <c r="E119" s="860"/>
      <c r="F119" s="860"/>
      <c r="G119" s="860"/>
      <c r="H119" s="860"/>
      <c r="I119" s="861"/>
      <c r="J119" s="861"/>
      <c r="K119" s="859"/>
      <c r="L119" s="860"/>
      <c r="M119" s="860"/>
      <c r="N119" s="860"/>
      <c r="O119" s="859"/>
      <c r="P119" s="860"/>
      <c r="Q119" s="860"/>
      <c r="R119" s="860"/>
      <c r="S119" s="861"/>
      <c r="T119" s="860"/>
      <c r="U119" s="860"/>
      <c r="V119" s="860"/>
      <c r="W119" s="861"/>
      <c r="X119" s="860"/>
      <c r="Y119" s="860"/>
      <c r="Z119" s="860"/>
      <c r="AA119" s="859"/>
      <c r="AB119" s="860"/>
      <c r="AC119" s="858"/>
      <c r="AD119" s="858"/>
      <c r="AE119" s="861"/>
      <c r="AF119" s="860"/>
      <c r="AG119" s="860"/>
      <c r="AH119" s="860"/>
      <c r="AI119" s="861"/>
      <c r="AJ119" s="860"/>
      <c r="AK119" s="860"/>
      <c r="AL119" s="860"/>
      <c r="AM119" s="861"/>
      <c r="AN119" s="861"/>
      <c r="AO119" s="861"/>
      <c r="AP119" s="861"/>
      <c r="AQ119" s="864"/>
      <c r="AR119" s="860"/>
      <c r="AS119" s="860"/>
      <c r="AT119" s="860"/>
      <c r="AU119" s="861"/>
      <c r="AV119" s="861"/>
      <c r="AW119" s="877"/>
      <c r="AX119" s="861"/>
    </row>
    <row r="120" spans="2:50">
      <c r="B120" s="878"/>
      <c r="C120" s="861"/>
      <c r="D120" s="860"/>
      <c r="E120" s="860"/>
      <c r="F120" s="860"/>
      <c r="G120" s="860"/>
      <c r="H120" s="860"/>
      <c r="I120" s="861"/>
      <c r="J120" s="861"/>
      <c r="K120" s="859"/>
      <c r="L120" s="860"/>
      <c r="M120" s="860"/>
      <c r="N120" s="860"/>
      <c r="O120" s="859"/>
      <c r="P120" s="860"/>
      <c r="Q120" s="860"/>
      <c r="R120" s="860"/>
      <c r="S120" s="861"/>
      <c r="T120" s="860"/>
      <c r="U120" s="860"/>
      <c r="V120" s="860"/>
      <c r="W120" s="861"/>
      <c r="X120" s="860"/>
      <c r="Y120" s="860"/>
      <c r="Z120" s="860"/>
      <c r="AA120" s="859"/>
      <c r="AB120" s="860"/>
      <c r="AC120" s="858"/>
      <c r="AD120" s="858"/>
      <c r="AE120" s="861"/>
      <c r="AF120" s="860"/>
      <c r="AG120" s="860"/>
      <c r="AH120" s="860"/>
      <c r="AI120" s="861"/>
      <c r="AJ120" s="860"/>
      <c r="AK120" s="860"/>
      <c r="AL120" s="860"/>
      <c r="AM120" s="861"/>
      <c r="AN120" s="861"/>
      <c r="AO120" s="861"/>
      <c r="AP120" s="861"/>
      <c r="AQ120" s="864"/>
      <c r="AR120" s="860"/>
      <c r="AS120" s="860"/>
      <c r="AT120" s="860"/>
      <c r="AU120" s="861"/>
      <c r="AV120" s="861"/>
      <c r="AW120" s="877"/>
      <c r="AX120" s="861"/>
    </row>
    <row r="121" spans="2:50">
      <c r="B121" s="878"/>
      <c r="C121" s="861"/>
      <c r="D121" s="860"/>
      <c r="E121" s="860"/>
      <c r="F121" s="860"/>
      <c r="G121" s="860"/>
      <c r="H121" s="860"/>
      <c r="I121" s="861"/>
      <c r="J121" s="861"/>
      <c r="K121" s="859"/>
      <c r="L121" s="860"/>
      <c r="M121" s="860"/>
      <c r="N121" s="860"/>
      <c r="O121" s="859"/>
      <c r="P121" s="860"/>
      <c r="Q121" s="860"/>
      <c r="R121" s="860"/>
      <c r="S121" s="861"/>
      <c r="T121" s="860"/>
      <c r="U121" s="860"/>
      <c r="V121" s="860"/>
      <c r="W121" s="861"/>
      <c r="X121" s="860"/>
      <c r="Y121" s="860"/>
      <c r="Z121" s="860"/>
      <c r="AA121" s="859"/>
      <c r="AB121" s="860"/>
      <c r="AC121" s="858"/>
      <c r="AD121" s="858"/>
      <c r="AE121" s="861"/>
      <c r="AF121" s="860"/>
      <c r="AG121" s="860"/>
      <c r="AH121" s="860"/>
      <c r="AI121" s="861"/>
      <c r="AJ121" s="860"/>
      <c r="AK121" s="860"/>
      <c r="AL121" s="860"/>
      <c r="AM121" s="861"/>
      <c r="AN121" s="861"/>
      <c r="AO121" s="861"/>
      <c r="AP121" s="861"/>
      <c r="AQ121" s="864"/>
      <c r="AR121" s="860"/>
      <c r="AS121" s="860"/>
      <c r="AT121" s="860"/>
      <c r="AU121" s="861"/>
      <c r="AV121" s="861"/>
      <c r="AW121" s="877"/>
      <c r="AX121" s="861"/>
    </row>
    <row r="122" spans="2:50">
      <c r="B122" s="878"/>
      <c r="C122" s="861"/>
      <c r="D122" s="860"/>
      <c r="E122" s="860"/>
      <c r="F122" s="860"/>
      <c r="G122" s="860"/>
      <c r="H122" s="860"/>
      <c r="I122" s="861"/>
      <c r="J122" s="861"/>
      <c r="K122" s="859"/>
      <c r="L122" s="860"/>
      <c r="M122" s="860"/>
      <c r="N122" s="860"/>
      <c r="O122" s="859"/>
      <c r="P122" s="860"/>
      <c r="Q122" s="860"/>
      <c r="R122" s="860"/>
      <c r="S122" s="861"/>
      <c r="T122" s="860"/>
      <c r="U122" s="860"/>
      <c r="V122" s="860"/>
      <c r="W122" s="861"/>
      <c r="X122" s="860"/>
      <c r="Y122" s="860"/>
      <c r="Z122" s="860"/>
      <c r="AA122" s="859"/>
      <c r="AB122" s="860"/>
      <c r="AC122" s="858"/>
      <c r="AD122" s="858"/>
      <c r="AE122" s="861"/>
      <c r="AF122" s="860"/>
      <c r="AG122" s="860"/>
      <c r="AH122" s="860"/>
      <c r="AI122" s="861"/>
      <c r="AJ122" s="860"/>
      <c r="AK122" s="860"/>
      <c r="AL122" s="860"/>
      <c r="AM122" s="861"/>
      <c r="AN122" s="861"/>
      <c r="AO122" s="861"/>
      <c r="AP122" s="861"/>
      <c r="AQ122" s="864"/>
      <c r="AR122" s="860"/>
      <c r="AS122" s="860"/>
      <c r="AT122" s="860"/>
      <c r="AU122" s="861"/>
      <c r="AV122" s="861"/>
      <c r="AW122" s="877"/>
      <c r="AX122" s="861"/>
    </row>
    <row r="123" spans="2:50">
      <c r="B123" s="878"/>
      <c r="C123" s="861"/>
      <c r="D123" s="860"/>
      <c r="E123" s="860"/>
      <c r="F123" s="860"/>
      <c r="G123" s="860"/>
      <c r="H123" s="860"/>
      <c r="I123" s="861"/>
      <c r="J123" s="861"/>
      <c r="K123" s="859"/>
      <c r="L123" s="860"/>
      <c r="M123" s="860"/>
      <c r="N123" s="860"/>
      <c r="O123" s="859"/>
      <c r="P123" s="860"/>
      <c r="Q123" s="860"/>
      <c r="R123" s="860"/>
      <c r="S123" s="861"/>
      <c r="T123" s="860"/>
      <c r="U123" s="860"/>
      <c r="V123" s="860"/>
      <c r="W123" s="861"/>
      <c r="X123" s="860"/>
      <c r="Y123" s="860"/>
      <c r="Z123" s="860"/>
      <c r="AA123" s="859"/>
      <c r="AB123" s="860"/>
      <c r="AC123" s="858"/>
      <c r="AD123" s="858"/>
      <c r="AE123" s="861"/>
      <c r="AF123" s="860"/>
      <c r="AG123" s="860"/>
      <c r="AH123" s="860"/>
      <c r="AI123" s="861"/>
      <c r="AJ123" s="860"/>
      <c r="AK123" s="860"/>
      <c r="AL123" s="860"/>
      <c r="AM123" s="861"/>
      <c r="AN123" s="861"/>
      <c r="AO123" s="861"/>
      <c r="AP123" s="861"/>
      <c r="AQ123" s="864"/>
      <c r="AR123" s="860"/>
      <c r="AS123" s="860"/>
      <c r="AT123" s="860"/>
      <c r="AU123" s="861"/>
      <c r="AV123" s="861"/>
      <c r="AW123" s="877"/>
      <c r="AX123" s="861"/>
    </row>
    <row r="124" spans="2:50">
      <c r="B124" s="878"/>
      <c r="C124" s="861"/>
      <c r="D124" s="860"/>
      <c r="E124" s="860"/>
      <c r="F124" s="860"/>
      <c r="G124" s="860"/>
      <c r="H124" s="860"/>
      <c r="I124" s="861"/>
      <c r="J124" s="861"/>
      <c r="K124" s="859"/>
      <c r="L124" s="860"/>
      <c r="M124" s="860"/>
      <c r="N124" s="860"/>
      <c r="O124" s="859"/>
      <c r="P124" s="860"/>
      <c r="Q124" s="860"/>
      <c r="R124" s="860"/>
      <c r="S124" s="861"/>
      <c r="T124" s="860"/>
      <c r="U124" s="860"/>
      <c r="V124" s="860"/>
      <c r="W124" s="861"/>
      <c r="X124" s="860"/>
      <c r="Y124" s="860"/>
      <c r="Z124" s="860"/>
      <c r="AA124" s="859"/>
      <c r="AB124" s="860"/>
      <c r="AC124" s="858"/>
      <c r="AD124" s="858"/>
      <c r="AE124" s="861"/>
      <c r="AF124" s="860"/>
      <c r="AG124" s="860"/>
      <c r="AH124" s="860"/>
      <c r="AI124" s="861"/>
      <c r="AJ124" s="860"/>
      <c r="AK124" s="860"/>
      <c r="AL124" s="860"/>
      <c r="AM124" s="861"/>
      <c r="AN124" s="861"/>
      <c r="AO124" s="861"/>
      <c r="AP124" s="861"/>
      <c r="AQ124" s="864"/>
      <c r="AR124" s="860"/>
      <c r="AS124" s="860"/>
      <c r="AT124" s="860"/>
      <c r="AU124" s="861"/>
      <c r="AV124" s="861"/>
      <c r="AW124" s="877"/>
      <c r="AX124" s="861"/>
    </row>
    <row r="125" spans="2:50">
      <c r="B125" s="878"/>
      <c r="C125" s="861"/>
      <c r="D125" s="860"/>
      <c r="E125" s="860"/>
      <c r="F125" s="860"/>
      <c r="G125" s="860"/>
      <c r="H125" s="860"/>
      <c r="I125" s="861"/>
      <c r="J125" s="861"/>
      <c r="K125" s="859"/>
      <c r="L125" s="860"/>
      <c r="M125" s="860"/>
      <c r="N125" s="860"/>
      <c r="O125" s="859"/>
      <c r="P125" s="860"/>
      <c r="Q125" s="860"/>
      <c r="R125" s="860"/>
      <c r="S125" s="861"/>
      <c r="T125" s="860"/>
      <c r="U125" s="860"/>
      <c r="V125" s="860"/>
      <c r="W125" s="861"/>
      <c r="X125" s="860"/>
      <c r="Y125" s="860"/>
      <c r="Z125" s="860"/>
      <c r="AA125" s="859"/>
      <c r="AB125" s="860"/>
      <c r="AC125" s="858"/>
      <c r="AD125" s="858"/>
      <c r="AE125" s="861"/>
      <c r="AF125" s="860"/>
      <c r="AG125" s="860"/>
      <c r="AH125" s="860"/>
      <c r="AI125" s="861"/>
      <c r="AJ125" s="860"/>
      <c r="AK125" s="860"/>
      <c r="AL125" s="860"/>
      <c r="AM125" s="861"/>
      <c r="AN125" s="861"/>
      <c r="AO125" s="861"/>
      <c r="AP125" s="861"/>
      <c r="AQ125" s="864"/>
      <c r="AR125" s="860"/>
      <c r="AS125" s="860"/>
      <c r="AT125" s="860"/>
      <c r="AU125" s="861"/>
      <c r="AV125" s="861"/>
      <c r="AW125" s="877"/>
      <c r="AX125" s="861"/>
    </row>
    <row r="126" spans="2:50">
      <c r="B126" s="878"/>
      <c r="C126" s="861"/>
      <c r="D126" s="860"/>
      <c r="E126" s="860"/>
      <c r="F126" s="860"/>
      <c r="G126" s="860"/>
      <c r="H126" s="860"/>
      <c r="I126" s="861"/>
      <c r="J126" s="861"/>
      <c r="K126" s="859"/>
      <c r="L126" s="860"/>
      <c r="M126" s="860"/>
      <c r="N126" s="860"/>
      <c r="O126" s="859"/>
      <c r="P126" s="860"/>
      <c r="Q126" s="860"/>
      <c r="R126" s="860"/>
      <c r="S126" s="861"/>
      <c r="T126" s="860"/>
      <c r="U126" s="860"/>
      <c r="V126" s="860"/>
      <c r="W126" s="861"/>
      <c r="X126" s="860"/>
      <c r="Y126" s="860"/>
      <c r="Z126" s="860"/>
      <c r="AA126" s="859"/>
      <c r="AB126" s="860"/>
      <c r="AC126" s="858"/>
      <c r="AD126" s="858"/>
      <c r="AE126" s="861"/>
      <c r="AF126" s="860"/>
      <c r="AG126" s="860"/>
      <c r="AH126" s="860"/>
      <c r="AI126" s="861"/>
      <c r="AJ126" s="860"/>
      <c r="AK126" s="860"/>
      <c r="AL126" s="860"/>
      <c r="AM126" s="861"/>
      <c r="AN126" s="861"/>
      <c r="AO126" s="861"/>
      <c r="AP126" s="861"/>
      <c r="AQ126" s="864"/>
      <c r="AR126" s="860"/>
      <c r="AS126" s="860"/>
      <c r="AT126" s="860"/>
      <c r="AU126" s="861"/>
      <c r="AV126" s="861"/>
      <c r="AW126" s="877"/>
      <c r="AX126" s="861"/>
    </row>
    <row r="127" spans="2:50">
      <c r="B127" s="878"/>
      <c r="C127" s="861"/>
      <c r="D127" s="860"/>
      <c r="E127" s="860"/>
      <c r="F127" s="860"/>
      <c r="G127" s="860"/>
      <c r="H127" s="860"/>
      <c r="I127" s="861"/>
      <c r="J127" s="861"/>
      <c r="K127" s="859"/>
      <c r="L127" s="860"/>
      <c r="M127" s="860"/>
      <c r="N127" s="860"/>
      <c r="O127" s="859"/>
      <c r="P127" s="860"/>
      <c r="Q127" s="860"/>
      <c r="R127" s="860"/>
      <c r="S127" s="861"/>
      <c r="T127" s="860"/>
      <c r="U127" s="860"/>
      <c r="V127" s="860"/>
      <c r="W127" s="861"/>
      <c r="X127" s="860"/>
      <c r="Y127" s="860"/>
      <c r="Z127" s="860"/>
      <c r="AA127" s="859"/>
      <c r="AB127" s="860"/>
      <c r="AC127" s="858"/>
      <c r="AD127" s="858"/>
      <c r="AE127" s="861"/>
      <c r="AF127" s="860"/>
      <c r="AG127" s="860"/>
      <c r="AH127" s="860"/>
      <c r="AI127" s="861"/>
      <c r="AJ127" s="860"/>
      <c r="AK127" s="860"/>
      <c r="AL127" s="860"/>
      <c r="AM127" s="861"/>
      <c r="AN127" s="861"/>
      <c r="AO127" s="861"/>
      <c r="AP127" s="861"/>
      <c r="AQ127" s="864"/>
      <c r="AR127" s="860"/>
      <c r="AS127" s="860"/>
      <c r="AT127" s="860"/>
      <c r="AU127" s="861"/>
      <c r="AV127" s="861"/>
      <c r="AW127" s="877"/>
      <c r="AX127" s="861"/>
    </row>
    <row r="128" spans="2:50">
      <c r="B128" s="878"/>
      <c r="C128" s="861"/>
      <c r="D128" s="860"/>
      <c r="E128" s="860"/>
      <c r="F128" s="860"/>
      <c r="G128" s="860"/>
      <c r="H128" s="860"/>
      <c r="I128" s="861"/>
      <c r="J128" s="861"/>
      <c r="K128" s="859"/>
      <c r="L128" s="860"/>
      <c r="M128" s="860"/>
      <c r="N128" s="860"/>
      <c r="O128" s="859"/>
      <c r="P128" s="860"/>
      <c r="Q128" s="860"/>
      <c r="R128" s="860"/>
      <c r="S128" s="861"/>
      <c r="T128" s="860"/>
      <c r="U128" s="860"/>
      <c r="V128" s="860"/>
      <c r="W128" s="861"/>
      <c r="X128" s="860"/>
      <c r="Y128" s="860"/>
      <c r="Z128" s="860"/>
      <c r="AA128" s="859"/>
      <c r="AB128" s="860"/>
      <c r="AC128" s="858"/>
      <c r="AD128" s="858"/>
      <c r="AE128" s="861"/>
      <c r="AF128" s="860"/>
      <c r="AG128" s="860"/>
      <c r="AH128" s="860"/>
      <c r="AI128" s="861"/>
      <c r="AJ128" s="860"/>
      <c r="AK128" s="860"/>
      <c r="AL128" s="860"/>
      <c r="AM128" s="861"/>
      <c r="AN128" s="861"/>
      <c r="AO128" s="861"/>
      <c r="AP128" s="861"/>
      <c r="AQ128" s="864"/>
      <c r="AR128" s="860"/>
      <c r="AS128" s="860"/>
      <c r="AT128" s="860"/>
      <c r="AU128" s="861"/>
      <c r="AV128" s="861"/>
      <c r="AW128" s="877"/>
      <c r="AX128" s="861"/>
    </row>
    <row r="129" spans="2:50">
      <c r="B129" s="878"/>
      <c r="C129" s="861"/>
      <c r="D129" s="860"/>
      <c r="E129" s="860"/>
      <c r="F129" s="860"/>
      <c r="G129" s="860"/>
      <c r="H129" s="860"/>
      <c r="I129" s="861"/>
      <c r="J129" s="861"/>
      <c r="K129" s="859"/>
      <c r="L129" s="860"/>
      <c r="M129" s="860"/>
      <c r="N129" s="860"/>
      <c r="O129" s="859"/>
      <c r="P129" s="860"/>
      <c r="Q129" s="860"/>
      <c r="R129" s="860"/>
      <c r="S129" s="861"/>
      <c r="T129" s="860"/>
      <c r="U129" s="860"/>
      <c r="V129" s="860"/>
      <c r="W129" s="861"/>
      <c r="X129" s="860"/>
      <c r="Y129" s="860"/>
      <c r="Z129" s="860"/>
      <c r="AA129" s="859"/>
      <c r="AB129" s="860"/>
      <c r="AC129" s="858"/>
      <c r="AD129" s="858"/>
      <c r="AE129" s="861"/>
      <c r="AF129" s="860"/>
      <c r="AG129" s="860"/>
      <c r="AH129" s="860"/>
      <c r="AI129" s="861"/>
      <c r="AJ129" s="860"/>
      <c r="AK129" s="860"/>
      <c r="AL129" s="860"/>
      <c r="AM129" s="861"/>
      <c r="AN129" s="861"/>
      <c r="AO129" s="861"/>
      <c r="AP129" s="861"/>
      <c r="AQ129" s="864"/>
      <c r="AR129" s="860"/>
      <c r="AS129" s="860"/>
      <c r="AT129" s="860"/>
      <c r="AU129" s="861"/>
      <c r="AV129" s="861"/>
      <c r="AW129" s="877"/>
      <c r="AX129" s="861"/>
    </row>
    <row r="130" spans="2:50">
      <c r="B130" s="878"/>
      <c r="C130" s="861"/>
      <c r="D130" s="860"/>
      <c r="E130" s="860"/>
      <c r="F130" s="860"/>
      <c r="G130" s="860"/>
      <c r="H130" s="860"/>
      <c r="I130" s="861"/>
      <c r="J130" s="861"/>
      <c r="K130" s="859"/>
      <c r="L130" s="860"/>
      <c r="M130" s="860"/>
      <c r="N130" s="860"/>
      <c r="O130" s="859"/>
      <c r="P130" s="860"/>
      <c r="Q130" s="860"/>
      <c r="R130" s="860"/>
      <c r="S130" s="861"/>
      <c r="T130" s="860"/>
      <c r="U130" s="860"/>
      <c r="V130" s="860"/>
      <c r="W130" s="861"/>
      <c r="X130" s="860"/>
      <c r="Y130" s="860"/>
      <c r="Z130" s="860"/>
      <c r="AA130" s="859"/>
      <c r="AB130" s="860"/>
      <c r="AC130" s="858"/>
      <c r="AD130" s="858"/>
      <c r="AE130" s="861"/>
      <c r="AF130" s="860"/>
      <c r="AG130" s="860"/>
      <c r="AH130" s="860"/>
      <c r="AI130" s="861"/>
      <c r="AJ130" s="860"/>
      <c r="AK130" s="860"/>
      <c r="AL130" s="860"/>
      <c r="AM130" s="861"/>
      <c r="AN130" s="861"/>
      <c r="AO130" s="861"/>
      <c r="AP130" s="861"/>
      <c r="AQ130" s="864"/>
      <c r="AR130" s="860"/>
      <c r="AS130" s="860"/>
      <c r="AT130" s="860"/>
      <c r="AU130" s="861"/>
      <c r="AV130" s="861"/>
      <c r="AW130" s="877"/>
      <c r="AX130" s="861"/>
    </row>
    <row r="131" spans="2:50">
      <c r="B131" s="878"/>
      <c r="C131" s="861"/>
      <c r="D131" s="860"/>
      <c r="E131" s="860"/>
      <c r="F131" s="860"/>
      <c r="G131" s="860"/>
      <c r="H131" s="860"/>
      <c r="I131" s="861"/>
      <c r="J131" s="861"/>
      <c r="K131" s="859"/>
      <c r="L131" s="860"/>
      <c r="M131" s="860"/>
      <c r="N131" s="860"/>
      <c r="O131" s="859"/>
      <c r="P131" s="860"/>
      <c r="Q131" s="860"/>
      <c r="R131" s="860"/>
      <c r="S131" s="861"/>
      <c r="T131" s="860"/>
      <c r="U131" s="860"/>
      <c r="V131" s="860"/>
      <c r="W131" s="861"/>
      <c r="X131" s="860"/>
      <c r="Y131" s="860"/>
      <c r="Z131" s="860"/>
      <c r="AA131" s="859"/>
      <c r="AB131" s="860"/>
      <c r="AC131" s="858"/>
      <c r="AD131" s="858"/>
      <c r="AE131" s="861"/>
      <c r="AF131" s="860"/>
      <c r="AG131" s="860"/>
      <c r="AH131" s="860"/>
      <c r="AI131" s="861"/>
      <c r="AJ131" s="860"/>
      <c r="AK131" s="860"/>
      <c r="AL131" s="860"/>
      <c r="AM131" s="861"/>
      <c r="AN131" s="861"/>
      <c r="AO131" s="861"/>
      <c r="AP131" s="861"/>
      <c r="AQ131" s="864"/>
      <c r="AR131" s="860"/>
      <c r="AS131" s="860"/>
      <c r="AT131" s="860"/>
      <c r="AU131" s="861"/>
      <c r="AV131" s="861"/>
      <c r="AW131" s="877"/>
      <c r="AX131" s="861"/>
    </row>
    <row r="132" spans="2:50">
      <c r="B132" s="878"/>
      <c r="C132" s="861"/>
      <c r="D132" s="860"/>
      <c r="E132" s="860"/>
      <c r="F132" s="860"/>
      <c r="G132" s="860"/>
      <c r="H132" s="860"/>
      <c r="I132" s="861"/>
      <c r="J132" s="861"/>
      <c r="K132" s="859"/>
      <c r="L132" s="860"/>
      <c r="M132" s="860"/>
      <c r="N132" s="860"/>
      <c r="O132" s="859"/>
      <c r="P132" s="860"/>
      <c r="Q132" s="860"/>
      <c r="R132" s="860"/>
      <c r="S132" s="861"/>
      <c r="T132" s="860"/>
      <c r="U132" s="860"/>
      <c r="V132" s="860"/>
      <c r="W132" s="861"/>
      <c r="X132" s="860"/>
      <c r="Y132" s="860"/>
      <c r="Z132" s="860"/>
      <c r="AA132" s="859"/>
      <c r="AB132" s="860"/>
      <c r="AC132" s="858"/>
      <c r="AD132" s="858"/>
      <c r="AE132" s="861"/>
      <c r="AF132" s="860"/>
      <c r="AG132" s="860"/>
      <c r="AH132" s="860"/>
      <c r="AI132" s="861"/>
      <c r="AJ132" s="860"/>
      <c r="AK132" s="860"/>
      <c r="AL132" s="860"/>
      <c r="AM132" s="861"/>
      <c r="AN132" s="861"/>
      <c r="AO132" s="861"/>
      <c r="AP132" s="861"/>
      <c r="AQ132" s="864"/>
      <c r="AR132" s="860"/>
      <c r="AS132" s="860"/>
      <c r="AT132" s="860"/>
      <c r="AU132" s="861"/>
      <c r="AV132" s="861"/>
      <c r="AW132" s="877"/>
      <c r="AX132" s="861"/>
    </row>
    <row r="133" spans="2:50">
      <c r="B133" s="878"/>
      <c r="C133" s="861"/>
      <c r="D133" s="860"/>
      <c r="E133" s="860"/>
      <c r="F133" s="860"/>
      <c r="G133" s="860"/>
      <c r="H133" s="860"/>
      <c r="I133" s="861"/>
      <c r="J133" s="861"/>
      <c r="K133" s="859"/>
      <c r="L133" s="860"/>
      <c r="M133" s="860"/>
      <c r="N133" s="860"/>
      <c r="O133" s="859"/>
      <c r="P133" s="860"/>
      <c r="Q133" s="860"/>
      <c r="R133" s="860"/>
      <c r="S133" s="861"/>
      <c r="T133" s="860"/>
      <c r="U133" s="860"/>
      <c r="V133" s="860"/>
      <c r="W133" s="861"/>
      <c r="X133" s="860"/>
      <c r="Y133" s="860"/>
      <c r="Z133" s="860"/>
      <c r="AA133" s="859"/>
      <c r="AB133" s="860"/>
      <c r="AC133" s="858"/>
      <c r="AD133" s="858"/>
      <c r="AE133" s="861"/>
      <c r="AF133" s="860"/>
      <c r="AG133" s="860"/>
      <c r="AH133" s="860"/>
      <c r="AI133" s="861"/>
      <c r="AJ133" s="860"/>
      <c r="AK133" s="860"/>
      <c r="AL133" s="860"/>
      <c r="AM133" s="861"/>
      <c r="AN133" s="861"/>
      <c r="AO133" s="861"/>
      <c r="AP133" s="861"/>
      <c r="AQ133" s="864"/>
      <c r="AR133" s="860"/>
      <c r="AS133" s="860"/>
      <c r="AT133" s="860"/>
      <c r="AU133" s="861"/>
      <c r="AV133" s="861"/>
      <c r="AW133" s="877"/>
      <c r="AX133" s="861"/>
    </row>
    <row r="134" spans="2:50">
      <c r="B134" s="878"/>
      <c r="C134" s="861"/>
      <c r="D134" s="860"/>
      <c r="E134" s="860"/>
      <c r="F134" s="860"/>
      <c r="G134" s="860"/>
      <c r="H134" s="860"/>
      <c r="I134" s="861"/>
      <c r="J134" s="861"/>
      <c r="K134" s="859"/>
      <c r="L134" s="860"/>
      <c r="M134" s="860"/>
      <c r="N134" s="860"/>
      <c r="O134" s="859"/>
      <c r="P134" s="860"/>
      <c r="Q134" s="860"/>
      <c r="R134" s="860"/>
      <c r="S134" s="861"/>
      <c r="T134" s="860"/>
      <c r="U134" s="860"/>
      <c r="V134" s="860"/>
      <c r="W134" s="861"/>
      <c r="X134" s="860"/>
      <c r="Y134" s="860"/>
      <c r="Z134" s="860"/>
      <c r="AA134" s="859"/>
      <c r="AB134" s="860"/>
      <c r="AC134" s="858"/>
      <c r="AD134" s="858"/>
      <c r="AE134" s="861"/>
      <c r="AF134" s="860"/>
      <c r="AG134" s="860"/>
      <c r="AH134" s="860"/>
      <c r="AI134" s="861"/>
      <c r="AJ134" s="860"/>
      <c r="AK134" s="860"/>
      <c r="AL134" s="860"/>
      <c r="AM134" s="861"/>
      <c r="AN134" s="861"/>
      <c r="AO134" s="861"/>
      <c r="AP134" s="861"/>
      <c r="AQ134" s="864"/>
      <c r="AR134" s="860"/>
      <c r="AS134" s="860"/>
      <c r="AT134" s="860"/>
      <c r="AU134" s="861"/>
      <c r="AV134" s="861"/>
      <c r="AW134" s="877"/>
      <c r="AX134" s="861"/>
    </row>
    <row r="135" spans="2:50">
      <c r="B135" s="878"/>
      <c r="C135" s="861"/>
      <c r="D135" s="860"/>
      <c r="E135" s="860"/>
      <c r="F135" s="860"/>
      <c r="G135" s="860"/>
      <c r="H135" s="860"/>
      <c r="I135" s="861"/>
      <c r="J135" s="861"/>
      <c r="K135" s="859"/>
      <c r="L135" s="860"/>
      <c r="M135" s="860"/>
      <c r="N135" s="860"/>
      <c r="O135" s="859"/>
      <c r="P135" s="860"/>
      <c r="Q135" s="860"/>
      <c r="R135" s="860"/>
      <c r="S135" s="861"/>
      <c r="T135" s="860"/>
      <c r="U135" s="860"/>
      <c r="V135" s="860"/>
      <c r="W135" s="861"/>
      <c r="X135" s="860"/>
      <c r="Y135" s="860"/>
      <c r="Z135" s="860"/>
      <c r="AA135" s="859"/>
      <c r="AB135" s="860"/>
      <c r="AC135" s="858"/>
      <c r="AD135" s="858"/>
      <c r="AE135" s="861"/>
      <c r="AF135" s="860"/>
      <c r="AG135" s="860"/>
      <c r="AH135" s="860"/>
      <c r="AI135" s="861"/>
      <c r="AJ135" s="860"/>
      <c r="AK135" s="860"/>
      <c r="AL135" s="860"/>
      <c r="AM135" s="861"/>
      <c r="AN135" s="861"/>
      <c r="AO135" s="861"/>
      <c r="AP135" s="861"/>
      <c r="AQ135" s="864"/>
      <c r="AR135" s="860"/>
      <c r="AS135" s="860"/>
      <c r="AT135" s="860"/>
      <c r="AU135" s="861"/>
      <c r="AV135" s="861"/>
      <c r="AW135" s="877"/>
      <c r="AX135" s="861"/>
    </row>
    <row r="136" spans="2:50">
      <c r="B136" s="878"/>
      <c r="C136" s="861"/>
      <c r="D136" s="860"/>
      <c r="E136" s="860"/>
      <c r="F136" s="860"/>
      <c r="G136" s="860"/>
      <c r="H136" s="860"/>
      <c r="I136" s="861"/>
      <c r="J136" s="861"/>
      <c r="K136" s="859"/>
      <c r="L136" s="860"/>
      <c r="M136" s="860"/>
      <c r="N136" s="860"/>
      <c r="O136" s="859"/>
      <c r="P136" s="860"/>
      <c r="Q136" s="860"/>
      <c r="R136" s="860"/>
      <c r="S136" s="861"/>
      <c r="T136" s="860"/>
      <c r="U136" s="860"/>
      <c r="V136" s="860"/>
      <c r="W136" s="861"/>
      <c r="X136" s="860"/>
      <c r="Y136" s="860"/>
      <c r="Z136" s="860"/>
      <c r="AA136" s="859"/>
      <c r="AB136" s="860"/>
      <c r="AC136" s="858"/>
      <c r="AD136" s="858"/>
      <c r="AE136" s="861"/>
      <c r="AF136" s="860"/>
      <c r="AG136" s="860"/>
      <c r="AH136" s="860"/>
      <c r="AI136" s="861"/>
      <c r="AJ136" s="860"/>
      <c r="AK136" s="860"/>
      <c r="AL136" s="860"/>
      <c r="AM136" s="861"/>
      <c r="AN136" s="861"/>
      <c r="AO136" s="861"/>
      <c r="AP136" s="861"/>
      <c r="AQ136" s="864"/>
      <c r="AR136" s="860"/>
      <c r="AS136" s="860"/>
      <c r="AT136" s="860"/>
      <c r="AU136" s="861"/>
      <c r="AV136" s="861"/>
      <c r="AW136" s="877"/>
      <c r="AX136" s="861"/>
    </row>
    <row r="137" spans="2:50">
      <c r="B137" s="878"/>
      <c r="C137" s="861"/>
      <c r="D137" s="860"/>
      <c r="E137" s="860"/>
      <c r="F137" s="860"/>
      <c r="G137" s="860"/>
      <c r="H137" s="860"/>
      <c r="I137" s="861"/>
      <c r="J137" s="861"/>
      <c r="K137" s="859"/>
      <c r="L137" s="860"/>
      <c r="M137" s="860"/>
      <c r="N137" s="860"/>
      <c r="O137" s="859"/>
      <c r="P137" s="860"/>
      <c r="Q137" s="860"/>
      <c r="R137" s="860"/>
      <c r="S137" s="861"/>
      <c r="T137" s="860"/>
      <c r="U137" s="860"/>
      <c r="V137" s="860"/>
      <c r="W137" s="861"/>
      <c r="X137" s="860"/>
      <c r="Y137" s="860"/>
      <c r="Z137" s="860"/>
      <c r="AA137" s="859"/>
      <c r="AB137" s="860"/>
      <c r="AC137" s="858"/>
      <c r="AD137" s="858"/>
      <c r="AE137" s="861"/>
      <c r="AF137" s="860"/>
      <c r="AG137" s="860"/>
      <c r="AH137" s="860"/>
      <c r="AI137" s="861"/>
      <c r="AJ137" s="860"/>
      <c r="AK137" s="860"/>
      <c r="AL137" s="860"/>
      <c r="AM137" s="861"/>
      <c r="AN137" s="861"/>
      <c r="AO137" s="861"/>
      <c r="AP137" s="861"/>
      <c r="AQ137" s="864"/>
      <c r="AR137" s="860"/>
      <c r="AS137" s="860"/>
      <c r="AT137" s="860"/>
      <c r="AU137" s="861"/>
      <c r="AV137" s="861"/>
      <c r="AW137" s="877"/>
      <c r="AX137" s="861"/>
    </row>
    <row r="138" spans="2:50">
      <c r="B138" s="878"/>
      <c r="C138" s="861"/>
      <c r="D138" s="860"/>
      <c r="E138" s="860"/>
      <c r="F138" s="860"/>
      <c r="G138" s="860"/>
      <c r="H138" s="860"/>
      <c r="I138" s="861"/>
      <c r="J138" s="861"/>
      <c r="K138" s="859"/>
      <c r="L138" s="860"/>
      <c r="M138" s="860"/>
      <c r="N138" s="860"/>
      <c r="O138" s="859"/>
      <c r="P138" s="860"/>
      <c r="Q138" s="860"/>
      <c r="R138" s="860"/>
      <c r="S138" s="861"/>
      <c r="T138" s="860"/>
      <c r="U138" s="860"/>
      <c r="V138" s="860"/>
      <c r="W138" s="861"/>
      <c r="X138" s="860"/>
      <c r="Y138" s="860"/>
      <c r="Z138" s="860"/>
      <c r="AA138" s="859"/>
      <c r="AB138" s="860"/>
      <c r="AC138" s="858"/>
      <c r="AD138" s="858"/>
      <c r="AE138" s="861"/>
      <c r="AF138" s="860"/>
      <c r="AG138" s="860"/>
      <c r="AH138" s="860"/>
      <c r="AI138" s="861"/>
      <c r="AJ138" s="860"/>
      <c r="AK138" s="860"/>
      <c r="AL138" s="860"/>
      <c r="AM138" s="861"/>
      <c r="AN138" s="861"/>
      <c r="AO138" s="861"/>
      <c r="AP138" s="861"/>
      <c r="AQ138" s="864"/>
      <c r="AR138" s="860"/>
      <c r="AS138" s="860"/>
      <c r="AT138" s="860"/>
      <c r="AU138" s="861"/>
      <c r="AV138" s="861"/>
      <c r="AW138" s="877"/>
      <c r="AX138" s="861"/>
    </row>
    <row r="139" spans="2:50">
      <c r="B139" s="878"/>
      <c r="C139" s="861"/>
      <c r="D139" s="860"/>
      <c r="E139" s="860"/>
      <c r="F139" s="860"/>
      <c r="G139" s="860"/>
      <c r="H139" s="860"/>
      <c r="I139" s="861"/>
      <c r="J139" s="861"/>
      <c r="K139" s="859"/>
      <c r="L139" s="860"/>
      <c r="M139" s="860"/>
      <c r="N139" s="860"/>
      <c r="O139" s="859"/>
      <c r="P139" s="860"/>
      <c r="Q139" s="860"/>
      <c r="R139" s="860"/>
      <c r="S139" s="861"/>
      <c r="T139" s="860"/>
      <c r="U139" s="860"/>
      <c r="V139" s="860"/>
      <c r="W139" s="861"/>
      <c r="X139" s="860"/>
      <c r="Y139" s="860"/>
      <c r="Z139" s="860"/>
      <c r="AA139" s="859"/>
      <c r="AB139" s="860"/>
      <c r="AC139" s="858"/>
      <c r="AD139" s="858"/>
      <c r="AE139" s="861"/>
      <c r="AF139" s="860"/>
      <c r="AG139" s="860"/>
      <c r="AH139" s="860"/>
      <c r="AI139" s="861"/>
      <c r="AJ139" s="860"/>
      <c r="AK139" s="860"/>
      <c r="AL139" s="860"/>
      <c r="AM139" s="861"/>
      <c r="AN139" s="861"/>
      <c r="AO139" s="861"/>
      <c r="AP139" s="861"/>
      <c r="AQ139" s="864"/>
      <c r="AR139" s="860"/>
      <c r="AS139" s="860"/>
      <c r="AT139" s="860"/>
      <c r="AU139" s="861"/>
      <c r="AV139" s="861"/>
      <c r="AW139" s="877"/>
      <c r="AX139" s="861"/>
    </row>
    <row r="140" spans="2:50">
      <c r="B140" s="878"/>
      <c r="C140" s="861"/>
      <c r="D140" s="860"/>
      <c r="E140" s="860"/>
      <c r="F140" s="860"/>
      <c r="G140" s="860"/>
      <c r="H140" s="860"/>
      <c r="I140" s="861"/>
      <c r="J140" s="861"/>
      <c r="K140" s="859"/>
      <c r="L140" s="860"/>
      <c r="M140" s="860"/>
      <c r="N140" s="860"/>
      <c r="O140" s="859"/>
      <c r="P140" s="860"/>
      <c r="Q140" s="860"/>
      <c r="R140" s="860"/>
      <c r="S140" s="861"/>
      <c r="T140" s="860"/>
      <c r="U140" s="860"/>
      <c r="V140" s="860"/>
      <c r="W140" s="861"/>
      <c r="X140" s="860"/>
      <c r="Y140" s="860"/>
      <c r="Z140" s="860"/>
      <c r="AA140" s="859"/>
      <c r="AB140" s="860"/>
      <c r="AC140" s="858"/>
      <c r="AD140" s="858"/>
      <c r="AE140" s="861"/>
      <c r="AF140" s="860"/>
      <c r="AG140" s="860"/>
      <c r="AH140" s="860"/>
      <c r="AI140" s="861"/>
      <c r="AJ140" s="860"/>
      <c r="AK140" s="860"/>
      <c r="AL140" s="860"/>
      <c r="AM140" s="861"/>
      <c r="AN140" s="861"/>
      <c r="AO140" s="861"/>
      <c r="AP140" s="861"/>
      <c r="AQ140" s="864"/>
      <c r="AR140" s="860"/>
      <c r="AS140" s="860"/>
      <c r="AT140" s="860"/>
      <c r="AU140" s="861"/>
      <c r="AV140" s="861"/>
      <c r="AW140" s="877"/>
      <c r="AX140" s="861"/>
    </row>
    <row r="141" spans="2:50">
      <c r="B141" s="878"/>
      <c r="C141" s="861"/>
      <c r="D141" s="860"/>
      <c r="E141" s="860"/>
      <c r="F141" s="860"/>
      <c r="G141" s="860"/>
      <c r="H141" s="860"/>
      <c r="I141" s="861"/>
      <c r="J141" s="861"/>
      <c r="K141" s="859"/>
      <c r="L141" s="860"/>
      <c r="M141" s="860"/>
      <c r="N141" s="860"/>
      <c r="O141" s="859"/>
      <c r="P141" s="860"/>
      <c r="Q141" s="860"/>
      <c r="R141" s="860"/>
      <c r="S141" s="861"/>
      <c r="T141" s="860"/>
      <c r="U141" s="860"/>
      <c r="V141" s="860"/>
      <c r="W141" s="861"/>
      <c r="X141" s="860"/>
      <c r="Y141" s="860"/>
      <c r="Z141" s="860"/>
      <c r="AA141" s="859"/>
      <c r="AB141" s="860"/>
      <c r="AC141" s="858"/>
      <c r="AD141" s="858"/>
      <c r="AE141" s="861"/>
      <c r="AF141" s="860"/>
      <c r="AG141" s="860"/>
      <c r="AH141" s="860"/>
      <c r="AI141" s="861"/>
      <c r="AJ141" s="860"/>
      <c r="AK141" s="860"/>
      <c r="AL141" s="860"/>
      <c r="AM141" s="861"/>
      <c r="AN141" s="861"/>
      <c r="AO141" s="861"/>
      <c r="AP141" s="861"/>
      <c r="AQ141" s="864"/>
      <c r="AR141" s="860"/>
      <c r="AS141" s="860"/>
      <c r="AT141" s="860"/>
      <c r="AU141" s="861"/>
      <c r="AV141" s="861"/>
      <c r="AW141" s="877"/>
      <c r="AX141" s="861"/>
    </row>
    <row r="142" spans="2:50">
      <c r="B142" s="878"/>
      <c r="C142" s="861"/>
      <c r="D142" s="860"/>
      <c r="E142" s="860"/>
      <c r="F142" s="860"/>
      <c r="G142" s="860"/>
      <c r="H142" s="860"/>
      <c r="I142" s="861"/>
      <c r="J142" s="861"/>
      <c r="K142" s="859"/>
      <c r="L142" s="860"/>
      <c r="M142" s="860"/>
      <c r="N142" s="860"/>
      <c r="O142" s="859"/>
      <c r="P142" s="860"/>
      <c r="Q142" s="860"/>
      <c r="R142" s="860"/>
      <c r="S142" s="861"/>
      <c r="T142" s="860"/>
      <c r="U142" s="860"/>
      <c r="V142" s="860"/>
      <c r="W142" s="861"/>
      <c r="X142" s="860"/>
      <c r="Y142" s="860"/>
      <c r="Z142" s="860"/>
      <c r="AA142" s="859"/>
      <c r="AB142" s="860"/>
      <c r="AC142" s="858"/>
      <c r="AD142" s="858"/>
      <c r="AE142" s="861"/>
      <c r="AF142" s="860"/>
      <c r="AG142" s="860"/>
      <c r="AH142" s="860"/>
      <c r="AI142" s="861"/>
      <c r="AJ142" s="860"/>
      <c r="AK142" s="860"/>
      <c r="AL142" s="860"/>
      <c r="AM142" s="861"/>
      <c r="AN142" s="861"/>
      <c r="AO142" s="861"/>
      <c r="AP142" s="861"/>
      <c r="AQ142" s="864"/>
      <c r="AR142" s="860"/>
      <c r="AS142" s="860"/>
      <c r="AT142" s="860"/>
      <c r="AU142" s="861"/>
      <c r="AV142" s="861"/>
      <c r="AW142" s="877"/>
      <c r="AX142" s="861"/>
    </row>
    <row r="143" spans="2:50">
      <c r="B143" s="878"/>
      <c r="C143" s="861"/>
      <c r="D143" s="860"/>
      <c r="E143" s="860"/>
      <c r="F143" s="860"/>
      <c r="G143" s="860"/>
      <c r="H143" s="860"/>
      <c r="I143" s="861"/>
      <c r="J143" s="861"/>
      <c r="K143" s="859"/>
      <c r="L143" s="860"/>
      <c r="M143" s="860"/>
      <c r="N143" s="860"/>
      <c r="O143" s="859"/>
      <c r="P143" s="860"/>
      <c r="Q143" s="860"/>
      <c r="R143" s="860"/>
      <c r="S143" s="861"/>
      <c r="T143" s="860"/>
      <c r="U143" s="860"/>
      <c r="V143" s="860"/>
      <c r="W143" s="861"/>
      <c r="X143" s="860"/>
      <c r="Y143" s="860"/>
      <c r="Z143" s="860"/>
      <c r="AA143" s="859"/>
      <c r="AB143" s="860"/>
      <c r="AC143" s="858"/>
      <c r="AD143" s="858"/>
      <c r="AE143" s="861"/>
      <c r="AF143" s="860"/>
      <c r="AG143" s="860"/>
      <c r="AH143" s="860"/>
      <c r="AI143" s="861"/>
      <c r="AJ143" s="860"/>
      <c r="AK143" s="860"/>
      <c r="AL143" s="860"/>
      <c r="AM143" s="861"/>
      <c r="AN143" s="861"/>
      <c r="AO143" s="861"/>
      <c r="AP143" s="861"/>
      <c r="AQ143" s="864"/>
      <c r="AR143" s="860"/>
      <c r="AS143" s="860"/>
      <c r="AT143" s="860"/>
      <c r="AU143" s="861"/>
      <c r="AV143" s="861"/>
      <c r="AW143" s="877"/>
      <c r="AX143" s="861"/>
    </row>
    <row r="144" spans="2:50">
      <c r="B144" s="878"/>
      <c r="C144" s="861"/>
      <c r="D144" s="860"/>
      <c r="E144" s="860"/>
      <c r="F144" s="860"/>
      <c r="G144" s="860"/>
      <c r="H144" s="860"/>
      <c r="I144" s="861"/>
      <c r="J144" s="861"/>
      <c r="K144" s="859"/>
      <c r="L144" s="860"/>
      <c r="M144" s="860"/>
      <c r="N144" s="860"/>
      <c r="O144" s="859"/>
      <c r="P144" s="860"/>
      <c r="Q144" s="860"/>
      <c r="R144" s="860"/>
      <c r="S144" s="861"/>
      <c r="T144" s="860"/>
      <c r="U144" s="860"/>
      <c r="V144" s="860"/>
      <c r="W144" s="861"/>
      <c r="X144" s="860"/>
      <c r="Y144" s="860"/>
      <c r="Z144" s="860"/>
      <c r="AA144" s="859"/>
      <c r="AB144" s="860"/>
      <c r="AC144" s="858"/>
      <c r="AD144" s="858"/>
      <c r="AE144" s="861"/>
      <c r="AF144" s="860"/>
      <c r="AG144" s="860"/>
      <c r="AH144" s="860"/>
      <c r="AI144" s="861"/>
      <c r="AJ144" s="860"/>
      <c r="AK144" s="860"/>
      <c r="AL144" s="860"/>
      <c r="AM144" s="861"/>
      <c r="AN144" s="861"/>
      <c r="AO144" s="861"/>
      <c r="AP144" s="861"/>
      <c r="AQ144" s="864"/>
      <c r="AR144" s="860"/>
      <c r="AS144" s="860"/>
      <c r="AT144" s="860"/>
      <c r="AU144" s="861"/>
      <c r="AV144" s="861"/>
      <c r="AW144" s="877"/>
      <c r="AX144" s="861"/>
    </row>
    <row r="145" spans="2:50">
      <c r="B145" s="878"/>
      <c r="C145" s="861"/>
      <c r="D145" s="860"/>
      <c r="E145" s="860"/>
      <c r="F145" s="860"/>
      <c r="G145" s="860"/>
      <c r="H145" s="860"/>
      <c r="I145" s="861"/>
      <c r="J145" s="861"/>
      <c r="K145" s="859"/>
      <c r="L145" s="860"/>
      <c r="M145" s="860"/>
      <c r="N145" s="860"/>
      <c r="O145" s="859"/>
      <c r="P145" s="860"/>
      <c r="Q145" s="860"/>
      <c r="R145" s="860"/>
      <c r="S145" s="861"/>
      <c r="T145" s="860"/>
      <c r="U145" s="860"/>
      <c r="V145" s="860"/>
      <c r="W145" s="861"/>
      <c r="X145" s="860"/>
      <c r="Y145" s="860"/>
      <c r="Z145" s="860"/>
      <c r="AA145" s="859"/>
      <c r="AB145" s="860"/>
      <c r="AC145" s="858"/>
      <c r="AD145" s="858"/>
      <c r="AE145" s="861"/>
      <c r="AF145" s="860"/>
      <c r="AG145" s="860"/>
      <c r="AH145" s="860"/>
      <c r="AI145" s="861"/>
      <c r="AJ145" s="860"/>
      <c r="AK145" s="860"/>
      <c r="AL145" s="860"/>
      <c r="AM145" s="861"/>
      <c r="AN145" s="861"/>
      <c r="AO145" s="861"/>
      <c r="AP145" s="861"/>
      <c r="AQ145" s="864"/>
      <c r="AR145" s="860"/>
      <c r="AS145" s="860"/>
      <c r="AT145" s="860"/>
      <c r="AU145" s="861"/>
      <c r="AV145" s="861"/>
      <c r="AW145" s="877"/>
      <c r="AX145" s="861"/>
    </row>
    <row r="146" spans="2:50">
      <c r="B146" s="878"/>
      <c r="C146" s="861"/>
      <c r="D146" s="860"/>
      <c r="E146" s="860"/>
      <c r="F146" s="860"/>
      <c r="G146" s="860"/>
      <c r="H146" s="860"/>
      <c r="I146" s="861"/>
      <c r="J146" s="861"/>
      <c r="K146" s="859"/>
      <c r="L146" s="860"/>
      <c r="M146" s="860"/>
      <c r="N146" s="860"/>
      <c r="O146" s="859"/>
      <c r="P146" s="860"/>
      <c r="Q146" s="860"/>
      <c r="R146" s="860"/>
      <c r="S146" s="861"/>
      <c r="T146" s="860"/>
      <c r="U146" s="860"/>
      <c r="V146" s="860"/>
      <c r="W146" s="861"/>
      <c r="X146" s="860"/>
      <c r="Y146" s="860"/>
      <c r="Z146" s="860"/>
      <c r="AA146" s="859"/>
      <c r="AB146" s="860"/>
      <c r="AC146" s="858"/>
      <c r="AD146" s="858"/>
      <c r="AE146" s="861"/>
      <c r="AF146" s="860"/>
      <c r="AG146" s="860"/>
      <c r="AH146" s="860"/>
      <c r="AI146" s="861"/>
      <c r="AJ146" s="860"/>
      <c r="AK146" s="860"/>
      <c r="AL146" s="860"/>
      <c r="AM146" s="861"/>
      <c r="AN146" s="861"/>
      <c r="AO146" s="861"/>
      <c r="AP146" s="861"/>
      <c r="AQ146" s="864"/>
      <c r="AR146" s="860"/>
      <c r="AS146" s="860"/>
      <c r="AT146" s="860"/>
      <c r="AU146" s="861"/>
      <c r="AV146" s="861"/>
      <c r="AW146" s="877"/>
      <c r="AX146" s="861"/>
    </row>
    <row r="147" spans="2:50">
      <c r="B147" s="878"/>
      <c r="C147" s="861"/>
      <c r="D147" s="860"/>
      <c r="E147" s="860"/>
      <c r="F147" s="860"/>
      <c r="G147" s="860"/>
      <c r="H147" s="860"/>
      <c r="I147" s="861"/>
      <c r="J147" s="861"/>
      <c r="K147" s="859"/>
      <c r="L147" s="860"/>
      <c r="M147" s="860"/>
      <c r="N147" s="860"/>
      <c r="O147" s="859"/>
      <c r="P147" s="860"/>
      <c r="Q147" s="860"/>
      <c r="R147" s="860"/>
      <c r="S147" s="861"/>
      <c r="T147" s="860"/>
      <c r="U147" s="860"/>
      <c r="V147" s="860"/>
      <c r="W147" s="861"/>
      <c r="X147" s="860"/>
      <c r="Y147" s="860"/>
      <c r="Z147" s="860"/>
      <c r="AA147" s="859"/>
      <c r="AB147" s="860"/>
      <c r="AC147" s="858"/>
      <c r="AD147" s="858"/>
      <c r="AE147" s="861"/>
      <c r="AF147" s="860"/>
      <c r="AG147" s="860"/>
      <c r="AH147" s="860"/>
      <c r="AI147" s="861"/>
      <c r="AJ147" s="860"/>
      <c r="AK147" s="860"/>
      <c r="AL147" s="860"/>
      <c r="AM147" s="861"/>
      <c r="AN147" s="861"/>
      <c r="AO147" s="861"/>
      <c r="AP147" s="861"/>
      <c r="AQ147" s="864"/>
      <c r="AR147" s="860"/>
      <c r="AS147" s="860"/>
      <c r="AT147" s="860"/>
      <c r="AU147" s="861"/>
      <c r="AV147" s="861"/>
      <c r="AW147" s="877"/>
      <c r="AX147" s="861"/>
    </row>
    <row r="148" spans="2:50">
      <c r="B148" s="878"/>
      <c r="C148" s="861"/>
      <c r="D148" s="860"/>
      <c r="E148" s="860"/>
      <c r="F148" s="860"/>
      <c r="G148" s="860"/>
      <c r="H148" s="860"/>
      <c r="I148" s="861"/>
      <c r="J148" s="861"/>
      <c r="K148" s="859"/>
      <c r="L148" s="860"/>
      <c r="M148" s="860"/>
      <c r="N148" s="860"/>
      <c r="O148" s="859"/>
      <c r="P148" s="860"/>
      <c r="Q148" s="860"/>
      <c r="R148" s="860"/>
      <c r="S148" s="861"/>
      <c r="T148" s="860"/>
      <c r="U148" s="860"/>
      <c r="V148" s="860"/>
      <c r="W148" s="861"/>
      <c r="X148" s="860"/>
      <c r="Y148" s="860"/>
      <c r="Z148" s="860"/>
      <c r="AA148" s="859"/>
      <c r="AB148" s="860"/>
      <c r="AC148" s="858"/>
      <c r="AD148" s="858"/>
      <c r="AE148" s="861"/>
      <c r="AF148" s="860"/>
      <c r="AG148" s="860"/>
      <c r="AH148" s="860"/>
      <c r="AI148" s="861"/>
      <c r="AJ148" s="860"/>
      <c r="AK148" s="860"/>
      <c r="AL148" s="860"/>
      <c r="AM148" s="861"/>
      <c r="AN148" s="861"/>
      <c r="AO148" s="861"/>
      <c r="AP148" s="861"/>
      <c r="AQ148" s="864"/>
      <c r="AR148" s="860"/>
      <c r="AS148" s="860"/>
      <c r="AT148" s="860"/>
      <c r="AU148" s="861"/>
      <c r="AV148" s="861"/>
      <c r="AW148" s="877"/>
      <c r="AX148" s="861"/>
    </row>
    <row r="149" spans="2:50">
      <c r="B149" s="878"/>
      <c r="C149" s="861"/>
      <c r="D149" s="860"/>
      <c r="E149" s="860"/>
      <c r="F149" s="860"/>
      <c r="G149" s="860"/>
      <c r="H149" s="860"/>
      <c r="I149" s="861"/>
      <c r="J149" s="861"/>
      <c r="K149" s="859"/>
      <c r="L149" s="860"/>
      <c r="M149" s="860"/>
      <c r="N149" s="860"/>
      <c r="O149" s="859"/>
      <c r="P149" s="860"/>
      <c r="Q149" s="860"/>
      <c r="R149" s="860"/>
      <c r="S149" s="861"/>
      <c r="T149" s="860"/>
      <c r="U149" s="860"/>
      <c r="V149" s="860"/>
      <c r="W149" s="861"/>
      <c r="X149" s="860"/>
      <c r="Y149" s="860"/>
      <c r="Z149" s="860"/>
      <c r="AA149" s="859"/>
      <c r="AB149" s="860"/>
      <c r="AC149" s="858"/>
      <c r="AD149" s="858"/>
      <c r="AE149" s="861"/>
      <c r="AF149" s="860"/>
      <c r="AG149" s="860"/>
      <c r="AH149" s="860"/>
      <c r="AI149" s="861"/>
      <c r="AJ149" s="860"/>
      <c r="AK149" s="860"/>
      <c r="AL149" s="860"/>
      <c r="AM149" s="861"/>
      <c r="AN149" s="861"/>
      <c r="AO149" s="861"/>
      <c r="AP149" s="861"/>
      <c r="AQ149" s="864"/>
      <c r="AR149" s="860"/>
      <c r="AS149" s="860"/>
      <c r="AT149" s="860"/>
      <c r="AU149" s="861"/>
      <c r="AV149" s="861"/>
      <c r="AW149" s="877"/>
      <c r="AX149" s="861"/>
    </row>
    <row r="150" spans="2:50">
      <c r="B150" s="878"/>
      <c r="C150" s="861"/>
      <c r="D150" s="860"/>
      <c r="E150" s="860"/>
      <c r="F150" s="860"/>
      <c r="G150" s="860"/>
      <c r="H150" s="860"/>
      <c r="I150" s="861"/>
      <c r="J150" s="861"/>
      <c r="K150" s="859"/>
      <c r="L150" s="860"/>
      <c r="M150" s="860"/>
      <c r="N150" s="860"/>
      <c r="O150" s="859"/>
      <c r="P150" s="860"/>
      <c r="Q150" s="860"/>
      <c r="R150" s="860"/>
      <c r="S150" s="861"/>
      <c r="T150" s="860"/>
      <c r="U150" s="860"/>
      <c r="V150" s="860"/>
      <c r="W150" s="861"/>
      <c r="X150" s="860"/>
      <c r="Y150" s="860"/>
      <c r="Z150" s="860"/>
      <c r="AA150" s="859"/>
      <c r="AB150" s="860"/>
      <c r="AC150" s="858"/>
      <c r="AD150" s="858"/>
      <c r="AE150" s="861"/>
      <c r="AF150" s="860"/>
      <c r="AG150" s="860"/>
      <c r="AH150" s="860"/>
      <c r="AI150" s="861"/>
      <c r="AJ150" s="860"/>
      <c r="AK150" s="860"/>
      <c r="AL150" s="860"/>
      <c r="AM150" s="861"/>
      <c r="AN150" s="861"/>
      <c r="AO150" s="861"/>
      <c r="AP150" s="861"/>
      <c r="AQ150" s="864"/>
      <c r="AR150" s="860"/>
      <c r="AS150" s="860"/>
      <c r="AT150" s="860"/>
      <c r="AU150" s="861"/>
      <c r="AV150" s="861"/>
      <c r="AW150" s="877"/>
      <c r="AX150" s="861"/>
    </row>
    <row r="151" spans="2:50">
      <c r="B151" s="878"/>
      <c r="C151" s="861"/>
      <c r="D151" s="860"/>
      <c r="E151" s="860"/>
      <c r="F151" s="860"/>
      <c r="G151" s="860"/>
      <c r="H151" s="860"/>
      <c r="I151" s="861"/>
      <c r="J151" s="861"/>
      <c r="K151" s="859"/>
      <c r="L151" s="860"/>
      <c r="M151" s="860"/>
      <c r="N151" s="860"/>
      <c r="O151" s="859"/>
      <c r="P151" s="860"/>
      <c r="Q151" s="860"/>
      <c r="R151" s="860"/>
      <c r="S151" s="861"/>
      <c r="T151" s="860"/>
      <c r="U151" s="860"/>
      <c r="V151" s="860"/>
      <c r="W151" s="861"/>
      <c r="X151" s="860"/>
      <c r="Y151" s="860"/>
      <c r="Z151" s="860"/>
      <c r="AA151" s="859"/>
      <c r="AB151" s="860"/>
      <c r="AC151" s="858"/>
      <c r="AD151" s="858"/>
      <c r="AE151" s="861"/>
      <c r="AF151" s="860"/>
      <c r="AG151" s="860"/>
      <c r="AH151" s="860"/>
      <c r="AI151" s="861"/>
      <c r="AJ151" s="860"/>
      <c r="AK151" s="860"/>
      <c r="AL151" s="860"/>
      <c r="AM151" s="861"/>
      <c r="AN151" s="861"/>
      <c r="AO151" s="861"/>
      <c r="AP151" s="861"/>
      <c r="AQ151" s="864"/>
      <c r="AR151" s="860"/>
      <c r="AS151" s="860"/>
      <c r="AT151" s="860"/>
      <c r="AU151" s="861"/>
      <c r="AV151" s="861"/>
      <c r="AW151" s="877"/>
      <c r="AX151" s="861"/>
    </row>
    <row r="152" spans="2:50">
      <c r="B152" s="878"/>
      <c r="C152" s="861"/>
      <c r="D152" s="860"/>
      <c r="E152" s="860"/>
      <c r="F152" s="860"/>
      <c r="G152" s="860"/>
      <c r="H152" s="860"/>
      <c r="I152" s="861"/>
      <c r="J152" s="861"/>
      <c r="K152" s="859"/>
      <c r="L152" s="860"/>
      <c r="M152" s="860"/>
      <c r="N152" s="860"/>
      <c r="O152" s="859"/>
      <c r="P152" s="860"/>
      <c r="Q152" s="860"/>
      <c r="R152" s="860"/>
      <c r="S152" s="861"/>
      <c r="T152" s="860"/>
      <c r="U152" s="860"/>
      <c r="V152" s="860"/>
      <c r="W152" s="861"/>
      <c r="X152" s="860"/>
      <c r="Y152" s="860"/>
      <c r="Z152" s="860"/>
      <c r="AA152" s="859"/>
      <c r="AB152" s="860"/>
      <c r="AC152" s="858"/>
      <c r="AD152" s="858"/>
      <c r="AE152" s="861"/>
      <c r="AF152" s="860"/>
      <c r="AG152" s="860"/>
      <c r="AH152" s="860"/>
      <c r="AI152" s="861"/>
      <c r="AJ152" s="860"/>
      <c r="AK152" s="860"/>
      <c r="AL152" s="860"/>
      <c r="AM152" s="861"/>
      <c r="AN152" s="861"/>
      <c r="AO152" s="861"/>
      <c r="AP152" s="861"/>
      <c r="AQ152" s="864"/>
      <c r="AR152" s="860"/>
      <c r="AS152" s="860"/>
      <c r="AT152" s="860"/>
      <c r="AU152" s="861"/>
      <c r="AV152" s="861"/>
      <c r="AW152" s="877"/>
      <c r="AX152" s="861"/>
    </row>
    <row r="153" spans="2:50">
      <c r="B153" s="878"/>
      <c r="C153" s="861"/>
      <c r="D153" s="860"/>
      <c r="E153" s="860"/>
      <c r="F153" s="860"/>
      <c r="G153" s="860"/>
      <c r="H153" s="860"/>
      <c r="I153" s="861"/>
      <c r="J153" s="861"/>
      <c r="K153" s="859"/>
      <c r="L153" s="860"/>
      <c r="M153" s="860"/>
      <c r="N153" s="860"/>
      <c r="O153" s="859"/>
      <c r="P153" s="860"/>
      <c r="Q153" s="860"/>
      <c r="R153" s="860"/>
      <c r="S153" s="861"/>
      <c r="T153" s="860"/>
      <c r="U153" s="860"/>
      <c r="V153" s="860"/>
      <c r="W153" s="861"/>
      <c r="X153" s="860"/>
      <c r="Y153" s="860"/>
      <c r="Z153" s="860"/>
      <c r="AA153" s="859"/>
      <c r="AB153" s="860"/>
      <c r="AC153" s="858"/>
      <c r="AD153" s="858"/>
      <c r="AE153" s="861"/>
      <c r="AF153" s="860"/>
      <c r="AG153" s="860"/>
      <c r="AH153" s="860"/>
      <c r="AI153" s="861"/>
      <c r="AJ153" s="860"/>
      <c r="AK153" s="860"/>
      <c r="AL153" s="860"/>
      <c r="AM153" s="861"/>
      <c r="AN153" s="861"/>
      <c r="AO153" s="861"/>
      <c r="AP153" s="861"/>
      <c r="AQ153" s="864"/>
      <c r="AR153" s="860"/>
      <c r="AS153" s="860"/>
      <c r="AT153" s="860"/>
      <c r="AU153" s="861"/>
      <c r="AV153" s="861"/>
      <c r="AW153" s="877"/>
      <c r="AX153" s="861"/>
    </row>
    <row r="154" spans="2:50">
      <c r="B154" s="878"/>
      <c r="C154" s="861"/>
      <c r="D154" s="860"/>
      <c r="E154" s="860"/>
      <c r="F154" s="860"/>
      <c r="G154" s="860"/>
      <c r="H154" s="860"/>
      <c r="I154" s="861"/>
      <c r="J154" s="861"/>
      <c r="K154" s="859"/>
      <c r="L154" s="860"/>
      <c r="M154" s="860"/>
      <c r="N154" s="860"/>
      <c r="O154" s="859"/>
      <c r="P154" s="860"/>
      <c r="Q154" s="860"/>
      <c r="R154" s="860"/>
      <c r="S154" s="861"/>
      <c r="T154" s="860"/>
      <c r="U154" s="860"/>
      <c r="V154" s="860"/>
      <c r="W154" s="861"/>
      <c r="X154" s="860"/>
      <c r="Y154" s="860"/>
      <c r="Z154" s="860"/>
      <c r="AA154" s="859"/>
      <c r="AB154" s="860"/>
      <c r="AC154" s="858"/>
      <c r="AD154" s="858"/>
      <c r="AE154" s="861"/>
      <c r="AF154" s="860"/>
      <c r="AG154" s="860"/>
      <c r="AH154" s="860"/>
      <c r="AI154" s="861"/>
      <c r="AJ154" s="860"/>
      <c r="AK154" s="860"/>
      <c r="AL154" s="860"/>
      <c r="AM154" s="861"/>
      <c r="AN154" s="861"/>
      <c r="AO154" s="861"/>
      <c r="AP154" s="861"/>
      <c r="AQ154" s="864"/>
      <c r="AR154" s="860"/>
      <c r="AS154" s="860"/>
      <c r="AT154" s="860"/>
      <c r="AU154" s="861"/>
      <c r="AV154" s="861"/>
      <c r="AW154" s="877"/>
      <c r="AX154" s="861"/>
    </row>
    <row r="155" spans="2:50">
      <c r="B155" s="878"/>
      <c r="C155" s="861"/>
      <c r="D155" s="860"/>
      <c r="E155" s="860"/>
      <c r="F155" s="860"/>
      <c r="G155" s="860"/>
      <c r="H155" s="860"/>
      <c r="I155" s="861"/>
      <c r="J155" s="861"/>
      <c r="K155" s="859"/>
      <c r="L155" s="860"/>
      <c r="M155" s="860"/>
      <c r="N155" s="860"/>
      <c r="O155" s="859"/>
      <c r="P155" s="860"/>
      <c r="Q155" s="860"/>
      <c r="R155" s="860"/>
      <c r="S155" s="861"/>
      <c r="T155" s="860"/>
      <c r="U155" s="860"/>
      <c r="V155" s="860"/>
      <c r="W155" s="861"/>
      <c r="X155" s="860"/>
      <c r="Y155" s="860"/>
      <c r="Z155" s="860"/>
      <c r="AA155" s="859"/>
      <c r="AB155" s="860"/>
      <c r="AC155" s="858"/>
      <c r="AD155" s="858"/>
      <c r="AE155" s="861"/>
      <c r="AF155" s="860"/>
      <c r="AG155" s="860"/>
      <c r="AH155" s="860"/>
      <c r="AI155" s="861"/>
      <c r="AJ155" s="860"/>
      <c r="AK155" s="860"/>
      <c r="AL155" s="860"/>
      <c r="AM155" s="861"/>
      <c r="AN155" s="861"/>
      <c r="AO155" s="861"/>
      <c r="AP155" s="861"/>
      <c r="AQ155" s="864"/>
      <c r="AR155" s="860"/>
      <c r="AS155" s="860"/>
      <c r="AT155" s="860"/>
      <c r="AU155" s="861"/>
      <c r="AV155" s="861"/>
      <c r="AW155" s="877"/>
      <c r="AX155" s="861"/>
    </row>
    <row r="156" spans="2:50">
      <c r="B156" s="878"/>
      <c r="C156" s="861"/>
      <c r="D156" s="860"/>
      <c r="E156" s="860"/>
      <c r="F156" s="860"/>
      <c r="G156" s="860"/>
      <c r="H156" s="860"/>
      <c r="I156" s="861"/>
      <c r="J156" s="861"/>
      <c r="K156" s="859"/>
      <c r="L156" s="860"/>
      <c r="M156" s="860"/>
      <c r="N156" s="860"/>
      <c r="O156" s="859"/>
      <c r="P156" s="860"/>
      <c r="Q156" s="860"/>
      <c r="R156" s="860"/>
      <c r="S156" s="861"/>
      <c r="T156" s="860"/>
      <c r="U156" s="860"/>
      <c r="V156" s="860"/>
      <c r="W156" s="861"/>
      <c r="X156" s="860"/>
      <c r="Y156" s="860"/>
      <c r="Z156" s="860"/>
      <c r="AA156" s="859"/>
      <c r="AB156" s="860"/>
      <c r="AC156" s="858"/>
      <c r="AD156" s="858"/>
      <c r="AE156" s="861"/>
      <c r="AF156" s="860"/>
      <c r="AG156" s="860"/>
      <c r="AH156" s="860"/>
      <c r="AI156" s="861"/>
      <c r="AJ156" s="860"/>
      <c r="AK156" s="860"/>
      <c r="AL156" s="860"/>
      <c r="AM156" s="861"/>
      <c r="AN156" s="861"/>
      <c r="AO156" s="861"/>
      <c r="AP156" s="861"/>
      <c r="AQ156" s="864"/>
      <c r="AR156" s="860"/>
      <c r="AS156" s="860"/>
      <c r="AT156" s="860"/>
      <c r="AU156" s="861"/>
      <c r="AV156" s="861"/>
      <c r="AW156" s="877"/>
      <c r="AX156" s="861"/>
    </row>
    <row r="157" spans="2:50">
      <c r="B157" s="878"/>
      <c r="C157" s="861"/>
      <c r="D157" s="860"/>
      <c r="E157" s="860"/>
      <c r="F157" s="860"/>
      <c r="G157" s="860"/>
      <c r="H157" s="860"/>
      <c r="I157" s="861"/>
      <c r="J157" s="861"/>
      <c r="K157" s="859"/>
      <c r="L157" s="860"/>
      <c r="M157" s="860"/>
      <c r="N157" s="860"/>
      <c r="O157" s="859"/>
      <c r="P157" s="860"/>
      <c r="Q157" s="860"/>
      <c r="R157" s="860"/>
      <c r="S157" s="861"/>
      <c r="T157" s="860"/>
      <c r="U157" s="860"/>
      <c r="V157" s="860"/>
      <c r="W157" s="861"/>
      <c r="X157" s="860"/>
      <c r="Y157" s="860"/>
      <c r="Z157" s="860"/>
      <c r="AA157" s="859"/>
      <c r="AB157" s="860"/>
      <c r="AC157" s="858"/>
      <c r="AD157" s="858"/>
      <c r="AE157" s="861"/>
      <c r="AF157" s="860"/>
      <c r="AG157" s="860"/>
      <c r="AH157" s="860"/>
      <c r="AI157" s="861"/>
      <c r="AJ157" s="860"/>
      <c r="AK157" s="860"/>
      <c r="AL157" s="860"/>
      <c r="AM157" s="861"/>
      <c r="AN157" s="861"/>
      <c r="AO157" s="861"/>
      <c r="AP157" s="861"/>
      <c r="AQ157" s="864"/>
      <c r="AR157" s="860"/>
      <c r="AS157" s="860"/>
      <c r="AT157" s="860"/>
      <c r="AU157" s="861"/>
      <c r="AV157" s="861"/>
      <c r="AW157" s="877"/>
      <c r="AX157" s="861"/>
    </row>
    <row r="158" spans="2:50">
      <c r="B158" s="878"/>
      <c r="C158" s="861"/>
      <c r="D158" s="860"/>
      <c r="E158" s="860"/>
      <c r="F158" s="860"/>
      <c r="G158" s="860"/>
      <c r="H158" s="860"/>
      <c r="I158" s="861"/>
      <c r="J158" s="861"/>
      <c r="K158" s="859"/>
      <c r="L158" s="860"/>
      <c r="M158" s="860"/>
      <c r="N158" s="860"/>
      <c r="O158" s="859"/>
      <c r="P158" s="860"/>
      <c r="Q158" s="860"/>
      <c r="R158" s="860"/>
      <c r="S158" s="861"/>
      <c r="T158" s="860"/>
      <c r="U158" s="860"/>
      <c r="V158" s="860"/>
      <c r="W158" s="861"/>
      <c r="X158" s="860"/>
      <c r="Y158" s="860"/>
      <c r="Z158" s="860"/>
      <c r="AA158" s="859"/>
      <c r="AB158" s="860"/>
      <c r="AC158" s="858"/>
      <c r="AD158" s="858"/>
      <c r="AE158" s="861"/>
      <c r="AF158" s="860"/>
      <c r="AG158" s="860"/>
      <c r="AH158" s="860"/>
      <c r="AI158" s="861"/>
      <c r="AJ158" s="860"/>
      <c r="AK158" s="860"/>
      <c r="AL158" s="860"/>
      <c r="AM158" s="861"/>
      <c r="AN158" s="861"/>
      <c r="AO158" s="861"/>
      <c r="AP158" s="861"/>
      <c r="AQ158" s="864"/>
      <c r="AR158" s="860"/>
      <c r="AS158" s="860"/>
      <c r="AT158" s="860"/>
      <c r="AU158" s="861"/>
      <c r="AV158" s="861"/>
      <c r="AW158" s="877"/>
      <c r="AX158" s="861"/>
    </row>
    <row r="159" spans="2:50">
      <c r="B159" s="878"/>
      <c r="C159" s="861"/>
      <c r="D159" s="860"/>
      <c r="E159" s="860"/>
      <c r="F159" s="860"/>
      <c r="G159" s="860"/>
      <c r="H159" s="860"/>
      <c r="I159" s="861"/>
      <c r="J159" s="861"/>
      <c r="K159" s="859"/>
      <c r="L159" s="860"/>
      <c r="M159" s="860"/>
      <c r="N159" s="860"/>
      <c r="O159" s="859"/>
      <c r="P159" s="860"/>
      <c r="Q159" s="860"/>
      <c r="R159" s="860"/>
      <c r="S159" s="861"/>
      <c r="T159" s="860"/>
      <c r="U159" s="860"/>
      <c r="V159" s="860"/>
      <c r="W159" s="861"/>
      <c r="X159" s="860"/>
      <c r="Y159" s="860"/>
      <c r="Z159" s="860"/>
      <c r="AA159" s="859"/>
      <c r="AB159" s="860"/>
      <c r="AC159" s="858"/>
      <c r="AD159" s="858"/>
      <c r="AE159" s="861"/>
      <c r="AF159" s="860"/>
      <c r="AG159" s="860"/>
      <c r="AH159" s="860"/>
      <c r="AI159" s="861"/>
      <c r="AJ159" s="860"/>
      <c r="AK159" s="860"/>
      <c r="AL159" s="860"/>
      <c r="AM159" s="861"/>
      <c r="AN159" s="861"/>
      <c r="AO159" s="861"/>
      <c r="AP159" s="861"/>
      <c r="AQ159" s="864"/>
      <c r="AR159" s="860"/>
      <c r="AS159" s="860"/>
      <c r="AT159" s="860"/>
      <c r="AU159" s="861"/>
      <c r="AV159" s="861"/>
      <c r="AW159" s="877"/>
      <c r="AX159" s="861"/>
    </row>
    <row r="160" spans="2:50">
      <c r="B160" s="878"/>
      <c r="C160" s="861"/>
      <c r="D160" s="860"/>
      <c r="E160" s="860"/>
      <c r="F160" s="860"/>
      <c r="G160" s="860"/>
      <c r="H160" s="860"/>
      <c r="I160" s="861"/>
      <c r="J160" s="861"/>
      <c r="K160" s="859"/>
      <c r="L160" s="860"/>
      <c r="M160" s="860"/>
      <c r="N160" s="860"/>
      <c r="O160" s="859"/>
      <c r="P160" s="860"/>
      <c r="Q160" s="860"/>
      <c r="R160" s="860"/>
      <c r="S160" s="861"/>
      <c r="T160" s="860"/>
      <c r="U160" s="860"/>
      <c r="V160" s="860"/>
      <c r="W160" s="861"/>
      <c r="X160" s="860"/>
      <c r="Y160" s="860"/>
      <c r="Z160" s="860"/>
      <c r="AA160" s="859"/>
      <c r="AB160" s="860"/>
      <c r="AC160" s="858"/>
      <c r="AD160" s="858"/>
      <c r="AE160" s="861"/>
      <c r="AF160" s="860"/>
      <c r="AG160" s="860"/>
      <c r="AH160" s="860"/>
      <c r="AI160" s="861"/>
      <c r="AJ160" s="860"/>
      <c r="AK160" s="860"/>
      <c r="AL160" s="860"/>
      <c r="AM160" s="861"/>
      <c r="AN160" s="861"/>
      <c r="AO160" s="861"/>
      <c r="AP160" s="861"/>
      <c r="AQ160" s="864"/>
      <c r="AR160" s="860"/>
      <c r="AS160" s="860"/>
      <c r="AT160" s="860"/>
      <c r="AU160" s="861"/>
      <c r="AV160" s="861"/>
      <c r="AW160" s="877"/>
      <c r="AX160" s="861"/>
    </row>
  </sheetData>
  <dataConsolidate/>
  <mergeCells count="33">
    <mergeCell ref="AY2:BI2"/>
    <mergeCell ref="BJ2:BK2"/>
    <mergeCell ref="BH3:BH4"/>
    <mergeCell ref="BB19:BD19"/>
    <mergeCell ref="BF19:BI19"/>
    <mergeCell ref="BI3:BI4"/>
    <mergeCell ref="BJ3:BJ4"/>
    <mergeCell ref="B2:AR2"/>
    <mergeCell ref="B3:B4"/>
    <mergeCell ref="C3:F3"/>
    <mergeCell ref="G3:J3"/>
    <mergeCell ref="K3:N3"/>
    <mergeCell ref="O3:R3"/>
    <mergeCell ref="S3:V3"/>
    <mergeCell ref="W3:Z3"/>
    <mergeCell ref="AA3:AD3"/>
    <mergeCell ref="AE3:AH3"/>
    <mergeCell ref="AI3:AL3"/>
    <mergeCell ref="AM3:AP3"/>
    <mergeCell ref="AQ3:AT3"/>
    <mergeCell ref="AU3:AU4"/>
    <mergeCell ref="AV3:AV4"/>
    <mergeCell ref="AY3:AY4"/>
    <mergeCell ref="BF3:BF4"/>
    <mergeCell ref="BG3:BG4"/>
    <mergeCell ref="BB39:BD39"/>
    <mergeCell ref="BF39:BI39"/>
    <mergeCell ref="AY22:BI22"/>
    <mergeCell ref="AY23:AY24"/>
    <mergeCell ref="BF23:BF24"/>
    <mergeCell ref="BG23:BG24"/>
    <mergeCell ref="BH23:BH24"/>
    <mergeCell ref="BI23:BI24"/>
  </mergeCells>
  <conditionalFormatting sqref="BH6:BH10 BH13:BH15">
    <cfRule type="dataBar" priority="65">
      <dataBar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{3E232B09-80CE-43FD-968D-48C02633B31B}</x14:id>
        </ext>
      </extLst>
    </cfRule>
  </conditionalFormatting>
  <conditionalFormatting sqref="BH6:BH10 BH13:BH15">
    <cfRule type="dataBar" priority="47">
      <dataBar>
        <cfvo type="min" val="0"/>
        <cfvo type="max" val="0"/>
        <color rgb="FF63C384"/>
      </dataBar>
    </cfRule>
  </conditionalFormatting>
  <conditionalFormatting sqref="AV12:AV15 AV5:AV10">
    <cfRule type="dataBar" priority="37">
      <dataBar>
        <cfvo type="min" val="0"/>
        <cfvo type="max" val="0"/>
        <color rgb="FF63C384"/>
      </dataBar>
    </cfRule>
  </conditionalFormatting>
  <conditionalFormatting sqref="BG12:BG15 BG5:BG10">
    <cfRule type="dataBar" priority="32">
      <dataBar>
        <cfvo type="min" val="0"/>
        <cfvo type="max" val="0"/>
        <color rgb="FF63C384"/>
      </dataBar>
    </cfRule>
  </conditionalFormatting>
  <conditionalFormatting sqref="BG12:BG15">
    <cfRule type="dataBar" priority="30">
      <dataBar>
        <cfvo type="min" val="0"/>
        <cfvo type="max" val="0"/>
        <color rgb="FF63C384"/>
      </dataBar>
    </cfRule>
  </conditionalFormatting>
  <conditionalFormatting sqref="BH6:BH10">
    <cfRule type="dataBar" priority="28">
      <dataBar>
        <cfvo type="min" val="0"/>
        <cfvo type="max" val="0"/>
        <color rgb="FF63C384"/>
      </dataBar>
    </cfRule>
  </conditionalFormatting>
  <conditionalFormatting sqref="BH12:BH15">
    <cfRule type="dataBar" priority="27">
      <dataBar>
        <cfvo type="min" val="0"/>
        <cfvo type="max" val="0"/>
        <color rgb="FF63C384"/>
      </dataBar>
    </cfRule>
  </conditionalFormatting>
  <conditionalFormatting sqref="BH26:BH30 BH33:BH35">
    <cfRule type="dataBar" priority="6">
      <dataBar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{3E232B09-80CE-43FD-968D-48C02633B31B}</x14:id>
        </ext>
      </extLst>
    </cfRule>
  </conditionalFormatting>
  <conditionalFormatting sqref="BH26:BH30 BH33:BH35">
    <cfRule type="dataBar" priority="5">
      <dataBar>
        <cfvo type="min" val="0"/>
        <cfvo type="max" val="0"/>
        <color rgb="FF63C384"/>
      </dataBar>
    </cfRule>
  </conditionalFormatting>
  <conditionalFormatting sqref="BG32:BG35 BG25:BG30">
    <cfRule type="dataBar" priority="4">
      <dataBar>
        <cfvo type="min" val="0"/>
        <cfvo type="max" val="0"/>
        <color rgb="FF63C384"/>
      </dataBar>
    </cfRule>
  </conditionalFormatting>
  <conditionalFormatting sqref="BG32:BG35">
    <cfRule type="dataBar" priority="3">
      <dataBar>
        <cfvo type="min" val="0"/>
        <cfvo type="max" val="0"/>
        <color rgb="FF63C384"/>
      </dataBar>
    </cfRule>
  </conditionalFormatting>
  <conditionalFormatting sqref="BH26:BH30">
    <cfRule type="dataBar" priority="2">
      <dataBar>
        <cfvo type="min" val="0"/>
        <cfvo type="max" val="0"/>
        <color rgb="FF63C384"/>
      </dataBar>
    </cfRule>
  </conditionalFormatting>
  <conditionalFormatting sqref="BH32:BH35">
    <cfRule type="dataBar" priority="1">
      <dataBar>
        <cfvo type="min" val="0"/>
        <cfvo type="max" val="0"/>
        <color rgb="FF63C384"/>
      </dataBar>
    </cfRule>
  </conditionalFormatting>
  <pageMargins left="1" right="1" top="1" bottom="1" header="1" footer="1"/>
  <pageSetup paperSize="9" orientation="landscape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232B09-80CE-43FD-968D-48C02633B3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BH6:BH10 BH13:BH15</xm:sqref>
        </x14:conditionalFormatting>
        <x14:conditionalFormatting xmlns:xm="http://schemas.microsoft.com/office/excel/2006/main">
          <x14:cfRule type="dataBar" id="{A0EE4674-27E7-4A70-9686-9C211D42E4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BJ26:BJ30 BJ33:BJ35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7"/>
  <dimension ref="A1:BG196"/>
  <sheetViews>
    <sheetView showGridLines="0" topLeftCell="AA1" zoomScale="70" zoomScaleNormal="70" workbookViewId="0">
      <selection activeCell="M31" sqref="M31"/>
    </sheetView>
  </sheetViews>
  <sheetFormatPr defaultColWidth="9.140625" defaultRowHeight="15.75"/>
  <cols>
    <col min="1" max="1" width="4.85546875" style="2" customWidth="1"/>
    <col min="2" max="2" width="20.7109375" style="1" bestFit="1" customWidth="1"/>
    <col min="3" max="3" width="6.85546875" style="2" customWidth="1"/>
    <col min="4" max="4" width="9.140625" style="52" customWidth="1"/>
    <col min="5" max="5" width="13.42578125" style="52" customWidth="1"/>
    <col min="6" max="6" width="10.28515625" style="52" customWidth="1"/>
    <col min="7" max="7" width="6.85546875" style="52" bestFit="1" customWidth="1"/>
    <col min="8" max="8" width="9.140625" style="52" bestFit="1" customWidth="1"/>
    <col min="9" max="9" width="13.42578125" style="2" bestFit="1" customWidth="1"/>
    <col min="10" max="10" width="10.28515625" style="2" bestFit="1" customWidth="1"/>
    <col min="11" max="11" width="6.85546875" style="2" customWidth="1"/>
    <col min="12" max="12" width="9.140625" style="52" customWidth="1"/>
    <col min="13" max="13" width="13.42578125" style="52" customWidth="1"/>
    <col min="14" max="14" width="10.28515625" style="52" customWidth="1"/>
    <col min="15" max="15" width="6.85546875" style="2" customWidth="1"/>
    <col min="16" max="16" width="9.140625" style="52" customWidth="1"/>
    <col min="17" max="17" width="13.42578125" style="52" customWidth="1"/>
    <col min="18" max="18" width="10.28515625" style="52" customWidth="1"/>
    <col min="19" max="19" width="6.85546875" style="2" customWidth="1"/>
    <col min="20" max="20" width="9.140625" style="52" customWidth="1"/>
    <col min="21" max="21" width="13.42578125" style="52" customWidth="1"/>
    <col min="22" max="22" width="10.28515625" style="52" customWidth="1"/>
    <col min="23" max="23" width="6.85546875" style="2" customWidth="1"/>
    <col min="24" max="24" width="9.140625" style="52" customWidth="1"/>
    <col min="25" max="25" width="13.42578125" style="52" customWidth="1"/>
    <col min="26" max="26" width="10.28515625" style="52" customWidth="1"/>
    <col min="27" max="27" width="6.85546875" style="2" bestFit="1" customWidth="1"/>
    <col min="28" max="28" width="9.140625" style="52" bestFit="1" customWidth="1"/>
    <col min="29" max="29" width="13.42578125" style="52" bestFit="1" customWidth="1"/>
    <col min="30" max="30" width="10.28515625" style="52" bestFit="1" customWidth="1"/>
    <col min="31" max="31" width="6.85546875" style="2" bestFit="1" customWidth="1"/>
    <col min="32" max="32" width="9.140625" style="52" bestFit="1" customWidth="1"/>
    <col min="33" max="33" width="13.42578125" style="52" bestFit="1" customWidth="1"/>
    <col min="34" max="34" width="10.28515625" style="52" bestFit="1" customWidth="1"/>
    <col min="35" max="35" width="6.85546875" style="2" bestFit="1" customWidth="1"/>
    <col min="36" max="36" width="9.140625" style="52" bestFit="1" customWidth="1"/>
    <col min="37" max="37" width="13.42578125" style="52" bestFit="1" customWidth="1"/>
    <col min="38" max="38" width="10.28515625" style="52" bestFit="1" customWidth="1"/>
    <col min="39" max="39" width="7.42578125" style="2" bestFit="1" customWidth="1"/>
    <col min="40" max="40" width="9.140625" style="2" bestFit="1" customWidth="1"/>
    <col min="41" max="41" width="13.42578125" style="2" bestFit="1" customWidth="1"/>
    <col min="42" max="42" width="10.28515625" style="2" bestFit="1" customWidth="1"/>
    <col min="43" max="43" width="10" style="343" bestFit="1" customWidth="1"/>
    <col min="44" max="44" width="7.42578125" style="344" bestFit="1" customWidth="1"/>
    <col min="45" max="45" width="11.140625" style="344" bestFit="1" customWidth="1"/>
    <col min="46" max="46" width="8.5703125" style="344" bestFit="1" customWidth="1"/>
    <col min="47" max="47" width="20.7109375" style="2" bestFit="1" customWidth="1"/>
    <col min="48" max="48" width="19.7109375" style="2" bestFit="1" customWidth="1"/>
    <col min="49" max="49" width="5.5703125" style="2" customWidth="1"/>
    <col min="50" max="50" width="22" style="4" bestFit="1" customWidth="1"/>
    <col min="51" max="56" width="7.42578125" style="4" customWidth="1"/>
    <col min="57" max="57" width="10" style="4" bestFit="1" customWidth="1"/>
    <col min="58" max="58" width="11" style="4" customWidth="1"/>
    <col min="59" max="59" width="9" style="4" customWidth="1"/>
    <col min="60" max="16384" width="9.140625" style="4"/>
  </cols>
  <sheetData>
    <row r="1" spans="2:59" ht="10.5" customHeight="1" thickBot="1"/>
    <row r="2" spans="2:59" ht="22.9" customHeight="1" thickBot="1">
      <c r="B2" s="1588" t="s">
        <v>266</v>
      </c>
      <c r="C2" s="1589"/>
      <c r="D2" s="1589"/>
      <c r="E2" s="1589"/>
      <c r="F2" s="1589"/>
      <c r="G2" s="1590"/>
      <c r="H2" s="1590"/>
      <c r="I2" s="1590"/>
      <c r="J2" s="1590"/>
      <c r="K2" s="1590"/>
      <c r="L2" s="1590"/>
      <c r="M2" s="1590"/>
      <c r="N2" s="1590"/>
      <c r="O2" s="1590"/>
      <c r="P2" s="1590"/>
      <c r="Q2" s="1590"/>
      <c r="R2" s="1590"/>
      <c r="S2" s="1590"/>
      <c r="T2" s="1590"/>
      <c r="U2" s="1590"/>
      <c r="V2" s="1590"/>
      <c r="W2" s="1590"/>
      <c r="X2" s="1590"/>
      <c r="Y2" s="1590"/>
      <c r="Z2" s="1590"/>
      <c r="AA2" s="1590"/>
      <c r="AB2" s="1590"/>
      <c r="AC2" s="1590"/>
      <c r="AD2" s="1590"/>
      <c r="AE2" s="1590"/>
      <c r="AF2" s="1590"/>
      <c r="AG2" s="1590"/>
      <c r="AH2" s="1590"/>
      <c r="AI2" s="1590"/>
      <c r="AJ2" s="1590"/>
      <c r="AK2" s="1590"/>
      <c r="AL2" s="1590"/>
      <c r="AM2" s="1590"/>
      <c r="AN2" s="1590"/>
      <c r="AO2" s="1590"/>
      <c r="AP2" s="1590"/>
      <c r="AQ2" s="1590"/>
      <c r="AR2" s="1590"/>
      <c r="AS2" s="679"/>
      <c r="AT2" s="679"/>
      <c r="AU2" s="679"/>
      <c r="AV2" s="680"/>
      <c r="AW2" s="5"/>
      <c r="AX2" s="1729" t="s">
        <v>359</v>
      </c>
      <c r="AY2" s="1730"/>
      <c r="AZ2" s="1730"/>
      <c r="BA2" s="1730"/>
      <c r="BB2" s="1730"/>
      <c r="BC2" s="1730"/>
      <c r="BD2" s="1730"/>
      <c r="BE2" s="1730"/>
      <c r="BF2" s="1730"/>
      <c r="BG2" s="1731"/>
    </row>
    <row r="3" spans="2:59" ht="18.75" customHeight="1" thickBot="1">
      <c r="B3" s="1603" t="s">
        <v>0</v>
      </c>
      <c r="C3" s="1743" t="s">
        <v>88</v>
      </c>
      <c r="D3" s="1744"/>
      <c r="E3" s="1744"/>
      <c r="F3" s="1745"/>
      <c r="G3" s="1591" t="s">
        <v>89</v>
      </c>
      <c r="H3" s="1592"/>
      <c r="I3" s="1592"/>
      <c r="J3" s="1593"/>
      <c r="K3" s="1743" t="s">
        <v>90</v>
      </c>
      <c r="L3" s="1744"/>
      <c r="M3" s="1744"/>
      <c r="N3" s="1745"/>
      <c r="O3" s="1743" t="s">
        <v>91</v>
      </c>
      <c r="P3" s="1744"/>
      <c r="Q3" s="1744"/>
      <c r="R3" s="1745"/>
      <c r="S3" s="1743"/>
      <c r="T3" s="1744"/>
      <c r="U3" s="1744"/>
      <c r="V3" s="1745"/>
      <c r="W3" s="1743"/>
      <c r="X3" s="1744"/>
      <c r="Y3" s="1744"/>
      <c r="Z3" s="1745"/>
      <c r="AA3" s="1591"/>
      <c r="AB3" s="1592"/>
      <c r="AC3" s="1592"/>
      <c r="AD3" s="1593"/>
      <c r="AE3" s="1591"/>
      <c r="AF3" s="1592"/>
      <c r="AG3" s="1592"/>
      <c r="AH3" s="1593"/>
      <c r="AI3" s="1591"/>
      <c r="AJ3" s="1592"/>
      <c r="AK3" s="1592"/>
      <c r="AL3" s="1593"/>
      <c r="AM3" s="1591"/>
      <c r="AN3" s="1592"/>
      <c r="AO3" s="1592"/>
      <c r="AP3" s="1593"/>
      <c r="AQ3" s="1594" t="s">
        <v>268</v>
      </c>
      <c r="AR3" s="1595"/>
      <c r="AS3" s="1595"/>
      <c r="AT3" s="1596"/>
      <c r="AU3" s="1607" t="s">
        <v>255</v>
      </c>
      <c r="AV3" s="1609" t="s">
        <v>256</v>
      </c>
      <c r="AW3" s="730"/>
      <c r="AX3" s="1734" t="s">
        <v>0</v>
      </c>
      <c r="AY3" s="1287" t="s">
        <v>88</v>
      </c>
      <c r="AZ3" s="1287" t="s">
        <v>89</v>
      </c>
      <c r="BA3" s="1287" t="s">
        <v>90</v>
      </c>
      <c r="BB3" s="1287" t="s">
        <v>91</v>
      </c>
      <c r="BC3" s="1466" t="s">
        <v>92</v>
      </c>
      <c r="BD3" s="1466" t="s">
        <v>56</v>
      </c>
      <c r="BE3" s="1736" t="s">
        <v>191</v>
      </c>
      <c r="BF3" s="1709" t="s">
        <v>207</v>
      </c>
      <c r="BG3" s="1739" t="s">
        <v>361</v>
      </c>
    </row>
    <row r="4" spans="2:59" ht="27" customHeight="1" thickBot="1">
      <c r="B4" s="1604"/>
      <c r="C4" s="941" t="s">
        <v>1</v>
      </c>
      <c r="D4" s="942" t="s">
        <v>2</v>
      </c>
      <c r="E4" s="942" t="s">
        <v>187</v>
      </c>
      <c r="F4" s="943" t="s">
        <v>247</v>
      </c>
      <c r="G4" s="291" t="s">
        <v>1</v>
      </c>
      <c r="H4" s="537" t="s">
        <v>2</v>
      </c>
      <c r="I4" s="292" t="s">
        <v>187</v>
      </c>
      <c r="J4" s="757" t="s">
        <v>247</v>
      </c>
      <c r="K4" s="941" t="s">
        <v>1</v>
      </c>
      <c r="L4" s="942" t="s">
        <v>2</v>
      </c>
      <c r="M4" s="942" t="s">
        <v>187</v>
      </c>
      <c r="N4" s="943" t="s">
        <v>247</v>
      </c>
      <c r="O4" s="941" t="s">
        <v>1</v>
      </c>
      <c r="P4" s="942" t="s">
        <v>2</v>
      </c>
      <c r="Q4" s="942" t="s">
        <v>187</v>
      </c>
      <c r="R4" s="943" t="s">
        <v>247</v>
      </c>
      <c r="S4" s="941" t="s">
        <v>1</v>
      </c>
      <c r="T4" s="942" t="s">
        <v>2</v>
      </c>
      <c r="U4" s="942" t="s">
        <v>187</v>
      </c>
      <c r="V4" s="943" t="s">
        <v>247</v>
      </c>
      <c r="W4" s="941" t="s">
        <v>1</v>
      </c>
      <c r="X4" s="942" t="s">
        <v>2</v>
      </c>
      <c r="Y4" s="942" t="s">
        <v>187</v>
      </c>
      <c r="Z4" s="943" t="s">
        <v>247</v>
      </c>
      <c r="AA4" s="291" t="s">
        <v>1</v>
      </c>
      <c r="AB4" s="537" t="s">
        <v>2</v>
      </c>
      <c r="AC4" s="292" t="s">
        <v>187</v>
      </c>
      <c r="AD4" s="757" t="s">
        <v>247</v>
      </c>
      <c r="AE4" s="291" t="s">
        <v>1</v>
      </c>
      <c r="AF4" s="537" t="s">
        <v>2</v>
      </c>
      <c r="AG4" s="537" t="s">
        <v>187</v>
      </c>
      <c r="AH4" s="757" t="s">
        <v>247</v>
      </c>
      <c r="AI4" s="291" t="s">
        <v>1</v>
      </c>
      <c r="AJ4" s="537" t="s">
        <v>2</v>
      </c>
      <c r="AK4" s="292" t="s">
        <v>187</v>
      </c>
      <c r="AL4" s="757" t="s">
        <v>247</v>
      </c>
      <c r="AM4" s="291" t="s">
        <v>1</v>
      </c>
      <c r="AN4" s="537" t="s">
        <v>2</v>
      </c>
      <c r="AO4" s="292" t="s">
        <v>187</v>
      </c>
      <c r="AP4" s="757" t="s">
        <v>247</v>
      </c>
      <c r="AQ4" s="345" t="s">
        <v>1</v>
      </c>
      <c r="AR4" s="346" t="s">
        <v>2</v>
      </c>
      <c r="AS4" s="346" t="s">
        <v>187</v>
      </c>
      <c r="AT4" s="346" t="s">
        <v>247</v>
      </c>
      <c r="AU4" s="1608"/>
      <c r="AV4" s="1610"/>
      <c r="AW4" s="730"/>
      <c r="AX4" s="1735"/>
      <c r="AY4" s="761" t="s">
        <v>52</v>
      </c>
      <c r="AZ4" s="761" t="s">
        <v>53</v>
      </c>
      <c r="BA4" s="761" t="s">
        <v>54</v>
      </c>
      <c r="BB4" s="761" t="s">
        <v>3</v>
      </c>
      <c r="BC4" s="1466" t="s">
        <v>360</v>
      </c>
      <c r="BD4" s="1466" t="s">
        <v>51</v>
      </c>
      <c r="BE4" s="1737"/>
      <c r="BF4" s="1738"/>
      <c r="BG4" s="1740"/>
    </row>
    <row r="5" spans="2:59" ht="20.100000000000001" customHeight="1">
      <c r="B5" s="289" t="s">
        <v>4</v>
      </c>
      <c r="C5" s="536"/>
      <c r="D5" s="535"/>
      <c r="E5" s="535"/>
      <c r="F5" s="658"/>
      <c r="G5" s="536"/>
      <c r="H5" s="535"/>
      <c r="I5" s="535"/>
      <c r="J5" s="658"/>
      <c r="K5" s="536"/>
      <c r="L5" s="535"/>
      <c r="M5" s="535"/>
      <c r="N5" s="658"/>
      <c r="O5" s="536"/>
      <c r="P5" s="535"/>
      <c r="Q5" s="535"/>
      <c r="R5" s="658"/>
      <c r="S5" s="536"/>
      <c r="T5" s="535"/>
      <c r="U5" s="535"/>
      <c r="V5" s="658"/>
      <c r="W5" s="821"/>
      <c r="X5" s="822"/>
      <c r="Y5" s="822"/>
      <c r="Z5" s="824"/>
      <c r="AA5" s="536"/>
      <c r="AB5" s="535"/>
      <c r="AC5" s="481"/>
      <c r="AD5" s="658"/>
      <c r="AE5" s="536"/>
      <c r="AF5" s="535"/>
      <c r="AG5" s="535"/>
      <c r="AH5" s="658"/>
      <c r="AI5" s="536"/>
      <c r="AJ5" s="535"/>
      <c r="AK5" s="481"/>
      <c r="AL5" s="658"/>
      <c r="AM5" s="536"/>
      <c r="AN5" s="535"/>
      <c r="AO5" s="481"/>
      <c r="AP5" s="658"/>
      <c r="AQ5" s="353">
        <f>C5+AA5+K5+O5+S5+G5+AE5+AI5+W5+AM5</f>
        <v>0</v>
      </c>
      <c r="AR5" s="353">
        <f>D5+AB5+L5+P5+T5+H5+AF5+AJ5+X5+AN5</f>
        <v>0</v>
      </c>
      <c r="AS5" s="353">
        <f>E5+AC5+M5+Q5+U5+I5+AG5+AK5+Y5+AO5</f>
        <v>0</v>
      </c>
      <c r="AT5" s="353">
        <f>F5+AD5+N5+R5+V5+J5+AH5+AL5+Z5+AP5</f>
        <v>0</v>
      </c>
      <c r="AU5" s="303">
        <f>AQ5-AS5</f>
        <v>0</v>
      </c>
      <c r="AV5" s="540">
        <f>AR5-AS5</f>
        <v>0</v>
      </c>
      <c r="AX5" s="672" t="s">
        <v>4</v>
      </c>
      <c r="AY5" s="762">
        <v>35</v>
      </c>
      <c r="AZ5" s="762">
        <v>30</v>
      </c>
      <c r="BA5" s="762">
        <v>45</v>
      </c>
      <c r="BB5" s="762">
        <v>50</v>
      </c>
      <c r="BC5" s="1467">
        <v>50</v>
      </c>
      <c r="BD5" s="1467">
        <v>40</v>
      </c>
      <c r="BE5" s="986">
        <f>SUM(AY5:BD5)</f>
        <v>250</v>
      </c>
      <c r="BF5" s="987">
        <f>BE5/BE$18</f>
        <v>0.18511662347278784</v>
      </c>
      <c r="BG5" s="1474"/>
    </row>
    <row r="6" spans="2:59" ht="20.100000000000001" customHeight="1">
      <c r="B6" s="287" t="s">
        <v>5</v>
      </c>
      <c r="C6" s="473"/>
      <c r="D6" s="474"/>
      <c r="E6" s="474"/>
      <c r="F6" s="533"/>
      <c r="G6" s="473"/>
      <c r="H6" s="474"/>
      <c r="I6" s="474"/>
      <c r="J6" s="533"/>
      <c r="K6" s="473"/>
      <c r="L6" s="474"/>
      <c r="M6" s="474"/>
      <c r="N6" s="533"/>
      <c r="O6" s="473"/>
      <c r="P6" s="474"/>
      <c r="Q6" s="474"/>
      <c r="R6" s="533"/>
      <c r="S6" s="473"/>
      <c r="T6" s="474"/>
      <c r="U6" s="474"/>
      <c r="V6" s="533"/>
      <c r="W6" s="827"/>
      <c r="X6" s="828"/>
      <c r="Y6" s="828"/>
      <c r="Z6" s="830"/>
      <c r="AA6" s="473"/>
      <c r="AB6" s="474"/>
      <c r="AC6" s="482"/>
      <c r="AD6" s="533"/>
      <c r="AE6" s="473"/>
      <c r="AF6" s="474"/>
      <c r="AG6" s="474"/>
      <c r="AH6" s="533"/>
      <c r="AI6" s="473"/>
      <c r="AJ6" s="474"/>
      <c r="AK6" s="482"/>
      <c r="AL6" s="533"/>
      <c r="AM6" s="473"/>
      <c r="AN6" s="474"/>
      <c r="AO6" s="482"/>
      <c r="AP6" s="533"/>
      <c r="AQ6" s="354">
        <f t="shared" ref="AQ6:AT18" si="0">C6+AA6+K6+O6+S6+G6+AE6+AI6+W6+AM6</f>
        <v>0</v>
      </c>
      <c r="AR6" s="354">
        <f t="shared" si="0"/>
        <v>0</v>
      </c>
      <c r="AS6" s="354">
        <f t="shared" si="0"/>
        <v>0</v>
      </c>
      <c r="AT6" s="354">
        <f t="shared" si="0"/>
        <v>0</v>
      </c>
      <c r="AU6" s="303">
        <f t="shared" ref="AU6:AU15" si="1">AQ6-AS6</f>
        <v>0</v>
      </c>
      <c r="AV6" s="540">
        <f t="shared" ref="AV6:AV15" si="2">AR6-AS6</f>
        <v>0</v>
      </c>
      <c r="AX6" s="666" t="s">
        <v>5</v>
      </c>
      <c r="AY6" s="763">
        <v>25</v>
      </c>
      <c r="AZ6" s="763">
        <v>20</v>
      </c>
      <c r="BA6" s="763">
        <v>30</v>
      </c>
      <c r="BB6" s="763">
        <v>30</v>
      </c>
      <c r="BC6" s="1468">
        <v>15</v>
      </c>
      <c r="BD6" s="1471"/>
      <c r="BE6" s="986">
        <f t="shared" ref="BE6:BE10" si="3">SUM(AY6:BD6)</f>
        <v>120</v>
      </c>
      <c r="BF6" s="988">
        <f t="shared" ref="BF6:BF16" si="4">BE6/BE$18</f>
        <v>8.8855979266938168E-2</v>
      </c>
      <c r="BG6" s="1474"/>
    </row>
    <row r="7" spans="2:59" ht="20.100000000000001" customHeight="1">
      <c r="B7" s="287" t="s">
        <v>6</v>
      </c>
      <c r="C7" s="473"/>
      <c r="D7" s="474"/>
      <c r="E7" s="474"/>
      <c r="F7" s="533"/>
      <c r="G7" s="473"/>
      <c r="H7" s="474"/>
      <c r="I7" s="474"/>
      <c r="J7" s="533"/>
      <c r="K7" s="473"/>
      <c r="L7" s="474"/>
      <c r="M7" s="474"/>
      <c r="N7" s="533"/>
      <c r="O7" s="473"/>
      <c r="P7" s="474"/>
      <c r="Q7" s="474"/>
      <c r="R7" s="533"/>
      <c r="S7" s="473"/>
      <c r="T7" s="474"/>
      <c r="U7" s="474"/>
      <c r="V7" s="533"/>
      <c r="W7" s="827"/>
      <c r="X7" s="828"/>
      <c r="Y7" s="828"/>
      <c r="Z7" s="830"/>
      <c r="AA7" s="473"/>
      <c r="AB7" s="474"/>
      <c r="AC7" s="482"/>
      <c r="AD7" s="533"/>
      <c r="AE7" s="473"/>
      <c r="AF7" s="474"/>
      <c r="AG7" s="474"/>
      <c r="AH7" s="533"/>
      <c r="AI7" s="473"/>
      <c r="AJ7" s="474"/>
      <c r="AK7" s="482"/>
      <c r="AL7" s="533"/>
      <c r="AM7" s="473"/>
      <c r="AN7" s="474"/>
      <c r="AO7" s="482"/>
      <c r="AP7" s="533"/>
      <c r="AQ7" s="354">
        <f t="shared" si="0"/>
        <v>0</v>
      </c>
      <c r="AR7" s="354">
        <f t="shared" si="0"/>
        <v>0</v>
      </c>
      <c r="AS7" s="354">
        <f t="shared" si="0"/>
        <v>0</v>
      </c>
      <c r="AT7" s="354">
        <f t="shared" si="0"/>
        <v>0</v>
      </c>
      <c r="AU7" s="303">
        <f t="shared" si="1"/>
        <v>0</v>
      </c>
      <c r="AV7" s="540">
        <f t="shared" si="2"/>
        <v>0</v>
      </c>
      <c r="AX7" s="666" t="s">
        <v>6</v>
      </c>
      <c r="AY7" s="763">
        <v>8</v>
      </c>
      <c r="AZ7" s="763">
        <v>7</v>
      </c>
      <c r="BA7" s="763">
        <v>8</v>
      </c>
      <c r="BB7" s="763">
        <v>7</v>
      </c>
      <c r="BC7" s="1468">
        <v>7</v>
      </c>
      <c r="BD7" s="1471">
        <v>8</v>
      </c>
      <c r="BE7" s="986">
        <f t="shared" si="3"/>
        <v>45</v>
      </c>
      <c r="BF7" s="988">
        <f t="shared" si="4"/>
        <v>3.3320992225101813E-2</v>
      </c>
      <c r="BG7" s="1474">
        <v>10</v>
      </c>
    </row>
    <row r="8" spans="2:59" ht="20.100000000000001" customHeight="1">
      <c r="B8" s="287" t="s">
        <v>7</v>
      </c>
      <c r="C8" s="473"/>
      <c r="D8" s="474"/>
      <c r="E8" s="474"/>
      <c r="F8" s="533"/>
      <c r="G8" s="473"/>
      <c r="H8" s="474"/>
      <c r="I8" s="474"/>
      <c r="J8" s="533"/>
      <c r="K8" s="473"/>
      <c r="L8" s="474"/>
      <c r="M8" s="474"/>
      <c r="N8" s="533"/>
      <c r="O8" s="473"/>
      <c r="P8" s="474"/>
      <c r="Q8" s="474"/>
      <c r="R8" s="533"/>
      <c r="S8" s="473"/>
      <c r="T8" s="474"/>
      <c r="U8" s="474"/>
      <c r="V8" s="533"/>
      <c r="W8" s="827"/>
      <c r="X8" s="828"/>
      <c r="Y8" s="828"/>
      <c r="Z8" s="830"/>
      <c r="AA8" s="473"/>
      <c r="AB8" s="474"/>
      <c r="AC8" s="482"/>
      <c r="AD8" s="533"/>
      <c r="AE8" s="473"/>
      <c r="AF8" s="474"/>
      <c r="AG8" s="474"/>
      <c r="AH8" s="533"/>
      <c r="AI8" s="473"/>
      <c r="AJ8" s="474"/>
      <c r="AK8" s="482"/>
      <c r="AL8" s="533"/>
      <c r="AM8" s="473"/>
      <c r="AN8" s="474"/>
      <c r="AO8" s="482"/>
      <c r="AP8" s="533"/>
      <c r="AQ8" s="354">
        <f t="shared" si="0"/>
        <v>0</v>
      </c>
      <c r="AR8" s="354">
        <f t="shared" si="0"/>
        <v>0</v>
      </c>
      <c r="AS8" s="354">
        <f t="shared" si="0"/>
        <v>0</v>
      </c>
      <c r="AT8" s="354">
        <f t="shared" si="0"/>
        <v>0</v>
      </c>
      <c r="AU8" s="303">
        <f t="shared" si="1"/>
        <v>0</v>
      </c>
      <c r="AV8" s="540">
        <f t="shared" si="2"/>
        <v>0</v>
      </c>
      <c r="AX8" s="666" t="s">
        <v>7</v>
      </c>
      <c r="AY8" s="763">
        <v>10</v>
      </c>
      <c r="AZ8" s="763">
        <v>10</v>
      </c>
      <c r="BA8" s="763">
        <v>10</v>
      </c>
      <c r="BB8" s="763">
        <v>10</v>
      </c>
      <c r="BC8" s="1468">
        <v>10</v>
      </c>
      <c r="BD8" s="1471"/>
      <c r="BE8" s="986">
        <f t="shared" si="3"/>
        <v>50</v>
      </c>
      <c r="BF8" s="988">
        <f t="shared" si="4"/>
        <v>3.7023324694557574E-2</v>
      </c>
      <c r="BG8" s="1474">
        <v>40</v>
      </c>
    </row>
    <row r="9" spans="2:59" ht="20.100000000000001" customHeight="1">
      <c r="B9" s="287" t="s">
        <v>8</v>
      </c>
      <c r="C9" s="473"/>
      <c r="D9" s="474"/>
      <c r="E9" s="474"/>
      <c r="F9" s="533"/>
      <c r="G9" s="473"/>
      <c r="H9" s="474"/>
      <c r="I9" s="474"/>
      <c r="J9" s="533"/>
      <c r="K9" s="473"/>
      <c r="L9" s="474"/>
      <c r="M9" s="474"/>
      <c r="N9" s="533"/>
      <c r="O9" s="473"/>
      <c r="P9" s="474"/>
      <c r="Q9" s="474"/>
      <c r="R9" s="533"/>
      <c r="S9" s="473"/>
      <c r="T9" s="474"/>
      <c r="U9" s="474"/>
      <c r="V9" s="533"/>
      <c r="W9" s="827"/>
      <c r="X9" s="828"/>
      <c r="Y9" s="828"/>
      <c r="Z9" s="830"/>
      <c r="AA9" s="473"/>
      <c r="AB9" s="474"/>
      <c r="AC9" s="482"/>
      <c r="AD9" s="533"/>
      <c r="AE9" s="473"/>
      <c r="AF9" s="474"/>
      <c r="AG9" s="474"/>
      <c r="AH9" s="533"/>
      <c r="AI9" s="473"/>
      <c r="AJ9" s="474"/>
      <c r="AK9" s="482"/>
      <c r="AL9" s="533"/>
      <c r="AM9" s="473"/>
      <c r="AN9" s="474"/>
      <c r="AO9" s="482"/>
      <c r="AP9" s="533"/>
      <c r="AQ9" s="354">
        <f t="shared" si="0"/>
        <v>0</v>
      </c>
      <c r="AR9" s="354">
        <f t="shared" si="0"/>
        <v>0</v>
      </c>
      <c r="AS9" s="354">
        <f t="shared" si="0"/>
        <v>0</v>
      </c>
      <c r="AT9" s="354">
        <f t="shared" si="0"/>
        <v>0</v>
      </c>
      <c r="AU9" s="303">
        <f t="shared" si="1"/>
        <v>0</v>
      </c>
      <c r="AV9" s="540">
        <f t="shared" si="2"/>
        <v>0</v>
      </c>
      <c r="AX9" s="666" t="s">
        <v>8</v>
      </c>
      <c r="AY9" s="763">
        <v>3</v>
      </c>
      <c r="AZ9" s="763">
        <v>4</v>
      </c>
      <c r="BA9" s="763">
        <v>4</v>
      </c>
      <c r="BB9" s="763">
        <v>5</v>
      </c>
      <c r="BC9" s="1468">
        <v>4</v>
      </c>
      <c r="BD9" s="1471"/>
      <c r="BE9" s="986">
        <f t="shared" si="3"/>
        <v>20</v>
      </c>
      <c r="BF9" s="988">
        <f>BE9/BE$18</f>
        <v>1.4809329877823029E-2</v>
      </c>
      <c r="BG9" s="1474"/>
    </row>
    <row r="10" spans="2:59" ht="20.100000000000001" customHeight="1" thickBot="1">
      <c r="B10" s="288" t="s">
        <v>9</v>
      </c>
      <c r="C10" s="475"/>
      <c r="D10" s="484"/>
      <c r="E10" s="484"/>
      <c r="F10" s="534"/>
      <c r="G10" s="475"/>
      <c r="H10" s="484"/>
      <c r="I10" s="484"/>
      <c r="J10" s="534"/>
      <c r="K10" s="475"/>
      <c r="L10" s="484"/>
      <c r="M10" s="484"/>
      <c r="N10" s="534"/>
      <c r="O10" s="475"/>
      <c r="P10" s="484"/>
      <c r="Q10" s="484"/>
      <c r="R10" s="534"/>
      <c r="S10" s="475"/>
      <c r="T10" s="484"/>
      <c r="U10" s="484"/>
      <c r="V10" s="534"/>
      <c r="W10" s="831"/>
      <c r="X10" s="832"/>
      <c r="Y10" s="832"/>
      <c r="Z10" s="834"/>
      <c r="AA10" s="475"/>
      <c r="AB10" s="484"/>
      <c r="AC10" s="483"/>
      <c r="AD10" s="534"/>
      <c r="AE10" s="475"/>
      <c r="AF10" s="484"/>
      <c r="AG10" s="484"/>
      <c r="AH10" s="534"/>
      <c r="AI10" s="475"/>
      <c r="AJ10" s="484"/>
      <c r="AK10" s="483"/>
      <c r="AL10" s="534"/>
      <c r="AM10" s="475"/>
      <c r="AN10" s="484"/>
      <c r="AO10" s="483"/>
      <c r="AP10" s="534"/>
      <c r="AQ10" s="355">
        <f t="shared" si="0"/>
        <v>0</v>
      </c>
      <c r="AR10" s="355">
        <f t="shared" si="0"/>
        <v>0</v>
      </c>
      <c r="AS10" s="355">
        <f t="shared" si="0"/>
        <v>0</v>
      </c>
      <c r="AT10" s="355">
        <f t="shared" si="0"/>
        <v>0</v>
      </c>
      <c r="AU10" s="303">
        <f t="shared" si="1"/>
        <v>0</v>
      </c>
      <c r="AV10" s="540">
        <f t="shared" si="2"/>
        <v>0</v>
      </c>
      <c r="AX10" s="1320" t="s">
        <v>9</v>
      </c>
      <c r="AY10" s="1321">
        <v>20</v>
      </c>
      <c r="AZ10" s="1321">
        <v>50</v>
      </c>
      <c r="BA10" s="1321">
        <v>40</v>
      </c>
      <c r="BB10" s="1321">
        <v>50</v>
      </c>
      <c r="BC10" s="1469">
        <v>40</v>
      </c>
      <c r="BD10" s="1473"/>
      <c r="BE10" s="986">
        <f t="shared" si="3"/>
        <v>200</v>
      </c>
      <c r="BF10" s="1328">
        <f t="shared" si="4"/>
        <v>0.1480932987782303</v>
      </c>
      <c r="BG10" s="1475"/>
    </row>
    <row r="11" spans="2:59" ht="20.100000000000001" customHeight="1" thickBot="1">
      <c r="B11" s="105" t="s">
        <v>10</v>
      </c>
      <c r="C11" s="531"/>
      <c r="D11" s="531"/>
      <c r="E11" s="531"/>
      <c r="F11" s="531"/>
      <c r="G11" s="531"/>
      <c r="H11" s="531"/>
      <c r="I11" s="531"/>
      <c r="J11" s="531"/>
      <c r="K11" s="531"/>
      <c r="L11" s="531"/>
      <c r="M11" s="531"/>
      <c r="N11" s="531"/>
      <c r="O11" s="531"/>
      <c r="P11" s="531"/>
      <c r="Q11" s="531"/>
      <c r="R11" s="531"/>
      <c r="S11" s="531"/>
      <c r="T11" s="531"/>
      <c r="U11" s="531"/>
      <c r="V11" s="531"/>
      <c r="W11" s="882"/>
      <c r="X11" s="883"/>
      <c r="Y11" s="883"/>
      <c r="Z11" s="884"/>
      <c r="AA11" s="531"/>
      <c r="AB11" s="478"/>
      <c r="AC11" s="485"/>
      <c r="AD11" s="485"/>
      <c r="AE11" s="531"/>
      <c r="AF11" s="478"/>
      <c r="AG11" s="478"/>
      <c r="AH11" s="478"/>
      <c r="AI11" s="531"/>
      <c r="AJ11" s="478"/>
      <c r="AK11" s="485"/>
      <c r="AL11" s="485"/>
      <c r="AM11" s="531"/>
      <c r="AN11" s="478"/>
      <c r="AO11" s="485"/>
      <c r="AP11" s="485"/>
      <c r="AQ11" s="357">
        <f t="shared" si="0"/>
        <v>0</v>
      </c>
      <c r="AR11" s="357">
        <f t="shared" si="0"/>
        <v>0</v>
      </c>
      <c r="AS11" s="357">
        <f t="shared" si="0"/>
        <v>0</v>
      </c>
      <c r="AT11" s="357">
        <f t="shared" si="0"/>
        <v>0</v>
      </c>
      <c r="AU11" s="106">
        <f t="shared" ref="AU11:AV11" si="5">SUM(AU5:AU10)</f>
        <v>0</v>
      </c>
      <c r="AV11" s="541">
        <f t="shared" si="5"/>
        <v>0</v>
      </c>
      <c r="AX11" s="1324" t="s">
        <v>10</v>
      </c>
      <c r="AY11" s="1325">
        <f t="shared" ref="AY11:BD11" si="6">SUM(AY5:AY10)</f>
        <v>101</v>
      </c>
      <c r="AZ11" s="1325">
        <f t="shared" si="6"/>
        <v>121</v>
      </c>
      <c r="BA11" s="1325">
        <f t="shared" si="6"/>
        <v>137</v>
      </c>
      <c r="BB11" s="1325">
        <f t="shared" si="6"/>
        <v>152</v>
      </c>
      <c r="BC11" s="1325">
        <f t="shared" si="6"/>
        <v>126</v>
      </c>
      <c r="BD11" s="1325">
        <f t="shared" si="6"/>
        <v>48</v>
      </c>
      <c r="BE11" s="1470">
        <f>SUM(AY11:BD11)</f>
        <v>685</v>
      </c>
      <c r="BF11" s="1329">
        <f t="shared" si="4"/>
        <v>0.5072195483154387</v>
      </c>
      <c r="BG11" s="1476">
        <f>SUM(BG5:BG10)</f>
        <v>50</v>
      </c>
    </row>
    <row r="12" spans="2:59" ht="20.100000000000001" customHeight="1">
      <c r="B12" s="286" t="s">
        <v>11</v>
      </c>
      <c r="C12" s="475"/>
      <c r="D12" s="484"/>
      <c r="E12" s="484"/>
      <c r="F12" s="534"/>
      <c r="G12" s="475"/>
      <c r="H12" s="484"/>
      <c r="I12" s="484"/>
      <c r="J12" s="534"/>
      <c r="K12" s="475"/>
      <c r="L12" s="484"/>
      <c r="M12" s="484"/>
      <c r="N12" s="534"/>
      <c r="O12" s="475"/>
      <c r="P12" s="484"/>
      <c r="Q12" s="484"/>
      <c r="R12" s="534"/>
      <c r="S12" s="475"/>
      <c r="T12" s="484"/>
      <c r="U12" s="484"/>
      <c r="V12" s="534"/>
      <c r="W12" s="831"/>
      <c r="X12" s="832"/>
      <c r="Y12" s="832"/>
      <c r="Z12" s="834"/>
      <c r="AA12" s="475"/>
      <c r="AB12" s="484"/>
      <c r="AC12" s="483"/>
      <c r="AD12" s="534"/>
      <c r="AE12" s="475"/>
      <c r="AF12" s="484"/>
      <c r="AG12" s="484"/>
      <c r="AH12" s="534"/>
      <c r="AI12" s="475"/>
      <c r="AJ12" s="484"/>
      <c r="AK12" s="483"/>
      <c r="AL12" s="534"/>
      <c r="AM12" s="475"/>
      <c r="AN12" s="484"/>
      <c r="AO12" s="483"/>
      <c r="AP12" s="534"/>
      <c r="AQ12" s="356">
        <f t="shared" si="0"/>
        <v>0</v>
      </c>
      <c r="AR12" s="356">
        <f t="shared" si="0"/>
        <v>0</v>
      </c>
      <c r="AS12" s="356">
        <f t="shared" si="0"/>
        <v>0</v>
      </c>
      <c r="AT12" s="356">
        <f t="shared" si="0"/>
        <v>0</v>
      </c>
      <c r="AU12" s="303">
        <f t="shared" si="1"/>
        <v>0</v>
      </c>
      <c r="AV12" s="540">
        <f t="shared" si="2"/>
        <v>0</v>
      </c>
      <c r="AX12" s="1322" t="s">
        <v>11</v>
      </c>
      <c r="AY12" s="1323">
        <f>14+15+18</f>
        <v>47</v>
      </c>
      <c r="AZ12" s="1323">
        <f>28+38+12</f>
        <v>78</v>
      </c>
      <c r="BA12" s="1323">
        <f>53+23+45</f>
        <v>121</v>
      </c>
      <c r="BB12" s="1323">
        <f>12+23+30+23</f>
        <v>88</v>
      </c>
      <c r="BC12" s="1471">
        <f>21+15+13+20+15</f>
        <v>84</v>
      </c>
      <c r="BD12" s="1471"/>
      <c r="BE12" s="1326">
        <f>SUM(AY12:BC12)</f>
        <v>418</v>
      </c>
      <c r="BF12" s="1330">
        <f t="shared" si="4"/>
        <v>0.30951499444650127</v>
      </c>
      <c r="BG12" s="1477">
        <v>6</v>
      </c>
    </row>
    <row r="13" spans="2:59" ht="20.100000000000001" customHeight="1">
      <c r="B13" s="287" t="s">
        <v>12</v>
      </c>
      <c r="C13" s="475"/>
      <c r="D13" s="484"/>
      <c r="E13" s="484"/>
      <c r="F13" s="534"/>
      <c r="G13" s="475"/>
      <c r="H13" s="484"/>
      <c r="I13" s="484"/>
      <c r="J13" s="534"/>
      <c r="K13" s="475"/>
      <c r="L13" s="484"/>
      <c r="M13" s="484"/>
      <c r="N13" s="534"/>
      <c r="O13" s="475"/>
      <c r="P13" s="484"/>
      <c r="Q13" s="484"/>
      <c r="R13" s="534"/>
      <c r="S13" s="475"/>
      <c r="T13" s="484"/>
      <c r="U13" s="484"/>
      <c r="V13" s="534"/>
      <c r="W13" s="831"/>
      <c r="X13" s="832"/>
      <c r="Y13" s="832"/>
      <c r="Z13" s="834"/>
      <c r="AA13" s="475"/>
      <c r="AB13" s="484"/>
      <c r="AC13" s="483"/>
      <c r="AD13" s="534"/>
      <c r="AE13" s="475"/>
      <c r="AF13" s="484"/>
      <c r="AG13" s="484"/>
      <c r="AH13" s="534"/>
      <c r="AI13" s="475"/>
      <c r="AJ13" s="484"/>
      <c r="AK13" s="483"/>
      <c r="AL13" s="534"/>
      <c r="AM13" s="475"/>
      <c r="AN13" s="484"/>
      <c r="AO13" s="483"/>
      <c r="AP13" s="534"/>
      <c r="AQ13" s="356">
        <f t="shared" si="0"/>
        <v>0</v>
      </c>
      <c r="AR13" s="356">
        <f t="shared" si="0"/>
        <v>0</v>
      </c>
      <c r="AS13" s="356">
        <f t="shared" si="0"/>
        <v>0</v>
      </c>
      <c r="AT13" s="356">
        <f t="shared" si="0"/>
        <v>0</v>
      </c>
      <c r="AU13" s="303">
        <f t="shared" si="1"/>
        <v>0</v>
      </c>
      <c r="AV13" s="540">
        <f t="shared" si="2"/>
        <v>0</v>
      </c>
      <c r="AX13" s="666" t="s">
        <v>12</v>
      </c>
      <c r="AY13" s="763">
        <v>10</v>
      </c>
      <c r="AZ13" s="763">
        <v>5</v>
      </c>
      <c r="BA13" s="763">
        <v>10</v>
      </c>
      <c r="BB13" s="763">
        <v>10</v>
      </c>
      <c r="BC13" s="1468">
        <v>5</v>
      </c>
      <c r="BD13" s="1471"/>
      <c r="BE13" s="1326">
        <f t="shared" ref="BE13:BE15" si="7">SUM(AY13:BC13)</f>
        <v>40</v>
      </c>
      <c r="BF13" s="988">
        <f t="shared" si="4"/>
        <v>2.9618659755646058E-2</v>
      </c>
      <c r="BG13" s="1474"/>
    </row>
    <row r="14" spans="2:59" ht="20.100000000000001" customHeight="1">
      <c r="B14" s="287" t="s">
        <v>13</v>
      </c>
      <c r="C14" s="475"/>
      <c r="D14" s="484"/>
      <c r="E14" s="484"/>
      <c r="F14" s="534"/>
      <c r="G14" s="475"/>
      <c r="H14" s="484"/>
      <c r="I14" s="484"/>
      <c r="J14" s="534"/>
      <c r="K14" s="475"/>
      <c r="L14" s="484"/>
      <c r="M14" s="484"/>
      <c r="N14" s="534"/>
      <c r="O14" s="475"/>
      <c r="P14" s="484"/>
      <c r="Q14" s="484"/>
      <c r="R14" s="534"/>
      <c r="S14" s="475"/>
      <c r="T14" s="484"/>
      <c r="U14" s="484"/>
      <c r="V14" s="534"/>
      <c r="W14" s="831"/>
      <c r="X14" s="832"/>
      <c r="Y14" s="832"/>
      <c r="Z14" s="834"/>
      <c r="AA14" s="475"/>
      <c r="AB14" s="484"/>
      <c r="AC14" s="483"/>
      <c r="AD14" s="534"/>
      <c r="AE14" s="475"/>
      <c r="AF14" s="484"/>
      <c r="AG14" s="484"/>
      <c r="AH14" s="534"/>
      <c r="AI14" s="475"/>
      <c r="AJ14" s="484"/>
      <c r="AK14" s="483"/>
      <c r="AL14" s="534"/>
      <c r="AM14" s="475"/>
      <c r="AN14" s="484"/>
      <c r="AO14" s="483"/>
      <c r="AP14" s="534"/>
      <c r="AQ14" s="356">
        <f t="shared" si="0"/>
        <v>0</v>
      </c>
      <c r="AR14" s="355">
        <f t="shared" si="0"/>
        <v>0</v>
      </c>
      <c r="AS14" s="355">
        <f t="shared" si="0"/>
        <v>0</v>
      </c>
      <c r="AT14" s="356">
        <f t="shared" si="0"/>
        <v>0</v>
      </c>
      <c r="AU14" s="303">
        <f t="shared" si="1"/>
        <v>0</v>
      </c>
      <c r="AV14" s="540">
        <f t="shared" si="2"/>
        <v>0</v>
      </c>
      <c r="AX14" s="666" t="s">
        <v>13</v>
      </c>
      <c r="AY14" s="763">
        <v>23</v>
      </c>
      <c r="AZ14" s="763">
        <v>15</v>
      </c>
      <c r="BA14" s="763">
        <v>20</v>
      </c>
      <c r="BB14" s="763">
        <v>20</v>
      </c>
      <c r="BC14" s="1468">
        <v>22</v>
      </c>
      <c r="BD14" s="1471"/>
      <c r="BE14" s="1326">
        <f t="shared" si="7"/>
        <v>100</v>
      </c>
      <c r="BF14" s="988">
        <f t="shared" si="4"/>
        <v>7.4046649389115149E-2</v>
      </c>
      <c r="BG14" s="1474"/>
    </row>
    <row r="15" spans="2:59" ht="20.100000000000001" customHeight="1" thickBot="1">
      <c r="B15" s="288" t="s">
        <v>14</v>
      </c>
      <c r="C15" s="475"/>
      <c r="D15" s="484"/>
      <c r="E15" s="484"/>
      <c r="F15" s="534"/>
      <c r="G15" s="475"/>
      <c r="H15" s="484"/>
      <c r="I15" s="484"/>
      <c r="J15" s="534"/>
      <c r="K15" s="475"/>
      <c r="L15" s="484"/>
      <c r="M15" s="484"/>
      <c r="N15" s="534"/>
      <c r="O15" s="475"/>
      <c r="P15" s="484"/>
      <c r="Q15" s="484"/>
      <c r="R15" s="534"/>
      <c r="S15" s="475"/>
      <c r="T15" s="484"/>
      <c r="U15" s="484"/>
      <c r="V15" s="534"/>
      <c r="W15" s="831"/>
      <c r="X15" s="832"/>
      <c r="Y15" s="832"/>
      <c r="Z15" s="834"/>
      <c r="AA15" s="475"/>
      <c r="AB15" s="484"/>
      <c r="AC15" s="483"/>
      <c r="AD15" s="534"/>
      <c r="AE15" s="475"/>
      <c r="AF15" s="484"/>
      <c r="AG15" s="484"/>
      <c r="AH15" s="534"/>
      <c r="AI15" s="475"/>
      <c r="AJ15" s="484"/>
      <c r="AK15" s="483"/>
      <c r="AL15" s="534"/>
      <c r="AM15" s="475"/>
      <c r="AN15" s="484"/>
      <c r="AO15" s="483"/>
      <c r="AP15" s="534"/>
      <c r="AQ15" s="356">
        <f t="shared" si="0"/>
        <v>0</v>
      </c>
      <c r="AR15" s="356">
        <f t="shared" si="0"/>
        <v>0</v>
      </c>
      <c r="AS15" s="356">
        <f t="shared" si="0"/>
        <v>0</v>
      </c>
      <c r="AT15" s="356">
        <f t="shared" si="0"/>
        <v>0</v>
      </c>
      <c r="AU15" s="303">
        <f t="shared" si="1"/>
        <v>0</v>
      </c>
      <c r="AV15" s="540">
        <f t="shared" si="2"/>
        <v>0</v>
      </c>
      <c r="AX15" s="668" t="s">
        <v>14</v>
      </c>
      <c r="AY15" s="764">
        <v>4.5</v>
      </c>
      <c r="AZ15" s="764">
        <v>4</v>
      </c>
      <c r="BA15" s="764">
        <v>10</v>
      </c>
      <c r="BB15" s="764">
        <f>9+3+26+8.5</f>
        <v>46.5</v>
      </c>
      <c r="BC15" s="1472">
        <f>8.5+0.5+8.5+25</f>
        <v>42.5</v>
      </c>
      <c r="BD15" s="1473"/>
      <c r="BE15" s="1326">
        <f t="shared" si="7"/>
        <v>107.5</v>
      </c>
      <c r="BF15" s="989">
        <f>BE15/BE$18</f>
        <v>7.9600148093298781E-2</v>
      </c>
      <c r="BG15" s="1478"/>
    </row>
    <row r="16" spans="2:59" ht="19.5" customHeight="1" thickBot="1">
      <c r="B16" s="14" t="s">
        <v>15</v>
      </c>
      <c r="C16" s="488"/>
      <c r="D16" s="488"/>
      <c r="E16" s="488"/>
      <c r="F16" s="488"/>
      <c r="G16" s="488"/>
      <c r="H16" s="488"/>
      <c r="I16" s="488"/>
      <c r="J16" s="488"/>
      <c r="K16" s="488"/>
      <c r="L16" s="488"/>
      <c r="M16" s="488"/>
      <c r="N16" s="488"/>
      <c r="O16" s="488"/>
      <c r="P16" s="488"/>
      <c r="Q16" s="488"/>
      <c r="R16" s="488"/>
      <c r="S16" s="488"/>
      <c r="T16" s="488"/>
      <c r="U16" s="488"/>
      <c r="V16" s="488"/>
      <c r="W16" s="885"/>
      <c r="X16" s="886"/>
      <c r="Y16" s="886"/>
      <c r="Z16" s="887"/>
      <c r="AA16" s="488"/>
      <c r="AB16" s="16"/>
      <c r="AC16" s="300"/>
      <c r="AD16" s="300"/>
      <c r="AE16" s="488"/>
      <c r="AF16" s="16"/>
      <c r="AG16" s="16"/>
      <c r="AH16" s="16"/>
      <c r="AI16" s="488"/>
      <c r="AJ16" s="16"/>
      <c r="AK16" s="300"/>
      <c r="AL16" s="300"/>
      <c r="AM16" s="488"/>
      <c r="AN16" s="16"/>
      <c r="AO16" s="300"/>
      <c r="AP16" s="300"/>
      <c r="AQ16" s="347">
        <f t="shared" si="0"/>
        <v>0</v>
      </c>
      <c r="AR16" s="347">
        <f t="shared" si="0"/>
        <v>0</v>
      </c>
      <c r="AS16" s="347">
        <f t="shared" si="0"/>
        <v>0</v>
      </c>
      <c r="AT16" s="347">
        <f t="shared" si="0"/>
        <v>0</v>
      </c>
      <c r="AU16" s="305">
        <f t="shared" ref="AU16:AV16" si="8">SUM(AU12:AU15)</f>
        <v>0</v>
      </c>
      <c r="AV16" s="542">
        <f t="shared" si="8"/>
        <v>0</v>
      </c>
      <c r="AX16" s="674" t="s">
        <v>15</v>
      </c>
      <c r="AY16" s="675">
        <f t="shared" ref="AY16:BD16" si="9">SUM(AY12:AY15)</f>
        <v>84.5</v>
      </c>
      <c r="AZ16" s="675">
        <f t="shared" si="9"/>
        <v>102</v>
      </c>
      <c r="BA16" s="675">
        <f t="shared" si="9"/>
        <v>161</v>
      </c>
      <c r="BB16" s="675">
        <f t="shared" si="9"/>
        <v>164.5</v>
      </c>
      <c r="BC16" s="675">
        <f t="shared" si="9"/>
        <v>153.5</v>
      </c>
      <c r="BD16" s="675">
        <f t="shared" si="9"/>
        <v>0</v>
      </c>
      <c r="BE16" s="994">
        <f>SUM(AY16:BD16)</f>
        <v>665.5</v>
      </c>
      <c r="BF16" s="1331">
        <f t="shared" si="4"/>
        <v>0.49278045168456125</v>
      </c>
      <c r="BG16" s="1327">
        <f>SUM(BG12:BG15)</f>
        <v>6</v>
      </c>
    </row>
    <row r="17" spans="1:59" ht="15.75" hidden="1" customHeight="1">
      <c r="B17" s="19" t="s">
        <v>16</v>
      </c>
      <c r="C17" s="888"/>
      <c r="D17" s="889"/>
      <c r="E17" s="889"/>
      <c r="F17" s="890"/>
      <c r="G17" s="290"/>
      <c r="H17" s="60"/>
      <c r="I17" s="332"/>
      <c r="J17" s="332"/>
      <c r="K17" s="290"/>
      <c r="L17" s="60"/>
      <c r="M17" s="60"/>
      <c r="N17" s="332"/>
      <c r="O17" s="290"/>
      <c r="P17" s="60"/>
      <c r="Q17" s="60"/>
      <c r="R17" s="332"/>
      <c r="S17" s="290"/>
      <c r="T17" s="60"/>
      <c r="U17" s="60"/>
      <c r="V17" s="332"/>
      <c r="W17" s="290"/>
      <c r="X17" s="60"/>
      <c r="Y17" s="60"/>
      <c r="Z17" s="332"/>
      <c r="AA17" s="290"/>
      <c r="AB17" s="60"/>
      <c r="AC17" s="332"/>
      <c r="AD17" s="332"/>
      <c r="AE17" s="290"/>
      <c r="AF17" s="60"/>
      <c r="AG17" s="60"/>
      <c r="AH17" s="332"/>
      <c r="AI17" s="290"/>
      <c r="AJ17" s="60"/>
      <c r="AK17" s="332"/>
      <c r="AL17" s="332"/>
      <c r="AM17" s="290"/>
      <c r="AN17" s="60"/>
      <c r="AO17" s="332"/>
      <c r="AP17" s="332"/>
      <c r="AQ17" s="348"/>
      <c r="AR17" s="349"/>
      <c r="AS17" s="349"/>
      <c r="AT17" s="350">
        <f t="shared" si="0"/>
        <v>0</v>
      </c>
      <c r="AU17" s="304"/>
      <c r="AV17" s="540"/>
      <c r="AX17" s="674"/>
      <c r="AY17" s="675"/>
      <c r="AZ17" s="675"/>
      <c r="BA17" s="675"/>
      <c r="BB17" s="675"/>
      <c r="BC17" s="994"/>
      <c r="BD17" s="994"/>
      <c r="BE17" s="676"/>
      <c r="BF17" s="676"/>
      <c r="BG17" s="676"/>
    </row>
    <row r="18" spans="1:59" ht="20.100000000000001" customHeight="1" thickBot="1">
      <c r="B18" s="20" t="s">
        <v>17</v>
      </c>
      <c r="C18" s="891">
        <f t="shared" ref="C18:F18" si="10">C11+C16+C17</f>
        <v>0</v>
      </c>
      <c r="D18" s="892">
        <f t="shared" si="10"/>
        <v>0</v>
      </c>
      <c r="E18" s="892">
        <f t="shared" si="10"/>
        <v>0</v>
      </c>
      <c r="F18" s="893">
        <f t="shared" si="10"/>
        <v>0</v>
      </c>
      <c r="G18" s="532">
        <f t="shared" ref="G18:J18" si="11">G11+G16+G17</f>
        <v>0</v>
      </c>
      <c r="H18" s="491">
        <f t="shared" si="11"/>
        <v>0</v>
      </c>
      <c r="I18" s="302">
        <f t="shared" si="11"/>
        <v>0</v>
      </c>
      <c r="J18" s="302">
        <f t="shared" si="11"/>
        <v>0</v>
      </c>
      <c r="K18" s="532">
        <f t="shared" ref="K18:Z18" si="12">K11+K16+K17</f>
        <v>0</v>
      </c>
      <c r="L18" s="491">
        <f t="shared" si="12"/>
        <v>0</v>
      </c>
      <c r="M18" s="491">
        <f t="shared" si="12"/>
        <v>0</v>
      </c>
      <c r="N18" s="302">
        <f t="shared" si="12"/>
        <v>0</v>
      </c>
      <c r="O18" s="532">
        <f t="shared" si="12"/>
        <v>0</v>
      </c>
      <c r="P18" s="491">
        <f t="shared" si="12"/>
        <v>0</v>
      </c>
      <c r="Q18" s="491">
        <f t="shared" si="12"/>
        <v>0</v>
      </c>
      <c r="R18" s="302">
        <f t="shared" si="12"/>
        <v>0</v>
      </c>
      <c r="S18" s="532">
        <f t="shared" si="12"/>
        <v>0</v>
      </c>
      <c r="T18" s="491">
        <f t="shared" si="12"/>
        <v>0</v>
      </c>
      <c r="U18" s="491">
        <f t="shared" si="12"/>
        <v>0</v>
      </c>
      <c r="V18" s="302">
        <f t="shared" si="12"/>
        <v>0</v>
      </c>
      <c r="W18" s="532">
        <f t="shared" si="12"/>
        <v>0</v>
      </c>
      <c r="X18" s="491">
        <f t="shared" si="12"/>
        <v>0</v>
      </c>
      <c r="Y18" s="491">
        <f t="shared" si="12"/>
        <v>0</v>
      </c>
      <c r="Z18" s="302">
        <f t="shared" si="12"/>
        <v>0</v>
      </c>
      <c r="AA18" s="532">
        <f>AA11+AA16</f>
        <v>0</v>
      </c>
      <c r="AB18" s="491">
        <f t="shared" ref="AB18:AD18" si="13">AB11+AB16</f>
        <v>0</v>
      </c>
      <c r="AC18" s="302">
        <f t="shared" si="13"/>
        <v>0</v>
      </c>
      <c r="AD18" s="302">
        <f t="shared" si="13"/>
        <v>0</v>
      </c>
      <c r="AE18" s="532">
        <f t="shared" ref="AE18:AS18" si="14">AE11+AE16+AE17</f>
        <v>0</v>
      </c>
      <c r="AF18" s="491">
        <f t="shared" si="14"/>
        <v>0</v>
      </c>
      <c r="AG18" s="491">
        <f t="shared" si="14"/>
        <v>0</v>
      </c>
      <c r="AH18" s="491">
        <f t="shared" si="14"/>
        <v>0</v>
      </c>
      <c r="AI18" s="532">
        <f t="shared" si="14"/>
        <v>0</v>
      </c>
      <c r="AJ18" s="491">
        <f t="shared" si="14"/>
        <v>0</v>
      </c>
      <c r="AK18" s="302">
        <f t="shared" si="14"/>
        <v>0</v>
      </c>
      <c r="AL18" s="302">
        <f t="shared" si="14"/>
        <v>0</v>
      </c>
      <c r="AM18" s="532">
        <f t="shared" si="14"/>
        <v>0</v>
      </c>
      <c r="AN18" s="491">
        <f t="shared" si="14"/>
        <v>0</v>
      </c>
      <c r="AO18" s="302">
        <f t="shared" si="14"/>
        <v>0</v>
      </c>
      <c r="AP18" s="302">
        <f t="shared" si="14"/>
        <v>0</v>
      </c>
      <c r="AQ18" s="351">
        <f t="shared" si="14"/>
        <v>0</v>
      </c>
      <c r="AR18" s="351">
        <f t="shared" si="14"/>
        <v>0</v>
      </c>
      <c r="AS18" s="351">
        <f t="shared" si="14"/>
        <v>0</v>
      </c>
      <c r="AT18" s="352">
        <f t="shared" si="0"/>
        <v>0</v>
      </c>
      <c r="AU18" s="315">
        <f>AU11+AU16</f>
        <v>0</v>
      </c>
      <c r="AV18" s="543">
        <f>AV11+AV16</f>
        <v>0</v>
      </c>
      <c r="AX18" s="767" t="s">
        <v>17</v>
      </c>
      <c r="AY18" s="768">
        <f t="shared" ref="AY18:BD18" si="15">AY11+AY16</f>
        <v>185.5</v>
      </c>
      <c r="AZ18" s="768">
        <f t="shared" si="15"/>
        <v>223</v>
      </c>
      <c r="BA18" s="768">
        <f t="shared" si="15"/>
        <v>298</v>
      </c>
      <c r="BB18" s="768">
        <f t="shared" si="15"/>
        <v>316.5</v>
      </c>
      <c r="BC18" s="768">
        <f t="shared" si="15"/>
        <v>279.5</v>
      </c>
      <c r="BD18" s="768">
        <f t="shared" si="15"/>
        <v>48</v>
      </c>
      <c r="BE18" s="1333">
        <f>SUM(AY18:BD18)</f>
        <v>1350.5</v>
      </c>
      <c r="BF18" s="1332"/>
      <c r="BG18" s="1333">
        <f>BG11+BG16</f>
        <v>56</v>
      </c>
    </row>
    <row r="19" spans="1:59" s="625" customFormat="1" ht="24.75" customHeight="1" thickBot="1">
      <c r="A19" s="2"/>
      <c r="B19" s="677"/>
      <c r="C19" s="678"/>
      <c r="D19" s="678"/>
      <c r="E19" s="678"/>
      <c r="F19" s="678"/>
      <c r="G19" s="749"/>
      <c r="H19" s="749"/>
      <c r="I19" s="749"/>
      <c r="J19" s="749"/>
      <c r="K19" s="678"/>
      <c r="L19" s="678"/>
      <c r="M19" s="678"/>
      <c r="N19" s="678"/>
      <c r="O19" s="678"/>
      <c r="P19" s="678"/>
      <c r="Q19" s="678"/>
      <c r="R19" s="678"/>
      <c r="S19" s="749"/>
      <c r="T19" s="749"/>
      <c r="U19" s="749"/>
      <c r="V19" s="749"/>
      <c r="W19" s="749"/>
      <c r="X19" s="749"/>
      <c r="Y19" s="749"/>
      <c r="Z19" s="749"/>
      <c r="AA19" s="678"/>
      <c r="AB19" s="678"/>
      <c r="AC19" s="678"/>
      <c r="AD19" s="678"/>
      <c r="AE19" s="750"/>
      <c r="AF19" s="751"/>
      <c r="AG19" s="751"/>
      <c r="AH19" s="751"/>
      <c r="AI19" s="750"/>
      <c r="AJ19" s="751"/>
      <c r="AK19" s="751"/>
      <c r="AL19" s="751"/>
      <c r="AM19" s="750"/>
      <c r="AN19" s="624"/>
      <c r="AO19" s="624"/>
      <c r="AP19" s="624"/>
      <c r="AQ19" s="752"/>
      <c r="AR19" s="753"/>
      <c r="AS19" s="753"/>
      <c r="AT19" s="753"/>
      <c r="AU19" s="624"/>
      <c r="AV19" s="624"/>
      <c r="AW19" s="624"/>
      <c r="AX19" s="1741" t="s">
        <v>254</v>
      </c>
      <c r="AY19" s="1742"/>
      <c r="AZ19" s="1742"/>
      <c r="BA19" s="1742"/>
      <c r="BB19" s="1742"/>
      <c r="BC19" s="1742"/>
      <c r="BD19" s="1742"/>
      <c r="BE19" s="1732">
        <f>BE18+BG18</f>
        <v>1406.5</v>
      </c>
      <c r="BF19" s="1732"/>
      <c r="BG19" s="1733"/>
    </row>
    <row r="20" spans="1:59" s="625" customFormat="1" ht="20.100000000000001" customHeight="1">
      <c r="A20" s="2"/>
      <c r="B20" s="677"/>
      <c r="C20" s="678"/>
      <c r="D20" s="678"/>
      <c r="E20" s="678"/>
      <c r="F20" s="678"/>
      <c r="G20" s="749"/>
      <c r="H20" s="749"/>
      <c r="I20" s="749"/>
      <c r="J20" s="749"/>
      <c r="K20" s="678"/>
      <c r="L20" s="678"/>
      <c r="M20" s="678"/>
      <c r="N20" s="678"/>
      <c r="O20" s="678"/>
      <c r="P20" s="678"/>
      <c r="Q20" s="678"/>
      <c r="R20" s="678"/>
      <c r="S20" s="749"/>
      <c r="T20" s="749"/>
      <c r="U20" s="749"/>
      <c r="V20" s="749"/>
      <c r="W20" s="749"/>
      <c r="X20" s="749"/>
      <c r="Y20" s="749"/>
      <c r="Z20" s="749"/>
      <c r="AA20" s="678"/>
      <c r="AB20" s="678"/>
      <c r="AC20" s="678"/>
      <c r="AD20" s="678"/>
      <c r="AE20" s="624"/>
      <c r="AF20" s="751"/>
      <c r="AG20" s="751"/>
      <c r="AH20" s="751"/>
      <c r="AI20" s="624"/>
      <c r="AJ20" s="751"/>
      <c r="AK20" s="751"/>
      <c r="AL20" s="751"/>
      <c r="AM20" s="624"/>
      <c r="AN20" s="624"/>
      <c r="AO20" s="624"/>
      <c r="AP20" s="624"/>
      <c r="AQ20" s="752"/>
      <c r="AR20" s="753"/>
      <c r="AS20" s="753"/>
      <c r="AT20" s="753"/>
      <c r="AU20" s="624"/>
      <c r="AV20" s="624"/>
      <c r="AW20" s="624"/>
      <c r="BB20" s="4"/>
      <c r="BC20" s="4"/>
      <c r="BD20" s="4"/>
    </row>
    <row r="21" spans="1:59">
      <c r="B21" s="624"/>
      <c r="C21" s="624"/>
      <c r="D21" s="751"/>
      <c r="E21" s="751"/>
      <c r="F21" s="751"/>
      <c r="G21" s="751"/>
      <c r="H21" s="751"/>
      <c r="I21" s="624"/>
      <c r="J21" s="624"/>
      <c r="K21" s="624"/>
      <c r="L21" s="751"/>
      <c r="M21" s="751"/>
      <c r="N21" s="751"/>
      <c r="O21" s="624"/>
      <c r="P21" s="751"/>
      <c r="Q21" s="751"/>
      <c r="R21" s="751"/>
      <c r="S21" s="624"/>
      <c r="T21" s="751"/>
      <c r="U21" s="751"/>
      <c r="V21" s="751"/>
      <c r="W21" s="624"/>
      <c r="X21" s="751"/>
      <c r="Y21" s="751"/>
      <c r="Z21" s="751"/>
      <c r="AA21" s="624"/>
      <c r="AB21" s="755"/>
      <c r="AC21" s="751"/>
      <c r="AD21" s="751"/>
      <c r="AE21" s="624"/>
      <c r="AF21" s="751"/>
      <c r="AG21" s="751"/>
      <c r="AH21" s="751"/>
      <c r="AI21" s="624"/>
      <c r="AJ21" s="751"/>
      <c r="AK21" s="751"/>
      <c r="AL21" s="751"/>
      <c r="AM21" s="624"/>
      <c r="AN21" s="624"/>
      <c r="AO21" s="624"/>
      <c r="AP21" s="624"/>
      <c r="AQ21" s="752"/>
      <c r="AR21" s="753"/>
      <c r="AS21" s="753"/>
      <c r="AT21" s="753"/>
      <c r="AU21" s="624"/>
      <c r="AV21" s="624"/>
      <c r="AW21" s="624"/>
    </row>
    <row r="22" spans="1:59">
      <c r="B22" s="756"/>
      <c r="C22" s="624"/>
      <c r="D22" s="751"/>
      <c r="E22" s="751"/>
      <c r="F22" s="751"/>
      <c r="G22" s="751"/>
      <c r="H22" s="751"/>
      <c r="I22" s="624"/>
      <c r="J22" s="624"/>
      <c r="K22" s="750"/>
      <c r="L22" s="751"/>
      <c r="M22" s="751"/>
      <c r="N22" s="751"/>
      <c r="O22" s="750"/>
      <c r="P22" s="751"/>
      <c r="Q22" s="751"/>
      <c r="R22" s="751"/>
      <c r="S22" s="624"/>
      <c r="T22" s="751"/>
      <c r="U22" s="751"/>
      <c r="V22" s="751"/>
      <c r="W22" s="624"/>
      <c r="X22" s="751"/>
      <c r="Y22" s="751"/>
      <c r="Z22" s="751"/>
      <c r="AA22" s="750"/>
      <c r="AB22" s="751"/>
      <c r="AC22" s="661"/>
      <c r="AD22" s="661"/>
      <c r="AE22" s="624"/>
      <c r="AF22" s="751"/>
      <c r="AG22" s="751"/>
      <c r="AH22" s="751"/>
      <c r="AI22" s="624"/>
      <c r="AJ22" s="751"/>
      <c r="AK22" s="751"/>
      <c r="AL22" s="751"/>
      <c r="AM22" s="624"/>
      <c r="AN22" s="624"/>
      <c r="AO22" s="624"/>
      <c r="AP22" s="624"/>
      <c r="AQ22" s="737"/>
      <c r="AR22" s="753"/>
      <c r="AS22" s="753"/>
      <c r="AT22" s="753"/>
      <c r="AU22" s="624"/>
      <c r="AV22" s="624"/>
      <c r="AW22" s="624"/>
    </row>
    <row r="23" spans="1:59">
      <c r="B23" s="756"/>
      <c r="C23" s="624"/>
      <c r="D23" s="751"/>
      <c r="E23" s="751"/>
      <c r="F23" s="751"/>
      <c r="G23" s="751"/>
      <c r="H23" s="751"/>
      <c r="I23" s="624"/>
      <c r="J23" s="624"/>
      <c r="K23" s="750"/>
      <c r="L23" s="751"/>
      <c r="M23" s="751"/>
      <c r="N23" s="751"/>
      <c r="O23" s="750"/>
      <c r="P23" s="751"/>
      <c r="Q23" s="751"/>
      <c r="R23" s="751"/>
      <c r="S23" s="624"/>
      <c r="T23" s="751"/>
      <c r="U23" s="751"/>
      <c r="V23" s="751"/>
      <c r="W23" s="624"/>
      <c r="X23" s="751"/>
      <c r="Y23" s="751"/>
      <c r="Z23" s="751"/>
      <c r="AA23" s="750"/>
      <c r="AB23" s="751"/>
      <c r="AC23" s="661"/>
      <c r="AD23" s="661"/>
      <c r="AE23" s="624"/>
      <c r="AF23" s="751"/>
      <c r="AG23" s="751"/>
      <c r="AH23" s="751"/>
      <c r="AI23" s="624"/>
      <c r="AJ23" s="751"/>
      <c r="AK23" s="751"/>
      <c r="AL23" s="751"/>
      <c r="AM23" s="624"/>
      <c r="AN23" s="624"/>
      <c r="AO23" s="624"/>
      <c r="AP23" s="624"/>
      <c r="AQ23" s="737"/>
      <c r="AR23" s="753"/>
      <c r="AS23" s="753"/>
      <c r="AT23" s="753"/>
      <c r="AU23" s="624"/>
      <c r="AV23" s="624"/>
      <c r="AW23" s="624"/>
    </row>
    <row r="24" spans="1:59">
      <c r="B24" s="756"/>
      <c r="C24" s="624"/>
      <c r="D24" s="751"/>
      <c r="E24" s="751"/>
      <c r="F24" s="751"/>
      <c r="G24" s="751"/>
      <c r="H24" s="751"/>
      <c r="I24" s="624"/>
      <c r="J24" s="624"/>
      <c r="K24" s="750"/>
      <c r="L24" s="751"/>
      <c r="M24" s="751"/>
      <c r="N24" s="751"/>
      <c r="O24" s="750"/>
      <c r="P24" s="751"/>
      <c r="Q24" s="751"/>
      <c r="R24" s="751"/>
      <c r="S24" s="624"/>
      <c r="T24" s="751"/>
      <c r="U24" s="751"/>
      <c r="V24" s="751"/>
      <c r="W24" s="624"/>
      <c r="X24" s="751"/>
      <c r="Y24" s="751"/>
      <c r="Z24" s="751"/>
      <c r="AA24" s="750"/>
      <c r="AB24" s="751"/>
      <c r="AC24" s="661"/>
      <c r="AD24" s="661"/>
      <c r="AE24" s="624"/>
      <c r="AF24" s="751"/>
      <c r="AG24" s="751"/>
      <c r="AH24" s="751"/>
      <c r="AI24" s="624"/>
      <c r="AJ24" s="751"/>
      <c r="AK24" s="751"/>
      <c r="AL24" s="751"/>
      <c r="AM24" s="624"/>
      <c r="AN24" s="624"/>
      <c r="AO24" s="624"/>
      <c r="AP24" s="624"/>
      <c r="AQ24" s="737"/>
      <c r="AR24" s="753"/>
      <c r="AS24" s="753"/>
      <c r="AT24" s="753"/>
      <c r="AU24" s="624"/>
      <c r="AV24" s="624"/>
      <c r="AW24" s="624"/>
    </row>
    <row r="25" spans="1:59">
      <c r="B25" s="756"/>
      <c r="C25" s="624"/>
      <c r="D25" s="751"/>
      <c r="E25" s="751"/>
      <c r="F25" s="751"/>
      <c r="G25" s="751"/>
      <c r="H25" s="751"/>
      <c r="I25" s="624"/>
      <c r="J25" s="624"/>
      <c r="K25" s="750"/>
      <c r="L25" s="751"/>
      <c r="M25" s="751"/>
      <c r="N25" s="751"/>
      <c r="O25" s="750"/>
      <c r="P25" s="751"/>
      <c r="Q25" s="751"/>
      <c r="R25" s="751"/>
      <c r="S25" s="624"/>
      <c r="T25" s="751"/>
      <c r="U25" s="751"/>
      <c r="V25" s="751"/>
      <c r="W25" s="624"/>
      <c r="X25" s="751"/>
      <c r="Y25" s="751"/>
      <c r="Z25" s="751"/>
      <c r="AA25" s="750"/>
      <c r="AB25" s="751"/>
      <c r="AC25" s="661"/>
      <c r="AD25" s="661"/>
      <c r="AE25" s="624"/>
      <c r="AF25" s="751"/>
      <c r="AG25" s="751"/>
      <c r="AH25" s="751"/>
      <c r="AI25" s="624"/>
      <c r="AJ25" s="751"/>
      <c r="AK25" s="751"/>
      <c r="AL25" s="751"/>
      <c r="AM25" s="624"/>
      <c r="AN25" s="624"/>
      <c r="AO25" s="624"/>
      <c r="AP25" s="624"/>
      <c r="AQ25" s="737"/>
      <c r="AR25" s="753"/>
      <c r="AS25" s="753"/>
      <c r="AT25" s="753"/>
      <c r="AU25" s="624"/>
      <c r="AV25" s="624"/>
      <c r="AW25" s="624"/>
    </row>
    <row r="26" spans="1:59">
      <c r="B26" s="756"/>
      <c r="C26" s="624"/>
      <c r="D26" s="751"/>
      <c r="E26" s="751"/>
      <c r="F26" s="751"/>
      <c r="G26" s="751"/>
      <c r="H26" s="751"/>
      <c r="I26" s="624"/>
      <c r="J26" s="624"/>
      <c r="K26" s="750"/>
      <c r="L26" s="751"/>
      <c r="M26" s="751"/>
      <c r="N26" s="751"/>
      <c r="O26" s="750"/>
      <c r="P26" s="751"/>
      <c r="Q26" s="751"/>
      <c r="R26" s="751"/>
      <c r="S26" s="624"/>
      <c r="T26" s="751"/>
      <c r="U26" s="751"/>
      <c r="V26" s="751"/>
      <c r="W26" s="624"/>
      <c r="X26" s="751"/>
      <c r="Y26" s="751"/>
      <c r="Z26" s="751"/>
      <c r="AA26" s="750"/>
      <c r="AB26" s="751"/>
      <c r="AC26" s="661"/>
      <c r="AD26" s="661"/>
      <c r="AE26" s="624"/>
      <c r="AF26" s="751"/>
      <c r="AG26" s="751"/>
      <c r="AH26" s="751"/>
      <c r="AI26" s="624"/>
      <c r="AJ26" s="751"/>
      <c r="AK26" s="751"/>
      <c r="AL26" s="751"/>
      <c r="AM26" s="624"/>
      <c r="AN26" s="624"/>
      <c r="AO26" s="624"/>
      <c r="AP26" s="624"/>
      <c r="AQ26" s="737"/>
      <c r="AR26" s="753"/>
      <c r="AS26" s="753"/>
      <c r="AT26" s="753"/>
      <c r="AU26" s="624"/>
      <c r="AV26" s="624"/>
      <c r="AW26" s="624"/>
    </row>
    <row r="27" spans="1:59">
      <c r="B27" s="756"/>
      <c r="C27" s="624"/>
      <c r="D27" s="751"/>
      <c r="E27" s="751"/>
      <c r="F27" s="751"/>
      <c r="G27" s="751"/>
      <c r="H27" s="751"/>
      <c r="I27" s="624"/>
      <c r="J27" s="624"/>
      <c r="K27" s="750"/>
      <c r="L27" s="751"/>
      <c r="M27" s="751"/>
      <c r="N27" s="751"/>
      <c r="O27" s="750"/>
      <c r="P27" s="751"/>
      <c r="Q27" s="751"/>
      <c r="R27" s="751"/>
      <c r="S27" s="624"/>
      <c r="T27" s="751"/>
      <c r="U27" s="751"/>
      <c r="V27" s="751"/>
      <c r="W27" s="624"/>
      <c r="X27" s="751"/>
      <c r="Y27" s="751"/>
      <c r="Z27" s="751"/>
      <c r="AA27" s="750"/>
      <c r="AB27" s="751"/>
      <c r="AC27" s="661"/>
      <c r="AD27" s="661"/>
      <c r="AE27" s="624"/>
      <c r="AF27" s="751"/>
      <c r="AG27" s="751"/>
      <c r="AH27" s="751"/>
      <c r="AI27" s="624"/>
      <c r="AJ27" s="751"/>
      <c r="AK27" s="751"/>
      <c r="AL27" s="751"/>
      <c r="AM27" s="624"/>
      <c r="AN27" s="624"/>
      <c r="AO27" s="624"/>
      <c r="AP27" s="624"/>
      <c r="AQ27" s="737"/>
      <c r="AR27" s="753"/>
      <c r="AS27" s="753"/>
      <c r="AT27" s="753"/>
      <c r="AU27" s="624"/>
      <c r="AV27" s="624"/>
      <c r="AW27" s="624"/>
    </row>
    <row r="28" spans="1:59">
      <c r="B28" s="756"/>
      <c r="C28" s="624"/>
      <c r="D28" s="751"/>
      <c r="E28" s="751"/>
      <c r="F28" s="751"/>
      <c r="G28" s="751"/>
      <c r="H28" s="751"/>
      <c r="I28" s="624"/>
      <c r="J28" s="624"/>
      <c r="K28" s="750"/>
      <c r="L28" s="751"/>
      <c r="M28" s="751"/>
      <c r="N28" s="751"/>
      <c r="O28" s="750"/>
      <c r="P28" s="751"/>
      <c r="Q28" s="751"/>
      <c r="R28" s="751"/>
      <c r="S28" s="624"/>
      <c r="T28" s="751"/>
      <c r="U28" s="751"/>
      <c r="V28" s="751"/>
      <c r="W28" s="624"/>
      <c r="X28" s="751"/>
      <c r="Y28" s="751"/>
      <c r="Z28" s="751"/>
      <c r="AA28" s="750"/>
      <c r="AB28" s="751"/>
      <c r="AC28" s="661"/>
      <c r="AD28" s="661"/>
      <c r="AE28" s="624"/>
      <c r="AF28" s="751"/>
      <c r="AG28" s="751"/>
      <c r="AH28" s="751"/>
      <c r="AI28" s="624"/>
      <c r="AJ28" s="751"/>
      <c r="AK28" s="751"/>
      <c r="AL28" s="751"/>
      <c r="AM28" s="624"/>
      <c r="AN28" s="624"/>
      <c r="AO28" s="624"/>
      <c r="AP28" s="624"/>
      <c r="AQ28" s="737"/>
      <c r="AR28" s="753"/>
      <c r="AS28" s="753"/>
      <c r="AT28" s="753"/>
      <c r="AU28" s="624"/>
      <c r="AV28" s="624"/>
      <c r="AW28" s="624"/>
    </row>
    <row r="29" spans="1:59">
      <c r="B29" s="756"/>
      <c r="C29" s="624"/>
      <c r="D29" s="751"/>
      <c r="E29" s="751"/>
      <c r="F29" s="751"/>
      <c r="G29" s="751"/>
      <c r="H29" s="751"/>
      <c r="I29" s="624"/>
      <c r="J29" s="624"/>
      <c r="K29" s="750"/>
      <c r="L29" s="751"/>
      <c r="M29" s="751"/>
      <c r="N29" s="751"/>
      <c r="O29" s="750"/>
      <c r="P29" s="751"/>
      <c r="Q29" s="751"/>
      <c r="R29" s="751"/>
      <c r="S29" s="624"/>
      <c r="T29" s="751"/>
      <c r="U29" s="751"/>
      <c r="V29" s="751"/>
      <c r="W29" s="624"/>
      <c r="X29" s="751"/>
      <c r="Y29" s="751"/>
      <c r="Z29" s="751"/>
      <c r="AA29" s="750"/>
      <c r="AB29" s="751"/>
      <c r="AC29" s="661"/>
      <c r="AD29" s="661"/>
      <c r="AE29" s="624"/>
      <c r="AF29" s="751"/>
      <c r="AG29" s="751"/>
      <c r="AH29" s="751"/>
      <c r="AI29" s="624"/>
      <c r="AJ29" s="751"/>
      <c r="AK29" s="751"/>
      <c r="AL29" s="751"/>
      <c r="AM29" s="624"/>
      <c r="AN29" s="624"/>
      <c r="AO29" s="624"/>
      <c r="AP29" s="624"/>
      <c r="AQ29" s="737"/>
      <c r="AR29" s="753"/>
      <c r="AS29" s="753"/>
      <c r="AT29" s="753"/>
      <c r="AU29" s="624"/>
      <c r="AV29" s="624"/>
      <c r="AW29" s="624"/>
    </row>
    <row r="30" spans="1:59">
      <c r="B30" s="756"/>
      <c r="C30" s="624"/>
      <c r="D30" s="751"/>
      <c r="E30" s="751"/>
      <c r="F30" s="751"/>
      <c r="G30" s="751"/>
      <c r="H30" s="751"/>
      <c r="I30" s="624"/>
      <c r="J30" s="624"/>
      <c r="K30" s="750"/>
      <c r="L30" s="751"/>
      <c r="M30" s="751"/>
      <c r="N30" s="751"/>
      <c r="O30" s="750"/>
      <c r="P30" s="751"/>
      <c r="Q30" s="751"/>
      <c r="R30" s="751"/>
      <c r="S30" s="624"/>
      <c r="T30" s="751"/>
      <c r="U30" s="751"/>
      <c r="V30" s="751"/>
      <c r="W30" s="624"/>
      <c r="X30" s="751"/>
      <c r="Y30" s="751"/>
      <c r="Z30" s="751"/>
      <c r="AA30" s="750"/>
      <c r="AB30" s="751"/>
      <c r="AC30" s="661"/>
      <c r="AD30" s="661"/>
      <c r="AE30" s="624"/>
      <c r="AF30" s="751"/>
      <c r="AG30" s="751"/>
      <c r="AH30" s="751"/>
      <c r="AI30" s="624"/>
      <c r="AJ30" s="751"/>
      <c r="AK30" s="751"/>
      <c r="AL30" s="751"/>
      <c r="AM30" s="624"/>
      <c r="AN30" s="624"/>
      <c r="AO30" s="624"/>
      <c r="AP30" s="624"/>
      <c r="AQ30" s="737"/>
      <c r="AR30" s="753"/>
      <c r="AS30" s="753"/>
      <c r="AT30" s="753"/>
      <c r="AU30" s="624"/>
      <c r="AV30" s="624"/>
      <c r="AW30" s="624"/>
    </row>
    <row r="31" spans="1:59">
      <c r="B31" s="756"/>
      <c r="C31" s="624"/>
      <c r="D31" s="751"/>
      <c r="E31" s="751"/>
      <c r="F31" s="751"/>
      <c r="G31" s="751"/>
      <c r="H31" s="751"/>
      <c r="I31" s="624"/>
      <c r="J31" s="624"/>
      <c r="K31" s="750"/>
      <c r="L31" s="751"/>
      <c r="M31" s="751"/>
      <c r="N31" s="751"/>
      <c r="O31" s="750"/>
      <c r="P31" s="751"/>
      <c r="Q31" s="751"/>
      <c r="R31" s="751"/>
      <c r="S31" s="624"/>
      <c r="T31" s="751"/>
      <c r="U31" s="751"/>
      <c r="V31" s="751"/>
      <c r="W31" s="624"/>
      <c r="X31" s="751"/>
      <c r="Y31" s="751"/>
      <c r="Z31" s="751"/>
      <c r="AA31" s="750"/>
      <c r="AB31" s="751"/>
      <c r="AC31" s="661"/>
      <c r="AD31" s="661"/>
      <c r="AE31" s="624"/>
      <c r="AF31" s="751"/>
      <c r="AG31" s="751"/>
      <c r="AH31" s="751"/>
      <c r="AI31" s="624"/>
      <c r="AJ31" s="751"/>
      <c r="AK31" s="751"/>
      <c r="AL31" s="751"/>
      <c r="AM31" s="624"/>
      <c r="AN31" s="624"/>
      <c r="AO31" s="624"/>
      <c r="AP31" s="624"/>
      <c r="AQ31" s="737"/>
      <c r="AR31" s="753"/>
      <c r="AS31" s="753"/>
      <c r="AT31" s="753"/>
      <c r="AU31" s="624"/>
      <c r="AV31" s="624"/>
      <c r="AW31" s="624"/>
    </row>
    <row r="32" spans="1:59">
      <c r="B32" s="756"/>
      <c r="C32" s="624"/>
      <c r="D32" s="751"/>
      <c r="E32" s="751"/>
      <c r="F32" s="751"/>
      <c r="G32" s="751"/>
      <c r="H32" s="751"/>
      <c r="I32" s="624"/>
      <c r="J32" s="624"/>
      <c r="K32" s="750"/>
      <c r="L32" s="751"/>
      <c r="M32" s="751"/>
      <c r="N32" s="751"/>
      <c r="O32" s="750"/>
      <c r="P32" s="751"/>
      <c r="Q32" s="751"/>
      <c r="R32" s="751"/>
      <c r="S32" s="624"/>
      <c r="T32" s="751"/>
      <c r="U32" s="751"/>
      <c r="V32" s="751"/>
      <c r="W32" s="624"/>
      <c r="X32" s="751"/>
      <c r="Y32" s="751"/>
      <c r="Z32" s="751"/>
      <c r="AA32" s="750"/>
      <c r="AB32" s="751"/>
      <c r="AC32" s="661"/>
      <c r="AD32" s="661"/>
      <c r="AE32" s="624"/>
      <c r="AF32" s="751"/>
      <c r="AG32" s="751"/>
      <c r="AH32" s="751"/>
      <c r="AI32" s="624"/>
      <c r="AJ32" s="751"/>
      <c r="AK32" s="751"/>
      <c r="AL32" s="751"/>
      <c r="AM32" s="624"/>
      <c r="AN32" s="624"/>
      <c r="AO32" s="624"/>
      <c r="AP32" s="624"/>
      <c r="AQ32" s="737"/>
      <c r="AR32" s="753"/>
      <c r="AS32" s="753"/>
      <c r="AT32" s="753"/>
      <c r="AU32" s="624"/>
      <c r="AV32" s="624"/>
      <c r="AW32" s="624"/>
    </row>
    <row r="33" spans="2:49">
      <c r="B33" s="756"/>
      <c r="C33" s="624"/>
      <c r="D33" s="751"/>
      <c r="E33" s="751"/>
      <c r="F33" s="751"/>
      <c r="G33" s="751"/>
      <c r="H33" s="751"/>
      <c r="I33" s="624"/>
      <c r="J33" s="624"/>
      <c r="K33" s="750"/>
      <c r="L33" s="751"/>
      <c r="M33" s="751"/>
      <c r="N33" s="751"/>
      <c r="O33" s="750"/>
      <c r="P33" s="751"/>
      <c r="Q33" s="751"/>
      <c r="R33" s="751"/>
      <c r="S33" s="624"/>
      <c r="T33" s="751"/>
      <c r="U33" s="751"/>
      <c r="V33" s="751"/>
      <c r="W33" s="624"/>
      <c r="X33" s="751"/>
      <c r="Y33" s="751"/>
      <c r="Z33" s="751"/>
      <c r="AA33" s="750"/>
      <c r="AB33" s="751"/>
      <c r="AC33" s="661"/>
      <c r="AD33" s="661"/>
      <c r="AE33" s="624"/>
      <c r="AF33" s="751"/>
      <c r="AG33" s="751"/>
      <c r="AH33" s="751"/>
      <c r="AI33" s="624"/>
      <c r="AJ33" s="751"/>
      <c r="AK33" s="751"/>
      <c r="AL33" s="751"/>
      <c r="AM33" s="624"/>
      <c r="AN33" s="624"/>
      <c r="AO33" s="624"/>
      <c r="AP33" s="624"/>
      <c r="AQ33" s="737"/>
      <c r="AR33" s="753"/>
      <c r="AS33" s="753"/>
      <c r="AT33" s="753"/>
      <c r="AU33" s="624"/>
      <c r="AV33" s="624"/>
      <c r="AW33" s="624"/>
    </row>
    <row r="34" spans="2:49">
      <c r="B34" s="756"/>
      <c r="C34" s="624"/>
      <c r="D34" s="751"/>
      <c r="E34" s="751"/>
      <c r="F34" s="751"/>
      <c r="G34" s="751"/>
      <c r="H34" s="751"/>
      <c r="I34" s="624"/>
      <c r="J34" s="624"/>
      <c r="K34" s="750"/>
      <c r="L34" s="751"/>
      <c r="M34" s="751"/>
      <c r="N34" s="751"/>
      <c r="O34" s="750"/>
      <c r="P34" s="751"/>
      <c r="Q34" s="751"/>
      <c r="R34" s="751"/>
      <c r="S34" s="624"/>
      <c r="T34" s="751"/>
      <c r="U34" s="751"/>
      <c r="V34" s="751"/>
      <c r="W34" s="624"/>
      <c r="X34" s="751"/>
      <c r="Y34" s="751"/>
      <c r="Z34" s="751"/>
      <c r="AA34" s="750"/>
      <c r="AB34" s="751"/>
      <c r="AC34" s="661"/>
      <c r="AD34" s="661"/>
      <c r="AE34" s="624"/>
      <c r="AF34" s="751"/>
      <c r="AG34" s="751"/>
      <c r="AH34" s="751"/>
      <c r="AI34" s="624"/>
      <c r="AJ34" s="751"/>
      <c r="AK34" s="751"/>
      <c r="AL34" s="751"/>
      <c r="AM34" s="624"/>
      <c r="AN34" s="624"/>
      <c r="AO34" s="624"/>
      <c r="AP34" s="624"/>
      <c r="AQ34" s="737"/>
      <c r="AR34" s="753"/>
      <c r="AS34" s="753"/>
      <c r="AT34" s="753"/>
      <c r="AU34" s="624"/>
      <c r="AV34" s="624"/>
      <c r="AW34" s="624"/>
    </row>
    <row r="35" spans="2:49">
      <c r="B35" s="756"/>
      <c r="C35" s="624"/>
      <c r="D35" s="751"/>
      <c r="E35" s="751"/>
      <c r="F35" s="751"/>
      <c r="G35" s="751"/>
      <c r="H35" s="751"/>
      <c r="I35" s="624"/>
      <c r="J35" s="624"/>
      <c r="K35" s="750"/>
      <c r="L35" s="751"/>
      <c r="M35" s="751"/>
      <c r="N35" s="751"/>
      <c r="O35" s="750"/>
      <c r="P35" s="751"/>
      <c r="Q35" s="751"/>
      <c r="R35" s="751"/>
      <c r="S35" s="624"/>
      <c r="T35" s="751"/>
      <c r="U35" s="751"/>
      <c r="V35" s="751"/>
      <c r="W35" s="624"/>
      <c r="X35" s="751"/>
      <c r="Y35" s="751"/>
      <c r="Z35" s="751"/>
      <c r="AA35" s="750"/>
      <c r="AB35" s="751"/>
      <c r="AC35" s="661"/>
      <c r="AD35" s="661"/>
      <c r="AE35" s="624"/>
      <c r="AF35" s="751"/>
      <c r="AG35" s="751"/>
      <c r="AH35" s="751"/>
      <c r="AI35" s="624"/>
      <c r="AJ35" s="751"/>
      <c r="AK35" s="751"/>
      <c r="AL35" s="751"/>
      <c r="AM35" s="624"/>
      <c r="AN35" s="624"/>
      <c r="AO35" s="624"/>
      <c r="AP35" s="624"/>
      <c r="AQ35" s="737"/>
      <c r="AR35" s="753"/>
      <c r="AS35" s="753"/>
      <c r="AT35" s="753"/>
      <c r="AU35" s="624"/>
      <c r="AV35" s="624"/>
      <c r="AW35" s="624"/>
    </row>
    <row r="36" spans="2:49">
      <c r="B36" s="756"/>
      <c r="C36" s="624"/>
      <c r="D36" s="751"/>
      <c r="E36" s="751"/>
      <c r="F36" s="751"/>
      <c r="G36" s="751"/>
      <c r="H36" s="751"/>
      <c r="I36" s="624"/>
      <c r="J36" s="624"/>
      <c r="K36" s="750"/>
      <c r="L36" s="751"/>
      <c r="M36" s="751"/>
      <c r="N36" s="751"/>
      <c r="O36" s="750"/>
      <c r="P36" s="751"/>
      <c r="Q36" s="751"/>
      <c r="R36" s="751"/>
      <c r="S36" s="624"/>
      <c r="T36" s="751"/>
      <c r="U36" s="751"/>
      <c r="V36" s="751"/>
      <c r="W36" s="624"/>
      <c r="X36" s="751"/>
      <c r="Y36" s="751"/>
      <c r="Z36" s="751"/>
      <c r="AA36" s="750"/>
      <c r="AB36" s="751"/>
      <c r="AC36" s="661"/>
      <c r="AD36" s="661"/>
      <c r="AE36" s="624"/>
      <c r="AF36" s="751"/>
      <c r="AG36" s="751"/>
      <c r="AH36" s="751"/>
      <c r="AI36" s="624"/>
      <c r="AJ36" s="751"/>
      <c r="AK36" s="751"/>
      <c r="AL36" s="751"/>
      <c r="AM36" s="624"/>
      <c r="AN36" s="624"/>
      <c r="AO36" s="624"/>
      <c r="AP36" s="624"/>
      <c r="AQ36" s="737"/>
      <c r="AR36" s="753"/>
      <c r="AS36" s="753"/>
      <c r="AT36" s="753"/>
      <c r="AU36" s="624"/>
      <c r="AV36" s="624"/>
      <c r="AW36" s="624"/>
    </row>
    <row r="37" spans="2:49">
      <c r="B37" s="756"/>
      <c r="C37" s="624"/>
      <c r="D37" s="751"/>
      <c r="E37" s="751"/>
      <c r="F37" s="751"/>
      <c r="G37" s="751"/>
      <c r="H37" s="751"/>
      <c r="I37" s="624"/>
      <c r="J37" s="624"/>
      <c r="K37" s="750"/>
      <c r="L37" s="751"/>
      <c r="M37" s="751"/>
      <c r="N37" s="751"/>
      <c r="O37" s="750"/>
      <c r="P37" s="751"/>
      <c r="Q37" s="751"/>
      <c r="R37" s="751"/>
      <c r="S37" s="624"/>
      <c r="T37" s="751"/>
      <c r="U37" s="751"/>
      <c r="V37" s="751"/>
      <c r="W37" s="624"/>
      <c r="X37" s="751"/>
      <c r="Y37" s="751"/>
      <c r="Z37" s="751"/>
      <c r="AA37" s="750"/>
      <c r="AB37" s="751"/>
      <c r="AC37" s="661"/>
      <c r="AD37" s="661"/>
      <c r="AE37" s="624"/>
      <c r="AF37" s="751"/>
      <c r="AG37" s="751"/>
      <c r="AH37" s="751"/>
      <c r="AI37" s="624"/>
      <c r="AJ37" s="751"/>
      <c r="AK37" s="751"/>
      <c r="AL37" s="751"/>
      <c r="AM37" s="624"/>
      <c r="AN37" s="624"/>
      <c r="AO37" s="624"/>
      <c r="AP37" s="624"/>
      <c r="AQ37" s="737"/>
      <c r="AR37" s="753"/>
      <c r="AS37" s="753"/>
      <c r="AT37" s="753"/>
      <c r="AU37" s="624"/>
      <c r="AV37" s="624"/>
      <c r="AW37" s="624"/>
    </row>
    <row r="38" spans="2:49">
      <c r="B38" s="756"/>
      <c r="C38" s="624"/>
      <c r="D38" s="751"/>
      <c r="E38" s="751"/>
      <c r="F38" s="751"/>
      <c r="G38" s="751"/>
      <c r="H38" s="751"/>
      <c r="I38" s="624"/>
      <c r="J38" s="624"/>
      <c r="K38" s="750"/>
      <c r="L38" s="751"/>
      <c r="M38" s="751"/>
      <c r="N38" s="751"/>
      <c r="O38" s="750"/>
      <c r="P38" s="751"/>
      <c r="Q38" s="751"/>
      <c r="R38" s="751"/>
      <c r="S38" s="624"/>
      <c r="T38" s="751"/>
      <c r="U38" s="751"/>
      <c r="V38" s="751"/>
      <c r="W38" s="624"/>
      <c r="X38" s="751"/>
      <c r="Y38" s="751"/>
      <c r="Z38" s="751"/>
      <c r="AA38" s="750"/>
      <c r="AB38" s="751"/>
      <c r="AC38" s="661"/>
      <c r="AD38" s="661"/>
      <c r="AE38" s="624"/>
      <c r="AF38" s="751"/>
      <c r="AG38" s="751"/>
      <c r="AH38" s="751"/>
      <c r="AI38" s="624"/>
      <c r="AJ38" s="751"/>
      <c r="AK38" s="751"/>
      <c r="AL38" s="751"/>
      <c r="AM38" s="624"/>
      <c r="AN38" s="624"/>
      <c r="AO38" s="624"/>
      <c r="AP38" s="624"/>
      <c r="AQ38" s="737"/>
      <c r="AR38" s="753"/>
      <c r="AS38" s="753"/>
      <c r="AT38" s="753"/>
      <c r="AU38" s="624"/>
      <c r="AV38" s="624"/>
      <c r="AW38" s="624"/>
    </row>
    <row r="39" spans="2:49">
      <c r="B39" s="756"/>
      <c r="C39" s="624"/>
      <c r="D39" s="751"/>
      <c r="E39" s="751"/>
      <c r="F39" s="751"/>
      <c r="G39" s="751"/>
      <c r="H39" s="751"/>
      <c r="I39" s="624"/>
      <c r="J39" s="624"/>
      <c r="K39" s="750"/>
      <c r="L39" s="751"/>
      <c r="M39" s="751"/>
      <c r="N39" s="751"/>
      <c r="O39" s="750"/>
      <c r="P39" s="751"/>
      <c r="Q39" s="751"/>
      <c r="R39" s="751"/>
      <c r="S39" s="624"/>
      <c r="T39" s="751"/>
      <c r="U39" s="751"/>
      <c r="V39" s="751"/>
      <c r="W39" s="624"/>
      <c r="X39" s="751"/>
      <c r="Y39" s="751"/>
      <c r="Z39" s="751"/>
      <c r="AA39" s="750"/>
      <c r="AB39" s="751"/>
      <c r="AC39" s="661"/>
      <c r="AD39" s="661"/>
      <c r="AE39" s="624"/>
      <c r="AF39" s="751"/>
      <c r="AG39" s="751"/>
      <c r="AH39" s="751"/>
      <c r="AI39" s="624"/>
      <c r="AJ39" s="751"/>
      <c r="AK39" s="751"/>
      <c r="AL39" s="751"/>
      <c r="AM39" s="624"/>
      <c r="AN39" s="624"/>
      <c r="AO39" s="624"/>
      <c r="AP39" s="624"/>
      <c r="AQ39" s="737"/>
      <c r="AR39" s="753"/>
      <c r="AS39" s="753"/>
      <c r="AT39" s="753"/>
      <c r="AU39" s="624"/>
      <c r="AV39" s="624"/>
      <c r="AW39" s="624"/>
    </row>
    <row r="40" spans="2:49">
      <c r="B40" s="756"/>
      <c r="C40" s="624"/>
      <c r="D40" s="751"/>
      <c r="E40" s="751"/>
      <c r="F40" s="751"/>
      <c r="G40" s="751"/>
      <c r="H40" s="751"/>
      <c r="I40" s="624"/>
      <c r="J40" s="624"/>
      <c r="K40" s="750"/>
      <c r="L40" s="751"/>
      <c r="M40" s="751"/>
      <c r="N40" s="751"/>
      <c r="O40" s="750"/>
      <c r="P40" s="751"/>
      <c r="Q40" s="751"/>
      <c r="R40" s="751"/>
      <c r="S40" s="624"/>
      <c r="T40" s="751"/>
      <c r="U40" s="751"/>
      <c r="V40" s="751"/>
      <c r="W40" s="624"/>
      <c r="X40" s="751"/>
      <c r="Y40" s="751"/>
      <c r="Z40" s="751"/>
      <c r="AA40" s="750"/>
      <c r="AB40" s="751"/>
      <c r="AC40" s="661"/>
      <c r="AD40" s="661"/>
      <c r="AE40" s="624"/>
      <c r="AF40" s="751"/>
      <c r="AG40" s="751"/>
      <c r="AH40" s="751"/>
      <c r="AI40" s="624"/>
      <c r="AJ40" s="751"/>
      <c r="AK40" s="751"/>
      <c r="AL40" s="751"/>
      <c r="AM40" s="624"/>
      <c r="AN40" s="624"/>
      <c r="AO40" s="624"/>
      <c r="AP40" s="624"/>
      <c r="AQ40" s="737"/>
      <c r="AR40" s="753"/>
      <c r="AS40" s="753"/>
      <c r="AT40" s="753"/>
      <c r="AU40" s="624"/>
      <c r="AV40" s="624"/>
      <c r="AW40" s="624"/>
    </row>
    <row r="41" spans="2:49">
      <c r="B41" s="756"/>
      <c r="C41" s="624"/>
      <c r="D41" s="751"/>
      <c r="E41" s="751"/>
      <c r="F41" s="751"/>
      <c r="G41" s="751"/>
      <c r="H41" s="751"/>
      <c r="I41" s="624"/>
      <c r="J41" s="624"/>
      <c r="K41" s="750"/>
      <c r="L41" s="751"/>
      <c r="M41" s="751"/>
      <c r="N41" s="751"/>
      <c r="O41" s="750"/>
      <c r="P41" s="751"/>
      <c r="Q41" s="751"/>
      <c r="R41" s="751"/>
      <c r="S41" s="624"/>
      <c r="T41" s="751"/>
      <c r="U41" s="751"/>
      <c r="V41" s="751"/>
      <c r="W41" s="624"/>
      <c r="X41" s="751"/>
      <c r="Y41" s="751"/>
      <c r="Z41" s="751"/>
      <c r="AA41" s="750"/>
      <c r="AB41" s="751"/>
      <c r="AC41" s="661"/>
      <c r="AD41" s="661"/>
      <c r="AE41" s="624"/>
      <c r="AF41" s="751"/>
      <c r="AG41" s="751"/>
      <c r="AH41" s="751"/>
      <c r="AI41" s="624"/>
      <c r="AJ41" s="751"/>
      <c r="AK41" s="751"/>
      <c r="AL41" s="751"/>
      <c r="AM41" s="624"/>
      <c r="AN41" s="624"/>
      <c r="AO41" s="624"/>
      <c r="AP41" s="624"/>
      <c r="AQ41" s="737"/>
      <c r="AR41" s="753"/>
      <c r="AS41" s="753"/>
      <c r="AT41" s="753"/>
      <c r="AU41" s="624"/>
      <c r="AV41" s="624"/>
      <c r="AW41" s="624"/>
    </row>
    <row r="42" spans="2:49">
      <c r="B42" s="756"/>
      <c r="C42" s="624"/>
      <c r="D42" s="751"/>
      <c r="E42" s="751"/>
      <c r="F42" s="751"/>
      <c r="G42" s="751"/>
      <c r="H42" s="751"/>
      <c r="I42" s="624"/>
      <c r="J42" s="624"/>
      <c r="K42" s="750"/>
      <c r="L42" s="751"/>
      <c r="M42" s="751"/>
      <c r="N42" s="751"/>
      <c r="O42" s="750"/>
      <c r="P42" s="751"/>
      <c r="Q42" s="751"/>
      <c r="R42" s="751"/>
      <c r="S42" s="624"/>
      <c r="T42" s="751"/>
      <c r="U42" s="751"/>
      <c r="V42" s="751"/>
      <c r="W42" s="624"/>
      <c r="X42" s="751"/>
      <c r="Y42" s="751"/>
      <c r="Z42" s="751"/>
      <c r="AA42" s="750"/>
      <c r="AB42" s="751"/>
      <c r="AC42" s="661"/>
      <c r="AD42" s="661"/>
      <c r="AE42" s="624"/>
      <c r="AF42" s="751"/>
      <c r="AG42" s="751"/>
      <c r="AH42" s="751"/>
      <c r="AI42" s="624"/>
      <c r="AJ42" s="751"/>
      <c r="AK42" s="751"/>
      <c r="AL42" s="751"/>
      <c r="AM42" s="624"/>
      <c r="AN42" s="624"/>
      <c r="AO42" s="624"/>
      <c r="AP42" s="624"/>
      <c r="AQ42" s="737"/>
      <c r="AR42" s="753"/>
      <c r="AS42" s="753"/>
      <c r="AT42" s="753"/>
      <c r="AU42" s="624"/>
      <c r="AV42" s="624"/>
      <c r="AW42" s="624"/>
    </row>
    <row r="43" spans="2:49">
      <c r="B43" s="756"/>
      <c r="C43" s="624"/>
      <c r="D43" s="751"/>
      <c r="E43" s="751"/>
      <c r="F43" s="751"/>
      <c r="G43" s="751"/>
      <c r="H43" s="751"/>
      <c r="I43" s="624"/>
      <c r="J43" s="624"/>
      <c r="K43" s="750"/>
      <c r="L43" s="751"/>
      <c r="M43" s="751"/>
      <c r="N43" s="751"/>
      <c r="O43" s="750"/>
      <c r="P43" s="751"/>
      <c r="Q43" s="751"/>
      <c r="R43" s="751"/>
      <c r="S43" s="624"/>
      <c r="T43" s="751"/>
      <c r="U43" s="751"/>
      <c r="V43" s="751"/>
      <c r="W43" s="624"/>
      <c r="X43" s="751"/>
      <c r="Y43" s="751"/>
      <c r="Z43" s="751"/>
      <c r="AA43" s="750"/>
      <c r="AB43" s="751"/>
      <c r="AC43" s="661"/>
      <c r="AD43" s="661"/>
      <c r="AE43" s="624"/>
      <c r="AF43" s="751"/>
      <c r="AG43" s="751"/>
      <c r="AH43" s="751"/>
      <c r="AI43" s="624"/>
      <c r="AJ43" s="751"/>
      <c r="AK43" s="751"/>
      <c r="AL43" s="751"/>
      <c r="AM43" s="624"/>
      <c r="AN43" s="624"/>
      <c r="AO43" s="624"/>
      <c r="AP43" s="624"/>
      <c r="AQ43" s="737"/>
      <c r="AR43" s="753"/>
      <c r="AS43" s="753"/>
      <c r="AT43" s="753"/>
      <c r="AU43" s="624"/>
      <c r="AV43" s="624"/>
      <c r="AW43" s="624"/>
    </row>
    <row r="44" spans="2:49">
      <c r="B44" s="756"/>
      <c r="C44" s="624"/>
      <c r="D44" s="751"/>
      <c r="E44" s="751"/>
      <c r="F44" s="751"/>
      <c r="G44" s="751"/>
      <c r="H44" s="751"/>
      <c r="I44" s="624"/>
      <c r="J44" s="624"/>
      <c r="K44" s="750"/>
      <c r="L44" s="751"/>
      <c r="M44" s="751"/>
      <c r="N44" s="751"/>
      <c r="O44" s="750"/>
      <c r="P44" s="751"/>
      <c r="Q44" s="751"/>
      <c r="R44" s="751"/>
      <c r="S44" s="624"/>
      <c r="T44" s="751"/>
      <c r="U44" s="751"/>
      <c r="V44" s="751"/>
      <c r="W44" s="624"/>
      <c r="X44" s="751"/>
      <c r="Y44" s="751"/>
      <c r="Z44" s="751"/>
      <c r="AA44" s="750"/>
      <c r="AB44" s="751"/>
      <c r="AC44" s="661"/>
      <c r="AD44" s="661"/>
      <c r="AE44" s="624"/>
      <c r="AF44" s="751"/>
      <c r="AG44" s="751"/>
      <c r="AH44" s="751"/>
      <c r="AI44" s="624"/>
      <c r="AJ44" s="751"/>
      <c r="AK44" s="751"/>
      <c r="AL44" s="751"/>
      <c r="AM44" s="624"/>
      <c r="AN44" s="624"/>
      <c r="AO44" s="624"/>
      <c r="AP44" s="624"/>
      <c r="AQ44" s="737"/>
      <c r="AR44" s="753"/>
      <c r="AS44" s="753"/>
      <c r="AT44" s="753"/>
      <c r="AU44" s="624"/>
      <c r="AV44" s="624"/>
      <c r="AW44" s="624"/>
    </row>
    <row r="45" spans="2:49">
      <c r="B45" s="756"/>
      <c r="C45" s="624"/>
      <c r="D45" s="751"/>
      <c r="E45" s="751"/>
      <c r="F45" s="751"/>
      <c r="G45" s="751"/>
      <c r="H45" s="751"/>
      <c r="I45" s="624"/>
      <c r="J45" s="624"/>
      <c r="K45" s="750"/>
      <c r="L45" s="751"/>
      <c r="M45" s="751"/>
      <c r="N45" s="751"/>
      <c r="O45" s="750"/>
      <c r="P45" s="751"/>
      <c r="Q45" s="751"/>
      <c r="R45" s="751"/>
      <c r="S45" s="624"/>
      <c r="T45" s="751"/>
      <c r="U45" s="751"/>
      <c r="V45" s="751"/>
      <c r="W45" s="624"/>
      <c r="X45" s="751"/>
      <c r="Y45" s="751"/>
      <c r="Z45" s="751"/>
      <c r="AA45" s="750"/>
      <c r="AB45" s="751"/>
      <c r="AC45" s="661"/>
      <c r="AD45" s="661"/>
      <c r="AE45" s="624"/>
      <c r="AF45" s="751"/>
      <c r="AG45" s="751"/>
      <c r="AH45" s="751"/>
      <c r="AI45" s="624"/>
      <c r="AJ45" s="751"/>
      <c r="AK45" s="751"/>
      <c r="AL45" s="751"/>
      <c r="AM45" s="624"/>
      <c r="AN45" s="624"/>
      <c r="AO45" s="624"/>
      <c r="AP45" s="624"/>
      <c r="AQ45" s="737"/>
      <c r="AR45" s="753"/>
      <c r="AS45" s="753"/>
      <c r="AT45" s="753"/>
      <c r="AU45" s="624"/>
      <c r="AV45" s="624"/>
      <c r="AW45" s="624"/>
    </row>
    <row r="46" spans="2:49">
      <c r="B46" s="756"/>
      <c r="C46" s="624"/>
      <c r="D46" s="751"/>
      <c r="E46" s="751"/>
      <c r="F46" s="751"/>
      <c r="G46" s="751"/>
      <c r="H46" s="751"/>
      <c r="I46" s="624"/>
      <c r="J46" s="624"/>
      <c r="K46" s="750"/>
      <c r="L46" s="751"/>
      <c r="M46" s="751"/>
      <c r="N46" s="751"/>
      <c r="O46" s="750"/>
      <c r="P46" s="751"/>
      <c r="Q46" s="751"/>
      <c r="R46" s="751"/>
      <c r="S46" s="624"/>
      <c r="T46" s="751"/>
      <c r="U46" s="751"/>
      <c r="V46" s="751"/>
      <c r="W46" s="624"/>
      <c r="X46" s="751"/>
      <c r="Y46" s="751"/>
      <c r="Z46" s="751"/>
      <c r="AA46" s="750"/>
      <c r="AB46" s="751"/>
      <c r="AC46" s="661"/>
      <c r="AD46" s="661"/>
      <c r="AE46" s="624"/>
      <c r="AF46" s="751"/>
      <c r="AG46" s="751"/>
      <c r="AH46" s="751"/>
      <c r="AI46" s="624"/>
      <c r="AJ46" s="751"/>
      <c r="AK46" s="751"/>
      <c r="AL46" s="751"/>
      <c r="AM46" s="624"/>
      <c r="AN46" s="624"/>
      <c r="AO46" s="624"/>
      <c r="AP46" s="624"/>
      <c r="AQ46" s="737"/>
      <c r="AR46" s="753"/>
      <c r="AS46" s="753"/>
      <c r="AT46" s="753"/>
      <c r="AU46" s="624"/>
      <c r="AV46" s="624"/>
      <c r="AW46" s="624"/>
    </row>
    <row r="47" spans="2:49">
      <c r="B47" s="756"/>
      <c r="C47" s="624"/>
      <c r="D47" s="751"/>
      <c r="E47" s="751"/>
      <c r="F47" s="751"/>
      <c r="G47" s="751"/>
      <c r="H47" s="751"/>
      <c r="I47" s="624"/>
      <c r="J47" s="624"/>
      <c r="K47" s="750"/>
      <c r="L47" s="751"/>
      <c r="M47" s="751"/>
      <c r="N47" s="751"/>
      <c r="O47" s="750"/>
      <c r="P47" s="751"/>
      <c r="Q47" s="751"/>
      <c r="R47" s="751"/>
      <c r="S47" s="624"/>
      <c r="T47" s="751"/>
      <c r="U47" s="751"/>
      <c r="V47" s="751"/>
      <c r="W47" s="624"/>
      <c r="X47" s="751"/>
      <c r="Y47" s="751"/>
      <c r="Z47" s="751"/>
      <c r="AA47" s="750"/>
      <c r="AB47" s="751"/>
      <c r="AC47" s="661"/>
      <c r="AD47" s="661"/>
      <c r="AE47" s="624"/>
      <c r="AF47" s="751"/>
      <c r="AG47" s="751"/>
      <c r="AH47" s="751"/>
      <c r="AI47" s="624"/>
      <c r="AJ47" s="751"/>
      <c r="AK47" s="751"/>
      <c r="AL47" s="751"/>
      <c r="AM47" s="624"/>
      <c r="AN47" s="624"/>
      <c r="AO47" s="624"/>
      <c r="AP47" s="624"/>
      <c r="AQ47" s="737"/>
      <c r="AR47" s="753"/>
      <c r="AS47" s="753"/>
      <c r="AT47" s="753"/>
      <c r="AU47" s="624"/>
      <c r="AV47" s="624"/>
      <c r="AW47" s="624"/>
    </row>
    <row r="48" spans="2:49">
      <c r="B48" s="756"/>
      <c r="C48" s="624"/>
      <c r="D48" s="751"/>
      <c r="E48" s="751"/>
      <c r="F48" s="751"/>
      <c r="G48" s="751"/>
      <c r="H48" s="751"/>
      <c r="I48" s="624"/>
      <c r="J48" s="624"/>
      <c r="K48" s="750"/>
      <c r="L48" s="751"/>
      <c r="M48" s="751"/>
      <c r="N48" s="751"/>
      <c r="O48" s="750"/>
      <c r="P48" s="751"/>
      <c r="Q48" s="751"/>
      <c r="R48" s="751"/>
      <c r="S48" s="624"/>
      <c r="T48" s="751"/>
      <c r="U48" s="751"/>
      <c r="V48" s="751"/>
      <c r="W48" s="624"/>
      <c r="X48" s="751"/>
      <c r="Y48" s="751"/>
      <c r="Z48" s="751"/>
      <c r="AA48" s="750"/>
      <c r="AB48" s="751"/>
      <c r="AC48" s="661"/>
      <c r="AD48" s="661"/>
      <c r="AE48" s="624"/>
      <c r="AF48" s="751"/>
      <c r="AG48" s="751"/>
      <c r="AH48" s="751"/>
      <c r="AI48" s="624"/>
      <c r="AJ48" s="751"/>
      <c r="AK48" s="751"/>
      <c r="AL48" s="751"/>
      <c r="AM48" s="624"/>
      <c r="AN48" s="624"/>
      <c r="AO48" s="624"/>
      <c r="AP48" s="624"/>
      <c r="AQ48" s="737"/>
      <c r="AR48" s="753"/>
      <c r="AS48" s="753"/>
      <c r="AT48" s="753"/>
      <c r="AU48" s="624"/>
      <c r="AV48" s="624"/>
      <c r="AW48" s="624"/>
    </row>
    <row r="49" spans="2:49">
      <c r="B49" s="756"/>
      <c r="C49" s="624"/>
      <c r="D49" s="751"/>
      <c r="E49" s="751"/>
      <c r="F49" s="751"/>
      <c r="G49" s="751"/>
      <c r="H49" s="751"/>
      <c r="I49" s="624"/>
      <c r="J49" s="624"/>
      <c r="K49" s="750"/>
      <c r="L49" s="751"/>
      <c r="M49" s="751"/>
      <c r="N49" s="751"/>
      <c r="O49" s="750"/>
      <c r="P49" s="751"/>
      <c r="Q49" s="751"/>
      <c r="R49" s="751"/>
      <c r="S49" s="624"/>
      <c r="T49" s="751"/>
      <c r="U49" s="751"/>
      <c r="V49" s="751"/>
      <c r="W49" s="624"/>
      <c r="X49" s="751"/>
      <c r="Y49" s="751"/>
      <c r="Z49" s="751"/>
      <c r="AA49" s="750"/>
      <c r="AB49" s="751"/>
      <c r="AC49" s="661"/>
      <c r="AD49" s="661"/>
      <c r="AE49" s="624"/>
      <c r="AF49" s="751"/>
      <c r="AG49" s="751"/>
      <c r="AH49" s="751"/>
      <c r="AI49" s="624"/>
      <c r="AJ49" s="751"/>
      <c r="AK49" s="751"/>
      <c r="AL49" s="751"/>
      <c r="AM49" s="624"/>
      <c r="AN49" s="624"/>
      <c r="AO49" s="624"/>
      <c r="AP49" s="624"/>
      <c r="AQ49" s="737"/>
      <c r="AR49" s="753"/>
      <c r="AS49" s="753"/>
      <c r="AT49" s="753"/>
      <c r="AU49" s="624"/>
      <c r="AV49" s="624"/>
      <c r="AW49" s="624"/>
    </row>
    <row r="50" spans="2:49">
      <c r="B50" s="756"/>
      <c r="C50" s="624"/>
      <c r="D50" s="751"/>
      <c r="E50" s="751"/>
      <c r="F50" s="751"/>
      <c r="G50" s="751"/>
      <c r="H50" s="751"/>
      <c r="I50" s="624"/>
      <c r="J50" s="624"/>
      <c r="K50" s="750"/>
      <c r="L50" s="751"/>
      <c r="M50" s="751"/>
      <c r="N50" s="751"/>
      <c r="O50" s="750"/>
      <c r="P50" s="751"/>
      <c r="Q50" s="751"/>
      <c r="R50" s="751"/>
      <c r="S50" s="624"/>
      <c r="T50" s="751"/>
      <c r="U50" s="751"/>
      <c r="V50" s="751"/>
      <c r="W50" s="624"/>
      <c r="X50" s="751"/>
      <c r="Y50" s="751"/>
      <c r="Z50" s="751"/>
      <c r="AA50" s="750"/>
      <c r="AB50" s="751"/>
      <c r="AC50" s="661"/>
      <c r="AD50" s="661"/>
      <c r="AE50" s="624"/>
      <c r="AF50" s="751"/>
      <c r="AG50" s="751"/>
      <c r="AH50" s="751"/>
      <c r="AI50" s="624"/>
      <c r="AJ50" s="751"/>
      <c r="AK50" s="751"/>
      <c r="AL50" s="751"/>
      <c r="AM50" s="624"/>
      <c r="AN50" s="624"/>
      <c r="AO50" s="624"/>
      <c r="AP50" s="624"/>
      <c r="AQ50" s="737"/>
      <c r="AR50" s="753"/>
      <c r="AS50" s="753"/>
      <c r="AT50" s="753"/>
      <c r="AU50" s="624"/>
      <c r="AV50" s="624"/>
      <c r="AW50" s="624"/>
    </row>
    <row r="51" spans="2:49">
      <c r="B51" s="756"/>
      <c r="C51" s="624"/>
      <c r="D51" s="751"/>
      <c r="E51" s="751"/>
      <c r="F51" s="751"/>
      <c r="G51" s="751"/>
      <c r="H51" s="751"/>
      <c r="I51" s="624"/>
      <c r="J51" s="624"/>
      <c r="K51" s="750"/>
      <c r="L51" s="751"/>
      <c r="M51" s="751"/>
      <c r="N51" s="751"/>
      <c r="O51" s="750"/>
      <c r="P51" s="751"/>
      <c r="Q51" s="751"/>
      <c r="R51" s="751"/>
      <c r="S51" s="624"/>
      <c r="T51" s="751"/>
      <c r="U51" s="751"/>
      <c r="V51" s="751"/>
      <c r="W51" s="624"/>
      <c r="X51" s="751"/>
      <c r="Y51" s="751"/>
      <c r="Z51" s="751"/>
      <c r="AA51" s="750"/>
      <c r="AB51" s="751"/>
      <c r="AC51" s="661"/>
      <c r="AD51" s="661"/>
      <c r="AE51" s="624"/>
      <c r="AF51" s="751"/>
      <c r="AG51" s="751"/>
      <c r="AH51" s="751"/>
      <c r="AI51" s="624"/>
      <c r="AJ51" s="751"/>
      <c r="AK51" s="751"/>
      <c r="AL51" s="751"/>
      <c r="AM51" s="624"/>
      <c r="AN51" s="624"/>
      <c r="AO51" s="624"/>
      <c r="AP51" s="624"/>
      <c r="AQ51" s="737"/>
      <c r="AR51" s="753"/>
      <c r="AS51" s="753"/>
      <c r="AT51" s="753"/>
      <c r="AU51" s="624"/>
      <c r="AV51" s="624"/>
      <c r="AW51" s="624"/>
    </row>
    <row r="52" spans="2:49">
      <c r="B52" s="756"/>
      <c r="C52" s="624"/>
      <c r="D52" s="751"/>
      <c r="E52" s="751"/>
      <c r="F52" s="751"/>
      <c r="G52" s="751"/>
      <c r="H52" s="751"/>
      <c r="I52" s="624"/>
      <c r="J52" s="624"/>
      <c r="K52" s="750"/>
      <c r="L52" s="751"/>
      <c r="M52" s="751"/>
      <c r="N52" s="751"/>
      <c r="O52" s="750"/>
      <c r="P52" s="751"/>
      <c r="Q52" s="751"/>
      <c r="R52" s="751"/>
      <c r="S52" s="624"/>
      <c r="T52" s="751"/>
      <c r="U52" s="751"/>
      <c r="V52" s="751"/>
      <c r="W52" s="624"/>
      <c r="X52" s="751"/>
      <c r="Y52" s="751"/>
      <c r="Z52" s="751"/>
      <c r="AA52" s="750"/>
      <c r="AB52" s="751"/>
      <c r="AC52" s="661"/>
      <c r="AD52" s="661"/>
      <c r="AE52" s="624"/>
      <c r="AF52" s="751"/>
      <c r="AG52" s="751"/>
      <c r="AH52" s="751"/>
      <c r="AI52" s="624"/>
      <c r="AJ52" s="751"/>
      <c r="AK52" s="751"/>
      <c r="AL52" s="751"/>
      <c r="AM52" s="624"/>
      <c r="AN52" s="624"/>
      <c r="AO52" s="624"/>
      <c r="AP52" s="624"/>
      <c r="AQ52" s="737"/>
      <c r="AR52" s="753"/>
      <c r="AS52" s="753"/>
      <c r="AT52" s="753"/>
      <c r="AU52" s="624"/>
      <c r="AV52" s="624"/>
      <c r="AW52" s="624"/>
    </row>
    <row r="53" spans="2:49">
      <c r="B53" s="756"/>
      <c r="C53" s="624"/>
      <c r="D53" s="751"/>
      <c r="E53" s="751"/>
      <c r="F53" s="751"/>
      <c r="G53" s="751"/>
      <c r="H53" s="751"/>
      <c r="I53" s="624"/>
      <c r="J53" s="624"/>
      <c r="K53" s="750"/>
      <c r="L53" s="751"/>
      <c r="M53" s="751"/>
      <c r="N53" s="751"/>
      <c r="O53" s="750"/>
      <c r="P53" s="751"/>
      <c r="Q53" s="751"/>
      <c r="R53" s="751"/>
      <c r="S53" s="624"/>
      <c r="T53" s="751"/>
      <c r="U53" s="751"/>
      <c r="V53" s="751"/>
      <c r="W53" s="624"/>
      <c r="X53" s="751"/>
      <c r="Y53" s="751"/>
      <c r="Z53" s="751"/>
      <c r="AA53" s="750"/>
      <c r="AB53" s="751"/>
      <c r="AC53" s="661"/>
      <c r="AD53" s="661"/>
      <c r="AE53" s="624"/>
      <c r="AF53" s="751"/>
      <c r="AG53" s="751"/>
      <c r="AH53" s="751"/>
      <c r="AI53" s="624"/>
      <c r="AJ53" s="751"/>
      <c r="AK53" s="751"/>
      <c r="AL53" s="751"/>
      <c r="AM53" s="624"/>
      <c r="AN53" s="624"/>
      <c r="AO53" s="624"/>
      <c r="AP53" s="624"/>
      <c r="AQ53" s="737"/>
      <c r="AR53" s="753"/>
      <c r="AS53" s="753"/>
      <c r="AT53" s="753"/>
      <c r="AU53" s="624"/>
      <c r="AV53" s="624"/>
      <c r="AW53" s="624"/>
    </row>
    <row r="54" spans="2:49">
      <c r="B54" s="756"/>
      <c r="C54" s="624"/>
      <c r="D54" s="751"/>
      <c r="E54" s="751"/>
      <c r="F54" s="751"/>
      <c r="G54" s="751"/>
      <c r="H54" s="751"/>
      <c r="I54" s="624"/>
      <c r="J54" s="624"/>
      <c r="K54" s="750"/>
      <c r="L54" s="751"/>
      <c r="M54" s="751"/>
      <c r="N54" s="751"/>
      <c r="O54" s="750"/>
      <c r="P54" s="751"/>
      <c r="Q54" s="751"/>
      <c r="R54" s="751"/>
      <c r="S54" s="624"/>
      <c r="T54" s="751"/>
      <c r="U54" s="751"/>
      <c r="V54" s="751"/>
      <c r="W54" s="624"/>
      <c r="X54" s="751"/>
      <c r="Y54" s="751"/>
      <c r="Z54" s="751"/>
      <c r="AA54" s="750"/>
      <c r="AB54" s="751"/>
      <c r="AC54" s="661"/>
      <c r="AD54" s="661"/>
      <c r="AE54" s="624"/>
      <c r="AF54" s="751"/>
      <c r="AG54" s="751"/>
      <c r="AH54" s="751"/>
      <c r="AI54" s="624"/>
      <c r="AJ54" s="751"/>
      <c r="AK54" s="751"/>
      <c r="AL54" s="751"/>
      <c r="AM54" s="624"/>
      <c r="AN54" s="624"/>
      <c r="AO54" s="624"/>
      <c r="AP54" s="624"/>
      <c r="AQ54" s="737"/>
      <c r="AR54" s="753"/>
      <c r="AS54" s="753"/>
      <c r="AT54" s="753"/>
      <c r="AU54" s="624"/>
      <c r="AV54" s="624"/>
      <c r="AW54" s="624"/>
    </row>
    <row r="55" spans="2:49">
      <c r="B55" s="756"/>
      <c r="C55" s="624"/>
      <c r="D55" s="751"/>
      <c r="E55" s="751"/>
      <c r="F55" s="751"/>
      <c r="G55" s="751"/>
      <c r="H55" s="751"/>
      <c r="I55" s="624"/>
      <c r="J55" s="624"/>
      <c r="K55" s="750"/>
      <c r="L55" s="751"/>
      <c r="M55" s="751"/>
      <c r="N55" s="751"/>
      <c r="O55" s="750"/>
      <c r="P55" s="751"/>
      <c r="Q55" s="751"/>
      <c r="R55" s="751"/>
      <c r="S55" s="624"/>
      <c r="T55" s="751"/>
      <c r="U55" s="751"/>
      <c r="V55" s="751"/>
      <c r="W55" s="624"/>
      <c r="X55" s="751"/>
      <c r="Y55" s="751"/>
      <c r="Z55" s="751"/>
      <c r="AA55" s="750"/>
      <c r="AB55" s="751"/>
      <c r="AC55" s="661"/>
      <c r="AD55" s="661"/>
      <c r="AE55" s="624"/>
      <c r="AF55" s="751"/>
      <c r="AG55" s="751"/>
      <c r="AH55" s="751"/>
      <c r="AI55" s="624"/>
      <c r="AJ55" s="751"/>
      <c r="AK55" s="751"/>
      <c r="AL55" s="751"/>
      <c r="AM55" s="624"/>
      <c r="AN55" s="624"/>
      <c r="AO55" s="624"/>
      <c r="AP55" s="624"/>
      <c r="AQ55" s="737"/>
      <c r="AR55" s="753"/>
      <c r="AS55" s="753"/>
      <c r="AT55" s="753"/>
      <c r="AU55" s="624"/>
      <c r="AV55" s="624"/>
      <c r="AW55" s="624"/>
    </row>
    <row r="56" spans="2:49">
      <c r="B56" s="756"/>
      <c r="C56" s="624"/>
      <c r="D56" s="751"/>
      <c r="E56" s="751"/>
      <c r="F56" s="751"/>
      <c r="G56" s="751"/>
      <c r="H56" s="751"/>
      <c r="I56" s="624"/>
      <c r="J56" s="624"/>
      <c r="K56" s="750"/>
      <c r="L56" s="751"/>
      <c r="M56" s="751"/>
      <c r="N56" s="751"/>
      <c r="O56" s="750"/>
      <c r="P56" s="751"/>
      <c r="Q56" s="751"/>
      <c r="R56" s="751"/>
      <c r="S56" s="624"/>
      <c r="T56" s="751"/>
      <c r="U56" s="751"/>
      <c r="V56" s="751"/>
      <c r="W56" s="624"/>
      <c r="X56" s="751"/>
      <c r="Y56" s="751"/>
      <c r="Z56" s="751"/>
      <c r="AA56" s="750"/>
      <c r="AB56" s="751"/>
      <c r="AC56" s="661"/>
      <c r="AD56" s="661"/>
      <c r="AE56" s="624"/>
      <c r="AF56" s="751"/>
      <c r="AG56" s="751"/>
      <c r="AH56" s="751"/>
      <c r="AI56" s="624"/>
      <c r="AJ56" s="751"/>
      <c r="AK56" s="751"/>
      <c r="AL56" s="751"/>
      <c r="AM56" s="624"/>
      <c r="AN56" s="624"/>
      <c r="AO56" s="624"/>
      <c r="AP56" s="624"/>
      <c r="AQ56" s="737"/>
      <c r="AR56" s="753"/>
      <c r="AS56" s="753"/>
      <c r="AT56" s="753"/>
      <c r="AU56" s="624"/>
      <c r="AV56" s="624"/>
      <c r="AW56" s="624"/>
    </row>
    <row r="57" spans="2:49">
      <c r="B57" s="756"/>
      <c r="C57" s="624"/>
      <c r="D57" s="751"/>
      <c r="E57" s="751"/>
      <c r="F57" s="751"/>
      <c r="G57" s="751"/>
      <c r="H57" s="751"/>
      <c r="I57" s="624"/>
      <c r="J57" s="624"/>
      <c r="K57" s="750"/>
      <c r="L57" s="751"/>
      <c r="M57" s="751"/>
      <c r="N57" s="751"/>
      <c r="O57" s="750"/>
      <c r="P57" s="751"/>
      <c r="Q57" s="751"/>
      <c r="R57" s="751"/>
      <c r="S57" s="624"/>
      <c r="T57" s="751"/>
      <c r="U57" s="751"/>
      <c r="V57" s="751"/>
      <c r="W57" s="624"/>
      <c r="X57" s="751"/>
      <c r="Y57" s="751"/>
      <c r="Z57" s="751"/>
      <c r="AA57" s="750"/>
      <c r="AB57" s="751"/>
      <c r="AC57" s="661"/>
      <c r="AD57" s="661"/>
      <c r="AE57" s="624"/>
      <c r="AF57" s="751"/>
      <c r="AG57" s="751"/>
      <c r="AH57" s="751"/>
      <c r="AI57" s="624"/>
      <c r="AJ57" s="751"/>
      <c r="AK57" s="751"/>
      <c r="AL57" s="751"/>
      <c r="AM57" s="624"/>
      <c r="AN57" s="624"/>
      <c r="AO57" s="624"/>
      <c r="AP57" s="624"/>
      <c r="AQ57" s="737"/>
      <c r="AR57" s="753"/>
      <c r="AS57" s="753"/>
      <c r="AT57" s="753"/>
      <c r="AU57" s="624"/>
      <c r="AV57" s="624"/>
      <c r="AW57" s="624"/>
    </row>
    <row r="58" spans="2:49">
      <c r="B58" s="756"/>
      <c r="C58" s="624"/>
      <c r="D58" s="751"/>
      <c r="E58" s="751"/>
      <c r="F58" s="751"/>
      <c r="G58" s="751"/>
      <c r="H58" s="751"/>
      <c r="I58" s="624"/>
      <c r="J58" s="624"/>
      <c r="K58" s="750"/>
      <c r="L58" s="751"/>
      <c r="M58" s="751"/>
      <c r="N58" s="751"/>
      <c r="O58" s="750"/>
      <c r="P58" s="751"/>
      <c r="Q58" s="751"/>
      <c r="R58" s="751"/>
      <c r="S58" s="624"/>
      <c r="T58" s="751"/>
      <c r="U58" s="751"/>
      <c r="V58" s="751"/>
      <c r="W58" s="624"/>
      <c r="X58" s="751"/>
      <c r="Y58" s="751"/>
      <c r="Z58" s="751"/>
      <c r="AA58" s="750"/>
      <c r="AB58" s="751"/>
      <c r="AC58" s="661"/>
      <c r="AD58" s="661"/>
      <c r="AE58" s="624"/>
      <c r="AF58" s="751"/>
      <c r="AG58" s="751"/>
      <c r="AH58" s="751"/>
      <c r="AI58" s="624"/>
      <c r="AJ58" s="751"/>
      <c r="AK58" s="751"/>
      <c r="AL58" s="751"/>
      <c r="AM58" s="624"/>
      <c r="AN58" s="624"/>
      <c r="AO58" s="624"/>
      <c r="AP58" s="624"/>
      <c r="AQ58" s="737"/>
      <c r="AR58" s="753"/>
      <c r="AS58" s="753"/>
      <c r="AT58" s="753"/>
      <c r="AU58" s="624"/>
      <c r="AV58" s="624"/>
      <c r="AW58" s="624"/>
    </row>
    <row r="59" spans="2:49">
      <c r="B59" s="756"/>
      <c r="C59" s="624"/>
      <c r="D59" s="751"/>
      <c r="E59" s="751"/>
      <c r="F59" s="751"/>
      <c r="G59" s="751"/>
      <c r="H59" s="751"/>
      <c r="I59" s="624"/>
      <c r="J59" s="624"/>
      <c r="K59" s="750"/>
      <c r="L59" s="751"/>
      <c r="M59" s="751"/>
      <c r="N59" s="751"/>
      <c r="O59" s="750"/>
      <c r="P59" s="751"/>
      <c r="Q59" s="751"/>
      <c r="R59" s="751"/>
      <c r="S59" s="624"/>
      <c r="T59" s="751"/>
      <c r="U59" s="751"/>
      <c r="V59" s="751"/>
      <c r="W59" s="624"/>
      <c r="X59" s="751"/>
      <c r="Y59" s="751"/>
      <c r="Z59" s="751"/>
      <c r="AA59" s="750"/>
      <c r="AB59" s="751"/>
      <c r="AC59" s="661"/>
      <c r="AD59" s="661"/>
      <c r="AE59" s="624"/>
      <c r="AF59" s="751"/>
      <c r="AG59" s="751"/>
      <c r="AH59" s="751"/>
      <c r="AI59" s="624"/>
      <c r="AJ59" s="751"/>
      <c r="AK59" s="751"/>
      <c r="AL59" s="751"/>
      <c r="AM59" s="624"/>
      <c r="AN59" s="624"/>
      <c r="AO59" s="624"/>
      <c r="AP59" s="624"/>
      <c r="AQ59" s="737"/>
      <c r="AR59" s="753"/>
      <c r="AS59" s="753"/>
      <c r="AT59" s="753"/>
      <c r="AU59" s="624"/>
      <c r="AV59" s="624"/>
      <c r="AW59" s="624"/>
    </row>
    <row r="60" spans="2:49">
      <c r="B60" s="756"/>
      <c r="C60" s="624"/>
      <c r="D60" s="751"/>
      <c r="E60" s="751"/>
      <c r="F60" s="751"/>
      <c r="G60" s="751"/>
      <c r="H60" s="751"/>
      <c r="I60" s="624"/>
      <c r="J60" s="624"/>
      <c r="K60" s="750"/>
      <c r="L60" s="751"/>
      <c r="M60" s="751"/>
      <c r="N60" s="751"/>
      <c r="O60" s="750"/>
      <c r="P60" s="751"/>
      <c r="Q60" s="751"/>
      <c r="R60" s="751"/>
      <c r="S60" s="624"/>
      <c r="T60" s="751"/>
      <c r="U60" s="751"/>
      <c r="V60" s="751"/>
      <c r="W60" s="624"/>
      <c r="X60" s="751"/>
      <c r="Y60" s="751"/>
      <c r="Z60" s="751"/>
      <c r="AA60" s="750"/>
      <c r="AB60" s="751"/>
      <c r="AC60" s="661"/>
      <c r="AD60" s="661"/>
      <c r="AE60" s="624"/>
      <c r="AF60" s="751"/>
      <c r="AG60" s="751"/>
      <c r="AH60" s="751"/>
      <c r="AI60" s="624"/>
      <c r="AJ60" s="751"/>
      <c r="AK60" s="751"/>
      <c r="AL60" s="751"/>
      <c r="AM60" s="624"/>
      <c r="AN60" s="624"/>
      <c r="AO60" s="624"/>
      <c r="AP60" s="624"/>
      <c r="AQ60" s="737"/>
      <c r="AR60" s="753"/>
      <c r="AS60" s="753"/>
      <c r="AT60" s="753"/>
      <c r="AU60" s="624"/>
      <c r="AV60" s="624"/>
      <c r="AW60" s="624"/>
    </row>
    <row r="61" spans="2:49">
      <c r="B61" s="756"/>
      <c r="C61" s="624"/>
      <c r="D61" s="751"/>
      <c r="E61" s="751"/>
      <c r="F61" s="751"/>
      <c r="G61" s="751"/>
      <c r="H61" s="751"/>
      <c r="I61" s="624"/>
      <c r="J61" s="624"/>
      <c r="K61" s="750"/>
      <c r="L61" s="751"/>
      <c r="M61" s="751"/>
      <c r="N61" s="751"/>
      <c r="O61" s="750"/>
      <c r="P61" s="751"/>
      <c r="Q61" s="751"/>
      <c r="R61" s="751"/>
      <c r="S61" s="624"/>
      <c r="T61" s="751"/>
      <c r="U61" s="751"/>
      <c r="V61" s="751"/>
      <c r="W61" s="624"/>
      <c r="X61" s="751"/>
      <c r="Y61" s="751"/>
      <c r="Z61" s="751"/>
      <c r="AA61" s="750"/>
      <c r="AB61" s="751"/>
      <c r="AC61" s="661"/>
      <c r="AD61" s="661"/>
      <c r="AE61" s="624"/>
      <c r="AF61" s="751"/>
      <c r="AG61" s="751"/>
      <c r="AH61" s="751"/>
      <c r="AI61" s="624"/>
      <c r="AJ61" s="751"/>
      <c r="AK61" s="751"/>
      <c r="AL61" s="751"/>
      <c r="AM61" s="624"/>
      <c r="AN61" s="624"/>
      <c r="AO61" s="624"/>
      <c r="AP61" s="624"/>
      <c r="AQ61" s="737"/>
      <c r="AR61" s="753"/>
      <c r="AS61" s="753"/>
      <c r="AT61" s="753"/>
      <c r="AU61" s="624"/>
      <c r="AV61" s="624"/>
      <c r="AW61" s="624"/>
    </row>
    <row r="62" spans="2:49">
      <c r="B62" s="756"/>
      <c r="C62" s="624"/>
      <c r="D62" s="751"/>
      <c r="E62" s="751"/>
      <c r="F62" s="751"/>
      <c r="G62" s="751"/>
      <c r="H62" s="751"/>
      <c r="I62" s="624"/>
      <c r="J62" s="624"/>
      <c r="K62" s="750"/>
      <c r="L62" s="751"/>
      <c r="M62" s="751"/>
      <c r="N62" s="751"/>
      <c r="O62" s="750"/>
      <c r="P62" s="751"/>
      <c r="Q62" s="751"/>
      <c r="R62" s="751"/>
      <c r="S62" s="624"/>
      <c r="T62" s="751"/>
      <c r="U62" s="751"/>
      <c r="V62" s="751"/>
      <c r="W62" s="624"/>
      <c r="X62" s="751"/>
      <c r="Y62" s="751"/>
      <c r="Z62" s="751"/>
      <c r="AA62" s="750"/>
      <c r="AB62" s="751"/>
      <c r="AC62" s="661"/>
      <c r="AD62" s="661"/>
      <c r="AE62" s="624"/>
      <c r="AF62" s="751"/>
      <c r="AG62" s="751"/>
      <c r="AH62" s="751"/>
      <c r="AI62" s="624"/>
      <c r="AJ62" s="751"/>
      <c r="AK62" s="751"/>
      <c r="AL62" s="751"/>
      <c r="AM62" s="624"/>
      <c r="AN62" s="624"/>
      <c r="AO62" s="624"/>
      <c r="AP62" s="624"/>
      <c r="AQ62" s="737"/>
      <c r="AR62" s="753"/>
      <c r="AS62" s="753"/>
      <c r="AT62" s="753"/>
      <c r="AU62" s="624"/>
      <c r="AV62" s="624"/>
      <c r="AW62" s="624"/>
    </row>
    <row r="63" spans="2:49">
      <c r="B63" s="756"/>
      <c r="C63" s="624"/>
      <c r="D63" s="751"/>
      <c r="E63" s="751"/>
      <c r="F63" s="751"/>
      <c r="G63" s="751"/>
      <c r="H63" s="751"/>
      <c r="I63" s="624"/>
      <c r="J63" s="624"/>
      <c r="K63" s="750"/>
      <c r="L63" s="751"/>
      <c r="M63" s="751"/>
      <c r="N63" s="751"/>
      <c r="O63" s="750"/>
      <c r="P63" s="751"/>
      <c r="Q63" s="751"/>
      <c r="R63" s="751"/>
      <c r="S63" s="624"/>
      <c r="T63" s="751"/>
      <c r="U63" s="751"/>
      <c r="V63" s="751"/>
      <c r="W63" s="624"/>
      <c r="X63" s="751"/>
      <c r="Y63" s="751"/>
      <c r="Z63" s="751"/>
      <c r="AA63" s="750"/>
      <c r="AB63" s="751"/>
      <c r="AC63" s="661"/>
      <c r="AD63" s="661"/>
      <c r="AE63" s="624"/>
      <c r="AF63" s="751"/>
      <c r="AG63" s="751"/>
      <c r="AH63" s="751"/>
      <c r="AI63" s="624"/>
      <c r="AJ63" s="751"/>
      <c r="AK63" s="751"/>
      <c r="AL63" s="751"/>
      <c r="AM63" s="624"/>
      <c r="AN63" s="624"/>
      <c r="AO63" s="624"/>
      <c r="AP63" s="624"/>
      <c r="AQ63" s="737"/>
      <c r="AR63" s="753"/>
      <c r="AS63" s="753"/>
      <c r="AT63" s="753"/>
      <c r="AU63" s="624"/>
      <c r="AV63" s="624"/>
      <c r="AW63" s="624"/>
    </row>
    <row r="64" spans="2:49">
      <c r="B64" s="756"/>
      <c r="C64" s="624"/>
      <c r="D64" s="751"/>
      <c r="E64" s="751"/>
      <c r="F64" s="751"/>
      <c r="G64" s="751"/>
      <c r="H64" s="751"/>
      <c r="I64" s="624"/>
      <c r="J64" s="624"/>
      <c r="K64" s="750"/>
      <c r="L64" s="751"/>
      <c r="M64" s="751"/>
      <c r="N64" s="751"/>
      <c r="O64" s="750"/>
      <c r="P64" s="751"/>
      <c r="Q64" s="751"/>
      <c r="R64" s="751"/>
      <c r="S64" s="624"/>
      <c r="T64" s="751"/>
      <c r="U64" s="751"/>
      <c r="V64" s="751"/>
      <c r="W64" s="624"/>
      <c r="X64" s="751"/>
      <c r="Y64" s="751"/>
      <c r="Z64" s="751"/>
      <c r="AA64" s="750"/>
      <c r="AB64" s="751"/>
      <c r="AC64" s="661"/>
      <c r="AD64" s="661"/>
      <c r="AE64" s="624"/>
      <c r="AF64" s="751"/>
      <c r="AG64" s="751"/>
      <c r="AH64" s="751"/>
      <c r="AI64" s="624"/>
      <c r="AJ64" s="751"/>
      <c r="AK64" s="751"/>
      <c r="AL64" s="751"/>
      <c r="AM64" s="624"/>
      <c r="AN64" s="624"/>
      <c r="AO64" s="624"/>
      <c r="AP64" s="624"/>
      <c r="AQ64" s="737"/>
      <c r="AR64" s="753"/>
      <c r="AS64" s="753"/>
      <c r="AT64" s="753"/>
      <c r="AU64" s="624"/>
      <c r="AV64" s="624"/>
      <c r="AW64" s="624"/>
    </row>
    <row r="65" spans="2:49">
      <c r="B65" s="756"/>
      <c r="C65" s="624"/>
      <c r="D65" s="751"/>
      <c r="E65" s="751"/>
      <c r="F65" s="751"/>
      <c r="G65" s="751"/>
      <c r="H65" s="751"/>
      <c r="I65" s="624"/>
      <c r="J65" s="624"/>
      <c r="K65" s="750"/>
      <c r="L65" s="751"/>
      <c r="M65" s="751"/>
      <c r="N65" s="751"/>
      <c r="O65" s="750"/>
      <c r="P65" s="751"/>
      <c r="Q65" s="751"/>
      <c r="R65" s="751"/>
      <c r="S65" s="624"/>
      <c r="T65" s="751"/>
      <c r="U65" s="751"/>
      <c r="V65" s="751"/>
      <c r="W65" s="624"/>
      <c r="X65" s="751"/>
      <c r="Y65" s="751"/>
      <c r="Z65" s="751"/>
      <c r="AA65" s="750"/>
      <c r="AB65" s="751"/>
      <c r="AC65" s="661"/>
      <c r="AD65" s="661"/>
      <c r="AE65" s="624"/>
      <c r="AF65" s="751"/>
      <c r="AG65" s="751"/>
      <c r="AH65" s="751"/>
      <c r="AI65" s="624"/>
      <c r="AJ65" s="751"/>
      <c r="AK65" s="751"/>
      <c r="AL65" s="751"/>
      <c r="AM65" s="624"/>
      <c r="AN65" s="624"/>
      <c r="AO65" s="624"/>
      <c r="AP65" s="624"/>
      <c r="AQ65" s="737"/>
      <c r="AR65" s="753"/>
      <c r="AS65" s="753"/>
      <c r="AT65" s="753"/>
      <c r="AU65" s="624"/>
      <c r="AV65" s="624"/>
      <c r="AW65" s="624"/>
    </row>
    <row r="66" spans="2:49">
      <c r="B66" s="756"/>
      <c r="C66" s="624"/>
      <c r="D66" s="751"/>
      <c r="E66" s="751"/>
      <c r="F66" s="751"/>
      <c r="G66" s="751"/>
      <c r="H66" s="751"/>
      <c r="I66" s="624"/>
      <c r="J66" s="624"/>
      <c r="K66" s="750"/>
      <c r="L66" s="751"/>
      <c r="M66" s="751"/>
      <c r="N66" s="751"/>
      <c r="O66" s="750"/>
      <c r="P66" s="751"/>
      <c r="Q66" s="751"/>
      <c r="R66" s="751"/>
      <c r="S66" s="624"/>
      <c r="T66" s="751"/>
      <c r="U66" s="751"/>
      <c r="V66" s="751"/>
      <c r="W66" s="624"/>
      <c r="X66" s="751"/>
      <c r="Y66" s="751"/>
      <c r="Z66" s="751"/>
      <c r="AA66" s="750"/>
      <c r="AB66" s="751"/>
      <c r="AC66" s="661"/>
      <c r="AD66" s="661"/>
      <c r="AE66" s="624"/>
      <c r="AF66" s="751"/>
      <c r="AG66" s="751"/>
      <c r="AH66" s="751"/>
      <c r="AI66" s="624"/>
      <c r="AJ66" s="751"/>
      <c r="AK66" s="751"/>
      <c r="AL66" s="751"/>
      <c r="AM66" s="624"/>
      <c r="AN66" s="624"/>
      <c r="AO66" s="624"/>
      <c r="AP66" s="624"/>
      <c r="AQ66" s="737"/>
      <c r="AR66" s="753"/>
      <c r="AS66" s="753"/>
      <c r="AT66" s="753"/>
      <c r="AU66" s="624"/>
      <c r="AV66" s="624"/>
      <c r="AW66" s="624"/>
    </row>
    <row r="67" spans="2:49">
      <c r="B67" s="756"/>
      <c r="C67" s="624"/>
      <c r="D67" s="751"/>
      <c r="E67" s="751"/>
      <c r="F67" s="751"/>
      <c r="G67" s="751"/>
      <c r="H67" s="751"/>
      <c r="I67" s="624"/>
      <c r="J67" s="624"/>
      <c r="K67" s="750"/>
      <c r="L67" s="751"/>
      <c r="M67" s="751"/>
      <c r="N67" s="751"/>
      <c r="O67" s="750"/>
      <c r="P67" s="751"/>
      <c r="Q67" s="751"/>
      <c r="R67" s="751"/>
      <c r="S67" s="624"/>
      <c r="T67" s="751"/>
      <c r="U67" s="751"/>
      <c r="V67" s="751"/>
      <c r="W67" s="624"/>
      <c r="X67" s="751"/>
      <c r="Y67" s="751"/>
      <c r="Z67" s="751"/>
      <c r="AA67" s="750"/>
      <c r="AB67" s="751"/>
      <c r="AC67" s="661"/>
      <c r="AD67" s="661"/>
      <c r="AE67" s="624"/>
      <c r="AF67" s="751"/>
      <c r="AG67" s="751"/>
      <c r="AH67" s="751"/>
      <c r="AI67" s="624"/>
      <c r="AJ67" s="751"/>
      <c r="AK67" s="751"/>
      <c r="AL67" s="751"/>
      <c r="AM67" s="624"/>
      <c r="AN67" s="624"/>
      <c r="AO67" s="624"/>
      <c r="AP67" s="624"/>
      <c r="AQ67" s="737"/>
      <c r="AR67" s="753"/>
      <c r="AS67" s="753"/>
      <c r="AT67" s="753"/>
      <c r="AU67" s="624"/>
      <c r="AV67" s="624"/>
      <c r="AW67" s="624"/>
    </row>
    <row r="68" spans="2:49">
      <c r="B68" s="756"/>
      <c r="C68" s="624"/>
      <c r="D68" s="751"/>
      <c r="E68" s="751"/>
      <c r="F68" s="751"/>
      <c r="G68" s="751"/>
      <c r="H68" s="751"/>
      <c r="I68" s="624"/>
      <c r="J68" s="624"/>
      <c r="K68" s="750"/>
      <c r="L68" s="751"/>
      <c r="M68" s="751"/>
      <c r="N68" s="751"/>
      <c r="O68" s="750"/>
      <c r="P68" s="751"/>
      <c r="Q68" s="751"/>
      <c r="R68" s="751"/>
      <c r="S68" s="624"/>
      <c r="T68" s="751"/>
      <c r="U68" s="751"/>
      <c r="V68" s="751"/>
      <c r="W68" s="624"/>
      <c r="X68" s="751"/>
      <c r="Y68" s="751"/>
      <c r="Z68" s="751"/>
      <c r="AA68" s="750"/>
      <c r="AB68" s="751"/>
      <c r="AC68" s="661"/>
      <c r="AD68" s="661"/>
      <c r="AE68" s="624"/>
      <c r="AF68" s="751"/>
      <c r="AG68" s="751"/>
      <c r="AH68" s="751"/>
      <c r="AI68" s="624"/>
      <c r="AJ68" s="751"/>
      <c r="AK68" s="751"/>
      <c r="AL68" s="751"/>
      <c r="AM68" s="624"/>
      <c r="AN68" s="624"/>
      <c r="AO68" s="624"/>
      <c r="AP68" s="624"/>
      <c r="AQ68" s="737"/>
      <c r="AR68" s="753"/>
      <c r="AS68" s="753"/>
      <c r="AT68" s="753"/>
      <c r="AU68" s="624"/>
      <c r="AV68" s="624"/>
      <c r="AW68" s="624"/>
    </row>
    <row r="69" spans="2:49">
      <c r="B69" s="756"/>
      <c r="C69" s="624"/>
      <c r="D69" s="751"/>
      <c r="E69" s="751"/>
      <c r="F69" s="751"/>
      <c r="G69" s="751"/>
      <c r="H69" s="751"/>
      <c r="I69" s="624"/>
      <c r="J69" s="624"/>
      <c r="K69" s="750"/>
      <c r="L69" s="751"/>
      <c r="M69" s="751"/>
      <c r="N69" s="751"/>
      <c r="O69" s="750"/>
      <c r="P69" s="751"/>
      <c r="Q69" s="751"/>
      <c r="R69" s="751"/>
      <c r="S69" s="624"/>
      <c r="T69" s="751"/>
      <c r="U69" s="751"/>
      <c r="V69" s="751"/>
      <c r="W69" s="624"/>
      <c r="X69" s="751"/>
      <c r="Y69" s="751"/>
      <c r="Z69" s="751"/>
      <c r="AA69" s="750"/>
      <c r="AB69" s="751"/>
      <c r="AC69" s="661"/>
      <c r="AD69" s="661"/>
      <c r="AE69" s="624"/>
      <c r="AF69" s="751"/>
      <c r="AG69" s="751"/>
      <c r="AH69" s="751"/>
      <c r="AI69" s="624"/>
      <c r="AJ69" s="751"/>
      <c r="AK69" s="751"/>
      <c r="AL69" s="751"/>
      <c r="AM69" s="624"/>
      <c r="AN69" s="624"/>
      <c r="AO69" s="624"/>
      <c r="AP69" s="624"/>
      <c r="AQ69" s="737"/>
      <c r="AR69" s="753"/>
      <c r="AS69" s="753"/>
      <c r="AT69" s="753"/>
      <c r="AU69" s="624"/>
      <c r="AV69" s="624"/>
      <c r="AW69" s="624"/>
    </row>
    <row r="70" spans="2:49">
      <c r="B70" s="756"/>
      <c r="C70" s="624"/>
      <c r="D70" s="751"/>
      <c r="E70" s="751"/>
      <c r="F70" s="751"/>
      <c r="G70" s="751"/>
      <c r="H70" s="751"/>
      <c r="I70" s="624"/>
      <c r="J70" s="624"/>
      <c r="K70" s="750"/>
      <c r="L70" s="751"/>
      <c r="M70" s="751"/>
      <c r="N70" s="751"/>
      <c r="O70" s="750"/>
      <c r="P70" s="751"/>
      <c r="Q70" s="751"/>
      <c r="R70" s="751"/>
      <c r="S70" s="624"/>
      <c r="T70" s="751"/>
      <c r="U70" s="751"/>
      <c r="V70" s="751"/>
      <c r="W70" s="624"/>
      <c r="X70" s="751"/>
      <c r="Y70" s="751"/>
      <c r="Z70" s="751"/>
      <c r="AA70" s="750"/>
      <c r="AB70" s="751"/>
      <c r="AC70" s="661"/>
      <c r="AD70" s="661"/>
      <c r="AE70" s="624"/>
      <c r="AF70" s="751"/>
      <c r="AG70" s="751"/>
      <c r="AH70" s="751"/>
      <c r="AI70" s="624"/>
      <c r="AJ70" s="751"/>
      <c r="AK70" s="751"/>
      <c r="AL70" s="751"/>
      <c r="AM70" s="624"/>
      <c r="AN70" s="624"/>
      <c r="AO70" s="624"/>
      <c r="AP70" s="624"/>
      <c r="AQ70" s="737"/>
      <c r="AR70" s="753"/>
      <c r="AS70" s="753"/>
      <c r="AT70" s="753"/>
      <c r="AU70" s="624"/>
      <c r="AV70" s="624"/>
      <c r="AW70" s="624"/>
    </row>
    <row r="71" spans="2:49">
      <c r="B71" s="756"/>
      <c r="C71" s="624"/>
      <c r="D71" s="751"/>
      <c r="E71" s="751"/>
      <c r="F71" s="751"/>
      <c r="G71" s="751"/>
      <c r="H71" s="751"/>
      <c r="I71" s="624"/>
      <c r="J71" s="624"/>
      <c r="K71" s="750"/>
      <c r="L71" s="751"/>
      <c r="M71" s="751"/>
      <c r="N71" s="751"/>
      <c r="O71" s="750"/>
      <c r="P71" s="751"/>
      <c r="Q71" s="751"/>
      <c r="R71" s="751"/>
      <c r="S71" s="624"/>
      <c r="T71" s="751"/>
      <c r="U71" s="751"/>
      <c r="V71" s="751"/>
      <c r="W71" s="624"/>
      <c r="X71" s="751"/>
      <c r="Y71" s="751"/>
      <c r="Z71" s="751"/>
      <c r="AA71" s="750"/>
      <c r="AB71" s="751"/>
      <c r="AC71" s="661"/>
      <c r="AD71" s="661"/>
      <c r="AE71" s="624"/>
      <c r="AF71" s="751"/>
      <c r="AG71" s="751"/>
      <c r="AH71" s="751"/>
      <c r="AI71" s="624"/>
      <c r="AJ71" s="751"/>
      <c r="AK71" s="751"/>
      <c r="AL71" s="751"/>
      <c r="AM71" s="624"/>
      <c r="AN71" s="624"/>
      <c r="AO71" s="624"/>
      <c r="AP71" s="624"/>
      <c r="AQ71" s="737"/>
      <c r="AR71" s="753"/>
      <c r="AS71" s="753"/>
      <c r="AT71" s="753"/>
      <c r="AU71" s="624"/>
      <c r="AV71" s="624"/>
      <c r="AW71" s="624"/>
    </row>
    <row r="72" spans="2:49">
      <c r="B72" s="756"/>
      <c r="C72" s="624"/>
      <c r="D72" s="751"/>
      <c r="E72" s="751"/>
      <c r="F72" s="751"/>
      <c r="G72" s="751"/>
      <c r="H72" s="751"/>
      <c r="I72" s="624"/>
      <c r="J72" s="624"/>
      <c r="K72" s="750"/>
      <c r="L72" s="751"/>
      <c r="M72" s="751"/>
      <c r="N72" s="751"/>
      <c r="O72" s="750"/>
      <c r="P72" s="751"/>
      <c r="Q72" s="751"/>
      <c r="R72" s="751"/>
      <c r="S72" s="624"/>
      <c r="T72" s="751"/>
      <c r="U72" s="751"/>
      <c r="V72" s="751"/>
      <c r="W72" s="624"/>
      <c r="X72" s="751"/>
      <c r="Y72" s="751"/>
      <c r="Z72" s="751"/>
      <c r="AA72" s="750"/>
      <c r="AB72" s="751"/>
      <c r="AC72" s="661"/>
      <c r="AD72" s="661"/>
      <c r="AE72" s="624"/>
      <c r="AF72" s="751"/>
      <c r="AG72" s="751"/>
      <c r="AH72" s="751"/>
      <c r="AI72" s="624"/>
      <c r="AJ72" s="751"/>
      <c r="AK72" s="751"/>
      <c r="AL72" s="751"/>
      <c r="AM72" s="624"/>
      <c r="AN72" s="624"/>
      <c r="AO72" s="624"/>
      <c r="AP72" s="624"/>
      <c r="AQ72" s="737"/>
      <c r="AR72" s="753"/>
      <c r="AS72" s="753"/>
      <c r="AT72" s="753"/>
      <c r="AU72" s="624"/>
      <c r="AV72" s="624"/>
      <c r="AW72" s="624"/>
    </row>
    <row r="73" spans="2:49">
      <c r="B73" s="756"/>
      <c r="C73" s="624"/>
      <c r="D73" s="751"/>
      <c r="E73" s="751"/>
      <c r="F73" s="751"/>
      <c r="G73" s="751"/>
      <c r="H73" s="751"/>
      <c r="I73" s="624"/>
      <c r="J73" s="624"/>
      <c r="K73" s="750"/>
      <c r="L73" s="751"/>
      <c r="M73" s="751"/>
      <c r="N73" s="751"/>
      <c r="O73" s="750"/>
      <c r="P73" s="751"/>
      <c r="Q73" s="751"/>
      <c r="R73" s="751"/>
      <c r="S73" s="624"/>
      <c r="T73" s="751"/>
      <c r="U73" s="751"/>
      <c r="V73" s="751"/>
      <c r="W73" s="624"/>
      <c r="X73" s="751"/>
      <c r="Y73" s="751"/>
      <c r="Z73" s="751"/>
      <c r="AA73" s="750"/>
      <c r="AB73" s="751"/>
      <c r="AC73" s="661"/>
      <c r="AD73" s="661"/>
      <c r="AE73" s="624"/>
      <c r="AF73" s="751"/>
      <c r="AG73" s="751"/>
      <c r="AH73" s="751"/>
      <c r="AI73" s="624"/>
      <c r="AJ73" s="751"/>
      <c r="AK73" s="751"/>
      <c r="AL73" s="751"/>
      <c r="AM73" s="624"/>
      <c r="AN73" s="624"/>
      <c r="AO73" s="624"/>
      <c r="AP73" s="624"/>
      <c r="AQ73" s="737"/>
      <c r="AR73" s="753"/>
      <c r="AS73" s="753"/>
      <c r="AT73" s="753"/>
      <c r="AU73" s="624"/>
      <c r="AV73" s="624"/>
      <c r="AW73" s="624"/>
    </row>
    <row r="74" spans="2:49">
      <c r="B74" s="756"/>
      <c r="C74" s="624"/>
      <c r="D74" s="751"/>
      <c r="E74" s="751"/>
      <c r="F74" s="751"/>
      <c r="G74" s="751"/>
      <c r="H74" s="751"/>
      <c r="I74" s="624"/>
      <c r="J74" s="624"/>
      <c r="K74" s="750"/>
      <c r="L74" s="751"/>
      <c r="M74" s="751"/>
      <c r="N74" s="751"/>
      <c r="O74" s="750"/>
      <c r="P74" s="751"/>
      <c r="Q74" s="751"/>
      <c r="R74" s="751"/>
      <c r="S74" s="624"/>
      <c r="T74" s="751"/>
      <c r="U74" s="751"/>
      <c r="V74" s="751"/>
      <c r="W74" s="624"/>
      <c r="X74" s="751"/>
      <c r="Y74" s="751"/>
      <c r="Z74" s="751"/>
      <c r="AA74" s="750"/>
      <c r="AB74" s="751"/>
      <c r="AC74" s="661"/>
      <c r="AD74" s="661"/>
      <c r="AE74" s="624"/>
      <c r="AF74" s="751"/>
      <c r="AG74" s="751"/>
      <c r="AH74" s="751"/>
      <c r="AI74" s="624"/>
      <c r="AJ74" s="751"/>
      <c r="AK74" s="751"/>
      <c r="AL74" s="751"/>
      <c r="AM74" s="624"/>
      <c r="AN74" s="624"/>
      <c r="AO74" s="624"/>
      <c r="AP74" s="624"/>
      <c r="AQ74" s="737"/>
      <c r="AR74" s="753"/>
      <c r="AS74" s="753"/>
      <c r="AT74" s="753"/>
      <c r="AU74" s="624"/>
      <c r="AV74" s="624"/>
      <c r="AW74" s="624"/>
    </row>
    <row r="75" spans="2:49">
      <c r="B75" s="756"/>
      <c r="C75" s="624"/>
      <c r="D75" s="751"/>
      <c r="E75" s="751"/>
      <c r="F75" s="751"/>
      <c r="G75" s="751"/>
      <c r="H75" s="751"/>
      <c r="I75" s="624"/>
      <c r="J75" s="624"/>
      <c r="K75" s="750"/>
      <c r="L75" s="751"/>
      <c r="M75" s="751"/>
      <c r="N75" s="751"/>
      <c r="O75" s="750"/>
      <c r="P75" s="751"/>
      <c r="Q75" s="751"/>
      <c r="R75" s="751"/>
      <c r="S75" s="624"/>
      <c r="T75" s="751"/>
      <c r="U75" s="751"/>
      <c r="V75" s="751"/>
      <c r="W75" s="624"/>
      <c r="X75" s="751"/>
      <c r="Y75" s="751"/>
      <c r="Z75" s="751"/>
      <c r="AA75" s="750"/>
      <c r="AB75" s="751"/>
      <c r="AC75" s="661"/>
      <c r="AD75" s="661"/>
      <c r="AE75" s="624"/>
      <c r="AF75" s="751"/>
      <c r="AG75" s="751"/>
      <c r="AH75" s="751"/>
      <c r="AI75" s="624"/>
      <c r="AJ75" s="751"/>
      <c r="AK75" s="751"/>
      <c r="AL75" s="751"/>
      <c r="AM75" s="624"/>
      <c r="AN75" s="624"/>
      <c r="AO75" s="624"/>
      <c r="AP75" s="624"/>
      <c r="AQ75" s="737"/>
      <c r="AR75" s="753"/>
      <c r="AS75" s="753"/>
      <c r="AT75" s="753"/>
      <c r="AU75" s="624"/>
      <c r="AV75" s="624"/>
      <c r="AW75" s="624"/>
    </row>
    <row r="76" spans="2:49">
      <c r="B76" s="756"/>
      <c r="C76" s="624"/>
      <c r="D76" s="751"/>
      <c r="E76" s="751"/>
      <c r="F76" s="751"/>
      <c r="G76" s="751"/>
      <c r="H76" s="751"/>
      <c r="I76" s="624"/>
      <c r="J76" s="624"/>
      <c r="K76" s="750"/>
      <c r="L76" s="751"/>
      <c r="M76" s="751"/>
      <c r="N76" s="751"/>
      <c r="O76" s="750"/>
      <c r="P76" s="751"/>
      <c r="Q76" s="751"/>
      <c r="R76" s="751"/>
      <c r="S76" s="624"/>
      <c r="T76" s="751"/>
      <c r="U76" s="751"/>
      <c r="V76" s="751"/>
      <c r="W76" s="624"/>
      <c r="X76" s="751"/>
      <c r="Y76" s="751"/>
      <c r="Z76" s="751"/>
      <c r="AA76" s="750"/>
      <c r="AB76" s="751"/>
      <c r="AC76" s="661"/>
      <c r="AD76" s="661"/>
      <c r="AE76" s="624"/>
      <c r="AF76" s="751"/>
      <c r="AG76" s="751"/>
      <c r="AH76" s="751"/>
      <c r="AI76" s="624"/>
      <c r="AJ76" s="751"/>
      <c r="AK76" s="751"/>
      <c r="AL76" s="751"/>
      <c r="AM76" s="624"/>
      <c r="AN76" s="624"/>
      <c r="AO76" s="624"/>
      <c r="AP76" s="624"/>
      <c r="AQ76" s="737"/>
      <c r="AR76" s="753"/>
      <c r="AS76" s="753"/>
      <c r="AT76" s="753"/>
      <c r="AU76" s="624"/>
      <c r="AV76" s="624"/>
      <c r="AW76" s="624"/>
    </row>
    <row r="77" spans="2:49">
      <c r="B77" s="756"/>
      <c r="C77" s="624"/>
      <c r="D77" s="751"/>
      <c r="E77" s="751"/>
      <c r="F77" s="751"/>
      <c r="G77" s="751"/>
      <c r="H77" s="751"/>
      <c r="I77" s="624"/>
      <c r="J77" s="624"/>
      <c r="K77" s="750"/>
      <c r="L77" s="751"/>
      <c r="M77" s="751"/>
      <c r="N77" s="751"/>
      <c r="O77" s="750"/>
      <c r="P77" s="751"/>
      <c r="Q77" s="751"/>
      <c r="R77" s="751"/>
      <c r="S77" s="624"/>
      <c r="T77" s="751"/>
      <c r="U77" s="751"/>
      <c r="V77" s="751"/>
      <c r="W77" s="624"/>
      <c r="X77" s="751"/>
      <c r="Y77" s="751"/>
      <c r="Z77" s="751"/>
      <c r="AA77" s="750"/>
      <c r="AB77" s="751"/>
      <c r="AC77" s="661"/>
      <c r="AD77" s="661"/>
      <c r="AE77" s="624"/>
      <c r="AF77" s="751"/>
      <c r="AG77" s="751"/>
      <c r="AH77" s="751"/>
      <c r="AI77" s="624"/>
      <c r="AJ77" s="751"/>
      <c r="AK77" s="751"/>
      <c r="AL77" s="751"/>
      <c r="AM77" s="624"/>
      <c r="AN77" s="624"/>
      <c r="AO77" s="624"/>
      <c r="AP77" s="624"/>
      <c r="AQ77" s="737"/>
      <c r="AR77" s="753"/>
      <c r="AS77" s="753"/>
      <c r="AT77" s="753"/>
      <c r="AU77" s="624"/>
      <c r="AV77" s="624"/>
      <c r="AW77" s="624"/>
    </row>
    <row r="78" spans="2:49">
      <c r="B78" s="756"/>
      <c r="C78" s="624"/>
      <c r="D78" s="751"/>
      <c r="E78" s="751"/>
      <c r="F78" s="751"/>
      <c r="G78" s="751"/>
      <c r="H78" s="751"/>
      <c r="I78" s="624"/>
      <c r="J78" s="624"/>
      <c r="K78" s="750"/>
      <c r="L78" s="751"/>
      <c r="M78" s="751"/>
      <c r="N78" s="751"/>
      <c r="O78" s="750"/>
      <c r="P78" s="751"/>
      <c r="Q78" s="751"/>
      <c r="R78" s="751"/>
      <c r="S78" s="624"/>
      <c r="T78" s="751"/>
      <c r="U78" s="751"/>
      <c r="V78" s="751"/>
      <c r="W78" s="624"/>
      <c r="X78" s="751"/>
      <c r="Y78" s="751"/>
      <c r="Z78" s="751"/>
      <c r="AA78" s="750"/>
      <c r="AB78" s="751"/>
      <c r="AC78" s="661"/>
      <c r="AD78" s="661"/>
      <c r="AE78" s="624"/>
      <c r="AF78" s="751"/>
      <c r="AG78" s="751"/>
      <c r="AH78" s="751"/>
      <c r="AI78" s="624"/>
      <c r="AJ78" s="751"/>
      <c r="AK78" s="751"/>
      <c r="AL78" s="751"/>
      <c r="AM78" s="624"/>
      <c r="AN78" s="624"/>
      <c r="AO78" s="624"/>
      <c r="AP78" s="624"/>
      <c r="AQ78" s="737"/>
      <c r="AR78" s="753"/>
      <c r="AS78" s="753"/>
      <c r="AT78" s="753"/>
      <c r="AU78" s="624"/>
      <c r="AV78" s="624"/>
      <c r="AW78" s="624"/>
    </row>
    <row r="79" spans="2:49">
      <c r="B79" s="756"/>
      <c r="C79" s="624"/>
      <c r="D79" s="751"/>
      <c r="E79" s="751"/>
      <c r="F79" s="751"/>
      <c r="G79" s="751"/>
      <c r="H79" s="751"/>
      <c r="I79" s="624"/>
      <c r="J79" s="624"/>
      <c r="K79" s="750"/>
      <c r="L79" s="751"/>
      <c r="M79" s="751"/>
      <c r="N79" s="751"/>
      <c r="O79" s="750"/>
      <c r="P79" s="751"/>
      <c r="Q79" s="751"/>
      <c r="R79" s="751"/>
      <c r="S79" s="624"/>
      <c r="T79" s="751"/>
      <c r="U79" s="751"/>
      <c r="V79" s="751"/>
      <c r="W79" s="624"/>
      <c r="X79" s="751"/>
      <c r="Y79" s="751"/>
      <c r="Z79" s="751"/>
      <c r="AA79" s="750"/>
      <c r="AB79" s="751"/>
      <c r="AC79" s="661"/>
      <c r="AD79" s="661"/>
      <c r="AE79" s="624"/>
      <c r="AF79" s="751"/>
      <c r="AG79" s="751"/>
      <c r="AH79" s="751"/>
      <c r="AI79" s="624"/>
      <c r="AJ79" s="751"/>
      <c r="AK79" s="751"/>
      <c r="AL79" s="751"/>
      <c r="AM79" s="624"/>
      <c r="AN79" s="624"/>
      <c r="AO79" s="624"/>
      <c r="AP79" s="624"/>
      <c r="AQ79" s="737"/>
      <c r="AR79" s="753"/>
      <c r="AS79" s="753"/>
      <c r="AT79" s="753"/>
      <c r="AU79" s="624"/>
      <c r="AV79" s="624"/>
      <c r="AW79" s="624"/>
    </row>
    <row r="80" spans="2:49">
      <c r="B80" s="756"/>
      <c r="C80" s="624"/>
      <c r="D80" s="751"/>
      <c r="E80" s="751"/>
      <c r="F80" s="751"/>
      <c r="G80" s="751"/>
      <c r="H80" s="751"/>
      <c r="I80" s="624"/>
      <c r="J80" s="624"/>
      <c r="K80" s="750"/>
      <c r="L80" s="751"/>
      <c r="M80" s="751"/>
      <c r="N80" s="751"/>
      <c r="O80" s="750"/>
      <c r="P80" s="751"/>
      <c r="Q80" s="751"/>
      <c r="R80" s="751"/>
      <c r="S80" s="624"/>
      <c r="T80" s="751"/>
      <c r="U80" s="751"/>
      <c r="V80" s="751"/>
      <c r="W80" s="624"/>
      <c r="X80" s="751"/>
      <c r="Y80" s="751"/>
      <c r="Z80" s="751"/>
      <c r="AA80" s="750"/>
      <c r="AB80" s="751"/>
      <c r="AC80" s="661"/>
      <c r="AD80" s="661"/>
      <c r="AE80" s="624"/>
      <c r="AF80" s="751"/>
      <c r="AG80" s="751"/>
      <c r="AH80" s="751"/>
      <c r="AI80" s="624"/>
      <c r="AJ80" s="751"/>
      <c r="AK80" s="751"/>
      <c r="AL80" s="751"/>
      <c r="AM80" s="624"/>
      <c r="AN80" s="624"/>
      <c r="AO80" s="624"/>
      <c r="AP80" s="624"/>
      <c r="AQ80" s="737"/>
      <c r="AR80" s="753"/>
      <c r="AS80" s="753"/>
      <c r="AT80" s="753"/>
      <c r="AU80" s="624"/>
      <c r="AV80" s="624"/>
      <c r="AW80" s="624"/>
    </row>
    <row r="81" spans="2:49">
      <c r="B81" s="756"/>
      <c r="C81" s="624"/>
      <c r="D81" s="751"/>
      <c r="E81" s="751"/>
      <c r="F81" s="751"/>
      <c r="G81" s="751"/>
      <c r="H81" s="751"/>
      <c r="I81" s="624"/>
      <c r="J81" s="624"/>
      <c r="K81" s="750"/>
      <c r="L81" s="751"/>
      <c r="M81" s="751"/>
      <c r="N81" s="751"/>
      <c r="O81" s="750"/>
      <c r="P81" s="751"/>
      <c r="Q81" s="751"/>
      <c r="R81" s="751"/>
      <c r="S81" s="624"/>
      <c r="T81" s="751"/>
      <c r="U81" s="751"/>
      <c r="V81" s="751"/>
      <c r="W81" s="624"/>
      <c r="X81" s="751"/>
      <c r="Y81" s="751"/>
      <c r="Z81" s="751"/>
      <c r="AA81" s="750"/>
      <c r="AB81" s="751"/>
      <c r="AC81" s="661"/>
      <c r="AD81" s="661"/>
      <c r="AE81" s="624"/>
      <c r="AF81" s="751"/>
      <c r="AG81" s="751"/>
      <c r="AH81" s="751"/>
      <c r="AI81" s="624"/>
      <c r="AJ81" s="751"/>
      <c r="AK81" s="751"/>
      <c r="AL81" s="751"/>
      <c r="AM81" s="624"/>
      <c r="AN81" s="624"/>
      <c r="AO81" s="624"/>
      <c r="AP81" s="624"/>
      <c r="AQ81" s="737"/>
      <c r="AR81" s="753"/>
      <c r="AS81" s="753"/>
      <c r="AT81" s="753"/>
      <c r="AU81" s="624"/>
      <c r="AV81" s="624"/>
      <c r="AW81" s="624"/>
    </row>
    <row r="82" spans="2:49">
      <c r="B82" s="756"/>
      <c r="C82" s="624"/>
      <c r="D82" s="751"/>
      <c r="E82" s="751"/>
      <c r="F82" s="751"/>
      <c r="G82" s="751"/>
      <c r="H82" s="751"/>
      <c r="I82" s="624"/>
      <c r="J82" s="624"/>
      <c r="K82" s="750"/>
      <c r="L82" s="751"/>
      <c r="M82" s="751"/>
      <c r="N82" s="751"/>
      <c r="O82" s="750"/>
      <c r="P82" s="751"/>
      <c r="Q82" s="751"/>
      <c r="R82" s="751"/>
      <c r="S82" s="624"/>
      <c r="T82" s="751"/>
      <c r="U82" s="751"/>
      <c r="V82" s="751"/>
      <c r="W82" s="624"/>
      <c r="X82" s="751"/>
      <c r="Y82" s="751"/>
      <c r="Z82" s="751"/>
      <c r="AA82" s="750"/>
      <c r="AB82" s="751"/>
      <c r="AC82" s="661"/>
      <c r="AD82" s="661"/>
      <c r="AE82" s="624"/>
      <c r="AF82" s="751"/>
      <c r="AG82" s="751"/>
      <c r="AH82" s="751"/>
      <c r="AI82" s="624"/>
      <c r="AJ82" s="751"/>
      <c r="AK82" s="751"/>
      <c r="AL82" s="751"/>
      <c r="AM82" s="624"/>
      <c r="AN82" s="624"/>
      <c r="AO82" s="624"/>
      <c r="AP82" s="624"/>
      <c r="AQ82" s="737"/>
      <c r="AR82" s="753"/>
      <c r="AS82" s="753"/>
      <c r="AT82" s="753"/>
      <c r="AU82" s="624"/>
      <c r="AV82" s="624"/>
      <c r="AW82" s="624"/>
    </row>
    <row r="83" spans="2:49">
      <c r="B83" s="756"/>
      <c r="C83" s="624"/>
      <c r="D83" s="751"/>
      <c r="E83" s="751"/>
      <c r="F83" s="751"/>
      <c r="G83" s="751"/>
      <c r="H83" s="751"/>
      <c r="I83" s="624"/>
      <c r="J83" s="624"/>
      <c r="K83" s="750"/>
      <c r="L83" s="751"/>
      <c r="M83" s="751"/>
      <c r="N83" s="751"/>
      <c r="O83" s="750"/>
      <c r="P83" s="751"/>
      <c r="Q83" s="751"/>
      <c r="R83" s="751"/>
      <c r="S83" s="624"/>
      <c r="T83" s="751"/>
      <c r="U83" s="751"/>
      <c r="V83" s="751"/>
      <c r="W83" s="624"/>
      <c r="X83" s="751"/>
      <c r="Y83" s="751"/>
      <c r="Z83" s="751"/>
      <c r="AA83" s="750"/>
      <c r="AB83" s="751"/>
      <c r="AC83" s="661"/>
      <c r="AD83" s="661"/>
      <c r="AE83" s="624"/>
      <c r="AF83" s="751"/>
      <c r="AG83" s="751"/>
      <c r="AH83" s="751"/>
      <c r="AI83" s="624"/>
      <c r="AJ83" s="751"/>
      <c r="AK83" s="751"/>
      <c r="AL83" s="751"/>
      <c r="AM83" s="624"/>
      <c r="AN83" s="624"/>
      <c r="AO83" s="624"/>
      <c r="AP83" s="624"/>
      <c r="AQ83" s="737"/>
      <c r="AR83" s="753"/>
      <c r="AS83" s="753"/>
      <c r="AT83" s="753"/>
      <c r="AU83" s="624"/>
      <c r="AV83" s="624"/>
      <c r="AW83" s="624"/>
    </row>
    <row r="84" spans="2:49">
      <c r="B84" s="756"/>
      <c r="C84" s="624"/>
      <c r="D84" s="751"/>
      <c r="E84" s="751"/>
      <c r="F84" s="751"/>
      <c r="G84" s="751"/>
      <c r="H84" s="751"/>
      <c r="I84" s="624"/>
      <c r="J84" s="624"/>
      <c r="K84" s="750"/>
      <c r="L84" s="751"/>
      <c r="M84" s="751"/>
      <c r="N84" s="751"/>
      <c r="O84" s="750"/>
      <c r="P84" s="751"/>
      <c r="Q84" s="751"/>
      <c r="R84" s="751"/>
      <c r="S84" s="624"/>
      <c r="T84" s="751"/>
      <c r="U84" s="751"/>
      <c r="V84" s="751"/>
      <c r="W84" s="624"/>
      <c r="X84" s="751"/>
      <c r="Y84" s="751"/>
      <c r="Z84" s="751"/>
      <c r="AA84" s="750"/>
      <c r="AB84" s="751"/>
      <c r="AC84" s="661"/>
      <c r="AD84" s="661"/>
      <c r="AE84" s="624"/>
      <c r="AF84" s="751"/>
      <c r="AG84" s="751"/>
      <c r="AH84" s="751"/>
      <c r="AI84" s="624"/>
      <c r="AJ84" s="751"/>
      <c r="AK84" s="751"/>
      <c r="AL84" s="751"/>
      <c r="AM84" s="624"/>
      <c r="AN84" s="624"/>
      <c r="AO84" s="624"/>
      <c r="AP84" s="624"/>
      <c r="AQ84" s="737"/>
      <c r="AR84" s="753"/>
      <c r="AS84" s="753"/>
      <c r="AT84" s="753"/>
      <c r="AU84" s="624"/>
      <c r="AV84" s="624"/>
      <c r="AW84" s="624"/>
    </row>
    <row r="85" spans="2:49">
      <c r="B85" s="756"/>
      <c r="C85" s="624"/>
      <c r="D85" s="751"/>
      <c r="E85" s="751"/>
      <c r="F85" s="751"/>
      <c r="G85" s="751"/>
      <c r="H85" s="751"/>
      <c r="I85" s="624"/>
      <c r="J85" s="624"/>
      <c r="K85" s="750"/>
      <c r="L85" s="751"/>
      <c r="M85" s="751"/>
      <c r="N85" s="751"/>
      <c r="O85" s="750"/>
      <c r="P85" s="751"/>
      <c r="Q85" s="751"/>
      <c r="R85" s="751"/>
      <c r="S85" s="624"/>
      <c r="T85" s="751"/>
      <c r="U85" s="751"/>
      <c r="V85" s="751"/>
      <c r="W85" s="624"/>
      <c r="X85" s="751"/>
      <c r="Y85" s="751"/>
      <c r="Z85" s="751"/>
      <c r="AA85" s="750"/>
      <c r="AB85" s="751"/>
      <c r="AC85" s="661"/>
      <c r="AD85" s="661"/>
      <c r="AE85" s="624"/>
      <c r="AF85" s="751"/>
      <c r="AG85" s="751"/>
      <c r="AH85" s="751"/>
      <c r="AI85" s="624"/>
      <c r="AJ85" s="751"/>
      <c r="AK85" s="751"/>
      <c r="AL85" s="751"/>
      <c r="AM85" s="624"/>
      <c r="AN85" s="624"/>
      <c r="AO85" s="624"/>
      <c r="AP85" s="624"/>
      <c r="AQ85" s="737"/>
      <c r="AR85" s="753"/>
      <c r="AS85" s="753"/>
      <c r="AT85" s="753"/>
      <c r="AU85" s="624"/>
      <c r="AV85" s="624"/>
      <c r="AW85" s="624"/>
    </row>
    <row r="86" spans="2:49">
      <c r="B86" s="756"/>
      <c r="C86" s="624"/>
      <c r="D86" s="751"/>
      <c r="E86" s="751"/>
      <c r="F86" s="751"/>
      <c r="G86" s="751"/>
      <c r="H86" s="751"/>
      <c r="I86" s="624"/>
      <c r="J86" s="624"/>
      <c r="K86" s="750"/>
      <c r="L86" s="751"/>
      <c r="M86" s="751"/>
      <c r="N86" s="751"/>
      <c r="O86" s="750"/>
      <c r="P86" s="751"/>
      <c r="Q86" s="751"/>
      <c r="R86" s="751"/>
      <c r="S86" s="624"/>
      <c r="T86" s="751"/>
      <c r="U86" s="751"/>
      <c r="V86" s="751"/>
      <c r="W86" s="624"/>
      <c r="X86" s="751"/>
      <c r="Y86" s="751"/>
      <c r="Z86" s="751"/>
      <c r="AA86" s="750"/>
      <c r="AB86" s="751"/>
      <c r="AC86" s="661"/>
      <c r="AD86" s="661"/>
      <c r="AE86" s="624"/>
      <c r="AF86" s="751"/>
      <c r="AG86" s="751"/>
      <c r="AH86" s="751"/>
      <c r="AI86" s="624"/>
      <c r="AJ86" s="751"/>
      <c r="AK86" s="751"/>
      <c r="AL86" s="751"/>
      <c r="AM86" s="624"/>
      <c r="AN86" s="624"/>
      <c r="AO86" s="624"/>
      <c r="AP86" s="624"/>
      <c r="AQ86" s="737"/>
      <c r="AR86" s="753"/>
      <c r="AS86" s="753"/>
      <c r="AT86" s="753"/>
      <c r="AU86" s="624"/>
      <c r="AV86" s="624"/>
      <c r="AW86" s="624"/>
    </row>
    <row r="87" spans="2:49">
      <c r="B87" s="756"/>
      <c r="C87" s="624"/>
      <c r="D87" s="751"/>
      <c r="E87" s="751"/>
      <c r="F87" s="751"/>
      <c r="G87" s="751"/>
      <c r="H87" s="751"/>
      <c r="I87" s="624"/>
      <c r="J87" s="624"/>
      <c r="K87" s="750"/>
      <c r="L87" s="751"/>
      <c r="M87" s="751"/>
      <c r="N87" s="751"/>
      <c r="O87" s="750"/>
      <c r="P87" s="751"/>
      <c r="Q87" s="751"/>
      <c r="R87" s="751"/>
      <c r="S87" s="624"/>
      <c r="T87" s="751"/>
      <c r="U87" s="751"/>
      <c r="V87" s="751"/>
      <c r="W87" s="624"/>
      <c r="X87" s="751"/>
      <c r="Y87" s="751"/>
      <c r="Z87" s="751"/>
      <c r="AA87" s="750"/>
      <c r="AB87" s="751"/>
      <c r="AC87" s="661"/>
      <c r="AD87" s="661"/>
      <c r="AE87" s="624"/>
      <c r="AF87" s="751"/>
      <c r="AG87" s="751"/>
      <c r="AH87" s="751"/>
      <c r="AI87" s="624"/>
      <c r="AJ87" s="751"/>
      <c r="AK87" s="751"/>
      <c r="AL87" s="751"/>
      <c r="AM87" s="624"/>
      <c r="AN87" s="624"/>
      <c r="AO87" s="624"/>
      <c r="AP87" s="624"/>
      <c r="AQ87" s="737"/>
      <c r="AR87" s="753"/>
      <c r="AS87" s="753"/>
      <c r="AT87" s="753"/>
      <c r="AU87" s="624"/>
      <c r="AV87" s="624"/>
      <c r="AW87" s="624"/>
    </row>
    <row r="88" spans="2:49">
      <c r="B88" s="756"/>
      <c r="C88" s="624"/>
      <c r="D88" s="751"/>
      <c r="E88" s="751"/>
      <c r="F88" s="751"/>
      <c r="G88" s="751"/>
      <c r="H88" s="751"/>
      <c r="I88" s="624"/>
      <c r="J88" s="624"/>
      <c r="K88" s="750"/>
      <c r="L88" s="751"/>
      <c r="M88" s="751"/>
      <c r="N88" s="751"/>
      <c r="O88" s="750"/>
      <c r="P88" s="751"/>
      <c r="Q88" s="751"/>
      <c r="R88" s="751"/>
      <c r="S88" s="624"/>
      <c r="T88" s="751"/>
      <c r="U88" s="751"/>
      <c r="V88" s="751"/>
      <c r="W88" s="624"/>
      <c r="X88" s="751"/>
      <c r="Y88" s="751"/>
      <c r="Z88" s="751"/>
      <c r="AA88" s="750"/>
      <c r="AB88" s="751"/>
      <c r="AC88" s="661"/>
      <c r="AD88" s="661"/>
      <c r="AE88" s="624"/>
      <c r="AF88" s="751"/>
      <c r="AG88" s="751"/>
      <c r="AH88" s="751"/>
      <c r="AI88" s="624"/>
      <c r="AJ88" s="751"/>
      <c r="AK88" s="751"/>
      <c r="AL88" s="751"/>
      <c r="AM88" s="624"/>
      <c r="AN88" s="624"/>
      <c r="AO88" s="624"/>
      <c r="AP88" s="624"/>
      <c r="AQ88" s="737"/>
      <c r="AR88" s="753"/>
      <c r="AS88" s="753"/>
      <c r="AT88" s="753"/>
      <c r="AU88" s="624"/>
      <c r="AV88" s="624"/>
      <c r="AW88" s="624"/>
    </row>
    <row r="89" spans="2:49">
      <c r="B89" s="756"/>
      <c r="C89" s="624"/>
      <c r="D89" s="751"/>
      <c r="E89" s="751"/>
      <c r="F89" s="751"/>
      <c r="G89" s="751"/>
      <c r="H89" s="751"/>
      <c r="I89" s="624"/>
      <c r="J89" s="624"/>
      <c r="K89" s="750"/>
      <c r="L89" s="751"/>
      <c r="M89" s="751"/>
      <c r="N89" s="751"/>
      <c r="O89" s="750"/>
      <c r="P89" s="751"/>
      <c r="Q89" s="751"/>
      <c r="R89" s="751"/>
      <c r="S89" s="624"/>
      <c r="T89" s="751"/>
      <c r="U89" s="751"/>
      <c r="V89" s="751"/>
      <c r="W89" s="624"/>
      <c r="X89" s="751"/>
      <c r="Y89" s="751"/>
      <c r="Z89" s="751"/>
      <c r="AA89" s="750"/>
      <c r="AB89" s="751"/>
      <c r="AC89" s="661"/>
      <c r="AD89" s="661"/>
      <c r="AE89" s="624"/>
      <c r="AF89" s="751"/>
      <c r="AG89" s="751"/>
      <c r="AH89" s="751"/>
      <c r="AI89" s="624"/>
      <c r="AJ89" s="751"/>
      <c r="AK89" s="751"/>
      <c r="AL89" s="751"/>
      <c r="AM89" s="624"/>
      <c r="AN89" s="624"/>
      <c r="AO89" s="624"/>
      <c r="AP89" s="624"/>
      <c r="AQ89" s="737"/>
      <c r="AR89" s="753"/>
      <c r="AS89" s="753"/>
      <c r="AT89" s="753"/>
      <c r="AU89" s="624"/>
      <c r="AV89" s="624"/>
      <c r="AW89" s="624"/>
    </row>
    <row r="90" spans="2:49">
      <c r="B90" s="756"/>
      <c r="C90" s="624"/>
      <c r="D90" s="751"/>
      <c r="E90" s="751"/>
      <c r="F90" s="751"/>
      <c r="G90" s="751"/>
      <c r="H90" s="751"/>
      <c r="I90" s="624"/>
      <c r="J90" s="624"/>
      <c r="K90" s="750"/>
      <c r="L90" s="751"/>
      <c r="M90" s="751"/>
      <c r="N90" s="751"/>
      <c r="O90" s="750"/>
      <c r="P90" s="751"/>
      <c r="Q90" s="751"/>
      <c r="R90" s="751"/>
      <c r="S90" s="624"/>
      <c r="T90" s="751"/>
      <c r="U90" s="751"/>
      <c r="V90" s="751"/>
      <c r="W90" s="624"/>
      <c r="X90" s="751"/>
      <c r="Y90" s="751"/>
      <c r="Z90" s="751"/>
      <c r="AA90" s="750"/>
      <c r="AB90" s="751"/>
      <c r="AC90" s="661"/>
      <c r="AD90" s="661"/>
      <c r="AE90" s="624"/>
      <c r="AF90" s="751"/>
      <c r="AG90" s="751"/>
      <c r="AH90" s="751"/>
      <c r="AI90" s="624"/>
      <c r="AJ90" s="751"/>
      <c r="AK90" s="751"/>
      <c r="AL90" s="751"/>
      <c r="AM90" s="624"/>
      <c r="AN90" s="624"/>
      <c r="AO90" s="624"/>
      <c r="AP90" s="624"/>
      <c r="AQ90" s="737"/>
      <c r="AR90" s="753"/>
      <c r="AS90" s="753"/>
      <c r="AT90" s="753"/>
      <c r="AU90" s="624"/>
      <c r="AV90" s="624"/>
      <c r="AW90" s="624"/>
    </row>
    <row r="91" spans="2:49">
      <c r="B91" s="756"/>
      <c r="C91" s="624"/>
      <c r="D91" s="751"/>
      <c r="E91" s="751"/>
      <c r="F91" s="751"/>
      <c r="G91" s="751"/>
      <c r="H91" s="751"/>
      <c r="I91" s="624"/>
      <c r="J91" s="624"/>
      <c r="K91" s="750"/>
      <c r="L91" s="751"/>
      <c r="M91" s="751"/>
      <c r="N91" s="751"/>
      <c r="O91" s="750"/>
      <c r="P91" s="751"/>
      <c r="Q91" s="751"/>
      <c r="R91" s="751"/>
      <c r="S91" s="624"/>
      <c r="T91" s="751"/>
      <c r="U91" s="751"/>
      <c r="V91" s="751"/>
      <c r="W91" s="624"/>
      <c r="X91" s="751"/>
      <c r="Y91" s="751"/>
      <c r="Z91" s="751"/>
      <c r="AA91" s="750"/>
      <c r="AB91" s="751"/>
      <c r="AC91" s="661"/>
      <c r="AD91" s="661"/>
      <c r="AE91" s="624"/>
      <c r="AF91" s="751"/>
      <c r="AG91" s="751"/>
      <c r="AH91" s="751"/>
      <c r="AI91" s="624"/>
      <c r="AJ91" s="751"/>
      <c r="AK91" s="751"/>
      <c r="AL91" s="751"/>
      <c r="AM91" s="624"/>
      <c r="AN91" s="624"/>
      <c r="AO91" s="624"/>
      <c r="AP91" s="624"/>
      <c r="AQ91" s="737"/>
      <c r="AR91" s="753"/>
      <c r="AS91" s="753"/>
      <c r="AT91" s="753"/>
      <c r="AU91" s="624"/>
      <c r="AV91" s="624"/>
      <c r="AW91" s="624"/>
    </row>
    <row r="92" spans="2:49">
      <c r="B92" s="756"/>
      <c r="C92" s="624"/>
      <c r="D92" s="751"/>
      <c r="E92" s="751"/>
      <c r="F92" s="751"/>
      <c r="G92" s="751"/>
      <c r="H92" s="751"/>
      <c r="I92" s="624"/>
      <c r="J92" s="624"/>
      <c r="K92" s="750"/>
      <c r="L92" s="751"/>
      <c r="M92" s="751"/>
      <c r="N92" s="751"/>
      <c r="O92" s="750"/>
      <c r="P92" s="751"/>
      <c r="Q92" s="751"/>
      <c r="R92" s="751"/>
      <c r="S92" s="624"/>
      <c r="T92" s="751"/>
      <c r="U92" s="751"/>
      <c r="V92" s="751"/>
      <c r="W92" s="624"/>
      <c r="X92" s="751"/>
      <c r="Y92" s="751"/>
      <c r="Z92" s="751"/>
      <c r="AA92" s="750"/>
      <c r="AB92" s="751"/>
      <c r="AC92" s="661"/>
      <c r="AD92" s="661"/>
      <c r="AE92" s="624"/>
      <c r="AF92" s="751"/>
      <c r="AG92" s="751"/>
      <c r="AH92" s="751"/>
      <c r="AI92" s="624"/>
      <c r="AJ92" s="751"/>
      <c r="AK92" s="751"/>
      <c r="AL92" s="751"/>
      <c r="AM92" s="624"/>
      <c r="AN92" s="624"/>
      <c r="AO92" s="624"/>
      <c r="AP92" s="624"/>
      <c r="AQ92" s="737"/>
      <c r="AR92" s="753"/>
      <c r="AS92" s="753"/>
      <c r="AT92" s="753"/>
      <c r="AU92" s="624"/>
      <c r="AV92" s="624"/>
      <c r="AW92" s="624"/>
    </row>
    <row r="93" spans="2:49">
      <c r="B93" s="756"/>
      <c r="C93" s="624"/>
      <c r="D93" s="751"/>
      <c r="E93" s="751"/>
      <c r="F93" s="751"/>
      <c r="G93" s="751"/>
      <c r="H93" s="751"/>
      <c r="I93" s="624"/>
      <c r="J93" s="624"/>
      <c r="K93" s="750"/>
      <c r="L93" s="751"/>
      <c r="M93" s="751"/>
      <c r="N93" s="751"/>
      <c r="O93" s="750"/>
      <c r="P93" s="751"/>
      <c r="Q93" s="751"/>
      <c r="R93" s="751"/>
      <c r="S93" s="624"/>
      <c r="T93" s="751"/>
      <c r="U93" s="751"/>
      <c r="V93" s="751"/>
      <c r="W93" s="624"/>
      <c r="X93" s="751"/>
      <c r="Y93" s="751"/>
      <c r="Z93" s="751"/>
      <c r="AA93" s="750"/>
      <c r="AB93" s="751"/>
      <c r="AC93" s="661"/>
      <c r="AD93" s="661"/>
      <c r="AE93" s="624"/>
      <c r="AF93" s="751"/>
      <c r="AG93" s="751"/>
      <c r="AH93" s="751"/>
      <c r="AI93" s="624"/>
      <c r="AJ93" s="751"/>
      <c r="AK93" s="751"/>
      <c r="AL93" s="751"/>
      <c r="AM93" s="624"/>
      <c r="AN93" s="624"/>
      <c r="AO93" s="624"/>
      <c r="AP93" s="624"/>
      <c r="AQ93" s="737"/>
      <c r="AR93" s="753"/>
      <c r="AS93" s="753"/>
      <c r="AT93" s="753"/>
      <c r="AU93" s="624"/>
      <c r="AV93" s="624"/>
      <c r="AW93" s="624"/>
    </row>
    <row r="94" spans="2:49">
      <c r="B94" s="756"/>
      <c r="C94" s="624"/>
      <c r="D94" s="751"/>
      <c r="E94" s="751"/>
      <c r="F94" s="751"/>
      <c r="G94" s="751"/>
      <c r="H94" s="751"/>
      <c r="I94" s="624"/>
      <c r="J94" s="624"/>
      <c r="K94" s="750"/>
      <c r="L94" s="751"/>
      <c r="M94" s="751"/>
      <c r="N94" s="751"/>
      <c r="O94" s="750"/>
      <c r="P94" s="751"/>
      <c r="Q94" s="751"/>
      <c r="R94" s="751"/>
      <c r="S94" s="624"/>
      <c r="T94" s="751"/>
      <c r="U94" s="751"/>
      <c r="V94" s="751"/>
      <c r="W94" s="624"/>
      <c r="X94" s="751"/>
      <c r="Y94" s="751"/>
      <c r="Z94" s="751"/>
      <c r="AA94" s="750"/>
      <c r="AB94" s="751"/>
      <c r="AC94" s="661"/>
      <c r="AD94" s="661"/>
      <c r="AE94" s="624"/>
      <c r="AF94" s="751"/>
      <c r="AG94" s="751"/>
      <c r="AH94" s="751"/>
      <c r="AI94" s="624"/>
      <c r="AJ94" s="751"/>
      <c r="AK94" s="751"/>
      <c r="AL94" s="751"/>
      <c r="AM94" s="624"/>
      <c r="AN94" s="624"/>
      <c r="AO94" s="624"/>
      <c r="AP94" s="624"/>
      <c r="AQ94" s="737"/>
      <c r="AR94" s="753"/>
      <c r="AS94" s="753"/>
      <c r="AT94" s="753"/>
      <c r="AU94" s="624"/>
      <c r="AV94" s="624"/>
      <c r="AW94" s="624"/>
    </row>
    <row r="95" spans="2:49">
      <c r="B95" s="756"/>
      <c r="C95" s="624"/>
      <c r="D95" s="751"/>
      <c r="E95" s="751"/>
      <c r="F95" s="751"/>
      <c r="G95" s="751"/>
      <c r="H95" s="751"/>
      <c r="I95" s="624"/>
      <c r="J95" s="624"/>
      <c r="K95" s="750"/>
      <c r="L95" s="751"/>
      <c r="M95" s="751"/>
      <c r="N95" s="751"/>
      <c r="O95" s="750"/>
      <c r="P95" s="751"/>
      <c r="Q95" s="751"/>
      <c r="R95" s="751"/>
      <c r="S95" s="624"/>
      <c r="T95" s="751"/>
      <c r="U95" s="751"/>
      <c r="V95" s="751"/>
      <c r="W95" s="624"/>
      <c r="X95" s="751"/>
      <c r="Y95" s="751"/>
      <c r="Z95" s="751"/>
      <c r="AA95" s="750"/>
      <c r="AB95" s="751"/>
      <c r="AC95" s="661"/>
      <c r="AD95" s="661"/>
      <c r="AE95" s="624"/>
      <c r="AF95" s="751"/>
      <c r="AG95" s="751"/>
      <c r="AH95" s="751"/>
      <c r="AI95" s="624"/>
      <c r="AJ95" s="751"/>
      <c r="AK95" s="751"/>
      <c r="AL95" s="751"/>
      <c r="AM95" s="624"/>
      <c r="AN95" s="624"/>
      <c r="AO95" s="624"/>
      <c r="AP95" s="624"/>
      <c r="AQ95" s="737"/>
      <c r="AR95" s="753"/>
      <c r="AS95" s="753"/>
      <c r="AT95" s="753"/>
      <c r="AU95" s="624"/>
      <c r="AV95" s="624"/>
      <c r="AW95" s="624"/>
    </row>
    <row r="96" spans="2:49">
      <c r="B96" s="756"/>
      <c r="C96" s="624"/>
      <c r="D96" s="751"/>
      <c r="E96" s="751"/>
      <c r="F96" s="751"/>
      <c r="G96" s="751"/>
      <c r="H96" s="751"/>
      <c r="I96" s="624"/>
      <c r="J96" s="624"/>
      <c r="K96" s="750"/>
      <c r="L96" s="751"/>
      <c r="M96" s="751"/>
      <c r="N96" s="751"/>
      <c r="O96" s="750"/>
      <c r="P96" s="751"/>
      <c r="Q96" s="751"/>
      <c r="R96" s="751"/>
      <c r="S96" s="624"/>
      <c r="T96" s="751"/>
      <c r="U96" s="751"/>
      <c r="V96" s="751"/>
      <c r="W96" s="624"/>
      <c r="X96" s="751"/>
      <c r="Y96" s="751"/>
      <c r="Z96" s="751"/>
      <c r="AA96" s="750"/>
      <c r="AB96" s="751"/>
      <c r="AC96" s="661"/>
      <c r="AD96" s="661"/>
      <c r="AE96" s="624"/>
      <c r="AF96" s="751"/>
      <c r="AG96" s="751"/>
      <c r="AH96" s="751"/>
      <c r="AI96" s="624"/>
      <c r="AJ96" s="751"/>
      <c r="AK96" s="751"/>
      <c r="AL96" s="751"/>
      <c r="AM96" s="624"/>
      <c r="AN96" s="624"/>
      <c r="AO96" s="624"/>
      <c r="AP96" s="624"/>
      <c r="AQ96" s="737"/>
      <c r="AR96" s="753"/>
      <c r="AS96" s="753"/>
      <c r="AT96" s="753"/>
      <c r="AU96" s="624"/>
      <c r="AV96" s="624"/>
      <c r="AW96" s="624"/>
    </row>
    <row r="97" spans="2:49">
      <c r="B97" s="756"/>
      <c r="C97" s="624"/>
      <c r="D97" s="751"/>
      <c r="E97" s="751"/>
      <c r="F97" s="751"/>
      <c r="G97" s="751"/>
      <c r="H97" s="751"/>
      <c r="I97" s="624"/>
      <c r="J97" s="624"/>
      <c r="K97" s="750"/>
      <c r="L97" s="751"/>
      <c r="M97" s="751"/>
      <c r="N97" s="751"/>
      <c r="O97" s="750"/>
      <c r="P97" s="751"/>
      <c r="Q97" s="751"/>
      <c r="R97" s="751"/>
      <c r="S97" s="624"/>
      <c r="T97" s="751"/>
      <c r="U97" s="751"/>
      <c r="V97" s="751"/>
      <c r="W97" s="624"/>
      <c r="X97" s="751"/>
      <c r="Y97" s="751"/>
      <c r="Z97" s="751"/>
      <c r="AA97" s="750"/>
      <c r="AB97" s="751"/>
      <c r="AC97" s="661"/>
      <c r="AD97" s="661"/>
      <c r="AE97" s="624"/>
      <c r="AF97" s="751"/>
      <c r="AG97" s="751"/>
      <c r="AH97" s="751"/>
      <c r="AI97" s="624"/>
      <c r="AJ97" s="751"/>
      <c r="AK97" s="751"/>
      <c r="AL97" s="751"/>
      <c r="AM97" s="624"/>
      <c r="AN97" s="624"/>
      <c r="AO97" s="624"/>
      <c r="AP97" s="624"/>
      <c r="AQ97" s="737"/>
      <c r="AR97" s="753"/>
      <c r="AS97" s="753"/>
      <c r="AT97" s="753"/>
      <c r="AU97" s="624"/>
      <c r="AV97" s="624"/>
      <c r="AW97" s="624"/>
    </row>
    <row r="98" spans="2:49">
      <c r="B98" s="756"/>
      <c r="C98" s="624"/>
      <c r="D98" s="751"/>
      <c r="E98" s="751"/>
      <c r="F98" s="751"/>
      <c r="G98" s="751"/>
      <c r="H98" s="751"/>
      <c r="I98" s="624"/>
      <c r="J98" s="624"/>
      <c r="K98" s="750"/>
      <c r="L98" s="751"/>
      <c r="M98" s="751"/>
      <c r="N98" s="751"/>
      <c r="O98" s="750"/>
      <c r="P98" s="751"/>
      <c r="Q98" s="751"/>
      <c r="R98" s="751"/>
      <c r="S98" s="624"/>
      <c r="T98" s="751"/>
      <c r="U98" s="751"/>
      <c r="V98" s="751"/>
      <c r="W98" s="624"/>
      <c r="X98" s="751"/>
      <c r="Y98" s="751"/>
      <c r="Z98" s="751"/>
      <c r="AA98" s="750"/>
      <c r="AB98" s="751"/>
      <c r="AC98" s="661"/>
      <c r="AD98" s="661"/>
      <c r="AE98" s="624"/>
      <c r="AF98" s="751"/>
      <c r="AG98" s="751"/>
      <c r="AH98" s="751"/>
      <c r="AI98" s="624"/>
      <c r="AJ98" s="751"/>
      <c r="AK98" s="751"/>
      <c r="AL98" s="751"/>
      <c r="AM98" s="624"/>
      <c r="AN98" s="624"/>
      <c r="AO98" s="624"/>
      <c r="AP98" s="624"/>
      <c r="AQ98" s="737"/>
      <c r="AR98" s="753"/>
      <c r="AS98" s="753"/>
      <c r="AT98" s="753"/>
      <c r="AU98" s="624"/>
      <c r="AV98" s="624"/>
      <c r="AW98" s="624"/>
    </row>
    <row r="99" spans="2:49">
      <c r="B99" s="756"/>
      <c r="C99" s="624"/>
      <c r="D99" s="751"/>
      <c r="E99" s="751"/>
      <c r="F99" s="751"/>
      <c r="G99" s="751"/>
      <c r="H99" s="751"/>
      <c r="I99" s="624"/>
      <c r="J99" s="624"/>
      <c r="K99" s="750"/>
      <c r="L99" s="751"/>
      <c r="M99" s="751"/>
      <c r="N99" s="751"/>
      <c r="O99" s="750"/>
      <c r="P99" s="751"/>
      <c r="Q99" s="751"/>
      <c r="R99" s="751"/>
      <c r="S99" s="624"/>
      <c r="T99" s="751"/>
      <c r="U99" s="751"/>
      <c r="V99" s="751"/>
      <c r="W99" s="624"/>
      <c r="X99" s="751"/>
      <c r="Y99" s="751"/>
      <c r="Z99" s="751"/>
      <c r="AA99" s="750"/>
      <c r="AB99" s="751"/>
      <c r="AC99" s="661"/>
      <c r="AD99" s="661"/>
      <c r="AE99" s="624"/>
      <c r="AF99" s="751"/>
      <c r="AG99" s="751"/>
      <c r="AH99" s="751"/>
      <c r="AI99" s="624"/>
      <c r="AJ99" s="751"/>
      <c r="AK99" s="751"/>
      <c r="AL99" s="751"/>
      <c r="AM99" s="624"/>
      <c r="AN99" s="624"/>
      <c r="AO99" s="624"/>
      <c r="AP99" s="624"/>
      <c r="AQ99" s="737"/>
      <c r="AR99" s="753"/>
      <c r="AS99" s="753"/>
      <c r="AT99" s="753"/>
      <c r="AU99" s="624"/>
      <c r="AV99" s="624"/>
      <c r="AW99" s="624"/>
    </row>
    <row r="100" spans="2:49">
      <c r="B100" s="756"/>
      <c r="C100" s="624"/>
      <c r="D100" s="751"/>
      <c r="E100" s="751"/>
      <c r="F100" s="751"/>
      <c r="G100" s="751"/>
      <c r="H100" s="751"/>
      <c r="I100" s="624"/>
      <c r="J100" s="624"/>
      <c r="K100" s="750"/>
      <c r="L100" s="751"/>
      <c r="M100" s="751"/>
      <c r="N100" s="751"/>
      <c r="O100" s="750"/>
      <c r="P100" s="751"/>
      <c r="Q100" s="751"/>
      <c r="R100" s="751"/>
      <c r="S100" s="624"/>
      <c r="T100" s="751"/>
      <c r="U100" s="751"/>
      <c r="V100" s="751"/>
      <c r="W100" s="624"/>
      <c r="X100" s="751"/>
      <c r="Y100" s="751"/>
      <c r="Z100" s="751"/>
      <c r="AA100" s="750"/>
      <c r="AB100" s="751"/>
      <c r="AC100" s="661"/>
      <c r="AD100" s="661"/>
      <c r="AE100" s="624"/>
      <c r="AF100" s="751"/>
      <c r="AG100" s="751"/>
      <c r="AH100" s="751"/>
      <c r="AI100" s="624"/>
      <c r="AJ100" s="751"/>
      <c r="AK100" s="751"/>
      <c r="AL100" s="751"/>
      <c r="AM100" s="624"/>
      <c r="AN100" s="624"/>
      <c r="AO100" s="624"/>
      <c r="AP100" s="624"/>
      <c r="AQ100" s="737"/>
      <c r="AR100" s="753"/>
      <c r="AS100" s="753"/>
      <c r="AT100" s="753"/>
      <c r="AU100" s="624"/>
      <c r="AV100" s="624"/>
      <c r="AW100" s="624"/>
    </row>
    <row r="101" spans="2:49">
      <c r="B101" s="756"/>
      <c r="C101" s="624"/>
      <c r="D101" s="751"/>
      <c r="E101" s="751"/>
      <c r="F101" s="751"/>
      <c r="G101" s="751"/>
      <c r="H101" s="751"/>
      <c r="I101" s="624"/>
      <c r="J101" s="624"/>
      <c r="K101" s="750"/>
      <c r="L101" s="751"/>
      <c r="M101" s="751"/>
      <c r="N101" s="751"/>
      <c r="O101" s="750"/>
      <c r="P101" s="751"/>
      <c r="Q101" s="751"/>
      <c r="R101" s="751"/>
      <c r="S101" s="624"/>
      <c r="T101" s="751"/>
      <c r="U101" s="751"/>
      <c r="V101" s="751"/>
      <c r="W101" s="624"/>
      <c r="X101" s="751"/>
      <c r="Y101" s="751"/>
      <c r="Z101" s="751"/>
      <c r="AA101" s="750"/>
      <c r="AB101" s="751"/>
      <c r="AC101" s="661"/>
      <c r="AD101" s="661"/>
      <c r="AE101" s="624"/>
      <c r="AF101" s="751"/>
      <c r="AG101" s="751"/>
      <c r="AH101" s="751"/>
      <c r="AI101" s="624"/>
      <c r="AJ101" s="751"/>
      <c r="AK101" s="751"/>
      <c r="AL101" s="751"/>
      <c r="AM101" s="624"/>
      <c r="AN101" s="624"/>
      <c r="AO101" s="624"/>
      <c r="AP101" s="624"/>
      <c r="AQ101" s="737"/>
      <c r="AR101" s="753"/>
      <c r="AS101" s="753"/>
      <c r="AT101" s="753"/>
      <c r="AU101" s="624"/>
      <c r="AV101" s="624"/>
      <c r="AW101" s="624"/>
    </row>
    <row r="102" spans="2:49">
      <c r="B102" s="756"/>
      <c r="C102" s="624"/>
      <c r="D102" s="751"/>
      <c r="E102" s="751"/>
      <c r="F102" s="751"/>
      <c r="G102" s="751"/>
      <c r="H102" s="751"/>
      <c r="I102" s="624"/>
      <c r="J102" s="624"/>
      <c r="K102" s="750"/>
      <c r="L102" s="751"/>
      <c r="M102" s="751"/>
      <c r="N102" s="751"/>
      <c r="O102" s="750"/>
      <c r="P102" s="751"/>
      <c r="Q102" s="751"/>
      <c r="R102" s="751"/>
      <c r="S102" s="624"/>
      <c r="T102" s="751"/>
      <c r="U102" s="751"/>
      <c r="V102" s="751"/>
      <c r="W102" s="624"/>
      <c r="X102" s="751"/>
      <c r="Y102" s="751"/>
      <c r="Z102" s="751"/>
      <c r="AA102" s="750"/>
      <c r="AB102" s="751"/>
      <c r="AC102" s="661"/>
      <c r="AD102" s="661"/>
      <c r="AE102" s="624"/>
      <c r="AF102" s="751"/>
      <c r="AG102" s="751"/>
      <c r="AH102" s="751"/>
      <c r="AI102" s="624"/>
      <c r="AJ102" s="751"/>
      <c r="AK102" s="751"/>
      <c r="AL102" s="751"/>
      <c r="AM102" s="624"/>
      <c r="AN102" s="624"/>
      <c r="AO102" s="624"/>
      <c r="AP102" s="624"/>
      <c r="AQ102" s="737"/>
      <c r="AR102" s="753"/>
      <c r="AS102" s="753"/>
      <c r="AT102" s="753"/>
      <c r="AU102" s="624"/>
      <c r="AV102" s="624"/>
      <c r="AW102" s="624"/>
    </row>
    <row r="103" spans="2:49">
      <c r="B103" s="756"/>
      <c r="C103" s="624"/>
      <c r="D103" s="751"/>
      <c r="E103" s="751"/>
      <c r="F103" s="751"/>
      <c r="G103" s="751"/>
      <c r="H103" s="751"/>
      <c r="I103" s="624"/>
      <c r="J103" s="624"/>
      <c r="K103" s="750"/>
      <c r="L103" s="751"/>
      <c r="M103" s="751"/>
      <c r="N103" s="751"/>
      <c r="O103" s="750"/>
      <c r="P103" s="751"/>
      <c r="Q103" s="751"/>
      <c r="R103" s="751"/>
      <c r="S103" s="624"/>
      <c r="T103" s="751"/>
      <c r="U103" s="751"/>
      <c r="V103" s="751"/>
      <c r="W103" s="624"/>
      <c r="X103" s="751"/>
      <c r="Y103" s="751"/>
      <c r="Z103" s="751"/>
      <c r="AA103" s="750"/>
      <c r="AB103" s="751"/>
      <c r="AC103" s="661"/>
      <c r="AD103" s="661"/>
      <c r="AE103" s="624"/>
      <c r="AF103" s="751"/>
      <c r="AG103" s="751"/>
      <c r="AH103" s="751"/>
      <c r="AI103" s="624"/>
      <c r="AJ103" s="751"/>
      <c r="AK103" s="751"/>
      <c r="AL103" s="751"/>
      <c r="AM103" s="624"/>
      <c r="AN103" s="624"/>
      <c r="AO103" s="624"/>
      <c r="AP103" s="624"/>
      <c r="AQ103" s="737"/>
      <c r="AR103" s="753"/>
      <c r="AS103" s="753"/>
      <c r="AT103" s="753"/>
      <c r="AU103" s="624"/>
      <c r="AV103" s="624"/>
      <c r="AW103" s="624"/>
    </row>
    <row r="104" spans="2:49">
      <c r="B104" s="756"/>
      <c r="C104" s="624"/>
      <c r="D104" s="751"/>
      <c r="E104" s="751"/>
      <c r="F104" s="751"/>
      <c r="G104" s="751"/>
      <c r="H104" s="751"/>
      <c r="I104" s="624"/>
      <c r="J104" s="624"/>
      <c r="K104" s="750"/>
      <c r="L104" s="751"/>
      <c r="M104" s="751"/>
      <c r="N104" s="751"/>
      <c r="O104" s="750"/>
      <c r="P104" s="751"/>
      <c r="Q104" s="751"/>
      <c r="R104" s="751"/>
      <c r="S104" s="624"/>
      <c r="T104" s="751"/>
      <c r="U104" s="751"/>
      <c r="V104" s="751"/>
      <c r="W104" s="624"/>
      <c r="X104" s="751"/>
      <c r="Y104" s="751"/>
      <c r="Z104" s="751"/>
      <c r="AA104" s="750"/>
      <c r="AB104" s="751"/>
      <c r="AC104" s="661"/>
      <c r="AD104" s="661"/>
      <c r="AE104" s="624"/>
      <c r="AF104" s="751"/>
      <c r="AG104" s="751"/>
      <c r="AH104" s="751"/>
      <c r="AI104" s="624"/>
      <c r="AJ104" s="751"/>
      <c r="AK104" s="751"/>
      <c r="AL104" s="751"/>
      <c r="AM104" s="624"/>
      <c r="AN104" s="624"/>
      <c r="AO104" s="624"/>
      <c r="AP104" s="624"/>
      <c r="AQ104" s="737"/>
      <c r="AR104" s="753"/>
      <c r="AS104" s="753"/>
      <c r="AT104" s="753"/>
      <c r="AU104" s="624"/>
      <c r="AV104" s="624"/>
      <c r="AW104" s="624"/>
    </row>
    <row r="105" spans="2:49">
      <c r="B105" s="756"/>
      <c r="C105" s="624"/>
      <c r="D105" s="751"/>
      <c r="E105" s="751"/>
      <c r="F105" s="751"/>
      <c r="G105" s="751"/>
      <c r="H105" s="751"/>
      <c r="I105" s="624"/>
      <c r="J105" s="624"/>
      <c r="K105" s="750"/>
      <c r="L105" s="751"/>
      <c r="M105" s="751"/>
      <c r="N105" s="751"/>
      <c r="O105" s="750"/>
      <c r="P105" s="751"/>
      <c r="Q105" s="751"/>
      <c r="R105" s="751"/>
      <c r="S105" s="624"/>
      <c r="T105" s="751"/>
      <c r="U105" s="751"/>
      <c r="V105" s="751"/>
      <c r="W105" s="624"/>
      <c r="X105" s="751"/>
      <c r="Y105" s="751"/>
      <c r="Z105" s="751"/>
      <c r="AA105" s="750"/>
      <c r="AB105" s="751"/>
      <c r="AC105" s="661"/>
      <c r="AD105" s="661"/>
      <c r="AE105" s="624"/>
      <c r="AF105" s="751"/>
      <c r="AG105" s="751"/>
      <c r="AH105" s="751"/>
      <c r="AI105" s="624"/>
      <c r="AJ105" s="751"/>
      <c r="AK105" s="751"/>
      <c r="AL105" s="751"/>
      <c r="AM105" s="624"/>
      <c r="AN105" s="624"/>
      <c r="AO105" s="624"/>
      <c r="AP105" s="624"/>
      <c r="AQ105" s="737"/>
      <c r="AR105" s="753"/>
      <c r="AS105" s="753"/>
      <c r="AT105" s="753"/>
      <c r="AU105" s="624"/>
      <c r="AV105" s="624"/>
      <c r="AW105" s="624"/>
    </row>
    <row r="106" spans="2:49">
      <c r="B106" s="756"/>
      <c r="C106" s="624"/>
      <c r="D106" s="751"/>
      <c r="E106" s="751"/>
      <c r="F106" s="751"/>
      <c r="G106" s="751"/>
      <c r="H106" s="751"/>
      <c r="I106" s="624"/>
      <c r="J106" s="624"/>
      <c r="K106" s="750"/>
      <c r="L106" s="751"/>
      <c r="M106" s="751"/>
      <c r="N106" s="751"/>
      <c r="O106" s="750"/>
      <c r="P106" s="751"/>
      <c r="Q106" s="751"/>
      <c r="R106" s="751"/>
      <c r="S106" s="624"/>
      <c r="T106" s="751"/>
      <c r="U106" s="751"/>
      <c r="V106" s="751"/>
      <c r="W106" s="624"/>
      <c r="X106" s="751"/>
      <c r="Y106" s="751"/>
      <c r="Z106" s="751"/>
      <c r="AA106" s="750"/>
      <c r="AB106" s="751"/>
      <c r="AC106" s="661"/>
      <c r="AD106" s="661"/>
      <c r="AE106" s="624"/>
      <c r="AF106" s="751"/>
      <c r="AG106" s="751"/>
      <c r="AH106" s="751"/>
      <c r="AI106" s="624"/>
      <c r="AJ106" s="751"/>
      <c r="AK106" s="751"/>
      <c r="AL106" s="751"/>
      <c r="AM106" s="624"/>
      <c r="AN106" s="624"/>
      <c r="AO106" s="624"/>
      <c r="AP106" s="624"/>
      <c r="AQ106" s="737"/>
      <c r="AR106" s="753"/>
      <c r="AS106" s="753"/>
      <c r="AT106" s="753"/>
      <c r="AU106" s="624"/>
      <c r="AV106" s="624"/>
      <c r="AW106" s="624"/>
    </row>
    <row r="107" spans="2:49">
      <c r="B107" s="756"/>
      <c r="C107" s="624"/>
      <c r="D107" s="751"/>
      <c r="E107" s="751"/>
      <c r="F107" s="751"/>
      <c r="G107" s="751"/>
      <c r="H107" s="751"/>
      <c r="I107" s="624"/>
      <c r="J107" s="624"/>
      <c r="K107" s="750"/>
      <c r="L107" s="751"/>
      <c r="M107" s="751"/>
      <c r="N107" s="751"/>
      <c r="O107" s="750"/>
      <c r="P107" s="751"/>
      <c r="Q107" s="751"/>
      <c r="R107" s="751"/>
      <c r="S107" s="624"/>
      <c r="T107" s="751"/>
      <c r="U107" s="751"/>
      <c r="V107" s="751"/>
      <c r="W107" s="624"/>
      <c r="X107" s="751"/>
      <c r="Y107" s="751"/>
      <c r="Z107" s="751"/>
      <c r="AA107" s="750"/>
      <c r="AB107" s="751"/>
      <c r="AC107" s="661"/>
      <c r="AD107" s="661"/>
      <c r="AE107" s="624"/>
      <c r="AF107" s="751"/>
      <c r="AG107" s="751"/>
      <c r="AH107" s="751"/>
      <c r="AI107" s="624"/>
      <c r="AJ107" s="751"/>
      <c r="AK107" s="751"/>
      <c r="AL107" s="751"/>
      <c r="AM107" s="624"/>
      <c r="AN107" s="624"/>
      <c r="AO107" s="624"/>
      <c r="AP107" s="624"/>
      <c r="AQ107" s="737"/>
      <c r="AR107" s="753"/>
      <c r="AS107" s="753"/>
      <c r="AT107" s="753"/>
      <c r="AU107" s="624"/>
      <c r="AV107" s="624"/>
      <c r="AW107" s="624"/>
    </row>
    <row r="108" spans="2:49">
      <c r="B108" s="756"/>
      <c r="C108" s="624"/>
      <c r="D108" s="751"/>
      <c r="E108" s="751"/>
      <c r="F108" s="751"/>
      <c r="G108" s="751"/>
      <c r="H108" s="751"/>
      <c r="I108" s="624"/>
      <c r="J108" s="624"/>
      <c r="K108" s="750"/>
      <c r="L108" s="751"/>
      <c r="M108" s="751"/>
      <c r="N108" s="751"/>
      <c r="O108" s="750"/>
      <c r="P108" s="751"/>
      <c r="Q108" s="751"/>
      <c r="R108" s="751"/>
      <c r="S108" s="624"/>
      <c r="T108" s="751"/>
      <c r="U108" s="751"/>
      <c r="V108" s="751"/>
      <c r="W108" s="624"/>
      <c r="X108" s="751"/>
      <c r="Y108" s="751"/>
      <c r="Z108" s="751"/>
      <c r="AA108" s="750"/>
      <c r="AB108" s="751"/>
      <c r="AC108" s="661"/>
      <c r="AD108" s="661"/>
      <c r="AE108" s="624"/>
      <c r="AF108" s="751"/>
      <c r="AG108" s="751"/>
      <c r="AH108" s="751"/>
      <c r="AI108" s="624"/>
      <c r="AJ108" s="751"/>
      <c r="AK108" s="751"/>
      <c r="AL108" s="751"/>
      <c r="AM108" s="624"/>
      <c r="AN108" s="624"/>
      <c r="AO108" s="624"/>
      <c r="AP108" s="624"/>
      <c r="AQ108" s="737"/>
      <c r="AR108" s="753"/>
      <c r="AS108" s="753"/>
      <c r="AT108" s="753"/>
      <c r="AU108" s="624"/>
      <c r="AV108" s="624"/>
      <c r="AW108" s="624"/>
    </row>
    <row r="109" spans="2:49">
      <c r="B109" s="756"/>
      <c r="C109" s="624"/>
      <c r="D109" s="751"/>
      <c r="E109" s="751"/>
      <c r="F109" s="751"/>
      <c r="G109" s="751"/>
      <c r="H109" s="751"/>
      <c r="I109" s="624"/>
      <c r="J109" s="624"/>
      <c r="K109" s="750"/>
      <c r="L109" s="751"/>
      <c r="M109" s="751"/>
      <c r="N109" s="751"/>
      <c r="O109" s="750"/>
      <c r="P109" s="751"/>
      <c r="Q109" s="751"/>
      <c r="R109" s="751"/>
      <c r="S109" s="624"/>
      <c r="T109" s="751"/>
      <c r="U109" s="751"/>
      <c r="V109" s="751"/>
      <c r="W109" s="624"/>
      <c r="X109" s="751"/>
      <c r="Y109" s="751"/>
      <c r="Z109" s="751"/>
      <c r="AA109" s="750"/>
      <c r="AB109" s="751"/>
      <c r="AC109" s="661"/>
      <c r="AD109" s="661"/>
      <c r="AE109" s="624"/>
      <c r="AF109" s="751"/>
      <c r="AG109" s="751"/>
      <c r="AH109" s="751"/>
      <c r="AI109" s="624"/>
      <c r="AJ109" s="751"/>
      <c r="AK109" s="751"/>
      <c r="AL109" s="751"/>
      <c r="AM109" s="624"/>
      <c r="AN109" s="624"/>
      <c r="AO109" s="624"/>
      <c r="AP109" s="624"/>
      <c r="AQ109" s="737"/>
      <c r="AR109" s="753"/>
      <c r="AS109" s="753"/>
      <c r="AT109" s="753"/>
      <c r="AU109" s="624"/>
      <c r="AV109" s="624"/>
      <c r="AW109" s="624"/>
    </row>
    <row r="110" spans="2:49">
      <c r="B110" s="756"/>
      <c r="C110" s="624"/>
      <c r="D110" s="751"/>
      <c r="E110" s="751"/>
      <c r="F110" s="751"/>
      <c r="G110" s="751"/>
      <c r="H110" s="751"/>
      <c r="I110" s="624"/>
      <c r="J110" s="624"/>
      <c r="K110" s="750"/>
      <c r="L110" s="751"/>
      <c r="M110" s="751"/>
      <c r="N110" s="751"/>
      <c r="O110" s="750"/>
      <c r="P110" s="751"/>
      <c r="Q110" s="751"/>
      <c r="R110" s="751"/>
      <c r="S110" s="624"/>
      <c r="T110" s="751"/>
      <c r="U110" s="751"/>
      <c r="V110" s="751"/>
      <c r="W110" s="624"/>
      <c r="X110" s="751"/>
      <c r="Y110" s="751"/>
      <c r="Z110" s="751"/>
      <c r="AA110" s="750"/>
      <c r="AB110" s="751"/>
      <c r="AC110" s="661"/>
      <c r="AD110" s="661"/>
      <c r="AE110" s="624"/>
      <c r="AF110" s="751"/>
      <c r="AG110" s="751"/>
      <c r="AH110" s="751"/>
      <c r="AI110" s="624"/>
      <c r="AJ110" s="751"/>
      <c r="AK110" s="751"/>
      <c r="AL110" s="751"/>
      <c r="AM110" s="624"/>
      <c r="AN110" s="624"/>
      <c r="AO110" s="624"/>
      <c r="AP110" s="624"/>
      <c r="AQ110" s="737"/>
      <c r="AR110" s="753"/>
      <c r="AS110" s="753"/>
      <c r="AT110" s="753"/>
      <c r="AU110" s="624"/>
      <c r="AV110" s="624"/>
      <c r="AW110" s="624"/>
    </row>
    <row r="111" spans="2:49">
      <c r="B111" s="756"/>
      <c r="C111" s="624"/>
      <c r="D111" s="751"/>
      <c r="E111" s="751"/>
      <c r="F111" s="751"/>
      <c r="G111" s="751"/>
      <c r="H111" s="751"/>
      <c r="I111" s="624"/>
      <c r="J111" s="624"/>
      <c r="K111" s="750"/>
      <c r="L111" s="751"/>
      <c r="M111" s="751"/>
      <c r="N111" s="751"/>
      <c r="O111" s="750"/>
      <c r="P111" s="751"/>
      <c r="Q111" s="751"/>
      <c r="R111" s="751"/>
      <c r="S111" s="624"/>
      <c r="T111" s="751"/>
      <c r="U111" s="751"/>
      <c r="V111" s="751"/>
      <c r="W111" s="624"/>
      <c r="X111" s="751"/>
      <c r="Y111" s="751"/>
      <c r="Z111" s="751"/>
      <c r="AA111" s="750"/>
      <c r="AB111" s="751"/>
      <c r="AC111" s="661"/>
      <c r="AD111" s="661"/>
      <c r="AE111" s="624"/>
      <c r="AF111" s="751"/>
      <c r="AG111" s="751"/>
      <c r="AH111" s="751"/>
      <c r="AI111" s="624"/>
      <c r="AJ111" s="751"/>
      <c r="AK111" s="751"/>
      <c r="AL111" s="751"/>
      <c r="AM111" s="624"/>
      <c r="AN111" s="624"/>
      <c r="AO111" s="624"/>
      <c r="AP111" s="624"/>
      <c r="AQ111" s="737"/>
      <c r="AR111" s="753"/>
      <c r="AS111" s="753"/>
      <c r="AT111" s="753"/>
      <c r="AU111" s="624"/>
      <c r="AV111" s="624"/>
      <c r="AW111" s="624"/>
    </row>
    <row r="112" spans="2:49">
      <c r="B112" s="756"/>
      <c r="C112" s="624"/>
      <c r="D112" s="751"/>
      <c r="E112" s="751"/>
      <c r="F112" s="751"/>
      <c r="G112" s="751"/>
      <c r="H112" s="751"/>
      <c r="I112" s="624"/>
      <c r="J112" s="624"/>
      <c r="K112" s="750"/>
      <c r="L112" s="751"/>
      <c r="M112" s="751"/>
      <c r="N112" s="751"/>
      <c r="O112" s="750"/>
      <c r="P112" s="751"/>
      <c r="Q112" s="751"/>
      <c r="R112" s="751"/>
      <c r="S112" s="624"/>
      <c r="T112" s="751"/>
      <c r="U112" s="751"/>
      <c r="V112" s="751"/>
      <c r="W112" s="624"/>
      <c r="X112" s="751"/>
      <c r="Y112" s="751"/>
      <c r="Z112" s="751"/>
      <c r="AA112" s="750"/>
      <c r="AB112" s="751"/>
      <c r="AC112" s="661"/>
      <c r="AD112" s="661"/>
      <c r="AE112" s="624"/>
      <c r="AF112" s="751"/>
      <c r="AG112" s="751"/>
      <c r="AH112" s="751"/>
      <c r="AI112" s="624"/>
      <c r="AJ112" s="751"/>
      <c r="AK112" s="751"/>
      <c r="AL112" s="751"/>
      <c r="AM112" s="624"/>
      <c r="AN112" s="624"/>
      <c r="AO112" s="624"/>
      <c r="AP112" s="624"/>
      <c r="AQ112" s="737"/>
      <c r="AR112" s="753"/>
      <c r="AS112" s="753"/>
      <c r="AT112" s="753"/>
      <c r="AU112" s="624"/>
      <c r="AV112" s="624"/>
      <c r="AW112" s="624"/>
    </row>
    <row r="113" spans="2:49">
      <c r="B113" s="756"/>
      <c r="C113" s="624"/>
      <c r="D113" s="751"/>
      <c r="E113" s="751"/>
      <c r="F113" s="751"/>
      <c r="G113" s="751"/>
      <c r="H113" s="751"/>
      <c r="I113" s="624"/>
      <c r="J113" s="624"/>
      <c r="K113" s="750"/>
      <c r="L113" s="751"/>
      <c r="M113" s="751"/>
      <c r="N113" s="751"/>
      <c r="O113" s="750"/>
      <c r="P113" s="751"/>
      <c r="Q113" s="751"/>
      <c r="R113" s="751"/>
      <c r="S113" s="624"/>
      <c r="T113" s="751"/>
      <c r="U113" s="751"/>
      <c r="V113" s="751"/>
      <c r="W113" s="624"/>
      <c r="X113" s="751"/>
      <c r="Y113" s="751"/>
      <c r="Z113" s="751"/>
      <c r="AA113" s="750"/>
      <c r="AB113" s="751"/>
      <c r="AC113" s="661"/>
      <c r="AD113" s="661"/>
      <c r="AE113" s="624"/>
      <c r="AF113" s="751"/>
      <c r="AG113" s="751"/>
      <c r="AH113" s="751"/>
      <c r="AI113" s="624"/>
      <c r="AJ113" s="751"/>
      <c r="AK113" s="751"/>
      <c r="AL113" s="751"/>
      <c r="AM113" s="624"/>
      <c r="AN113" s="624"/>
      <c r="AO113" s="624"/>
      <c r="AP113" s="624"/>
      <c r="AQ113" s="737"/>
      <c r="AR113" s="753"/>
      <c r="AS113" s="753"/>
      <c r="AT113" s="753"/>
      <c r="AU113" s="624"/>
      <c r="AV113" s="624"/>
      <c r="AW113" s="624"/>
    </row>
    <row r="114" spans="2:49">
      <c r="B114" s="756"/>
      <c r="C114" s="624"/>
      <c r="D114" s="751"/>
      <c r="E114" s="751"/>
      <c r="F114" s="751"/>
      <c r="G114" s="751"/>
      <c r="H114" s="751"/>
      <c r="I114" s="624"/>
      <c r="J114" s="624"/>
      <c r="K114" s="750"/>
      <c r="L114" s="751"/>
      <c r="M114" s="751"/>
      <c r="N114" s="751"/>
      <c r="O114" s="750"/>
      <c r="P114" s="751"/>
      <c r="Q114" s="751"/>
      <c r="R114" s="751"/>
      <c r="S114" s="624"/>
      <c r="T114" s="751"/>
      <c r="U114" s="751"/>
      <c r="V114" s="751"/>
      <c r="W114" s="624"/>
      <c r="X114" s="751"/>
      <c r="Y114" s="751"/>
      <c r="Z114" s="751"/>
      <c r="AA114" s="750"/>
      <c r="AB114" s="751"/>
      <c r="AC114" s="661"/>
      <c r="AD114" s="661"/>
      <c r="AE114" s="624"/>
      <c r="AF114" s="751"/>
      <c r="AG114" s="751"/>
      <c r="AH114" s="751"/>
      <c r="AI114" s="624"/>
      <c r="AJ114" s="751"/>
      <c r="AK114" s="751"/>
      <c r="AL114" s="751"/>
      <c r="AM114" s="624"/>
      <c r="AN114" s="624"/>
      <c r="AO114" s="624"/>
      <c r="AP114" s="624"/>
      <c r="AQ114" s="737"/>
      <c r="AR114" s="753"/>
      <c r="AS114" s="753"/>
      <c r="AT114" s="753"/>
      <c r="AU114" s="624"/>
      <c r="AV114" s="624"/>
      <c r="AW114" s="624"/>
    </row>
    <row r="115" spans="2:49">
      <c r="B115" s="756"/>
      <c r="C115" s="624"/>
      <c r="D115" s="751"/>
      <c r="E115" s="751"/>
      <c r="F115" s="751"/>
      <c r="G115" s="751"/>
      <c r="H115" s="751"/>
      <c r="I115" s="624"/>
      <c r="J115" s="624"/>
      <c r="K115" s="750"/>
      <c r="L115" s="751"/>
      <c r="M115" s="751"/>
      <c r="N115" s="751"/>
      <c r="O115" s="750"/>
      <c r="P115" s="751"/>
      <c r="Q115" s="751"/>
      <c r="R115" s="751"/>
      <c r="S115" s="624"/>
      <c r="T115" s="751"/>
      <c r="U115" s="751"/>
      <c r="V115" s="751"/>
      <c r="W115" s="624"/>
      <c r="X115" s="751"/>
      <c r="Y115" s="751"/>
      <c r="Z115" s="751"/>
      <c r="AA115" s="750"/>
      <c r="AB115" s="751"/>
      <c r="AC115" s="661"/>
      <c r="AD115" s="661"/>
      <c r="AE115" s="624"/>
      <c r="AF115" s="751"/>
      <c r="AG115" s="751"/>
      <c r="AH115" s="751"/>
      <c r="AI115" s="624"/>
      <c r="AJ115" s="751"/>
      <c r="AK115" s="751"/>
      <c r="AL115" s="751"/>
      <c r="AM115" s="624"/>
      <c r="AN115" s="624"/>
      <c r="AO115" s="624"/>
      <c r="AP115" s="624"/>
      <c r="AQ115" s="737"/>
      <c r="AR115" s="753"/>
      <c r="AS115" s="753"/>
      <c r="AT115" s="753"/>
      <c r="AU115" s="624"/>
      <c r="AV115" s="624"/>
      <c r="AW115" s="624"/>
    </row>
    <row r="116" spans="2:49">
      <c r="B116" s="756"/>
      <c r="C116" s="624"/>
      <c r="D116" s="751"/>
      <c r="E116" s="751"/>
      <c r="F116" s="751"/>
      <c r="G116" s="751"/>
      <c r="H116" s="751"/>
      <c r="I116" s="624"/>
      <c r="J116" s="624"/>
      <c r="K116" s="750"/>
      <c r="L116" s="751"/>
      <c r="M116" s="751"/>
      <c r="N116" s="751"/>
      <c r="O116" s="750"/>
      <c r="P116" s="751"/>
      <c r="Q116" s="751"/>
      <c r="R116" s="751"/>
      <c r="S116" s="624"/>
      <c r="T116" s="751"/>
      <c r="U116" s="751"/>
      <c r="V116" s="751"/>
      <c r="W116" s="624"/>
      <c r="X116" s="751"/>
      <c r="Y116" s="751"/>
      <c r="Z116" s="751"/>
      <c r="AA116" s="750"/>
      <c r="AB116" s="751"/>
      <c r="AC116" s="661"/>
      <c r="AD116" s="661"/>
      <c r="AE116" s="624"/>
      <c r="AF116" s="751"/>
      <c r="AG116" s="751"/>
      <c r="AH116" s="751"/>
      <c r="AI116" s="624"/>
      <c r="AJ116" s="751"/>
      <c r="AK116" s="751"/>
      <c r="AL116" s="751"/>
      <c r="AM116" s="624"/>
      <c r="AN116" s="624"/>
      <c r="AO116" s="624"/>
      <c r="AP116" s="624"/>
      <c r="AQ116" s="737"/>
      <c r="AR116" s="753"/>
      <c r="AS116" s="753"/>
      <c r="AT116" s="753"/>
      <c r="AU116" s="624"/>
      <c r="AV116" s="624"/>
      <c r="AW116" s="624"/>
    </row>
    <row r="117" spans="2:49">
      <c r="B117" s="756"/>
      <c r="C117" s="624"/>
      <c r="D117" s="751"/>
      <c r="E117" s="751"/>
      <c r="F117" s="751"/>
      <c r="G117" s="751"/>
      <c r="H117" s="751"/>
      <c r="I117" s="624"/>
      <c r="J117" s="624"/>
      <c r="K117" s="750"/>
      <c r="L117" s="751"/>
      <c r="M117" s="751"/>
      <c r="N117" s="751"/>
      <c r="O117" s="750"/>
      <c r="P117" s="751"/>
      <c r="Q117" s="751"/>
      <c r="R117" s="751"/>
      <c r="S117" s="624"/>
      <c r="T117" s="751"/>
      <c r="U117" s="751"/>
      <c r="V117" s="751"/>
      <c r="W117" s="624"/>
      <c r="X117" s="751"/>
      <c r="Y117" s="751"/>
      <c r="Z117" s="751"/>
      <c r="AA117" s="750"/>
      <c r="AB117" s="751"/>
      <c r="AC117" s="661"/>
      <c r="AD117" s="661"/>
      <c r="AE117" s="624"/>
      <c r="AF117" s="751"/>
      <c r="AG117" s="751"/>
      <c r="AH117" s="751"/>
      <c r="AI117" s="624"/>
      <c r="AJ117" s="751"/>
      <c r="AK117" s="751"/>
      <c r="AL117" s="751"/>
      <c r="AM117" s="624"/>
      <c r="AN117" s="624"/>
      <c r="AO117" s="624"/>
      <c r="AP117" s="624"/>
      <c r="AQ117" s="737"/>
      <c r="AR117" s="753"/>
      <c r="AS117" s="753"/>
      <c r="AT117" s="753"/>
      <c r="AU117" s="624"/>
      <c r="AV117" s="624"/>
      <c r="AW117" s="624"/>
    </row>
    <row r="118" spans="2:49">
      <c r="B118" s="756"/>
      <c r="C118" s="624"/>
      <c r="D118" s="751"/>
      <c r="E118" s="751"/>
      <c r="F118" s="751"/>
      <c r="G118" s="751"/>
      <c r="H118" s="751"/>
      <c r="I118" s="624"/>
      <c r="J118" s="624"/>
      <c r="K118" s="750"/>
      <c r="L118" s="751"/>
      <c r="M118" s="751"/>
      <c r="N118" s="751"/>
      <c r="O118" s="750"/>
      <c r="P118" s="751"/>
      <c r="Q118" s="751"/>
      <c r="R118" s="751"/>
      <c r="S118" s="624"/>
      <c r="T118" s="751"/>
      <c r="U118" s="751"/>
      <c r="V118" s="751"/>
      <c r="W118" s="624"/>
      <c r="X118" s="751"/>
      <c r="Y118" s="751"/>
      <c r="Z118" s="751"/>
      <c r="AA118" s="750"/>
      <c r="AB118" s="751"/>
      <c r="AC118" s="661"/>
      <c r="AD118" s="661"/>
      <c r="AE118" s="624"/>
      <c r="AF118" s="751"/>
      <c r="AG118" s="751"/>
      <c r="AH118" s="751"/>
      <c r="AI118" s="624"/>
      <c r="AJ118" s="751"/>
      <c r="AK118" s="751"/>
      <c r="AL118" s="751"/>
      <c r="AM118" s="624"/>
      <c r="AN118" s="624"/>
      <c r="AO118" s="624"/>
      <c r="AP118" s="624"/>
      <c r="AQ118" s="737"/>
      <c r="AR118" s="753"/>
      <c r="AS118" s="753"/>
      <c r="AT118" s="753"/>
      <c r="AU118" s="624"/>
      <c r="AV118" s="624"/>
      <c r="AW118" s="624"/>
    </row>
    <row r="119" spans="2:49">
      <c r="B119" s="756"/>
      <c r="C119" s="624"/>
      <c r="D119" s="751"/>
      <c r="E119" s="751"/>
      <c r="F119" s="751"/>
      <c r="G119" s="751"/>
      <c r="H119" s="751"/>
      <c r="I119" s="624"/>
      <c r="J119" s="624"/>
      <c r="K119" s="750"/>
      <c r="L119" s="751"/>
      <c r="M119" s="751"/>
      <c r="N119" s="751"/>
      <c r="O119" s="750"/>
      <c r="P119" s="751"/>
      <c r="Q119" s="751"/>
      <c r="R119" s="751"/>
      <c r="S119" s="624"/>
      <c r="T119" s="751"/>
      <c r="U119" s="751"/>
      <c r="V119" s="751"/>
      <c r="W119" s="624"/>
      <c r="X119" s="751"/>
      <c r="Y119" s="751"/>
      <c r="Z119" s="751"/>
      <c r="AA119" s="750"/>
      <c r="AB119" s="751"/>
      <c r="AC119" s="661"/>
      <c r="AD119" s="661"/>
      <c r="AE119" s="624"/>
      <c r="AF119" s="751"/>
      <c r="AG119" s="751"/>
      <c r="AH119" s="751"/>
      <c r="AI119" s="624"/>
      <c r="AJ119" s="751"/>
      <c r="AK119" s="751"/>
      <c r="AL119" s="751"/>
      <c r="AM119" s="624"/>
      <c r="AN119" s="624"/>
      <c r="AO119" s="624"/>
      <c r="AP119" s="624"/>
      <c r="AQ119" s="737"/>
      <c r="AR119" s="753"/>
      <c r="AS119" s="753"/>
      <c r="AT119" s="753"/>
      <c r="AU119" s="624"/>
      <c r="AV119" s="624"/>
      <c r="AW119" s="624"/>
    </row>
    <row r="120" spans="2:49">
      <c r="B120" s="756"/>
      <c r="C120" s="624"/>
      <c r="D120" s="751"/>
      <c r="E120" s="751"/>
      <c r="F120" s="751"/>
      <c r="G120" s="751"/>
      <c r="H120" s="751"/>
      <c r="I120" s="624"/>
      <c r="J120" s="624"/>
      <c r="K120" s="750"/>
      <c r="L120" s="751"/>
      <c r="M120" s="751"/>
      <c r="N120" s="751"/>
      <c r="O120" s="750"/>
      <c r="P120" s="751"/>
      <c r="Q120" s="751"/>
      <c r="R120" s="751"/>
      <c r="S120" s="624"/>
      <c r="T120" s="751"/>
      <c r="U120" s="751"/>
      <c r="V120" s="751"/>
      <c r="W120" s="624"/>
      <c r="X120" s="751"/>
      <c r="Y120" s="751"/>
      <c r="Z120" s="751"/>
      <c r="AA120" s="750"/>
      <c r="AB120" s="751"/>
      <c r="AC120" s="661"/>
      <c r="AD120" s="661"/>
      <c r="AE120" s="624"/>
      <c r="AF120" s="751"/>
      <c r="AG120" s="751"/>
      <c r="AH120" s="751"/>
      <c r="AI120" s="624"/>
      <c r="AJ120" s="751"/>
      <c r="AK120" s="751"/>
      <c r="AL120" s="751"/>
      <c r="AM120" s="624"/>
      <c r="AN120" s="624"/>
      <c r="AO120" s="624"/>
      <c r="AP120" s="624"/>
      <c r="AQ120" s="737"/>
      <c r="AR120" s="753"/>
      <c r="AS120" s="753"/>
      <c r="AT120" s="753"/>
      <c r="AU120" s="624"/>
      <c r="AV120" s="624"/>
      <c r="AW120" s="624"/>
    </row>
    <row r="121" spans="2:49">
      <c r="B121" s="756"/>
      <c r="C121" s="624"/>
      <c r="D121" s="751"/>
      <c r="E121" s="751"/>
      <c r="F121" s="751"/>
      <c r="G121" s="751"/>
      <c r="H121" s="751"/>
      <c r="I121" s="624"/>
      <c r="J121" s="624"/>
      <c r="K121" s="750"/>
      <c r="L121" s="751"/>
      <c r="M121" s="751"/>
      <c r="N121" s="751"/>
      <c r="O121" s="750"/>
      <c r="P121" s="751"/>
      <c r="Q121" s="751"/>
      <c r="R121" s="751"/>
      <c r="S121" s="624"/>
      <c r="T121" s="751"/>
      <c r="U121" s="751"/>
      <c r="V121" s="751"/>
      <c r="W121" s="624"/>
      <c r="X121" s="751"/>
      <c r="Y121" s="751"/>
      <c r="Z121" s="751"/>
      <c r="AA121" s="750"/>
      <c r="AB121" s="751"/>
      <c r="AC121" s="661"/>
      <c r="AD121" s="661"/>
      <c r="AE121" s="624"/>
      <c r="AF121" s="751"/>
      <c r="AG121" s="751"/>
      <c r="AH121" s="751"/>
      <c r="AI121" s="624"/>
      <c r="AJ121" s="751"/>
      <c r="AK121" s="751"/>
      <c r="AL121" s="751"/>
      <c r="AM121" s="624"/>
      <c r="AN121" s="624"/>
      <c r="AO121" s="624"/>
      <c r="AP121" s="624"/>
      <c r="AQ121" s="737"/>
      <c r="AR121" s="753"/>
      <c r="AS121" s="753"/>
      <c r="AT121" s="753"/>
      <c r="AU121" s="624"/>
      <c r="AV121" s="624"/>
      <c r="AW121" s="624"/>
    </row>
    <row r="122" spans="2:49">
      <c r="B122" s="756"/>
      <c r="C122" s="624"/>
      <c r="D122" s="751"/>
      <c r="E122" s="751"/>
      <c r="F122" s="751"/>
      <c r="G122" s="751"/>
      <c r="H122" s="751"/>
      <c r="I122" s="624"/>
      <c r="J122" s="624"/>
      <c r="K122" s="750"/>
      <c r="L122" s="751"/>
      <c r="M122" s="751"/>
      <c r="N122" s="751"/>
      <c r="O122" s="750"/>
      <c r="P122" s="751"/>
      <c r="Q122" s="751"/>
      <c r="R122" s="751"/>
      <c r="S122" s="624"/>
      <c r="T122" s="751"/>
      <c r="U122" s="751"/>
      <c r="V122" s="751"/>
      <c r="W122" s="624"/>
      <c r="X122" s="751"/>
      <c r="Y122" s="751"/>
      <c r="Z122" s="751"/>
      <c r="AA122" s="750"/>
      <c r="AB122" s="751"/>
      <c r="AC122" s="661"/>
      <c r="AD122" s="661"/>
      <c r="AE122" s="624"/>
      <c r="AF122" s="751"/>
      <c r="AG122" s="751"/>
      <c r="AH122" s="751"/>
      <c r="AI122" s="624"/>
      <c r="AJ122" s="751"/>
      <c r="AK122" s="751"/>
      <c r="AL122" s="751"/>
      <c r="AM122" s="624"/>
      <c r="AN122" s="624"/>
      <c r="AO122" s="624"/>
      <c r="AP122" s="624"/>
      <c r="AQ122" s="737"/>
      <c r="AR122" s="753"/>
      <c r="AS122" s="753"/>
      <c r="AT122" s="753"/>
      <c r="AU122" s="624"/>
      <c r="AV122" s="624"/>
      <c r="AW122" s="624"/>
    </row>
    <row r="123" spans="2:49">
      <c r="B123" s="756"/>
      <c r="C123" s="624"/>
      <c r="D123" s="751"/>
      <c r="E123" s="751"/>
      <c r="F123" s="751"/>
      <c r="G123" s="751"/>
      <c r="H123" s="751"/>
      <c r="I123" s="624"/>
      <c r="J123" s="624"/>
      <c r="K123" s="750"/>
      <c r="L123" s="751"/>
      <c r="M123" s="751"/>
      <c r="N123" s="751"/>
      <c r="O123" s="750"/>
      <c r="P123" s="751"/>
      <c r="Q123" s="751"/>
      <c r="R123" s="751"/>
      <c r="S123" s="624"/>
      <c r="T123" s="751"/>
      <c r="U123" s="751"/>
      <c r="V123" s="751"/>
      <c r="W123" s="624"/>
      <c r="X123" s="751"/>
      <c r="Y123" s="751"/>
      <c r="Z123" s="751"/>
      <c r="AA123" s="750"/>
      <c r="AB123" s="751"/>
      <c r="AC123" s="661"/>
      <c r="AD123" s="661"/>
      <c r="AE123" s="624"/>
      <c r="AF123" s="751"/>
      <c r="AG123" s="751"/>
      <c r="AH123" s="751"/>
      <c r="AI123" s="624"/>
      <c r="AJ123" s="751"/>
      <c r="AK123" s="751"/>
      <c r="AL123" s="751"/>
      <c r="AM123" s="624"/>
      <c r="AN123" s="624"/>
      <c r="AO123" s="624"/>
      <c r="AP123" s="624"/>
      <c r="AQ123" s="737"/>
      <c r="AR123" s="753"/>
      <c r="AS123" s="753"/>
      <c r="AT123" s="753"/>
      <c r="AU123" s="624"/>
      <c r="AV123" s="624"/>
      <c r="AW123" s="624"/>
    </row>
    <row r="124" spans="2:49">
      <c r="B124" s="756"/>
      <c r="C124" s="624"/>
      <c r="D124" s="751"/>
      <c r="E124" s="751"/>
      <c r="F124" s="751"/>
      <c r="G124" s="751"/>
      <c r="H124" s="751"/>
      <c r="I124" s="624"/>
      <c r="J124" s="624"/>
      <c r="K124" s="750"/>
      <c r="L124" s="751"/>
      <c r="M124" s="751"/>
      <c r="N124" s="751"/>
      <c r="O124" s="750"/>
      <c r="P124" s="751"/>
      <c r="Q124" s="751"/>
      <c r="R124" s="751"/>
      <c r="S124" s="624"/>
      <c r="T124" s="751"/>
      <c r="U124" s="751"/>
      <c r="V124" s="751"/>
      <c r="W124" s="624"/>
      <c r="X124" s="751"/>
      <c r="Y124" s="751"/>
      <c r="Z124" s="751"/>
      <c r="AA124" s="750"/>
      <c r="AB124" s="751"/>
      <c r="AC124" s="661"/>
      <c r="AD124" s="661"/>
      <c r="AE124" s="624"/>
      <c r="AF124" s="751"/>
      <c r="AG124" s="751"/>
      <c r="AH124" s="751"/>
      <c r="AI124" s="624"/>
      <c r="AJ124" s="751"/>
      <c r="AK124" s="751"/>
      <c r="AL124" s="751"/>
      <c r="AM124" s="624"/>
      <c r="AN124" s="624"/>
      <c r="AO124" s="624"/>
      <c r="AP124" s="624"/>
      <c r="AQ124" s="737"/>
      <c r="AR124" s="753"/>
      <c r="AS124" s="753"/>
      <c r="AT124" s="753"/>
      <c r="AU124" s="624"/>
      <c r="AV124" s="624"/>
      <c r="AW124" s="624"/>
    </row>
    <row r="125" spans="2:49">
      <c r="B125" s="756"/>
      <c r="C125" s="624"/>
      <c r="D125" s="751"/>
      <c r="E125" s="751"/>
      <c r="F125" s="751"/>
      <c r="G125" s="751"/>
      <c r="H125" s="751"/>
      <c r="I125" s="624"/>
      <c r="J125" s="624"/>
      <c r="K125" s="750"/>
      <c r="L125" s="751"/>
      <c r="M125" s="751"/>
      <c r="N125" s="751"/>
      <c r="O125" s="750"/>
      <c r="P125" s="751"/>
      <c r="Q125" s="751"/>
      <c r="R125" s="751"/>
      <c r="S125" s="624"/>
      <c r="T125" s="751"/>
      <c r="U125" s="751"/>
      <c r="V125" s="751"/>
      <c r="W125" s="624"/>
      <c r="X125" s="751"/>
      <c r="Y125" s="751"/>
      <c r="Z125" s="751"/>
      <c r="AA125" s="750"/>
      <c r="AB125" s="751"/>
      <c r="AC125" s="661"/>
      <c r="AD125" s="661"/>
      <c r="AE125" s="624"/>
      <c r="AF125" s="751"/>
      <c r="AG125" s="751"/>
      <c r="AH125" s="751"/>
      <c r="AI125" s="624"/>
      <c r="AJ125" s="751"/>
      <c r="AK125" s="751"/>
      <c r="AL125" s="751"/>
      <c r="AM125" s="624"/>
      <c r="AN125" s="624"/>
      <c r="AO125" s="624"/>
      <c r="AP125" s="624"/>
      <c r="AQ125" s="737"/>
      <c r="AR125" s="753"/>
      <c r="AS125" s="753"/>
      <c r="AT125" s="753"/>
      <c r="AU125" s="624"/>
      <c r="AV125" s="624"/>
      <c r="AW125" s="624"/>
    </row>
    <row r="126" spans="2:49">
      <c r="B126" s="756"/>
      <c r="C126" s="624"/>
      <c r="D126" s="751"/>
      <c r="E126" s="751"/>
      <c r="F126" s="751"/>
      <c r="G126" s="751"/>
      <c r="H126" s="751"/>
      <c r="I126" s="624"/>
      <c r="J126" s="624"/>
      <c r="K126" s="750"/>
      <c r="L126" s="751"/>
      <c r="M126" s="751"/>
      <c r="N126" s="751"/>
      <c r="O126" s="750"/>
      <c r="P126" s="751"/>
      <c r="Q126" s="751"/>
      <c r="R126" s="751"/>
      <c r="S126" s="624"/>
      <c r="T126" s="751"/>
      <c r="U126" s="751"/>
      <c r="V126" s="751"/>
      <c r="W126" s="624"/>
      <c r="X126" s="751"/>
      <c r="Y126" s="751"/>
      <c r="Z126" s="751"/>
      <c r="AA126" s="750"/>
      <c r="AB126" s="751"/>
      <c r="AC126" s="661"/>
      <c r="AD126" s="661"/>
      <c r="AE126" s="624"/>
      <c r="AF126" s="751"/>
      <c r="AG126" s="751"/>
      <c r="AH126" s="751"/>
      <c r="AI126" s="624"/>
      <c r="AJ126" s="751"/>
      <c r="AK126" s="751"/>
      <c r="AL126" s="751"/>
      <c r="AM126" s="624"/>
      <c r="AN126" s="624"/>
      <c r="AO126" s="624"/>
      <c r="AP126" s="624"/>
      <c r="AQ126" s="737"/>
      <c r="AR126" s="753"/>
      <c r="AS126" s="753"/>
      <c r="AT126" s="753"/>
      <c r="AU126" s="624"/>
      <c r="AV126" s="624"/>
      <c r="AW126" s="624"/>
    </row>
    <row r="127" spans="2:49">
      <c r="B127" s="756"/>
      <c r="C127" s="624"/>
      <c r="D127" s="751"/>
      <c r="E127" s="751"/>
      <c r="F127" s="751"/>
      <c r="G127" s="751"/>
      <c r="H127" s="751"/>
      <c r="I127" s="624"/>
      <c r="J127" s="624"/>
      <c r="K127" s="750"/>
      <c r="L127" s="751"/>
      <c r="M127" s="751"/>
      <c r="N127" s="751"/>
      <c r="O127" s="750"/>
      <c r="P127" s="751"/>
      <c r="Q127" s="751"/>
      <c r="R127" s="751"/>
      <c r="S127" s="624"/>
      <c r="T127" s="751"/>
      <c r="U127" s="751"/>
      <c r="V127" s="751"/>
      <c r="W127" s="624"/>
      <c r="X127" s="751"/>
      <c r="Y127" s="751"/>
      <c r="Z127" s="751"/>
      <c r="AA127" s="750"/>
      <c r="AB127" s="751"/>
      <c r="AC127" s="661"/>
      <c r="AD127" s="661"/>
      <c r="AE127" s="624"/>
      <c r="AF127" s="751"/>
      <c r="AG127" s="751"/>
      <c r="AH127" s="751"/>
      <c r="AI127" s="624"/>
      <c r="AJ127" s="751"/>
      <c r="AK127" s="751"/>
      <c r="AL127" s="751"/>
      <c r="AM127" s="624"/>
      <c r="AN127" s="624"/>
      <c r="AO127" s="624"/>
      <c r="AP127" s="624"/>
      <c r="AQ127" s="737"/>
      <c r="AR127" s="753"/>
      <c r="AS127" s="753"/>
      <c r="AT127" s="753"/>
      <c r="AU127" s="624"/>
      <c r="AV127" s="624"/>
      <c r="AW127" s="624"/>
    </row>
    <row r="128" spans="2:49">
      <c r="B128" s="756"/>
      <c r="C128" s="624"/>
      <c r="D128" s="751"/>
      <c r="E128" s="751"/>
      <c r="F128" s="751"/>
      <c r="G128" s="751"/>
      <c r="H128" s="751"/>
      <c r="I128" s="624"/>
      <c r="J128" s="624"/>
      <c r="K128" s="750"/>
      <c r="L128" s="751"/>
      <c r="M128" s="751"/>
      <c r="N128" s="751"/>
      <c r="O128" s="750"/>
      <c r="P128" s="751"/>
      <c r="Q128" s="751"/>
      <c r="R128" s="751"/>
      <c r="S128" s="624"/>
      <c r="T128" s="751"/>
      <c r="U128" s="751"/>
      <c r="V128" s="751"/>
      <c r="W128" s="624"/>
      <c r="X128" s="751"/>
      <c r="Y128" s="751"/>
      <c r="Z128" s="751"/>
      <c r="AA128" s="750"/>
      <c r="AB128" s="751"/>
      <c r="AC128" s="661"/>
      <c r="AD128" s="661"/>
      <c r="AE128" s="624"/>
      <c r="AF128" s="751"/>
      <c r="AG128" s="751"/>
      <c r="AH128" s="751"/>
      <c r="AI128" s="624"/>
      <c r="AJ128" s="751"/>
      <c r="AK128" s="751"/>
      <c r="AL128" s="751"/>
      <c r="AM128" s="624"/>
      <c r="AN128" s="624"/>
      <c r="AO128" s="624"/>
      <c r="AP128" s="624"/>
      <c r="AQ128" s="737"/>
      <c r="AR128" s="753"/>
      <c r="AS128" s="753"/>
      <c r="AT128" s="753"/>
      <c r="AU128" s="624"/>
      <c r="AV128" s="624"/>
      <c r="AW128" s="624"/>
    </row>
    <row r="129" spans="2:49">
      <c r="B129" s="756"/>
      <c r="C129" s="624"/>
      <c r="D129" s="751"/>
      <c r="E129" s="751"/>
      <c r="F129" s="751"/>
      <c r="G129" s="751"/>
      <c r="H129" s="751"/>
      <c r="I129" s="624"/>
      <c r="J129" s="624"/>
      <c r="K129" s="750"/>
      <c r="L129" s="751"/>
      <c r="M129" s="751"/>
      <c r="N129" s="751"/>
      <c r="O129" s="750"/>
      <c r="P129" s="751"/>
      <c r="Q129" s="751"/>
      <c r="R129" s="751"/>
      <c r="S129" s="624"/>
      <c r="T129" s="751"/>
      <c r="U129" s="751"/>
      <c r="V129" s="751"/>
      <c r="W129" s="624"/>
      <c r="X129" s="751"/>
      <c r="Y129" s="751"/>
      <c r="Z129" s="751"/>
      <c r="AA129" s="750"/>
      <c r="AB129" s="751"/>
      <c r="AC129" s="661"/>
      <c r="AD129" s="661"/>
      <c r="AE129" s="624"/>
      <c r="AF129" s="751"/>
      <c r="AG129" s="751"/>
      <c r="AH129" s="751"/>
      <c r="AI129" s="624"/>
      <c r="AJ129" s="751"/>
      <c r="AK129" s="751"/>
      <c r="AL129" s="751"/>
      <c r="AM129" s="624"/>
      <c r="AN129" s="624"/>
      <c r="AO129" s="624"/>
      <c r="AP129" s="624"/>
      <c r="AQ129" s="737"/>
      <c r="AR129" s="753"/>
      <c r="AS129" s="753"/>
      <c r="AT129" s="753"/>
      <c r="AU129" s="624"/>
      <c r="AV129" s="624"/>
      <c r="AW129" s="624"/>
    </row>
    <row r="130" spans="2:49">
      <c r="B130" s="756"/>
      <c r="C130" s="624"/>
      <c r="D130" s="751"/>
      <c r="E130" s="751"/>
      <c r="F130" s="751"/>
      <c r="G130" s="751"/>
      <c r="H130" s="751"/>
      <c r="I130" s="624"/>
      <c r="J130" s="624"/>
      <c r="K130" s="750"/>
      <c r="L130" s="751"/>
      <c r="M130" s="751"/>
      <c r="N130" s="751"/>
      <c r="O130" s="750"/>
      <c r="P130" s="751"/>
      <c r="Q130" s="751"/>
      <c r="R130" s="751"/>
      <c r="S130" s="624"/>
      <c r="T130" s="751"/>
      <c r="U130" s="751"/>
      <c r="V130" s="751"/>
      <c r="W130" s="624"/>
      <c r="X130" s="751"/>
      <c r="Y130" s="751"/>
      <c r="Z130" s="751"/>
      <c r="AA130" s="750"/>
      <c r="AB130" s="751"/>
      <c r="AC130" s="661"/>
      <c r="AD130" s="661"/>
      <c r="AE130" s="624"/>
      <c r="AF130" s="751"/>
      <c r="AG130" s="751"/>
      <c r="AH130" s="751"/>
      <c r="AI130" s="624"/>
      <c r="AJ130" s="751"/>
      <c r="AK130" s="751"/>
      <c r="AL130" s="751"/>
      <c r="AM130" s="624"/>
      <c r="AN130" s="624"/>
      <c r="AO130" s="624"/>
      <c r="AP130" s="624"/>
      <c r="AQ130" s="737"/>
      <c r="AR130" s="753"/>
      <c r="AS130" s="753"/>
      <c r="AT130" s="753"/>
      <c r="AU130" s="624"/>
      <c r="AV130" s="624"/>
      <c r="AW130" s="624"/>
    </row>
    <row r="131" spans="2:49">
      <c r="B131" s="756"/>
      <c r="C131" s="624"/>
      <c r="D131" s="751"/>
      <c r="E131" s="751"/>
      <c r="F131" s="751"/>
      <c r="G131" s="751"/>
      <c r="H131" s="751"/>
      <c r="I131" s="624"/>
      <c r="J131" s="624"/>
      <c r="K131" s="750"/>
      <c r="L131" s="751"/>
      <c r="M131" s="751"/>
      <c r="N131" s="751"/>
      <c r="O131" s="750"/>
      <c r="P131" s="751"/>
      <c r="Q131" s="751"/>
      <c r="R131" s="751"/>
      <c r="S131" s="624"/>
      <c r="T131" s="751"/>
      <c r="U131" s="751"/>
      <c r="V131" s="751"/>
      <c r="W131" s="624"/>
      <c r="X131" s="751"/>
      <c r="Y131" s="751"/>
      <c r="Z131" s="751"/>
      <c r="AA131" s="750"/>
      <c r="AB131" s="751"/>
      <c r="AC131" s="661"/>
      <c r="AD131" s="661"/>
      <c r="AE131" s="624"/>
      <c r="AF131" s="751"/>
      <c r="AG131" s="751"/>
      <c r="AH131" s="751"/>
      <c r="AI131" s="624"/>
      <c r="AJ131" s="751"/>
      <c r="AK131" s="751"/>
      <c r="AL131" s="751"/>
      <c r="AM131" s="624"/>
      <c r="AN131" s="624"/>
      <c r="AO131" s="624"/>
      <c r="AP131" s="624"/>
      <c r="AQ131" s="737"/>
      <c r="AR131" s="753"/>
      <c r="AS131" s="753"/>
      <c r="AT131" s="753"/>
      <c r="AU131" s="624"/>
      <c r="AV131" s="624"/>
      <c r="AW131" s="624"/>
    </row>
    <row r="132" spans="2:49">
      <c r="B132" s="756"/>
      <c r="C132" s="624"/>
      <c r="D132" s="751"/>
      <c r="E132" s="751"/>
      <c r="F132" s="751"/>
      <c r="G132" s="751"/>
      <c r="H132" s="751"/>
      <c r="I132" s="624"/>
      <c r="J132" s="624"/>
      <c r="K132" s="750"/>
      <c r="L132" s="751"/>
      <c r="M132" s="751"/>
      <c r="N132" s="751"/>
      <c r="O132" s="750"/>
      <c r="P132" s="751"/>
      <c r="Q132" s="751"/>
      <c r="R132" s="751"/>
      <c r="S132" s="624"/>
      <c r="T132" s="751"/>
      <c r="U132" s="751"/>
      <c r="V132" s="751"/>
      <c r="W132" s="624"/>
      <c r="X132" s="751"/>
      <c r="Y132" s="751"/>
      <c r="Z132" s="751"/>
      <c r="AA132" s="750"/>
      <c r="AB132" s="751"/>
      <c r="AC132" s="661"/>
      <c r="AD132" s="661"/>
      <c r="AE132" s="624"/>
      <c r="AF132" s="751"/>
      <c r="AG132" s="751"/>
      <c r="AH132" s="751"/>
      <c r="AI132" s="624"/>
      <c r="AJ132" s="751"/>
      <c r="AK132" s="751"/>
      <c r="AL132" s="751"/>
      <c r="AM132" s="624"/>
      <c r="AN132" s="624"/>
      <c r="AO132" s="624"/>
      <c r="AP132" s="624"/>
      <c r="AQ132" s="737"/>
      <c r="AR132" s="753"/>
      <c r="AS132" s="753"/>
      <c r="AT132" s="753"/>
      <c r="AU132" s="624"/>
      <c r="AV132" s="624"/>
      <c r="AW132" s="624"/>
    </row>
    <row r="133" spans="2:49">
      <c r="B133" s="756"/>
      <c r="C133" s="624"/>
      <c r="D133" s="751"/>
      <c r="E133" s="751"/>
      <c r="F133" s="751"/>
      <c r="G133" s="751"/>
      <c r="H133" s="751"/>
      <c r="I133" s="624"/>
      <c r="J133" s="624"/>
      <c r="K133" s="750"/>
      <c r="L133" s="751"/>
      <c r="M133" s="751"/>
      <c r="N133" s="751"/>
      <c r="O133" s="750"/>
      <c r="P133" s="751"/>
      <c r="Q133" s="751"/>
      <c r="R133" s="751"/>
      <c r="S133" s="624"/>
      <c r="T133" s="751"/>
      <c r="U133" s="751"/>
      <c r="V133" s="751"/>
      <c r="W133" s="624"/>
      <c r="X133" s="751"/>
      <c r="Y133" s="751"/>
      <c r="Z133" s="751"/>
      <c r="AA133" s="750"/>
      <c r="AB133" s="751"/>
      <c r="AC133" s="661"/>
      <c r="AD133" s="661"/>
      <c r="AE133" s="624"/>
      <c r="AF133" s="751"/>
      <c r="AG133" s="751"/>
      <c r="AH133" s="751"/>
      <c r="AI133" s="624"/>
      <c r="AJ133" s="751"/>
      <c r="AK133" s="751"/>
      <c r="AL133" s="751"/>
      <c r="AM133" s="624"/>
      <c r="AN133" s="624"/>
      <c r="AO133" s="624"/>
      <c r="AP133" s="624"/>
      <c r="AQ133" s="737"/>
      <c r="AR133" s="753"/>
      <c r="AS133" s="753"/>
      <c r="AT133" s="753"/>
      <c r="AU133" s="624"/>
      <c r="AV133" s="624"/>
      <c r="AW133" s="624"/>
    </row>
    <row r="134" spans="2:49">
      <c r="B134" s="756"/>
      <c r="C134" s="624"/>
      <c r="D134" s="751"/>
      <c r="E134" s="751"/>
      <c r="F134" s="751"/>
      <c r="G134" s="751"/>
      <c r="H134" s="751"/>
      <c r="I134" s="624"/>
      <c r="J134" s="624"/>
      <c r="K134" s="750"/>
      <c r="L134" s="751"/>
      <c r="M134" s="751"/>
      <c r="N134" s="751"/>
      <c r="O134" s="750"/>
      <c r="P134" s="751"/>
      <c r="Q134" s="751"/>
      <c r="R134" s="751"/>
      <c r="S134" s="624"/>
      <c r="T134" s="751"/>
      <c r="U134" s="751"/>
      <c r="V134" s="751"/>
      <c r="W134" s="624"/>
      <c r="X134" s="751"/>
      <c r="Y134" s="751"/>
      <c r="Z134" s="751"/>
      <c r="AA134" s="750"/>
      <c r="AB134" s="751"/>
      <c r="AC134" s="661"/>
      <c r="AD134" s="661"/>
      <c r="AE134" s="624"/>
      <c r="AF134" s="751"/>
      <c r="AG134" s="751"/>
      <c r="AH134" s="751"/>
      <c r="AI134" s="624"/>
      <c r="AJ134" s="751"/>
      <c r="AK134" s="751"/>
      <c r="AL134" s="751"/>
      <c r="AM134" s="624"/>
      <c r="AN134" s="624"/>
      <c r="AO134" s="624"/>
      <c r="AP134" s="624"/>
      <c r="AQ134" s="737"/>
      <c r="AR134" s="753"/>
      <c r="AS134" s="753"/>
      <c r="AT134" s="753"/>
      <c r="AU134" s="624"/>
      <c r="AV134" s="624"/>
      <c r="AW134" s="624"/>
    </row>
    <row r="135" spans="2:49">
      <c r="B135" s="756"/>
      <c r="C135" s="624"/>
      <c r="D135" s="751"/>
      <c r="E135" s="751"/>
      <c r="F135" s="751"/>
      <c r="G135" s="751"/>
      <c r="H135" s="751"/>
      <c r="I135" s="624"/>
      <c r="J135" s="624"/>
      <c r="K135" s="750"/>
      <c r="L135" s="751"/>
      <c r="M135" s="751"/>
      <c r="N135" s="751"/>
      <c r="O135" s="750"/>
      <c r="P135" s="751"/>
      <c r="Q135" s="751"/>
      <c r="R135" s="751"/>
      <c r="S135" s="624"/>
      <c r="T135" s="751"/>
      <c r="U135" s="751"/>
      <c r="V135" s="751"/>
      <c r="W135" s="624"/>
      <c r="X135" s="751"/>
      <c r="Y135" s="751"/>
      <c r="Z135" s="751"/>
      <c r="AA135" s="750"/>
      <c r="AB135" s="751"/>
      <c r="AC135" s="661"/>
      <c r="AD135" s="661"/>
      <c r="AE135" s="624"/>
      <c r="AF135" s="751"/>
      <c r="AG135" s="751"/>
      <c r="AH135" s="751"/>
      <c r="AI135" s="624"/>
      <c r="AJ135" s="751"/>
      <c r="AK135" s="751"/>
      <c r="AL135" s="751"/>
      <c r="AM135" s="624"/>
      <c r="AN135" s="624"/>
      <c r="AO135" s="624"/>
      <c r="AP135" s="624"/>
      <c r="AQ135" s="737"/>
      <c r="AR135" s="753"/>
      <c r="AS135" s="753"/>
      <c r="AT135" s="753"/>
      <c r="AU135" s="624"/>
      <c r="AV135" s="624"/>
      <c r="AW135" s="624"/>
    </row>
    <row r="136" spans="2:49">
      <c r="B136" s="756"/>
      <c r="C136" s="624"/>
      <c r="D136" s="751"/>
      <c r="E136" s="751"/>
      <c r="F136" s="751"/>
      <c r="G136" s="751"/>
      <c r="H136" s="751"/>
      <c r="I136" s="624"/>
      <c r="J136" s="624"/>
      <c r="K136" s="750"/>
      <c r="L136" s="751"/>
      <c r="M136" s="751"/>
      <c r="N136" s="751"/>
      <c r="O136" s="750"/>
      <c r="P136" s="751"/>
      <c r="Q136" s="751"/>
      <c r="R136" s="751"/>
      <c r="S136" s="624"/>
      <c r="T136" s="751"/>
      <c r="U136" s="751"/>
      <c r="V136" s="751"/>
      <c r="W136" s="624"/>
      <c r="X136" s="751"/>
      <c r="Y136" s="751"/>
      <c r="Z136" s="751"/>
      <c r="AA136" s="750"/>
      <c r="AB136" s="751"/>
      <c r="AC136" s="661"/>
      <c r="AD136" s="661"/>
      <c r="AE136" s="624"/>
      <c r="AF136" s="751"/>
      <c r="AG136" s="751"/>
      <c r="AH136" s="751"/>
      <c r="AI136" s="624"/>
      <c r="AJ136" s="751"/>
      <c r="AK136" s="751"/>
      <c r="AL136" s="751"/>
      <c r="AM136" s="624"/>
      <c r="AN136" s="624"/>
      <c r="AO136" s="624"/>
      <c r="AP136" s="624"/>
      <c r="AQ136" s="737"/>
      <c r="AR136" s="753"/>
      <c r="AS136" s="753"/>
      <c r="AT136" s="753"/>
      <c r="AU136" s="624"/>
      <c r="AV136" s="624"/>
      <c r="AW136" s="624"/>
    </row>
    <row r="137" spans="2:49">
      <c r="B137" s="756"/>
      <c r="C137" s="624"/>
      <c r="D137" s="751"/>
      <c r="E137" s="751"/>
      <c r="F137" s="751"/>
      <c r="G137" s="751"/>
      <c r="H137" s="751"/>
      <c r="I137" s="624"/>
      <c r="J137" s="624"/>
      <c r="K137" s="750"/>
      <c r="L137" s="751"/>
      <c r="M137" s="751"/>
      <c r="N137" s="751"/>
      <c r="O137" s="750"/>
      <c r="P137" s="751"/>
      <c r="Q137" s="751"/>
      <c r="R137" s="751"/>
      <c r="S137" s="624"/>
      <c r="T137" s="751"/>
      <c r="U137" s="751"/>
      <c r="V137" s="751"/>
      <c r="W137" s="624"/>
      <c r="X137" s="751"/>
      <c r="Y137" s="751"/>
      <c r="Z137" s="751"/>
      <c r="AA137" s="750"/>
      <c r="AB137" s="751"/>
      <c r="AC137" s="661"/>
      <c r="AD137" s="661"/>
      <c r="AE137" s="624"/>
      <c r="AF137" s="751"/>
      <c r="AG137" s="751"/>
      <c r="AH137" s="751"/>
      <c r="AI137" s="624"/>
      <c r="AJ137" s="751"/>
      <c r="AK137" s="751"/>
      <c r="AL137" s="751"/>
      <c r="AM137" s="624"/>
      <c r="AN137" s="624"/>
      <c r="AO137" s="624"/>
      <c r="AP137" s="624"/>
      <c r="AQ137" s="737"/>
      <c r="AR137" s="753"/>
      <c r="AS137" s="753"/>
      <c r="AT137" s="753"/>
      <c r="AU137" s="624"/>
      <c r="AV137" s="624"/>
      <c r="AW137" s="624"/>
    </row>
    <row r="138" spans="2:49">
      <c r="B138" s="756"/>
      <c r="C138" s="624"/>
      <c r="D138" s="751"/>
      <c r="E138" s="751"/>
      <c r="F138" s="751"/>
      <c r="G138" s="751"/>
      <c r="H138" s="751"/>
      <c r="I138" s="624"/>
      <c r="J138" s="624"/>
      <c r="K138" s="750"/>
      <c r="L138" s="751"/>
      <c r="M138" s="751"/>
      <c r="N138" s="751"/>
      <c r="O138" s="750"/>
      <c r="P138" s="751"/>
      <c r="Q138" s="751"/>
      <c r="R138" s="751"/>
      <c r="S138" s="624"/>
      <c r="T138" s="751"/>
      <c r="U138" s="751"/>
      <c r="V138" s="751"/>
      <c r="W138" s="624"/>
      <c r="X138" s="751"/>
      <c r="Y138" s="751"/>
      <c r="Z138" s="751"/>
      <c r="AA138" s="750"/>
      <c r="AB138" s="751"/>
      <c r="AC138" s="661"/>
      <c r="AD138" s="661"/>
      <c r="AE138" s="624"/>
      <c r="AF138" s="751"/>
      <c r="AG138" s="751"/>
      <c r="AH138" s="751"/>
      <c r="AI138" s="624"/>
      <c r="AJ138" s="751"/>
      <c r="AK138" s="751"/>
      <c r="AL138" s="751"/>
      <c r="AM138" s="624"/>
      <c r="AN138" s="624"/>
      <c r="AO138" s="624"/>
      <c r="AP138" s="624"/>
      <c r="AQ138" s="737"/>
      <c r="AR138" s="753"/>
      <c r="AS138" s="753"/>
      <c r="AT138" s="753"/>
      <c r="AU138" s="624"/>
      <c r="AV138" s="624"/>
      <c r="AW138" s="624"/>
    </row>
    <row r="139" spans="2:49">
      <c r="B139" s="756"/>
      <c r="C139" s="624"/>
      <c r="D139" s="751"/>
      <c r="E139" s="751"/>
      <c r="F139" s="751"/>
      <c r="G139" s="751"/>
      <c r="H139" s="751"/>
      <c r="I139" s="624"/>
      <c r="J139" s="624"/>
      <c r="K139" s="750"/>
      <c r="L139" s="751"/>
      <c r="M139" s="751"/>
      <c r="N139" s="751"/>
      <c r="O139" s="750"/>
      <c r="P139" s="751"/>
      <c r="Q139" s="751"/>
      <c r="R139" s="751"/>
      <c r="S139" s="624"/>
      <c r="T139" s="751"/>
      <c r="U139" s="751"/>
      <c r="V139" s="751"/>
      <c r="W139" s="624"/>
      <c r="X139" s="751"/>
      <c r="Y139" s="751"/>
      <c r="Z139" s="751"/>
      <c r="AA139" s="750"/>
      <c r="AB139" s="751"/>
      <c r="AC139" s="661"/>
      <c r="AD139" s="661"/>
      <c r="AE139" s="624"/>
      <c r="AF139" s="751"/>
      <c r="AG139" s="751"/>
      <c r="AH139" s="751"/>
      <c r="AI139" s="624"/>
      <c r="AJ139" s="751"/>
      <c r="AK139" s="751"/>
      <c r="AL139" s="751"/>
      <c r="AM139" s="624"/>
      <c r="AN139" s="624"/>
      <c r="AO139" s="624"/>
      <c r="AP139" s="624"/>
      <c r="AQ139" s="737"/>
      <c r="AR139" s="753"/>
      <c r="AS139" s="753"/>
      <c r="AT139" s="753"/>
      <c r="AU139" s="624"/>
      <c r="AV139" s="624"/>
      <c r="AW139" s="624"/>
    </row>
    <row r="140" spans="2:49">
      <c r="B140" s="756"/>
      <c r="C140" s="624"/>
      <c r="D140" s="751"/>
      <c r="E140" s="751"/>
      <c r="F140" s="751"/>
      <c r="G140" s="751"/>
      <c r="H140" s="751"/>
      <c r="I140" s="624"/>
      <c r="J140" s="624"/>
      <c r="K140" s="750"/>
      <c r="L140" s="751"/>
      <c r="M140" s="751"/>
      <c r="N140" s="751"/>
      <c r="O140" s="750"/>
      <c r="P140" s="751"/>
      <c r="Q140" s="751"/>
      <c r="R140" s="751"/>
      <c r="S140" s="624"/>
      <c r="T140" s="751"/>
      <c r="U140" s="751"/>
      <c r="V140" s="751"/>
      <c r="W140" s="624"/>
      <c r="X140" s="751"/>
      <c r="Y140" s="751"/>
      <c r="Z140" s="751"/>
      <c r="AA140" s="750"/>
      <c r="AB140" s="751"/>
      <c r="AC140" s="661"/>
      <c r="AD140" s="661"/>
      <c r="AE140" s="624"/>
      <c r="AF140" s="751"/>
      <c r="AG140" s="751"/>
      <c r="AH140" s="751"/>
      <c r="AI140" s="624"/>
      <c r="AJ140" s="751"/>
      <c r="AK140" s="751"/>
      <c r="AL140" s="751"/>
      <c r="AM140" s="624"/>
      <c r="AN140" s="624"/>
      <c r="AO140" s="624"/>
      <c r="AP140" s="624"/>
      <c r="AQ140" s="737"/>
      <c r="AR140" s="753"/>
      <c r="AS140" s="753"/>
      <c r="AT140" s="753"/>
      <c r="AU140" s="624"/>
      <c r="AV140" s="624"/>
      <c r="AW140" s="624"/>
    </row>
    <row r="141" spans="2:49">
      <c r="B141" s="756"/>
      <c r="C141" s="624"/>
      <c r="D141" s="751"/>
      <c r="E141" s="751"/>
      <c r="F141" s="751"/>
      <c r="G141" s="751"/>
      <c r="H141" s="751"/>
      <c r="I141" s="624"/>
      <c r="J141" s="624"/>
      <c r="K141" s="750"/>
      <c r="L141" s="751"/>
      <c r="M141" s="751"/>
      <c r="N141" s="751"/>
      <c r="O141" s="750"/>
      <c r="P141" s="751"/>
      <c r="Q141" s="751"/>
      <c r="R141" s="751"/>
      <c r="S141" s="624"/>
      <c r="T141" s="751"/>
      <c r="U141" s="751"/>
      <c r="V141" s="751"/>
      <c r="W141" s="624"/>
      <c r="X141" s="751"/>
      <c r="Y141" s="751"/>
      <c r="Z141" s="751"/>
      <c r="AA141" s="750"/>
      <c r="AB141" s="751"/>
      <c r="AC141" s="661"/>
      <c r="AD141" s="661"/>
      <c r="AE141" s="624"/>
      <c r="AF141" s="751"/>
      <c r="AG141" s="751"/>
      <c r="AH141" s="751"/>
      <c r="AI141" s="624"/>
      <c r="AJ141" s="751"/>
      <c r="AK141" s="751"/>
      <c r="AL141" s="751"/>
      <c r="AM141" s="624"/>
      <c r="AN141" s="624"/>
      <c r="AO141" s="624"/>
      <c r="AP141" s="624"/>
      <c r="AQ141" s="737"/>
      <c r="AR141" s="753"/>
      <c r="AS141" s="753"/>
      <c r="AT141" s="753"/>
      <c r="AU141" s="624"/>
      <c r="AV141" s="624"/>
      <c r="AW141" s="624"/>
    </row>
    <row r="142" spans="2:49">
      <c r="B142" s="756"/>
      <c r="C142" s="624"/>
      <c r="D142" s="751"/>
      <c r="E142" s="751"/>
      <c r="F142" s="751"/>
      <c r="G142" s="751"/>
      <c r="H142" s="751"/>
      <c r="I142" s="624"/>
      <c r="J142" s="624"/>
      <c r="K142" s="750"/>
      <c r="L142" s="751"/>
      <c r="M142" s="751"/>
      <c r="N142" s="751"/>
      <c r="O142" s="750"/>
      <c r="P142" s="751"/>
      <c r="Q142" s="751"/>
      <c r="R142" s="751"/>
      <c r="S142" s="624"/>
      <c r="T142" s="751"/>
      <c r="U142" s="751"/>
      <c r="V142" s="751"/>
      <c r="W142" s="624"/>
      <c r="X142" s="751"/>
      <c r="Y142" s="751"/>
      <c r="Z142" s="751"/>
      <c r="AA142" s="750"/>
      <c r="AB142" s="751"/>
      <c r="AC142" s="661"/>
      <c r="AD142" s="661"/>
      <c r="AE142" s="624"/>
      <c r="AF142" s="751"/>
      <c r="AG142" s="751"/>
      <c r="AH142" s="751"/>
      <c r="AI142" s="624"/>
      <c r="AJ142" s="751"/>
      <c r="AK142" s="751"/>
      <c r="AL142" s="751"/>
      <c r="AM142" s="624"/>
      <c r="AN142" s="624"/>
      <c r="AO142" s="624"/>
      <c r="AP142" s="624"/>
      <c r="AQ142" s="737"/>
      <c r="AR142" s="753"/>
      <c r="AS142" s="753"/>
      <c r="AT142" s="753"/>
      <c r="AU142" s="624"/>
      <c r="AV142" s="624"/>
      <c r="AW142" s="624"/>
    </row>
    <row r="143" spans="2:49">
      <c r="B143" s="756"/>
      <c r="C143" s="624"/>
      <c r="D143" s="751"/>
      <c r="E143" s="751"/>
      <c r="F143" s="751"/>
      <c r="G143" s="751"/>
      <c r="H143" s="751"/>
      <c r="I143" s="624"/>
      <c r="J143" s="624"/>
      <c r="K143" s="750"/>
      <c r="L143" s="751"/>
      <c r="M143" s="751"/>
      <c r="N143" s="751"/>
      <c r="O143" s="750"/>
      <c r="P143" s="751"/>
      <c r="Q143" s="751"/>
      <c r="R143" s="751"/>
      <c r="S143" s="624"/>
      <c r="T143" s="751"/>
      <c r="U143" s="751"/>
      <c r="V143" s="751"/>
      <c r="W143" s="624"/>
      <c r="X143" s="751"/>
      <c r="Y143" s="751"/>
      <c r="Z143" s="751"/>
      <c r="AA143" s="750"/>
      <c r="AB143" s="751"/>
      <c r="AC143" s="661"/>
      <c r="AD143" s="661"/>
      <c r="AE143" s="624"/>
      <c r="AF143" s="751"/>
      <c r="AG143" s="751"/>
      <c r="AH143" s="751"/>
      <c r="AI143" s="624"/>
      <c r="AJ143" s="751"/>
      <c r="AK143" s="751"/>
      <c r="AL143" s="751"/>
      <c r="AM143" s="624"/>
      <c r="AN143" s="624"/>
      <c r="AO143" s="624"/>
      <c r="AP143" s="624"/>
      <c r="AQ143" s="737"/>
      <c r="AR143" s="753"/>
      <c r="AS143" s="753"/>
      <c r="AT143" s="753"/>
      <c r="AU143" s="624"/>
      <c r="AV143" s="624"/>
      <c r="AW143" s="624"/>
    </row>
    <row r="144" spans="2:49">
      <c r="B144" s="756"/>
      <c r="C144" s="624"/>
      <c r="D144" s="751"/>
      <c r="E144" s="751"/>
      <c r="F144" s="751"/>
      <c r="G144" s="751"/>
      <c r="H144" s="751"/>
      <c r="I144" s="624"/>
      <c r="J144" s="624"/>
      <c r="K144" s="750"/>
      <c r="L144" s="751"/>
      <c r="M144" s="751"/>
      <c r="N144" s="751"/>
      <c r="O144" s="750"/>
      <c r="P144" s="751"/>
      <c r="Q144" s="751"/>
      <c r="R144" s="751"/>
      <c r="S144" s="624"/>
      <c r="T144" s="751"/>
      <c r="U144" s="751"/>
      <c r="V144" s="751"/>
      <c r="W144" s="624"/>
      <c r="X144" s="751"/>
      <c r="Y144" s="751"/>
      <c r="Z144" s="751"/>
      <c r="AA144" s="750"/>
      <c r="AB144" s="751"/>
      <c r="AC144" s="661"/>
      <c r="AD144" s="661"/>
      <c r="AE144" s="624"/>
      <c r="AF144" s="751"/>
      <c r="AG144" s="751"/>
      <c r="AH144" s="751"/>
      <c r="AI144" s="624"/>
      <c r="AJ144" s="751"/>
      <c r="AK144" s="751"/>
      <c r="AL144" s="751"/>
      <c r="AM144" s="624"/>
      <c r="AN144" s="624"/>
      <c r="AO144" s="624"/>
      <c r="AP144" s="624"/>
      <c r="AQ144" s="737"/>
      <c r="AR144" s="753"/>
      <c r="AS144" s="753"/>
      <c r="AT144" s="753"/>
      <c r="AU144" s="624"/>
      <c r="AV144" s="624"/>
      <c r="AW144" s="624"/>
    </row>
    <row r="145" spans="2:49">
      <c r="B145" s="756"/>
      <c r="C145" s="624"/>
      <c r="D145" s="751"/>
      <c r="E145" s="751"/>
      <c r="F145" s="751"/>
      <c r="G145" s="751"/>
      <c r="H145" s="751"/>
      <c r="I145" s="624"/>
      <c r="J145" s="624"/>
      <c r="K145" s="750"/>
      <c r="L145" s="751"/>
      <c r="M145" s="751"/>
      <c r="N145" s="751"/>
      <c r="O145" s="750"/>
      <c r="P145" s="751"/>
      <c r="Q145" s="751"/>
      <c r="R145" s="751"/>
      <c r="S145" s="624"/>
      <c r="T145" s="751"/>
      <c r="U145" s="751"/>
      <c r="V145" s="751"/>
      <c r="W145" s="624"/>
      <c r="X145" s="751"/>
      <c r="Y145" s="751"/>
      <c r="Z145" s="751"/>
      <c r="AA145" s="750"/>
      <c r="AB145" s="751"/>
      <c r="AC145" s="661"/>
      <c r="AD145" s="661"/>
      <c r="AE145" s="624"/>
      <c r="AF145" s="751"/>
      <c r="AG145" s="751"/>
      <c r="AH145" s="751"/>
      <c r="AI145" s="624"/>
      <c r="AJ145" s="751"/>
      <c r="AK145" s="751"/>
      <c r="AL145" s="751"/>
      <c r="AM145" s="624"/>
      <c r="AN145" s="624"/>
      <c r="AO145" s="624"/>
      <c r="AP145" s="624"/>
      <c r="AQ145" s="737"/>
      <c r="AR145" s="753"/>
      <c r="AS145" s="753"/>
      <c r="AT145" s="753"/>
      <c r="AU145" s="624"/>
      <c r="AV145" s="624"/>
      <c r="AW145" s="624"/>
    </row>
    <row r="146" spans="2:49">
      <c r="B146" s="756"/>
      <c r="C146" s="624"/>
      <c r="D146" s="751"/>
      <c r="E146" s="751"/>
      <c r="F146" s="751"/>
      <c r="G146" s="751"/>
      <c r="H146" s="751"/>
      <c r="I146" s="624"/>
      <c r="J146" s="624"/>
      <c r="K146" s="750"/>
      <c r="L146" s="751"/>
      <c r="M146" s="751"/>
      <c r="N146" s="751"/>
      <c r="O146" s="750"/>
      <c r="P146" s="751"/>
      <c r="Q146" s="751"/>
      <c r="R146" s="751"/>
      <c r="S146" s="624"/>
      <c r="T146" s="751"/>
      <c r="U146" s="751"/>
      <c r="V146" s="751"/>
      <c r="W146" s="624"/>
      <c r="X146" s="751"/>
      <c r="Y146" s="751"/>
      <c r="Z146" s="751"/>
      <c r="AA146" s="750"/>
      <c r="AB146" s="751"/>
      <c r="AC146" s="661"/>
      <c r="AD146" s="661"/>
      <c r="AE146" s="624"/>
      <c r="AF146" s="751"/>
      <c r="AG146" s="751"/>
      <c r="AH146" s="751"/>
      <c r="AI146" s="624"/>
      <c r="AJ146" s="751"/>
      <c r="AK146" s="751"/>
      <c r="AL146" s="751"/>
      <c r="AM146" s="624"/>
      <c r="AN146" s="624"/>
      <c r="AO146" s="624"/>
      <c r="AP146" s="624"/>
      <c r="AQ146" s="737"/>
      <c r="AR146" s="753"/>
      <c r="AS146" s="753"/>
      <c r="AT146" s="753"/>
      <c r="AU146" s="624"/>
      <c r="AV146" s="624"/>
      <c r="AW146" s="624"/>
    </row>
    <row r="147" spans="2:49">
      <c r="B147" s="756"/>
      <c r="C147" s="624"/>
      <c r="D147" s="751"/>
      <c r="E147" s="751"/>
      <c r="F147" s="751"/>
      <c r="G147" s="751"/>
      <c r="H147" s="751"/>
      <c r="I147" s="624"/>
      <c r="J147" s="624"/>
      <c r="K147" s="750"/>
      <c r="L147" s="751"/>
      <c r="M147" s="751"/>
      <c r="N147" s="751"/>
      <c r="O147" s="750"/>
      <c r="P147" s="751"/>
      <c r="Q147" s="751"/>
      <c r="R147" s="751"/>
      <c r="S147" s="624"/>
      <c r="T147" s="751"/>
      <c r="U147" s="751"/>
      <c r="V147" s="751"/>
      <c r="W147" s="624"/>
      <c r="X147" s="751"/>
      <c r="Y147" s="751"/>
      <c r="Z147" s="751"/>
      <c r="AA147" s="750"/>
      <c r="AB147" s="751"/>
      <c r="AC147" s="661"/>
      <c r="AD147" s="661"/>
      <c r="AE147" s="624"/>
      <c r="AF147" s="751"/>
      <c r="AG147" s="751"/>
      <c r="AH147" s="751"/>
      <c r="AI147" s="624"/>
      <c r="AJ147" s="751"/>
      <c r="AK147" s="751"/>
      <c r="AL147" s="751"/>
      <c r="AM147" s="624"/>
      <c r="AN147" s="624"/>
      <c r="AO147" s="624"/>
      <c r="AP147" s="624"/>
      <c r="AQ147" s="737"/>
      <c r="AR147" s="753"/>
      <c r="AS147" s="753"/>
      <c r="AT147" s="753"/>
      <c r="AU147" s="624"/>
      <c r="AV147" s="624"/>
      <c r="AW147" s="624"/>
    </row>
    <row r="148" spans="2:49">
      <c r="B148" s="756"/>
      <c r="C148" s="624"/>
      <c r="D148" s="751"/>
      <c r="E148" s="751"/>
      <c r="F148" s="751"/>
      <c r="G148" s="751"/>
      <c r="H148" s="751"/>
      <c r="I148" s="624"/>
      <c r="J148" s="624"/>
      <c r="K148" s="750"/>
      <c r="L148" s="751"/>
      <c r="M148" s="751"/>
      <c r="N148" s="751"/>
      <c r="O148" s="750"/>
      <c r="P148" s="751"/>
      <c r="Q148" s="751"/>
      <c r="R148" s="751"/>
      <c r="S148" s="624"/>
      <c r="T148" s="751"/>
      <c r="U148" s="751"/>
      <c r="V148" s="751"/>
      <c r="W148" s="624"/>
      <c r="X148" s="751"/>
      <c r="Y148" s="751"/>
      <c r="Z148" s="751"/>
      <c r="AA148" s="750"/>
      <c r="AB148" s="751"/>
      <c r="AC148" s="661"/>
      <c r="AD148" s="661"/>
      <c r="AE148" s="624"/>
      <c r="AF148" s="751"/>
      <c r="AG148" s="751"/>
      <c r="AH148" s="751"/>
      <c r="AI148" s="624"/>
      <c r="AJ148" s="751"/>
      <c r="AK148" s="751"/>
      <c r="AL148" s="751"/>
      <c r="AM148" s="624"/>
      <c r="AN148" s="624"/>
      <c r="AO148" s="624"/>
      <c r="AP148" s="624"/>
      <c r="AQ148" s="737"/>
      <c r="AR148" s="753"/>
      <c r="AS148" s="753"/>
      <c r="AT148" s="753"/>
      <c r="AU148" s="624"/>
      <c r="AV148" s="624"/>
      <c r="AW148" s="624"/>
    </row>
    <row r="149" spans="2:49">
      <c r="B149" s="756"/>
      <c r="C149" s="624"/>
      <c r="D149" s="751"/>
      <c r="E149" s="751"/>
      <c r="F149" s="751"/>
      <c r="G149" s="751"/>
      <c r="H149" s="751"/>
      <c r="I149" s="624"/>
      <c r="J149" s="624"/>
      <c r="K149" s="750"/>
      <c r="L149" s="751"/>
      <c r="M149" s="751"/>
      <c r="N149" s="751"/>
      <c r="O149" s="750"/>
      <c r="P149" s="751"/>
      <c r="Q149" s="751"/>
      <c r="R149" s="751"/>
      <c r="S149" s="624"/>
      <c r="T149" s="751"/>
      <c r="U149" s="751"/>
      <c r="V149" s="751"/>
      <c r="W149" s="624"/>
      <c r="X149" s="751"/>
      <c r="Y149" s="751"/>
      <c r="Z149" s="751"/>
      <c r="AA149" s="750"/>
      <c r="AB149" s="751"/>
      <c r="AC149" s="661"/>
      <c r="AD149" s="661"/>
      <c r="AE149" s="624"/>
      <c r="AF149" s="751"/>
      <c r="AG149" s="751"/>
      <c r="AH149" s="751"/>
      <c r="AI149" s="624"/>
      <c r="AJ149" s="751"/>
      <c r="AK149" s="751"/>
      <c r="AL149" s="751"/>
      <c r="AM149" s="624"/>
      <c r="AN149" s="624"/>
      <c r="AO149" s="624"/>
      <c r="AP149" s="624"/>
      <c r="AQ149" s="737"/>
      <c r="AR149" s="753"/>
      <c r="AS149" s="753"/>
      <c r="AT149" s="753"/>
      <c r="AU149" s="624"/>
      <c r="AV149" s="624"/>
      <c r="AW149" s="624"/>
    </row>
    <row r="150" spans="2:49">
      <c r="B150" s="756"/>
      <c r="C150" s="624"/>
      <c r="D150" s="751"/>
      <c r="E150" s="751"/>
      <c r="F150" s="751"/>
      <c r="G150" s="751"/>
      <c r="H150" s="751"/>
      <c r="I150" s="624"/>
      <c r="J150" s="624"/>
      <c r="K150" s="750"/>
      <c r="L150" s="751"/>
      <c r="M150" s="751"/>
      <c r="N150" s="751"/>
      <c r="O150" s="750"/>
      <c r="P150" s="751"/>
      <c r="Q150" s="751"/>
      <c r="R150" s="751"/>
      <c r="S150" s="624"/>
      <c r="T150" s="751"/>
      <c r="U150" s="751"/>
      <c r="V150" s="751"/>
      <c r="W150" s="624"/>
      <c r="X150" s="751"/>
      <c r="Y150" s="751"/>
      <c r="Z150" s="751"/>
      <c r="AA150" s="750"/>
      <c r="AB150" s="751"/>
      <c r="AC150" s="661"/>
      <c r="AD150" s="661"/>
      <c r="AE150" s="624"/>
      <c r="AF150" s="751"/>
      <c r="AG150" s="751"/>
      <c r="AH150" s="751"/>
      <c r="AI150" s="624"/>
      <c r="AJ150" s="751"/>
      <c r="AK150" s="751"/>
      <c r="AL150" s="751"/>
      <c r="AM150" s="624"/>
      <c r="AN150" s="624"/>
      <c r="AO150" s="624"/>
      <c r="AP150" s="624"/>
      <c r="AQ150" s="737"/>
      <c r="AR150" s="753"/>
      <c r="AS150" s="753"/>
      <c r="AT150" s="753"/>
      <c r="AU150" s="624"/>
      <c r="AV150" s="624"/>
      <c r="AW150" s="624"/>
    </row>
    <row r="151" spans="2:49">
      <c r="B151" s="756"/>
      <c r="C151" s="624"/>
      <c r="D151" s="751"/>
      <c r="E151" s="751"/>
      <c r="F151" s="751"/>
      <c r="G151" s="751"/>
      <c r="H151" s="751"/>
      <c r="I151" s="624"/>
      <c r="J151" s="624"/>
      <c r="K151" s="750"/>
      <c r="L151" s="751"/>
      <c r="M151" s="751"/>
      <c r="N151" s="751"/>
      <c r="O151" s="750"/>
      <c r="P151" s="751"/>
      <c r="Q151" s="751"/>
      <c r="R151" s="751"/>
      <c r="S151" s="624"/>
      <c r="T151" s="751"/>
      <c r="U151" s="751"/>
      <c r="V151" s="751"/>
      <c r="W151" s="624"/>
      <c r="X151" s="751"/>
      <c r="Y151" s="751"/>
      <c r="Z151" s="751"/>
      <c r="AA151" s="750"/>
      <c r="AB151" s="751"/>
      <c r="AC151" s="661"/>
      <c r="AD151" s="661"/>
      <c r="AE151" s="624"/>
      <c r="AF151" s="751"/>
      <c r="AG151" s="751"/>
      <c r="AH151" s="751"/>
      <c r="AI151" s="624"/>
      <c r="AJ151" s="751"/>
      <c r="AK151" s="751"/>
      <c r="AL151" s="751"/>
      <c r="AM151" s="624"/>
      <c r="AN151" s="624"/>
      <c r="AO151" s="624"/>
      <c r="AP151" s="624"/>
      <c r="AQ151" s="737"/>
      <c r="AR151" s="753"/>
      <c r="AS151" s="753"/>
      <c r="AT151" s="753"/>
      <c r="AU151" s="624"/>
      <c r="AV151" s="624"/>
      <c r="AW151" s="624"/>
    </row>
    <row r="152" spans="2:49">
      <c r="B152" s="756"/>
      <c r="C152" s="624"/>
      <c r="D152" s="751"/>
      <c r="E152" s="751"/>
      <c r="F152" s="751"/>
      <c r="G152" s="751"/>
      <c r="H152" s="751"/>
      <c r="I152" s="624"/>
      <c r="J152" s="624"/>
      <c r="K152" s="750"/>
      <c r="L152" s="751"/>
      <c r="M152" s="751"/>
      <c r="N152" s="751"/>
      <c r="O152" s="750"/>
      <c r="P152" s="751"/>
      <c r="Q152" s="751"/>
      <c r="R152" s="751"/>
      <c r="S152" s="624"/>
      <c r="T152" s="751"/>
      <c r="U152" s="751"/>
      <c r="V152" s="751"/>
      <c r="W152" s="624"/>
      <c r="X152" s="751"/>
      <c r="Y152" s="751"/>
      <c r="Z152" s="751"/>
      <c r="AA152" s="750"/>
      <c r="AB152" s="751"/>
      <c r="AC152" s="661"/>
      <c r="AD152" s="661"/>
      <c r="AE152" s="624"/>
      <c r="AF152" s="751"/>
      <c r="AG152" s="751"/>
      <c r="AH152" s="751"/>
      <c r="AI152" s="624"/>
      <c r="AJ152" s="751"/>
      <c r="AK152" s="751"/>
      <c r="AL152" s="751"/>
      <c r="AM152" s="624"/>
      <c r="AN152" s="624"/>
      <c r="AO152" s="624"/>
      <c r="AP152" s="624"/>
      <c r="AQ152" s="737"/>
      <c r="AR152" s="753"/>
      <c r="AS152" s="753"/>
      <c r="AT152" s="753"/>
      <c r="AU152" s="624"/>
      <c r="AV152" s="624"/>
      <c r="AW152" s="624"/>
    </row>
    <row r="153" spans="2:49">
      <c r="B153" s="756"/>
      <c r="C153" s="624"/>
      <c r="D153" s="751"/>
      <c r="E153" s="751"/>
      <c r="F153" s="751"/>
      <c r="G153" s="751"/>
      <c r="H153" s="751"/>
      <c r="I153" s="624"/>
      <c r="J153" s="624"/>
      <c r="K153" s="750"/>
      <c r="L153" s="751"/>
      <c r="M153" s="751"/>
      <c r="N153" s="751"/>
      <c r="O153" s="750"/>
      <c r="P153" s="751"/>
      <c r="Q153" s="751"/>
      <c r="R153" s="751"/>
      <c r="S153" s="624"/>
      <c r="T153" s="751"/>
      <c r="U153" s="751"/>
      <c r="V153" s="751"/>
      <c r="W153" s="624"/>
      <c r="X153" s="751"/>
      <c r="Y153" s="751"/>
      <c r="Z153" s="751"/>
      <c r="AA153" s="750"/>
      <c r="AB153" s="751"/>
      <c r="AC153" s="661"/>
      <c r="AD153" s="661"/>
      <c r="AE153" s="624"/>
      <c r="AF153" s="751"/>
      <c r="AG153" s="751"/>
      <c r="AH153" s="751"/>
      <c r="AI153" s="624"/>
      <c r="AJ153" s="751"/>
      <c r="AK153" s="751"/>
      <c r="AL153" s="751"/>
      <c r="AM153" s="624"/>
      <c r="AN153" s="624"/>
      <c r="AO153" s="624"/>
      <c r="AP153" s="624"/>
      <c r="AQ153" s="737"/>
      <c r="AR153" s="753"/>
      <c r="AS153" s="753"/>
      <c r="AT153" s="753"/>
      <c r="AU153" s="624"/>
      <c r="AV153" s="624"/>
      <c r="AW153" s="624"/>
    </row>
    <row r="154" spans="2:49">
      <c r="B154" s="756"/>
      <c r="C154" s="624"/>
      <c r="D154" s="751"/>
      <c r="E154" s="751"/>
      <c r="F154" s="751"/>
      <c r="G154" s="751"/>
      <c r="H154" s="751"/>
      <c r="I154" s="624"/>
      <c r="J154" s="624"/>
      <c r="K154" s="750"/>
      <c r="L154" s="751"/>
      <c r="M154" s="751"/>
      <c r="N154" s="751"/>
      <c r="O154" s="750"/>
      <c r="P154" s="751"/>
      <c r="Q154" s="751"/>
      <c r="R154" s="751"/>
      <c r="S154" s="624"/>
      <c r="T154" s="751"/>
      <c r="U154" s="751"/>
      <c r="V154" s="751"/>
      <c r="W154" s="624"/>
      <c r="X154" s="751"/>
      <c r="Y154" s="751"/>
      <c r="Z154" s="751"/>
      <c r="AA154" s="750"/>
      <c r="AB154" s="751"/>
      <c r="AC154" s="661"/>
      <c r="AD154" s="661"/>
      <c r="AE154" s="624"/>
      <c r="AF154" s="751"/>
      <c r="AG154" s="751"/>
      <c r="AH154" s="751"/>
      <c r="AI154" s="624"/>
      <c r="AJ154" s="751"/>
      <c r="AK154" s="751"/>
      <c r="AL154" s="751"/>
      <c r="AM154" s="624"/>
      <c r="AN154" s="624"/>
      <c r="AO154" s="624"/>
      <c r="AP154" s="624"/>
      <c r="AQ154" s="737"/>
      <c r="AR154" s="753"/>
      <c r="AS154" s="753"/>
      <c r="AT154" s="753"/>
      <c r="AU154" s="624"/>
      <c r="AV154" s="624"/>
      <c r="AW154" s="624"/>
    </row>
    <row r="155" spans="2:49">
      <c r="B155" s="756"/>
      <c r="C155" s="624"/>
      <c r="D155" s="751"/>
      <c r="E155" s="751"/>
      <c r="F155" s="751"/>
      <c r="G155" s="751"/>
      <c r="H155" s="751"/>
      <c r="I155" s="624"/>
      <c r="J155" s="624"/>
      <c r="K155" s="750"/>
      <c r="L155" s="751"/>
      <c r="M155" s="751"/>
      <c r="N155" s="751"/>
      <c r="O155" s="750"/>
      <c r="P155" s="751"/>
      <c r="Q155" s="751"/>
      <c r="R155" s="751"/>
      <c r="S155" s="624"/>
      <c r="T155" s="751"/>
      <c r="U155" s="751"/>
      <c r="V155" s="751"/>
      <c r="W155" s="624"/>
      <c r="X155" s="751"/>
      <c r="Y155" s="751"/>
      <c r="Z155" s="751"/>
      <c r="AA155" s="750"/>
      <c r="AB155" s="751"/>
      <c r="AC155" s="661"/>
      <c r="AD155" s="661"/>
      <c r="AE155" s="624"/>
      <c r="AF155" s="751"/>
      <c r="AG155" s="751"/>
      <c r="AH155" s="751"/>
      <c r="AI155" s="624"/>
      <c r="AJ155" s="751"/>
      <c r="AK155" s="751"/>
      <c r="AL155" s="751"/>
      <c r="AM155" s="624"/>
      <c r="AN155" s="624"/>
      <c r="AO155" s="624"/>
      <c r="AP155" s="624"/>
      <c r="AQ155" s="737"/>
      <c r="AR155" s="753"/>
      <c r="AS155" s="753"/>
      <c r="AT155" s="753"/>
      <c r="AU155" s="624"/>
      <c r="AV155" s="624"/>
      <c r="AW155" s="624"/>
    </row>
    <row r="156" spans="2:49">
      <c r="B156" s="756"/>
      <c r="C156" s="624"/>
      <c r="D156" s="751"/>
      <c r="E156" s="751"/>
      <c r="F156" s="751"/>
      <c r="G156" s="751"/>
      <c r="H156" s="751"/>
      <c r="I156" s="624"/>
      <c r="J156" s="624"/>
      <c r="K156" s="750"/>
      <c r="L156" s="751"/>
      <c r="M156" s="751"/>
      <c r="N156" s="751"/>
      <c r="O156" s="750"/>
      <c r="P156" s="751"/>
      <c r="Q156" s="751"/>
      <c r="R156" s="751"/>
      <c r="S156" s="624"/>
      <c r="T156" s="751"/>
      <c r="U156" s="751"/>
      <c r="V156" s="751"/>
      <c r="W156" s="624"/>
      <c r="X156" s="751"/>
      <c r="Y156" s="751"/>
      <c r="Z156" s="751"/>
      <c r="AA156" s="750"/>
      <c r="AB156" s="751"/>
      <c r="AC156" s="661"/>
      <c r="AD156" s="661"/>
      <c r="AE156" s="624"/>
      <c r="AF156" s="751"/>
      <c r="AG156" s="751"/>
      <c r="AH156" s="751"/>
      <c r="AI156" s="624"/>
      <c r="AJ156" s="751"/>
      <c r="AK156" s="751"/>
      <c r="AL156" s="751"/>
      <c r="AM156" s="624"/>
      <c r="AN156" s="624"/>
      <c r="AO156" s="624"/>
      <c r="AP156" s="624"/>
      <c r="AQ156" s="737"/>
      <c r="AR156" s="753"/>
      <c r="AS156" s="753"/>
      <c r="AT156" s="753"/>
      <c r="AU156" s="624"/>
      <c r="AV156" s="624"/>
      <c r="AW156" s="624"/>
    </row>
    <row r="157" spans="2:49">
      <c r="B157" s="756"/>
      <c r="C157" s="624"/>
      <c r="D157" s="751"/>
      <c r="E157" s="751"/>
      <c r="F157" s="751"/>
      <c r="G157" s="751"/>
      <c r="H157" s="751"/>
      <c r="I157" s="624"/>
      <c r="J157" s="624"/>
      <c r="K157" s="750"/>
      <c r="L157" s="751"/>
      <c r="M157" s="751"/>
      <c r="N157" s="751"/>
      <c r="O157" s="750"/>
      <c r="P157" s="751"/>
      <c r="Q157" s="751"/>
      <c r="R157" s="751"/>
      <c r="S157" s="624"/>
      <c r="T157" s="751"/>
      <c r="U157" s="751"/>
      <c r="V157" s="751"/>
      <c r="W157" s="624"/>
      <c r="X157" s="751"/>
      <c r="Y157" s="751"/>
      <c r="Z157" s="751"/>
      <c r="AA157" s="750"/>
      <c r="AB157" s="751"/>
      <c r="AC157" s="661"/>
      <c r="AD157" s="661"/>
      <c r="AE157" s="624"/>
      <c r="AF157" s="751"/>
      <c r="AG157" s="751"/>
      <c r="AH157" s="751"/>
      <c r="AI157" s="624"/>
      <c r="AJ157" s="751"/>
      <c r="AK157" s="751"/>
      <c r="AL157" s="751"/>
      <c r="AM157" s="624"/>
      <c r="AN157" s="624"/>
      <c r="AO157" s="624"/>
      <c r="AP157" s="624"/>
      <c r="AQ157" s="737"/>
      <c r="AR157" s="753"/>
      <c r="AS157" s="753"/>
      <c r="AT157" s="753"/>
      <c r="AU157" s="624"/>
      <c r="AV157" s="624"/>
      <c r="AW157" s="624"/>
    </row>
    <row r="158" spans="2:49">
      <c r="B158" s="756"/>
      <c r="C158" s="624"/>
      <c r="D158" s="751"/>
      <c r="E158" s="751"/>
      <c r="F158" s="751"/>
      <c r="G158" s="751"/>
      <c r="H158" s="751"/>
      <c r="I158" s="624"/>
      <c r="J158" s="624"/>
      <c r="K158" s="750"/>
      <c r="L158" s="751"/>
      <c r="M158" s="751"/>
      <c r="N158" s="751"/>
      <c r="O158" s="750"/>
      <c r="P158" s="751"/>
      <c r="Q158" s="751"/>
      <c r="R158" s="751"/>
      <c r="S158" s="624"/>
      <c r="T158" s="751"/>
      <c r="U158" s="751"/>
      <c r="V158" s="751"/>
      <c r="W158" s="624"/>
      <c r="X158" s="751"/>
      <c r="Y158" s="751"/>
      <c r="Z158" s="751"/>
      <c r="AA158" s="750"/>
      <c r="AB158" s="751"/>
      <c r="AC158" s="661"/>
      <c r="AD158" s="661"/>
      <c r="AE158" s="624"/>
      <c r="AF158" s="751"/>
      <c r="AG158" s="751"/>
      <c r="AH158" s="751"/>
      <c r="AI158" s="624"/>
      <c r="AJ158" s="751"/>
      <c r="AK158" s="751"/>
      <c r="AL158" s="751"/>
      <c r="AM158" s="624"/>
      <c r="AN158" s="624"/>
      <c r="AO158" s="624"/>
      <c r="AP158" s="624"/>
      <c r="AQ158" s="737"/>
      <c r="AR158" s="753"/>
      <c r="AS158" s="753"/>
      <c r="AT158" s="753"/>
      <c r="AU158" s="624"/>
      <c r="AV158" s="624"/>
      <c r="AW158" s="624"/>
    </row>
    <row r="159" spans="2:49">
      <c r="B159" s="756"/>
      <c r="C159" s="624"/>
      <c r="D159" s="751"/>
      <c r="E159" s="751"/>
      <c r="F159" s="751"/>
      <c r="G159" s="751"/>
      <c r="H159" s="751"/>
      <c r="I159" s="624"/>
      <c r="J159" s="624"/>
      <c r="K159" s="750"/>
      <c r="L159" s="751"/>
      <c r="M159" s="751"/>
      <c r="N159" s="751"/>
      <c r="O159" s="750"/>
      <c r="P159" s="751"/>
      <c r="Q159" s="751"/>
      <c r="R159" s="751"/>
      <c r="S159" s="624"/>
      <c r="T159" s="751"/>
      <c r="U159" s="751"/>
      <c r="V159" s="751"/>
      <c r="W159" s="624"/>
      <c r="X159" s="751"/>
      <c r="Y159" s="751"/>
      <c r="Z159" s="751"/>
      <c r="AA159" s="750"/>
      <c r="AB159" s="751"/>
      <c r="AC159" s="661"/>
      <c r="AD159" s="661"/>
      <c r="AE159" s="624"/>
      <c r="AF159" s="751"/>
      <c r="AG159" s="751"/>
      <c r="AH159" s="751"/>
      <c r="AI159" s="624"/>
      <c r="AJ159" s="751"/>
      <c r="AK159" s="751"/>
      <c r="AL159" s="751"/>
      <c r="AM159" s="624"/>
      <c r="AN159" s="624"/>
      <c r="AO159" s="624"/>
      <c r="AP159" s="624"/>
      <c r="AQ159" s="737"/>
      <c r="AR159" s="753"/>
      <c r="AS159" s="753"/>
      <c r="AT159" s="753"/>
      <c r="AU159" s="624"/>
      <c r="AV159" s="624"/>
      <c r="AW159" s="624"/>
    </row>
    <row r="160" spans="2:49">
      <c r="B160" s="756"/>
      <c r="C160" s="624"/>
      <c r="D160" s="751"/>
      <c r="E160" s="751"/>
      <c r="F160" s="751"/>
      <c r="G160" s="751"/>
      <c r="H160" s="751"/>
      <c r="I160" s="624"/>
      <c r="J160" s="624"/>
      <c r="K160" s="750"/>
      <c r="L160" s="751"/>
      <c r="M160" s="751"/>
      <c r="N160" s="751"/>
      <c r="O160" s="750"/>
      <c r="P160" s="751"/>
      <c r="Q160" s="751"/>
      <c r="R160" s="751"/>
      <c r="S160" s="624"/>
      <c r="T160" s="751"/>
      <c r="U160" s="751"/>
      <c r="V160" s="751"/>
      <c r="W160" s="624"/>
      <c r="X160" s="751"/>
      <c r="Y160" s="751"/>
      <c r="Z160" s="751"/>
      <c r="AA160" s="750"/>
      <c r="AB160" s="751"/>
      <c r="AC160" s="661"/>
      <c r="AD160" s="661"/>
      <c r="AE160" s="624"/>
      <c r="AF160" s="751"/>
      <c r="AG160" s="751"/>
      <c r="AH160" s="751"/>
      <c r="AI160" s="624"/>
      <c r="AJ160" s="751"/>
      <c r="AK160" s="751"/>
      <c r="AL160" s="751"/>
      <c r="AM160" s="624"/>
      <c r="AN160" s="624"/>
      <c r="AO160" s="624"/>
      <c r="AP160" s="624"/>
      <c r="AQ160" s="737"/>
      <c r="AR160" s="753"/>
      <c r="AS160" s="753"/>
      <c r="AT160" s="753"/>
      <c r="AU160" s="624"/>
      <c r="AV160" s="624"/>
      <c r="AW160" s="624"/>
    </row>
    <row r="161" spans="2:49">
      <c r="B161" s="756"/>
      <c r="C161" s="624"/>
      <c r="D161" s="751"/>
      <c r="E161" s="751"/>
      <c r="F161" s="751"/>
      <c r="G161" s="751"/>
      <c r="H161" s="751"/>
      <c r="I161" s="624"/>
      <c r="J161" s="624"/>
      <c r="K161" s="750"/>
      <c r="L161" s="751"/>
      <c r="M161" s="751"/>
      <c r="N161" s="751"/>
      <c r="O161" s="750"/>
      <c r="P161" s="751"/>
      <c r="Q161" s="751"/>
      <c r="R161" s="751"/>
      <c r="S161" s="624"/>
      <c r="T161" s="751"/>
      <c r="U161" s="751"/>
      <c r="V161" s="751"/>
      <c r="W161" s="624"/>
      <c r="X161" s="751"/>
      <c r="Y161" s="751"/>
      <c r="Z161" s="751"/>
      <c r="AA161" s="750"/>
      <c r="AB161" s="751"/>
      <c r="AC161" s="661"/>
      <c r="AD161" s="661"/>
      <c r="AE161" s="624"/>
      <c r="AF161" s="751"/>
      <c r="AG161" s="751"/>
      <c r="AH161" s="751"/>
      <c r="AI161" s="624"/>
      <c r="AJ161" s="751"/>
      <c r="AK161" s="751"/>
      <c r="AL161" s="751"/>
      <c r="AM161" s="624"/>
      <c r="AN161" s="624"/>
      <c r="AO161" s="624"/>
      <c r="AP161" s="624"/>
      <c r="AQ161" s="737"/>
      <c r="AR161" s="753"/>
      <c r="AS161" s="753"/>
      <c r="AT161" s="753"/>
      <c r="AU161" s="624"/>
      <c r="AV161" s="624"/>
      <c r="AW161" s="624"/>
    </row>
    <row r="162" spans="2:49">
      <c r="B162" s="756"/>
      <c r="C162" s="624"/>
      <c r="D162" s="751"/>
      <c r="E162" s="751"/>
      <c r="F162" s="751"/>
      <c r="G162" s="751"/>
      <c r="H162" s="751"/>
      <c r="I162" s="624"/>
      <c r="J162" s="624"/>
      <c r="K162" s="750"/>
      <c r="L162" s="751"/>
      <c r="M162" s="751"/>
      <c r="N162" s="751"/>
      <c r="O162" s="750"/>
      <c r="P162" s="751"/>
      <c r="Q162" s="751"/>
      <c r="R162" s="751"/>
      <c r="S162" s="624"/>
      <c r="T162" s="751"/>
      <c r="U162" s="751"/>
      <c r="V162" s="751"/>
      <c r="W162" s="624"/>
      <c r="X162" s="751"/>
      <c r="Y162" s="751"/>
      <c r="Z162" s="751"/>
      <c r="AA162" s="750"/>
      <c r="AB162" s="751"/>
      <c r="AC162" s="661"/>
      <c r="AD162" s="661"/>
      <c r="AE162" s="624"/>
      <c r="AF162" s="751"/>
      <c r="AG162" s="751"/>
      <c r="AH162" s="751"/>
      <c r="AI162" s="624"/>
      <c r="AJ162" s="751"/>
      <c r="AK162" s="751"/>
      <c r="AL162" s="751"/>
      <c r="AM162" s="624"/>
      <c r="AN162" s="624"/>
      <c r="AO162" s="624"/>
      <c r="AP162" s="624"/>
      <c r="AQ162" s="737"/>
      <c r="AR162" s="753"/>
      <c r="AS162" s="753"/>
      <c r="AT162" s="753"/>
      <c r="AU162" s="624"/>
      <c r="AV162" s="624"/>
      <c r="AW162" s="624"/>
    </row>
    <row r="163" spans="2:49">
      <c r="B163" s="756"/>
      <c r="C163" s="624"/>
      <c r="D163" s="751"/>
      <c r="E163" s="751"/>
      <c r="F163" s="751"/>
      <c r="G163" s="751"/>
      <c r="H163" s="751"/>
      <c r="I163" s="624"/>
      <c r="J163" s="624"/>
      <c r="K163" s="750"/>
      <c r="L163" s="751"/>
      <c r="M163" s="751"/>
      <c r="N163" s="751"/>
      <c r="O163" s="750"/>
      <c r="P163" s="751"/>
      <c r="Q163" s="751"/>
      <c r="R163" s="751"/>
      <c r="S163" s="624"/>
      <c r="T163" s="751"/>
      <c r="U163" s="751"/>
      <c r="V163" s="751"/>
      <c r="W163" s="624"/>
      <c r="X163" s="751"/>
      <c r="Y163" s="751"/>
      <c r="Z163" s="751"/>
      <c r="AA163" s="750"/>
      <c r="AB163" s="751"/>
      <c r="AC163" s="661"/>
      <c r="AD163" s="661"/>
      <c r="AE163" s="624"/>
      <c r="AF163" s="751"/>
      <c r="AG163" s="751"/>
      <c r="AH163" s="751"/>
      <c r="AI163" s="624"/>
      <c r="AJ163" s="751"/>
      <c r="AK163" s="751"/>
      <c r="AL163" s="751"/>
      <c r="AM163" s="624"/>
      <c r="AN163" s="624"/>
      <c r="AO163" s="624"/>
      <c r="AP163" s="624"/>
      <c r="AQ163" s="737"/>
      <c r="AR163" s="753"/>
      <c r="AS163" s="753"/>
      <c r="AT163" s="753"/>
      <c r="AU163" s="624"/>
      <c r="AV163" s="624"/>
      <c r="AW163" s="624"/>
    </row>
    <row r="164" spans="2:49">
      <c r="B164" s="756"/>
      <c r="C164" s="624"/>
      <c r="D164" s="751"/>
      <c r="E164" s="751"/>
      <c r="F164" s="751"/>
      <c r="G164" s="751"/>
      <c r="H164" s="751"/>
      <c r="I164" s="624"/>
      <c r="J164" s="624"/>
      <c r="K164" s="750"/>
      <c r="L164" s="751"/>
      <c r="M164" s="751"/>
      <c r="N164" s="751"/>
      <c r="O164" s="750"/>
      <c r="P164" s="751"/>
      <c r="Q164" s="751"/>
      <c r="R164" s="751"/>
      <c r="S164" s="624"/>
      <c r="T164" s="751"/>
      <c r="U164" s="751"/>
      <c r="V164" s="751"/>
      <c r="W164" s="624"/>
      <c r="X164" s="751"/>
      <c r="Y164" s="751"/>
      <c r="Z164" s="751"/>
      <c r="AA164" s="750"/>
      <c r="AB164" s="751"/>
      <c r="AC164" s="661"/>
      <c r="AD164" s="661"/>
      <c r="AE164" s="624"/>
      <c r="AF164" s="751"/>
      <c r="AG164" s="751"/>
      <c r="AH164" s="751"/>
      <c r="AI164" s="624"/>
      <c r="AJ164" s="751"/>
      <c r="AK164" s="751"/>
      <c r="AL164" s="751"/>
      <c r="AM164" s="624"/>
      <c r="AN164" s="624"/>
      <c r="AO164" s="624"/>
      <c r="AP164" s="624"/>
      <c r="AQ164" s="737"/>
      <c r="AR164" s="753"/>
      <c r="AS164" s="753"/>
      <c r="AT164" s="753"/>
      <c r="AU164" s="624"/>
      <c r="AV164" s="624"/>
      <c r="AW164" s="624"/>
    </row>
    <row r="165" spans="2:49">
      <c r="B165" s="756"/>
      <c r="C165" s="624"/>
      <c r="D165" s="751"/>
      <c r="E165" s="751"/>
      <c r="F165" s="751"/>
      <c r="G165" s="751"/>
      <c r="H165" s="751"/>
      <c r="I165" s="624"/>
      <c r="J165" s="624"/>
      <c r="K165" s="750"/>
      <c r="L165" s="751"/>
      <c r="M165" s="751"/>
      <c r="N165" s="751"/>
      <c r="O165" s="750"/>
      <c r="P165" s="751"/>
      <c r="Q165" s="751"/>
      <c r="R165" s="751"/>
      <c r="S165" s="624"/>
      <c r="T165" s="751"/>
      <c r="U165" s="751"/>
      <c r="V165" s="751"/>
      <c r="W165" s="624"/>
      <c r="X165" s="751"/>
      <c r="Y165" s="751"/>
      <c r="Z165" s="751"/>
      <c r="AA165" s="750"/>
      <c r="AB165" s="751"/>
      <c r="AC165" s="661"/>
      <c r="AD165" s="661"/>
      <c r="AE165" s="624"/>
      <c r="AF165" s="751"/>
      <c r="AG165" s="751"/>
      <c r="AH165" s="751"/>
      <c r="AI165" s="624"/>
      <c r="AJ165" s="751"/>
      <c r="AK165" s="751"/>
      <c r="AL165" s="751"/>
      <c r="AM165" s="624"/>
      <c r="AN165" s="624"/>
      <c r="AO165" s="624"/>
      <c r="AP165" s="624"/>
      <c r="AQ165" s="737"/>
      <c r="AR165" s="753"/>
      <c r="AS165" s="753"/>
      <c r="AT165" s="753"/>
      <c r="AU165" s="624"/>
      <c r="AV165" s="624"/>
      <c r="AW165" s="624"/>
    </row>
    <row r="166" spans="2:49">
      <c r="B166" s="756"/>
      <c r="C166" s="624"/>
      <c r="D166" s="751"/>
      <c r="E166" s="751"/>
      <c r="F166" s="751"/>
      <c r="G166" s="751"/>
      <c r="H166" s="751"/>
      <c r="I166" s="624"/>
      <c r="J166" s="624"/>
      <c r="K166" s="750"/>
      <c r="L166" s="751"/>
      <c r="M166" s="751"/>
      <c r="N166" s="751"/>
      <c r="O166" s="750"/>
      <c r="P166" s="751"/>
      <c r="Q166" s="751"/>
      <c r="R166" s="751"/>
      <c r="S166" s="624"/>
      <c r="T166" s="751"/>
      <c r="U166" s="751"/>
      <c r="V166" s="751"/>
      <c r="W166" s="624"/>
      <c r="X166" s="751"/>
      <c r="Y166" s="751"/>
      <c r="Z166" s="751"/>
      <c r="AA166" s="750"/>
      <c r="AB166" s="751"/>
      <c r="AC166" s="661"/>
      <c r="AD166" s="661"/>
      <c r="AE166" s="624"/>
      <c r="AF166" s="751"/>
      <c r="AG166" s="751"/>
      <c r="AH166" s="751"/>
      <c r="AI166" s="624"/>
      <c r="AJ166" s="751"/>
      <c r="AK166" s="751"/>
      <c r="AL166" s="751"/>
      <c r="AM166" s="624"/>
      <c r="AN166" s="624"/>
      <c r="AO166" s="624"/>
      <c r="AP166" s="624"/>
      <c r="AQ166" s="737"/>
      <c r="AR166" s="753"/>
      <c r="AS166" s="753"/>
      <c r="AT166" s="753"/>
      <c r="AU166" s="624"/>
      <c r="AV166" s="624"/>
      <c r="AW166" s="624"/>
    </row>
    <row r="167" spans="2:49">
      <c r="B167" s="756"/>
      <c r="C167" s="624"/>
      <c r="D167" s="751"/>
      <c r="E167" s="751"/>
      <c r="F167" s="751"/>
      <c r="G167" s="751"/>
      <c r="H167" s="751"/>
      <c r="I167" s="624"/>
      <c r="J167" s="624"/>
      <c r="K167" s="750"/>
      <c r="L167" s="751"/>
      <c r="M167" s="751"/>
      <c r="N167" s="751"/>
      <c r="O167" s="750"/>
      <c r="P167" s="751"/>
      <c r="Q167" s="751"/>
      <c r="R167" s="751"/>
      <c r="S167" s="624"/>
      <c r="T167" s="751"/>
      <c r="U167" s="751"/>
      <c r="V167" s="751"/>
      <c r="W167" s="624"/>
      <c r="X167" s="751"/>
      <c r="Y167" s="751"/>
      <c r="Z167" s="751"/>
      <c r="AA167" s="750"/>
      <c r="AB167" s="751"/>
      <c r="AC167" s="661"/>
      <c r="AD167" s="661"/>
      <c r="AE167" s="624"/>
      <c r="AF167" s="751"/>
      <c r="AG167" s="751"/>
      <c r="AH167" s="751"/>
      <c r="AI167" s="624"/>
      <c r="AJ167" s="751"/>
      <c r="AK167" s="751"/>
      <c r="AL167" s="751"/>
      <c r="AM167" s="624"/>
      <c r="AN167" s="624"/>
      <c r="AO167" s="624"/>
      <c r="AP167" s="624"/>
      <c r="AQ167" s="737"/>
      <c r="AR167" s="753"/>
      <c r="AS167" s="753"/>
      <c r="AT167" s="753"/>
      <c r="AU167" s="624"/>
      <c r="AV167" s="624"/>
      <c r="AW167" s="624"/>
    </row>
    <row r="168" spans="2:49">
      <c r="B168" s="756"/>
      <c r="C168" s="624"/>
      <c r="D168" s="751"/>
      <c r="E168" s="751"/>
      <c r="F168" s="751"/>
      <c r="G168" s="751"/>
      <c r="H168" s="751"/>
      <c r="I168" s="624"/>
      <c r="J168" s="624"/>
      <c r="K168" s="750"/>
      <c r="L168" s="751"/>
      <c r="M168" s="751"/>
      <c r="N168" s="751"/>
      <c r="O168" s="750"/>
      <c r="P168" s="751"/>
      <c r="Q168" s="751"/>
      <c r="R168" s="751"/>
      <c r="S168" s="624"/>
      <c r="T168" s="751"/>
      <c r="U168" s="751"/>
      <c r="V168" s="751"/>
      <c r="W168" s="624"/>
      <c r="X168" s="751"/>
      <c r="Y168" s="751"/>
      <c r="Z168" s="751"/>
      <c r="AA168" s="750"/>
      <c r="AB168" s="751"/>
      <c r="AC168" s="661"/>
      <c r="AD168" s="661"/>
      <c r="AE168" s="624"/>
      <c r="AF168" s="751"/>
      <c r="AG168" s="751"/>
      <c r="AH168" s="751"/>
      <c r="AI168" s="624"/>
      <c r="AJ168" s="751"/>
      <c r="AK168" s="751"/>
      <c r="AL168" s="751"/>
      <c r="AM168" s="624"/>
      <c r="AN168" s="624"/>
      <c r="AO168" s="624"/>
      <c r="AP168" s="624"/>
      <c r="AQ168" s="737"/>
      <c r="AR168" s="753"/>
      <c r="AS168" s="753"/>
      <c r="AT168" s="753"/>
      <c r="AU168" s="624"/>
      <c r="AV168" s="624"/>
      <c r="AW168" s="624"/>
    </row>
    <row r="169" spans="2:49">
      <c r="B169" s="756"/>
      <c r="C169" s="624"/>
      <c r="D169" s="751"/>
      <c r="E169" s="751"/>
      <c r="F169" s="751"/>
      <c r="G169" s="751"/>
      <c r="H169" s="751"/>
      <c r="I169" s="624"/>
      <c r="J169" s="624"/>
      <c r="K169" s="750"/>
      <c r="L169" s="751"/>
      <c r="M169" s="751"/>
      <c r="N169" s="751"/>
      <c r="O169" s="750"/>
      <c r="P169" s="751"/>
      <c r="Q169" s="751"/>
      <c r="R169" s="751"/>
      <c r="S169" s="624"/>
      <c r="T169" s="751"/>
      <c r="U169" s="751"/>
      <c r="V169" s="751"/>
      <c r="W169" s="624"/>
      <c r="X169" s="751"/>
      <c r="Y169" s="751"/>
      <c r="Z169" s="751"/>
      <c r="AA169" s="750"/>
      <c r="AB169" s="751"/>
      <c r="AC169" s="661"/>
      <c r="AD169" s="661"/>
      <c r="AE169" s="624"/>
      <c r="AF169" s="751"/>
      <c r="AG169" s="751"/>
      <c r="AH169" s="751"/>
      <c r="AI169" s="624"/>
      <c r="AJ169" s="751"/>
      <c r="AK169" s="751"/>
      <c r="AL169" s="751"/>
      <c r="AM169" s="624"/>
      <c r="AN169" s="624"/>
      <c r="AO169" s="624"/>
      <c r="AP169" s="624"/>
      <c r="AQ169" s="737"/>
      <c r="AR169" s="753"/>
      <c r="AS169" s="753"/>
      <c r="AT169" s="753"/>
      <c r="AU169" s="624"/>
      <c r="AV169" s="624"/>
      <c r="AW169" s="624"/>
    </row>
    <row r="170" spans="2:49">
      <c r="B170" s="756"/>
      <c r="C170" s="624"/>
      <c r="D170" s="751"/>
      <c r="E170" s="751"/>
      <c r="F170" s="751"/>
      <c r="G170" s="751"/>
      <c r="H170" s="751"/>
      <c r="I170" s="624"/>
      <c r="J170" s="624"/>
      <c r="K170" s="750"/>
      <c r="L170" s="751"/>
      <c r="M170" s="751"/>
      <c r="N170" s="751"/>
      <c r="O170" s="750"/>
      <c r="P170" s="751"/>
      <c r="Q170" s="751"/>
      <c r="R170" s="751"/>
      <c r="S170" s="624"/>
      <c r="T170" s="751"/>
      <c r="U170" s="751"/>
      <c r="V170" s="751"/>
      <c r="W170" s="624"/>
      <c r="X170" s="751"/>
      <c r="Y170" s="751"/>
      <c r="Z170" s="751"/>
      <c r="AA170" s="750"/>
      <c r="AB170" s="751"/>
      <c r="AC170" s="661"/>
      <c r="AD170" s="661"/>
      <c r="AE170" s="624"/>
      <c r="AF170" s="751"/>
      <c r="AG170" s="751"/>
      <c r="AH170" s="751"/>
      <c r="AI170" s="624"/>
      <c r="AJ170" s="751"/>
      <c r="AK170" s="751"/>
      <c r="AL170" s="751"/>
      <c r="AM170" s="624"/>
      <c r="AN170" s="624"/>
      <c r="AO170" s="624"/>
      <c r="AP170" s="624"/>
      <c r="AQ170" s="737"/>
      <c r="AR170" s="753"/>
      <c r="AS170" s="753"/>
      <c r="AT170" s="753"/>
      <c r="AU170" s="624"/>
      <c r="AV170" s="624"/>
      <c r="AW170" s="624"/>
    </row>
    <row r="171" spans="2:49">
      <c r="B171" s="756"/>
      <c r="C171" s="624"/>
      <c r="D171" s="751"/>
      <c r="E171" s="751"/>
      <c r="F171" s="751"/>
      <c r="G171" s="751"/>
      <c r="H171" s="751"/>
      <c r="I171" s="624"/>
      <c r="J171" s="624"/>
      <c r="K171" s="750"/>
      <c r="L171" s="751"/>
      <c r="M171" s="751"/>
      <c r="N171" s="751"/>
      <c r="O171" s="750"/>
      <c r="P171" s="751"/>
      <c r="Q171" s="751"/>
      <c r="R171" s="751"/>
      <c r="S171" s="624"/>
      <c r="T171" s="751"/>
      <c r="U171" s="751"/>
      <c r="V171" s="751"/>
      <c r="W171" s="624"/>
      <c r="X171" s="751"/>
      <c r="Y171" s="751"/>
      <c r="Z171" s="751"/>
      <c r="AA171" s="750"/>
      <c r="AB171" s="751"/>
      <c r="AC171" s="661"/>
      <c r="AD171" s="661"/>
      <c r="AE171" s="624"/>
      <c r="AF171" s="751"/>
      <c r="AG171" s="751"/>
      <c r="AH171" s="751"/>
      <c r="AI171" s="624"/>
      <c r="AJ171" s="751"/>
      <c r="AK171" s="751"/>
      <c r="AL171" s="751"/>
      <c r="AM171" s="624"/>
      <c r="AN171" s="624"/>
      <c r="AO171" s="624"/>
      <c r="AP171" s="624"/>
      <c r="AQ171" s="737"/>
      <c r="AR171" s="753"/>
      <c r="AS171" s="753"/>
      <c r="AT171" s="753"/>
      <c r="AU171" s="624"/>
      <c r="AV171" s="624"/>
      <c r="AW171" s="624"/>
    </row>
    <row r="172" spans="2:49">
      <c r="B172" s="756"/>
      <c r="C172" s="624"/>
      <c r="D172" s="751"/>
      <c r="E172" s="751"/>
      <c r="F172" s="751"/>
      <c r="G172" s="751"/>
      <c r="H172" s="751"/>
      <c r="I172" s="624"/>
      <c r="J172" s="624"/>
      <c r="K172" s="750"/>
      <c r="L172" s="751"/>
      <c r="M172" s="751"/>
      <c r="N172" s="751"/>
      <c r="O172" s="750"/>
      <c r="P172" s="751"/>
      <c r="Q172" s="751"/>
      <c r="R172" s="751"/>
      <c r="S172" s="624"/>
      <c r="T172" s="751"/>
      <c r="U172" s="751"/>
      <c r="V172" s="751"/>
      <c r="W172" s="624"/>
      <c r="X172" s="751"/>
      <c r="Y172" s="751"/>
      <c r="Z172" s="751"/>
      <c r="AA172" s="750"/>
      <c r="AB172" s="751"/>
      <c r="AC172" s="661"/>
      <c r="AD172" s="661"/>
      <c r="AE172" s="624"/>
      <c r="AF172" s="751"/>
      <c r="AG172" s="751"/>
      <c r="AH172" s="751"/>
      <c r="AI172" s="624"/>
      <c r="AJ172" s="751"/>
      <c r="AK172" s="751"/>
      <c r="AL172" s="751"/>
      <c r="AM172" s="624"/>
      <c r="AN172" s="624"/>
      <c r="AO172" s="624"/>
      <c r="AP172" s="624"/>
      <c r="AQ172" s="737"/>
      <c r="AR172" s="753"/>
      <c r="AS172" s="753"/>
      <c r="AT172" s="753"/>
      <c r="AU172" s="624"/>
      <c r="AV172" s="624"/>
      <c r="AW172" s="624"/>
    </row>
    <row r="173" spans="2:49">
      <c r="B173" s="756"/>
      <c r="C173" s="624"/>
      <c r="D173" s="751"/>
      <c r="E173" s="751"/>
      <c r="F173" s="751"/>
      <c r="G173" s="751"/>
      <c r="H173" s="751"/>
      <c r="I173" s="624"/>
      <c r="J173" s="624"/>
      <c r="K173" s="750"/>
      <c r="L173" s="751"/>
      <c r="M173" s="751"/>
      <c r="N173" s="751"/>
      <c r="O173" s="750"/>
      <c r="P173" s="751"/>
      <c r="Q173" s="751"/>
      <c r="R173" s="751"/>
      <c r="S173" s="624"/>
      <c r="T173" s="751"/>
      <c r="U173" s="751"/>
      <c r="V173" s="751"/>
      <c r="W173" s="624"/>
      <c r="X173" s="751"/>
      <c r="Y173" s="751"/>
      <c r="Z173" s="751"/>
      <c r="AA173" s="750"/>
      <c r="AB173" s="751"/>
      <c r="AC173" s="661"/>
      <c r="AD173" s="661"/>
      <c r="AE173" s="624"/>
      <c r="AF173" s="751"/>
      <c r="AG173" s="751"/>
      <c r="AH173" s="751"/>
      <c r="AI173" s="624"/>
      <c r="AJ173" s="751"/>
      <c r="AK173" s="751"/>
      <c r="AL173" s="751"/>
      <c r="AM173" s="624"/>
      <c r="AN173" s="624"/>
      <c r="AO173" s="624"/>
      <c r="AP173" s="624"/>
      <c r="AQ173" s="737"/>
      <c r="AR173" s="753"/>
      <c r="AS173" s="753"/>
      <c r="AT173" s="753"/>
      <c r="AU173" s="624"/>
      <c r="AV173" s="624"/>
      <c r="AW173" s="624"/>
    </row>
    <row r="174" spans="2:49">
      <c r="B174" s="756"/>
      <c r="C174" s="624"/>
      <c r="D174" s="751"/>
      <c r="E174" s="751"/>
      <c r="F174" s="751"/>
      <c r="G174" s="751"/>
      <c r="H174" s="751"/>
      <c r="I174" s="624"/>
      <c r="J174" s="624"/>
      <c r="K174" s="750"/>
      <c r="L174" s="751"/>
      <c r="M174" s="751"/>
      <c r="N174" s="751"/>
      <c r="O174" s="750"/>
      <c r="P174" s="751"/>
      <c r="Q174" s="751"/>
      <c r="R174" s="751"/>
      <c r="S174" s="624"/>
      <c r="T174" s="751"/>
      <c r="U174" s="751"/>
      <c r="V174" s="751"/>
      <c r="W174" s="624"/>
      <c r="X174" s="751"/>
      <c r="Y174" s="751"/>
      <c r="Z174" s="751"/>
      <c r="AA174" s="750"/>
      <c r="AB174" s="751"/>
      <c r="AC174" s="661"/>
      <c r="AD174" s="661"/>
      <c r="AE174" s="624"/>
      <c r="AF174" s="751"/>
      <c r="AG174" s="751"/>
      <c r="AH174" s="751"/>
      <c r="AI174" s="624"/>
      <c r="AJ174" s="751"/>
      <c r="AK174" s="751"/>
      <c r="AL174" s="751"/>
      <c r="AM174" s="624"/>
      <c r="AN174" s="624"/>
      <c r="AO174" s="624"/>
      <c r="AP174" s="624"/>
      <c r="AQ174" s="737"/>
      <c r="AR174" s="753"/>
      <c r="AS174" s="753"/>
      <c r="AT174" s="753"/>
      <c r="AU174" s="624"/>
      <c r="AV174" s="624"/>
      <c r="AW174" s="624"/>
    </row>
    <row r="175" spans="2:49">
      <c r="B175" s="756"/>
      <c r="C175" s="624"/>
      <c r="D175" s="751"/>
      <c r="E175" s="751"/>
      <c r="F175" s="751"/>
      <c r="G175" s="751"/>
      <c r="H175" s="751"/>
      <c r="I175" s="624"/>
      <c r="J175" s="624"/>
      <c r="K175" s="750"/>
      <c r="L175" s="751"/>
      <c r="M175" s="751"/>
      <c r="N175" s="751"/>
      <c r="O175" s="750"/>
      <c r="P175" s="751"/>
      <c r="Q175" s="751"/>
      <c r="R175" s="751"/>
      <c r="S175" s="624"/>
      <c r="T175" s="751"/>
      <c r="U175" s="751"/>
      <c r="V175" s="751"/>
      <c r="W175" s="624"/>
      <c r="X175" s="751"/>
      <c r="Y175" s="751"/>
      <c r="Z175" s="751"/>
      <c r="AA175" s="750"/>
      <c r="AB175" s="751"/>
      <c r="AC175" s="661"/>
      <c r="AD175" s="661"/>
      <c r="AE175" s="624"/>
      <c r="AF175" s="751"/>
      <c r="AG175" s="751"/>
      <c r="AH175" s="751"/>
      <c r="AI175" s="624"/>
      <c r="AJ175" s="751"/>
      <c r="AK175" s="751"/>
      <c r="AL175" s="751"/>
      <c r="AM175" s="624"/>
      <c r="AN175" s="624"/>
      <c r="AO175" s="624"/>
      <c r="AP175" s="624"/>
      <c r="AQ175" s="737"/>
      <c r="AR175" s="753"/>
      <c r="AS175" s="753"/>
      <c r="AT175" s="753"/>
      <c r="AU175" s="624"/>
      <c r="AV175" s="624"/>
      <c r="AW175" s="624"/>
    </row>
    <row r="176" spans="2:49">
      <c r="B176" s="756"/>
      <c r="C176" s="624"/>
      <c r="D176" s="751"/>
      <c r="E176" s="751"/>
      <c r="F176" s="751"/>
      <c r="G176" s="751"/>
      <c r="H176" s="751"/>
      <c r="I176" s="624"/>
      <c r="J176" s="624"/>
      <c r="K176" s="750"/>
      <c r="L176" s="751"/>
      <c r="M176" s="751"/>
      <c r="N176" s="751"/>
      <c r="O176" s="750"/>
      <c r="P176" s="751"/>
      <c r="Q176" s="751"/>
      <c r="R176" s="751"/>
      <c r="S176" s="624"/>
      <c r="T176" s="751"/>
      <c r="U176" s="751"/>
      <c r="V176" s="751"/>
      <c r="W176" s="624"/>
      <c r="X176" s="751"/>
      <c r="Y176" s="751"/>
      <c r="Z176" s="751"/>
      <c r="AA176" s="750"/>
      <c r="AB176" s="751"/>
      <c r="AC176" s="661"/>
      <c r="AD176" s="661"/>
      <c r="AE176" s="624"/>
      <c r="AF176" s="751"/>
      <c r="AG176" s="751"/>
      <c r="AH176" s="751"/>
      <c r="AI176" s="624"/>
      <c r="AJ176" s="751"/>
      <c r="AK176" s="751"/>
      <c r="AL176" s="751"/>
      <c r="AM176" s="624"/>
      <c r="AN176" s="624"/>
      <c r="AO176" s="624"/>
      <c r="AP176" s="624"/>
      <c r="AQ176" s="737"/>
      <c r="AR176" s="753"/>
      <c r="AS176" s="753"/>
      <c r="AT176" s="753"/>
      <c r="AU176" s="624"/>
      <c r="AV176" s="624"/>
      <c r="AW176" s="624"/>
    </row>
    <row r="177" spans="2:49">
      <c r="B177" s="756"/>
      <c r="C177" s="624"/>
      <c r="D177" s="751"/>
      <c r="E177" s="751"/>
      <c r="F177" s="751"/>
      <c r="G177" s="751"/>
      <c r="H177" s="751"/>
      <c r="I177" s="624"/>
      <c r="J177" s="624"/>
      <c r="K177" s="750"/>
      <c r="L177" s="751"/>
      <c r="M177" s="751"/>
      <c r="N177" s="751"/>
      <c r="O177" s="750"/>
      <c r="P177" s="751"/>
      <c r="Q177" s="751"/>
      <c r="R177" s="751"/>
      <c r="S177" s="624"/>
      <c r="T177" s="751"/>
      <c r="U177" s="751"/>
      <c r="V177" s="751"/>
      <c r="W177" s="624"/>
      <c r="X177" s="751"/>
      <c r="Y177" s="751"/>
      <c r="Z177" s="751"/>
      <c r="AA177" s="750"/>
      <c r="AB177" s="751"/>
      <c r="AC177" s="661"/>
      <c r="AD177" s="661"/>
      <c r="AE177" s="624"/>
      <c r="AF177" s="751"/>
      <c r="AG177" s="751"/>
      <c r="AH177" s="751"/>
      <c r="AI177" s="624"/>
      <c r="AJ177" s="751"/>
      <c r="AK177" s="751"/>
      <c r="AL177" s="751"/>
      <c r="AM177" s="624"/>
      <c r="AN177" s="624"/>
      <c r="AO177" s="624"/>
      <c r="AP177" s="624"/>
      <c r="AQ177" s="737"/>
      <c r="AR177" s="753"/>
      <c r="AS177" s="753"/>
      <c r="AT177" s="753"/>
      <c r="AU177" s="624"/>
      <c r="AV177" s="624"/>
      <c r="AW177" s="624"/>
    </row>
    <row r="178" spans="2:49">
      <c r="B178" s="756"/>
      <c r="C178" s="624"/>
      <c r="D178" s="751"/>
      <c r="E178" s="751"/>
      <c r="F178" s="751"/>
      <c r="G178" s="751"/>
      <c r="H178" s="751"/>
      <c r="I178" s="624"/>
      <c r="J178" s="624"/>
      <c r="K178" s="750"/>
      <c r="L178" s="751"/>
      <c r="M178" s="751"/>
      <c r="N178" s="751"/>
      <c r="O178" s="750"/>
      <c r="P178" s="751"/>
      <c r="Q178" s="751"/>
      <c r="R178" s="751"/>
      <c r="S178" s="624"/>
      <c r="T178" s="751"/>
      <c r="U178" s="751"/>
      <c r="V178" s="751"/>
      <c r="W178" s="624"/>
      <c r="X178" s="751"/>
      <c r="Y178" s="751"/>
      <c r="Z178" s="751"/>
      <c r="AA178" s="750"/>
      <c r="AB178" s="751"/>
      <c r="AC178" s="661"/>
      <c r="AD178" s="661"/>
      <c r="AE178" s="624"/>
      <c r="AF178" s="751"/>
      <c r="AG178" s="751"/>
      <c r="AH178" s="751"/>
      <c r="AI178" s="624"/>
      <c r="AJ178" s="751"/>
      <c r="AK178" s="751"/>
      <c r="AL178" s="751"/>
      <c r="AM178" s="624"/>
      <c r="AN178" s="624"/>
      <c r="AO178" s="624"/>
      <c r="AP178" s="624"/>
      <c r="AQ178" s="737"/>
      <c r="AR178" s="753"/>
      <c r="AS178" s="753"/>
      <c r="AT178" s="753"/>
      <c r="AU178" s="624"/>
      <c r="AV178" s="624"/>
      <c r="AW178" s="624"/>
    </row>
    <row r="179" spans="2:49">
      <c r="B179" s="756"/>
      <c r="C179" s="624"/>
      <c r="D179" s="751"/>
      <c r="E179" s="751"/>
      <c r="F179" s="751"/>
      <c r="G179" s="751"/>
      <c r="H179" s="751"/>
      <c r="I179" s="624"/>
      <c r="J179" s="624"/>
      <c r="K179" s="750"/>
      <c r="L179" s="751"/>
      <c r="M179" s="751"/>
      <c r="N179" s="751"/>
      <c r="O179" s="750"/>
      <c r="P179" s="751"/>
      <c r="Q179" s="751"/>
      <c r="R179" s="751"/>
      <c r="S179" s="624"/>
      <c r="T179" s="751"/>
      <c r="U179" s="751"/>
      <c r="V179" s="751"/>
      <c r="W179" s="624"/>
      <c r="X179" s="751"/>
      <c r="Y179" s="751"/>
      <c r="Z179" s="751"/>
      <c r="AA179" s="750"/>
      <c r="AB179" s="751"/>
      <c r="AC179" s="661"/>
      <c r="AD179" s="661"/>
      <c r="AE179" s="624"/>
      <c r="AF179" s="751"/>
      <c r="AG179" s="751"/>
      <c r="AH179" s="751"/>
      <c r="AI179" s="624"/>
      <c r="AJ179" s="751"/>
      <c r="AK179" s="751"/>
      <c r="AL179" s="751"/>
      <c r="AM179" s="624"/>
      <c r="AN179" s="624"/>
      <c r="AO179" s="624"/>
      <c r="AP179" s="624"/>
      <c r="AQ179" s="737"/>
      <c r="AR179" s="753"/>
      <c r="AS179" s="753"/>
      <c r="AT179" s="753"/>
      <c r="AU179" s="624"/>
      <c r="AV179" s="624"/>
      <c r="AW179" s="624"/>
    </row>
    <row r="180" spans="2:49">
      <c r="B180" s="756"/>
      <c r="C180" s="624"/>
      <c r="D180" s="751"/>
      <c r="E180" s="751"/>
      <c r="F180" s="751"/>
      <c r="G180" s="751"/>
      <c r="H180" s="751"/>
      <c r="I180" s="624"/>
      <c r="J180" s="624"/>
      <c r="K180" s="750"/>
      <c r="L180" s="751"/>
      <c r="M180" s="751"/>
      <c r="N180" s="751"/>
      <c r="O180" s="750"/>
      <c r="P180" s="751"/>
      <c r="Q180" s="751"/>
      <c r="R180" s="751"/>
      <c r="S180" s="624"/>
      <c r="T180" s="751"/>
      <c r="U180" s="751"/>
      <c r="V180" s="751"/>
      <c r="W180" s="624"/>
      <c r="X180" s="751"/>
      <c r="Y180" s="751"/>
      <c r="Z180" s="751"/>
      <c r="AA180" s="750"/>
      <c r="AB180" s="751"/>
      <c r="AC180" s="661"/>
      <c r="AD180" s="661"/>
      <c r="AE180" s="624"/>
      <c r="AF180" s="751"/>
      <c r="AG180" s="751"/>
      <c r="AH180" s="751"/>
      <c r="AI180" s="624"/>
      <c r="AJ180" s="751"/>
      <c r="AK180" s="751"/>
      <c r="AL180" s="751"/>
      <c r="AM180" s="624"/>
      <c r="AN180" s="624"/>
      <c r="AO180" s="624"/>
      <c r="AP180" s="624"/>
      <c r="AQ180" s="737"/>
      <c r="AR180" s="753"/>
      <c r="AS180" s="753"/>
      <c r="AT180" s="753"/>
      <c r="AU180" s="624"/>
      <c r="AV180" s="624"/>
      <c r="AW180" s="624"/>
    </row>
    <row r="181" spans="2:49">
      <c r="B181" s="756"/>
      <c r="C181" s="624"/>
      <c r="D181" s="751"/>
      <c r="E181" s="751"/>
      <c r="F181" s="751"/>
      <c r="G181" s="751"/>
      <c r="H181" s="751"/>
      <c r="I181" s="624"/>
      <c r="J181" s="624"/>
      <c r="K181" s="750"/>
      <c r="L181" s="751"/>
      <c r="M181" s="751"/>
      <c r="N181" s="751"/>
      <c r="O181" s="750"/>
      <c r="P181" s="751"/>
      <c r="Q181" s="751"/>
      <c r="R181" s="751"/>
      <c r="S181" s="624"/>
      <c r="T181" s="751"/>
      <c r="U181" s="751"/>
      <c r="V181" s="751"/>
      <c r="W181" s="624"/>
      <c r="X181" s="751"/>
      <c r="Y181" s="751"/>
      <c r="Z181" s="751"/>
      <c r="AA181" s="750"/>
      <c r="AB181" s="751"/>
      <c r="AC181" s="661"/>
      <c r="AD181" s="661"/>
      <c r="AE181" s="624"/>
      <c r="AF181" s="751"/>
      <c r="AG181" s="751"/>
      <c r="AH181" s="751"/>
      <c r="AI181" s="624"/>
      <c r="AJ181" s="751"/>
      <c r="AK181" s="751"/>
      <c r="AL181" s="751"/>
      <c r="AM181" s="624"/>
      <c r="AN181" s="624"/>
      <c r="AO181" s="624"/>
      <c r="AP181" s="624"/>
      <c r="AQ181" s="737"/>
      <c r="AR181" s="753"/>
      <c r="AS181" s="753"/>
      <c r="AT181" s="753"/>
      <c r="AU181" s="624"/>
      <c r="AV181" s="624"/>
      <c r="AW181" s="624"/>
    </row>
    <row r="182" spans="2:49">
      <c r="B182" s="756"/>
      <c r="C182" s="624"/>
      <c r="D182" s="751"/>
      <c r="E182" s="751"/>
      <c r="F182" s="751"/>
      <c r="G182" s="751"/>
      <c r="H182" s="751"/>
      <c r="I182" s="624"/>
      <c r="J182" s="624"/>
      <c r="K182" s="750"/>
      <c r="L182" s="751"/>
      <c r="M182" s="751"/>
      <c r="N182" s="751"/>
      <c r="O182" s="750"/>
      <c r="P182" s="751"/>
      <c r="Q182" s="751"/>
      <c r="R182" s="751"/>
      <c r="S182" s="624"/>
      <c r="T182" s="751"/>
      <c r="U182" s="751"/>
      <c r="V182" s="751"/>
      <c r="W182" s="624"/>
      <c r="X182" s="751"/>
      <c r="Y182" s="751"/>
      <c r="Z182" s="751"/>
      <c r="AA182" s="750"/>
      <c r="AB182" s="751"/>
      <c r="AC182" s="661"/>
      <c r="AD182" s="661"/>
      <c r="AE182" s="624"/>
      <c r="AF182" s="751"/>
      <c r="AG182" s="751"/>
      <c r="AH182" s="751"/>
      <c r="AI182" s="624"/>
      <c r="AJ182" s="751"/>
      <c r="AK182" s="751"/>
      <c r="AL182" s="751"/>
      <c r="AM182" s="624"/>
      <c r="AN182" s="624"/>
      <c r="AO182" s="624"/>
      <c r="AP182" s="624"/>
      <c r="AQ182" s="737"/>
      <c r="AR182" s="753"/>
      <c r="AS182" s="753"/>
      <c r="AT182" s="753"/>
      <c r="AU182" s="624"/>
      <c r="AV182" s="624"/>
      <c r="AW182" s="624"/>
    </row>
    <row r="183" spans="2:49">
      <c r="B183" s="756"/>
      <c r="C183" s="624"/>
      <c r="D183" s="751"/>
      <c r="E183" s="751"/>
      <c r="F183" s="751"/>
      <c r="G183" s="751"/>
      <c r="H183" s="751"/>
      <c r="I183" s="624"/>
      <c r="J183" s="624"/>
      <c r="K183" s="750"/>
      <c r="L183" s="751"/>
      <c r="M183" s="751"/>
      <c r="N183" s="751"/>
      <c r="O183" s="750"/>
      <c r="P183" s="751"/>
      <c r="Q183" s="751"/>
      <c r="R183" s="751"/>
      <c r="S183" s="624"/>
      <c r="T183" s="751"/>
      <c r="U183" s="751"/>
      <c r="V183" s="751"/>
      <c r="W183" s="624"/>
      <c r="X183" s="751"/>
      <c r="Y183" s="751"/>
      <c r="Z183" s="751"/>
      <c r="AA183" s="750"/>
      <c r="AB183" s="751"/>
      <c r="AC183" s="661"/>
      <c r="AD183" s="661"/>
      <c r="AE183" s="624"/>
      <c r="AF183" s="751"/>
      <c r="AG183" s="751"/>
      <c r="AH183" s="751"/>
      <c r="AI183" s="624"/>
      <c r="AJ183" s="751"/>
      <c r="AK183" s="751"/>
      <c r="AL183" s="751"/>
      <c r="AM183" s="624"/>
      <c r="AN183" s="624"/>
      <c r="AO183" s="624"/>
      <c r="AP183" s="624"/>
      <c r="AQ183" s="737"/>
      <c r="AR183" s="753"/>
      <c r="AS183" s="753"/>
      <c r="AT183" s="753"/>
      <c r="AU183" s="624"/>
      <c r="AV183" s="624"/>
      <c r="AW183" s="624"/>
    </row>
    <row r="184" spans="2:49">
      <c r="B184" s="756"/>
      <c r="C184" s="624"/>
      <c r="D184" s="751"/>
      <c r="E184" s="751"/>
      <c r="F184" s="751"/>
      <c r="G184" s="751"/>
      <c r="H184" s="751"/>
      <c r="I184" s="624"/>
      <c r="J184" s="624"/>
      <c r="K184" s="750"/>
      <c r="L184" s="751"/>
      <c r="M184" s="751"/>
      <c r="N184" s="751"/>
      <c r="O184" s="750"/>
      <c r="P184" s="751"/>
      <c r="Q184" s="751"/>
      <c r="R184" s="751"/>
      <c r="S184" s="624"/>
      <c r="T184" s="751"/>
      <c r="U184" s="751"/>
      <c r="V184" s="751"/>
      <c r="W184" s="624"/>
      <c r="X184" s="751"/>
      <c r="Y184" s="751"/>
      <c r="Z184" s="751"/>
      <c r="AA184" s="750"/>
      <c r="AB184" s="751"/>
      <c r="AC184" s="661"/>
      <c r="AD184" s="661"/>
      <c r="AE184" s="624"/>
      <c r="AF184" s="751"/>
      <c r="AG184" s="751"/>
      <c r="AH184" s="751"/>
      <c r="AI184" s="624"/>
      <c r="AJ184" s="751"/>
      <c r="AK184" s="751"/>
      <c r="AL184" s="751"/>
      <c r="AM184" s="624"/>
      <c r="AN184" s="624"/>
      <c r="AO184" s="624"/>
      <c r="AP184" s="624"/>
      <c r="AQ184" s="737"/>
      <c r="AR184" s="753"/>
      <c r="AS184" s="753"/>
      <c r="AT184" s="753"/>
      <c r="AU184" s="624"/>
      <c r="AV184" s="624"/>
      <c r="AW184" s="624"/>
    </row>
    <row r="185" spans="2:49">
      <c r="B185" s="756"/>
      <c r="C185" s="624"/>
      <c r="D185" s="751"/>
      <c r="E185" s="751"/>
      <c r="F185" s="751"/>
      <c r="G185" s="751"/>
      <c r="H185" s="751"/>
      <c r="I185" s="624"/>
      <c r="J185" s="624"/>
      <c r="K185" s="750"/>
      <c r="L185" s="751"/>
      <c r="M185" s="751"/>
      <c r="N185" s="751"/>
      <c r="O185" s="750"/>
      <c r="P185" s="751"/>
      <c r="Q185" s="751"/>
      <c r="R185" s="751"/>
      <c r="S185" s="624"/>
      <c r="T185" s="751"/>
      <c r="U185" s="751"/>
      <c r="V185" s="751"/>
      <c r="W185" s="624"/>
      <c r="X185" s="751"/>
      <c r="Y185" s="751"/>
      <c r="Z185" s="751"/>
      <c r="AA185" s="750"/>
      <c r="AB185" s="751"/>
      <c r="AC185" s="661"/>
      <c r="AD185" s="661"/>
      <c r="AE185" s="624"/>
      <c r="AF185" s="751"/>
      <c r="AG185" s="751"/>
      <c r="AH185" s="751"/>
      <c r="AI185" s="624"/>
      <c r="AJ185" s="751"/>
      <c r="AK185" s="751"/>
      <c r="AL185" s="751"/>
      <c r="AM185" s="624"/>
      <c r="AN185" s="624"/>
      <c r="AO185" s="624"/>
      <c r="AP185" s="624"/>
      <c r="AQ185" s="737"/>
      <c r="AR185" s="753"/>
      <c r="AS185" s="753"/>
      <c r="AT185" s="753"/>
      <c r="AU185" s="624"/>
      <c r="AV185" s="624"/>
      <c r="AW185" s="624"/>
    </row>
    <row r="186" spans="2:49">
      <c r="B186" s="756"/>
      <c r="C186" s="624"/>
      <c r="D186" s="751"/>
      <c r="E186" s="751"/>
      <c r="F186" s="751"/>
      <c r="G186" s="751"/>
      <c r="H186" s="751"/>
      <c r="I186" s="624"/>
      <c r="J186" s="624"/>
      <c r="K186" s="750"/>
      <c r="L186" s="751"/>
      <c r="M186" s="751"/>
      <c r="N186" s="751"/>
      <c r="O186" s="750"/>
      <c r="P186" s="751"/>
      <c r="Q186" s="751"/>
      <c r="R186" s="751"/>
      <c r="S186" s="624"/>
      <c r="T186" s="751"/>
      <c r="U186" s="751"/>
      <c r="V186" s="751"/>
      <c r="W186" s="624"/>
      <c r="X186" s="751"/>
      <c r="Y186" s="751"/>
      <c r="Z186" s="751"/>
      <c r="AA186" s="750"/>
      <c r="AB186" s="751"/>
      <c r="AC186" s="661"/>
      <c r="AD186" s="661"/>
      <c r="AE186" s="624"/>
      <c r="AF186" s="751"/>
      <c r="AG186" s="751"/>
      <c r="AH186" s="751"/>
      <c r="AI186" s="624"/>
      <c r="AJ186" s="751"/>
      <c r="AK186" s="751"/>
      <c r="AL186" s="751"/>
      <c r="AM186" s="624"/>
      <c r="AN186" s="624"/>
      <c r="AO186" s="624"/>
      <c r="AP186" s="624"/>
      <c r="AQ186" s="737"/>
      <c r="AR186" s="753"/>
      <c r="AS186" s="753"/>
      <c r="AT186" s="753"/>
      <c r="AU186" s="624"/>
      <c r="AV186" s="624"/>
      <c r="AW186" s="624"/>
    </row>
    <row r="187" spans="2:49">
      <c r="B187" s="756"/>
      <c r="C187" s="624"/>
      <c r="D187" s="751"/>
      <c r="E187" s="751"/>
      <c r="F187" s="751"/>
      <c r="G187" s="751"/>
      <c r="H187" s="751"/>
      <c r="I187" s="624"/>
      <c r="J187" s="624"/>
      <c r="K187" s="750"/>
      <c r="L187" s="751"/>
      <c r="M187" s="751"/>
      <c r="N187" s="751"/>
      <c r="O187" s="750"/>
      <c r="P187" s="751"/>
      <c r="Q187" s="751"/>
      <c r="R187" s="751"/>
      <c r="S187" s="624"/>
      <c r="T187" s="751"/>
      <c r="U187" s="751"/>
      <c r="V187" s="751"/>
      <c r="W187" s="624"/>
      <c r="X187" s="751"/>
      <c r="Y187" s="751"/>
      <c r="Z187" s="751"/>
      <c r="AA187" s="750"/>
      <c r="AB187" s="751"/>
      <c r="AC187" s="661"/>
      <c r="AD187" s="661"/>
      <c r="AE187" s="624"/>
      <c r="AF187" s="751"/>
      <c r="AG187" s="751"/>
      <c r="AH187" s="751"/>
      <c r="AI187" s="624"/>
      <c r="AJ187" s="751"/>
      <c r="AK187" s="751"/>
      <c r="AL187" s="751"/>
      <c r="AM187" s="624"/>
      <c r="AN187" s="624"/>
      <c r="AO187" s="624"/>
      <c r="AP187" s="624"/>
      <c r="AQ187" s="737"/>
      <c r="AR187" s="753"/>
      <c r="AS187" s="753"/>
      <c r="AT187" s="753"/>
      <c r="AU187" s="624"/>
      <c r="AV187" s="624"/>
      <c r="AW187" s="624"/>
    </row>
    <row r="188" spans="2:49">
      <c r="B188" s="756"/>
      <c r="C188" s="624"/>
      <c r="D188" s="751"/>
      <c r="E188" s="751"/>
      <c r="F188" s="751"/>
      <c r="G188" s="751"/>
      <c r="H188" s="751"/>
      <c r="I188" s="624"/>
      <c r="J188" s="624"/>
      <c r="K188" s="750"/>
      <c r="L188" s="751"/>
      <c r="M188" s="751"/>
      <c r="N188" s="751"/>
      <c r="O188" s="750"/>
      <c r="P188" s="751"/>
      <c r="Q188" s="751"/>
      <c r="R188" s="751"/>
      <c r="S188" s="624"/>
      <c r="T188" s="751"/>
      <c r="U188" s="751"/>
      <c r="V188" s="751"/>
      <c r="W188" s="624"/>
      <c r="X188" s="751"/>
      <c r="Y188" s="751"/>
      <c r="Z188" s="751"/>
      <c r="AA188" s="750"/>
      <c r="AB188" s="751"/>
      <c r="AC188" s="661"/>
      <c r="AD188" s="661"/>
      <c r="AE188" s="624"/>
      <c r="AF188" s="751"/>
      <c r="AG188" s="751"/>
      <c r="AH188" s="751"/>
      <c r="AI188" s="624"/>
      <c r="AJ188" s="751"/>
      <c r="AK188" s="751"/>
      <c r="AL188" s="751"/>
      <c r="AM188" s="624"/>
      <c r="AN188" s="624"/>
      <c r="AO188" s="624"/>
      <c r="AP188" s="624"/>
      <c r="AQ188" s="737"/>
      <c r="AR188" s="753"/>
      <c r="AS188" s="753"/>
      <c r="AT188" s="753"/>
      <c r="AU188" s="624"/>
      <c r="AV188" s="624"/>
      <c r="AW188" s="624"/>
    </row>
    <row r="189" spans="2:49">
      <c r="B189" s="756"/>
      <c r="C189" s="624"/>
      <c r="D189" s="751"/>
      <c r="E189" s="751"/>
      <c r="F189" s="751"/>
      <c r="G189" s="751"/>
      <c r="H189" s="751"/>
      <c r="I189" s="624"/>
      <c r="J189" s="624"/>
      <c r="K189" s="750"/>
      <c r="L189" s="751"/>
      <c r="M189" s="751"/>
      <c r="N189" s="751"/>
      <c r="O189" s="750"/>
      <c r="P189" s="751"/>
      <c r="Q189" s="751"/>
      <c r="R189" s="751"/>
      <c r="S189" s="624"/>
      <c r="T189" s="751"/>
      <c r="U189" s="751"/>
      <c r="V189" s="751"/>
      <c r="W189" s="624"/>
      <c r="X189" s="751"/>
      <c r="Y189" s="751"/>
      <c r="Z189" s="751"/>
      <c r="AA189" s="750"/>
      <c r="AB189" s="751"/>
      <c r="AC189" s="661"/>
      <c r="AD189" s="661"/>
      <c r="AE189" s="624"/>
      <c r="AF189" s="751"/>
      <c r="AG189" s="751"/>
      <c r="AH189" s="751"/>
      <c r="AI189" s="624"/>
      <c r="AJ189" s="751"/>
      <c r="AK189" s="751"/>
      <c r="AL189" s="751"/>
      <c r="AM189" s="624"/>
      <c r="AN189" s="624"/>
      <c r="AO189" s="624"/>
      <c r="AP189" s="624"/>
      <c r="AQ189" s="737"/>
      <c r="AR189" s="753"/>
      <c r="AS189" s="753"/>
      <c r="AT189" s="753"/>
      <c r="AU189" s="624"/>
      <c r="AV189" s="624"/>
      <c r="AW189" s="624"/>
    </row>
    <row r="190" spans="2:49">
      <c r="B190" s="756"/>
      <c r="C190" s="624"/>
      <c r="D190" s="751"/>
      <c r="E190" s="751"/>
      <c r="F190" s="751"/>
      <c r="G190" s="751"/>
      <c r="H190" s="751"/>
      <c r="I190" s="624"/>
      <c r="J190" s="624"/>
      <c r="K190" s="750"/>
      <c r="L190" s="751"/>
      <c r="M190" s="751"/>
      <c r="N190" s="751"/>
      <c r="O190" s="750"/>
      <c r="P190" s="751"/>
      <c r="Q190" s="751"/>
      <c r="R190" s="751"/>
      <c r="S190" s="624"/>
      <c r="T190" s="751"/>
      <c r="U190" s="751"/>
      <c r="V190" s="751"/>
      <c r="W190" s="624"/>
      <c r="X190" s="751"/>
      <c r="Y190" s="751"/>
      <c r="Z190" s="751"/>
      <c r="AA190" s="750"/>
      <c r="AB190" s="751"/>
      <c r="AC190" s="661"/>
      <c r="AD190" s="661"/>
      <c r="AE190" s="624"/>
      <c r="AF190" s="751"/>
      <c r="AG190" s="751"/>
      <c r="AH190" s="751"/>
      <c r="AI190" s="624"/>
      <c r="AJ190" s="751"/>
      <c r="AK190" s="751"/>
      <c r="AL190" s="751"/>
      <c r="AM190" s="624"/>
      <c r="AN190" s="624"/>
      <c r="AO190" s="624"/>
      <c r="AP190" s="624"/>
      <c r="AQ190" s="737"/>
      <c r="AR190" s="753"/>
      <c r="AS190" s="753"/>
      <c r="AT190" s="753"/>
      <c r="AU190" s="624"/>
      <c r="AV190" s="624"/>
      <c r="AW190" s="624"/>
    </row>
    <row r="191" spans="2:49">
      <c r="B191" s="756"/>
      <c r="C191" s="624"/>
      <c r="D191" s="751"/>
      <c r="E191" s="751"/>
      <c r="F191" s="751"/>
      <c r="G191" s="751"/>
      <c r="H191" s="751"/>
      <c r="I191" s="624"/>
      <c r="J191" s="624"/>
      <c r="K191" s="750"/>
      <c r="L191" s="751"/>
      <c r="M191" s="751"/>
      <c r="N191" s="751"/>
      <c r="O191" s="750"/>
      <c r="P191" s="751"/>
      <c r="Q191" s="751"/>
      <c r="R191" s="751"/>
      <c r="S191" s="624"/>
      <c r="T191" s="751"/>
      <c r="U191" s="751"/>
      <c r="V191" s="751"/>
      <c r="W191" s="624"/>
      <c r="X191" s="751"/>
      <c r="Y191" s="751"/>
      <c r="Z191" s="751"/>
      <c r="AA191" s="750"/>
      <c r="AB191" s="751"/>
      <c r="AC191" s="661"/>
      <c r="AD191" s="661"/>
      <c r="AE191" s="624"/>
      <c r="AF191" s="751"/>
      <c r="AG191" s="751"/>
      <c r="AH191" s="751"/>
      <c r="AI191" s="624"/>
      <c r="AJ191" s="751"/>
      <c r="AK191" s="751"/>
      <c r="AL191" s="751"/>
      <c r="AM191" s="624"/>
      <c r="AN191" s="624"/>
      <c r="AO191" s="624"/>
      <c r="AP191" s="624"/>
      <c r="AQ191" s="737"/>
      <c r="AR191" s="753"/>
      <c r="AS191" s="753"/>
      <c r="AT191" s="753"/>
      <c r="AU191" s="624"/>
      <c r="AV191" s="624"/>
      <c r="AW191" s="624"/>
    </row>
    <row r="192" spans="2:49">
      <c r="B192" s="756"/>
      <c r="C192" s="624"/>
      <c r="D192" s="751"/>
      <c r="E192" s="751"/>
      <c r="F192" s="751"/>
      <c r="G192" s="751"/>
      <c r="H192" s="751"/>
      <c r="I192" s="624"/>
      <c r="J192" s="624"/>
      <c r="K192" s="750"/>
      <c r="L192" s="751"/>
      <c r="M192" s="751"/>
      <c r="N192" s="751"/>
      <c r="O192" s="750"/>
      <c r="P192" s="751"/>
      <c r="Q192" s="751"/>
      <c r="R192" s="751"/>
      <c r="S192" s="624"/>
      <c r="T192" s="751"/>
      <c r="U192" s="751"/>
      <c r="V192" s="751"/>
      <c r="W192" s="624"/>
      <c r="X192" s="751"/>
      <c r="Y192" s="751"/>
      <c r="Z192" s="751"/>
      <c r="AA192" s="750"/>
      <c r="AB192" s="751"/>
      <c r="AC192" s="661"/>
      <c r="AD192" s="661"/>
      <c r="AE192" s="624"/>
      <c r="AF192" s="751"/>
      <c r="AG192" s="751"/>
      <c r="AH192" s="751"/>
      <c r="AI192" s="624"/>
      <c r="AJ192" s="751"/>
      <c r="AK192" s="751"/>
      <c r="AL192" s="751"/>
      <c r="AM192" s="624"/>
      <c r="AN192" s="624"/>
      <c r="AO192" s="624"/>
      <c r="AP192" s="624"/>
      <c r="AQ192" s="737"/>
      <c r="AR192" s="753"/>
      <c r="AS192" s="753"/>
      <c r="AT192" s="753"/>
      <c r="AU192" s="624"/>
      <c r="AV192" s="624"/>
      <c r="AW192" s="624"/>
    </row>
    <row r="193" spans="2:49">
      <c r="B193" s="756"/>
      <c r="C193" s="624"/>
      <c r="D193" s="751"/>
      <c r="E193" s="751"/>
      <c r="F193" s="751"/>
      <c r="G193" s="751"/>
      <c r="H193" s="751"/>
      <c r="I193" s="624"/>
      <c r="J193" s="624"/>
      <c r="K193" s="750"/>
      <c r="L193" s="751"/>
      <c r="M193" s="751"/>
      <c r="N193" s="751"/>
      <c r="O193" s="750"/>
      <c r="P193" s="751"/>
      <c r="Q193" s="751"/>
      <c r="R193" s="751"/>
      <c r="S193" s="624"/>
      <c r="T193" s="751"/>
      <c r="U193" s="751"/>
      <c r="V193" s="751"/>
      <c r="W193" s="624"/>
      <c r="X193" s="751"/>
      <c r="Y193" s="751"/>
      <c r="Z193" s="751"/>
      <c r="AA193" s="750"/>
      <c r="AB193" s="751"/>
      <c r="AC193" s="661"/>
      <c r="AD193" s="661"/>
      <c r="AE193" s="624"/>
      <c r="AF193" s="751"/>
      <c r="AG193" s="751"/>
      <c r="AH193" s="751"/>
      <c r="AI193" s="624"/>
      <c r="AJ193" s="751"/>
      <c r="AK193" s="751"/>
      <c r="AL193" s="751"/>
      <c r="AM193" s="624"/>
      <c r="AN193" s="624"/>
      <c r="AO193" s="624"/>
      <c r="AP193" s="624"/>
      <c r="AQ193" s="737"/>
      <c r="AR193" s="753"/>
      <c r="AS193" s="753"/>
      <c r="AT193" s="753"/>
      <c r="AU193" s="624"/>
      <c r="AV193" s="624"/>
      <c r="AW193" s="624"/>
    </row>
    <row r="194" spans="2:49">
      <c r="B194" s="756"/>
      <c r="C194" s="624"/>
      <c r="D194" s="751"/>
      <c r="E194" s="751"/>
      <c r="F194" s="751"/>
      <c r="G194" s="751"/>
      <c r="H194" s="751"/>
      <c r="I194" s="624"/>
      <c r="J194" s="624"/>
      <c r="K194" s="750"/>
      <c r="L194" s="751"/>
      <c r="M194" s="751"/>
      <c r="N194" s="751"/>
      <c r="O194" s="750"/>
      <c r="P194" s="751"/>
      <c r="Q194" s="751"/>
      <c r="R194" s="751"/>
      <c r="S194" s="624"/>
      <c r="T194" s="751"/>
      <c r="U194" s="751"/>
      <c r="V194" s="751"/>
      <c r="W194" s="624"/>
      <c r="X194" s="751"/>
      <c r="Y194" s="751"/>
      <c r="Z194" s="751"/>
      <c r="AA194" s="750"/>
      <c r="AB194" s="751"/>
      <c r="AC194" s="661"/>
      <c r="AD194" s="661"/>
      <c r="AE194" s="624"/>
      <c r="AF194" s="751"/>
      <c r="AG194" s="751"/>
      <c r="AH194" s="751"/>
      <c r="AI194" s="624"/>
      <c r="AJ194" s="751"/>
      <c r="AK194" s="751"/>
      <c r="AL194" s="751"/>
      <c r="AM194" s="624"/>
      <c r="AN194" s="624"/>
      <c r="AO194" s="624"/>
      <c r="AP194" s="624"/>
      <c r="AQ194" s="737"/>
      <c r="AR194" s="753"/>
      <c r="AS194" s="753"/>
      <c r="AT194" s="753"/>
      <c r="AU194" s="624"/>
      <c r="AV194" s="624"/>
      <c r="AW194" s="624"/>
    </row>
    <row r="195" spans="2:49">
      <c r="B195" s="756"/>
      <c r="C195" s="624"/>
      <c r="D195" s="751"/>
      <c r="E195" s="751"/>
      <c r="F195" s="751"/>
      <c r="G195" s="751"/>
      <c r="H195" s="751"/>
      <c r="I195" s="624"/>
      <c r="J195" s="624"/>
      <c r="K195" s="750"/>
      <c r="L195" s="751"/>
      <c r="M195" s="751"/>
      <c r="N195" s="751"/>
      <c r="O195" s="750"/>
      <c r="P195" s="751"/>
      <c r="Q195" s="751"/>
      <c r="R195" s="751"/>
      <c r="S195" s="624"/>
      <c r="T195" s="751"/>
      <c r="U195" s="751"/>
      <c r="V195" s="751"/>
      <c r="W195" s="624"/>
      <c r="X195" s="751"/>
      <c r="Y195" s="751"/>
      <c r="Z195" s="751"/>
      <c r="AA195" s="750"/>
      <c r="AB195" s="751"/>
      <c r="AC195" s="661"/>
      <c r="AD195" s="661"/>
      <c r="AE195" s="624"/>
      <c r="AF195" s="751"/>
      <c r="AG195" s="751"/>
      <c r="AH195" s="751"/>
      <c r="AI195" s="624"/>
      <c r="AJ195" s="751"/>
      <c r="AK195" s="751"/>
      <c r="AL195" s="751"/>
      <c r="AM195" s="624"/>
      <c r="AN195" s="624"/>
      <c r="AO195" s="624"/>
      <c r="AP195" s="624"/>
      <c r="AQ195" s="737"/>
      <c r="AR195" s="753"/>
      <c r="AS195" s="753"/>
      <c r="AT195" s="753"/>
      <c r="AU195" s="624"/>
      <c r="AV195" s="624"/>
      <c r="AW195" s="624"/>
    </row>
    <row r="196" spans="2:49">
      <c r="B196" s="756"/>
      <c r="C196" s="624"/>
      <c r="D196" s="751"/>
      <c r="E196" s="751"/>
      <c r="F196" s="751"/>
      <c r="G196" s="751"/>
      <c r="H196" s="751"/>
      <c r="I196" s="624"/>
      <c r="J196" s="624"/>
      <c r="K196" s="750"/>
      <c r="L196" s="751"/>
      <c r="M196" s="751"/>
      <c r="N196" s="751"/>
      <c r="O196" s="750"/>
      <c r="P196" s="751"/>
      <c r="Q196" s="751"/>
      <c r="R196" s="751"/>
      <c r="S196" s="624"/>
      <c r="T196" s="751"/>
      <c r="U196" s="751"/>
      <c r="V196" s="751"/>
      <c r="W196" s="624"/>
      <c r="X196" s="751"/>
      <c r="Y196" s="751"/>
      <c r="Z196" s="751"/>
      <c r="AA196" s="750"/>
      <c r="AB196" s="751"/>
      <c r="AC196" s="661"/>
      <c r="AD196" s="661"/>
      <c r="AE196" s="624"/>
      <c r="AF196" s="751"/>
      <c r="AG196" s="751"/>
      <c r="AH196" s="751"/>
      <c r="AI196" s="624"/>
      <c r="AJ196" s="751"/>
      <c r="AK196" s="751"/>
      <c r="AL196" s="751"/>
      <c r="AM196" s="624"/>
      <c r="AN196" s="624"/>
      <c r="AO196" s="624"/>
      <c r="AP196" s="624"/>
      <c r="AQ196" s="737"/>
      <c r="AR196" s="753"/>
      <c r="AS196" s="753"/>
      <c r="AT196" s="753"/>
      <c r="AU196" s="624"/>
      <c r="AV196" s="624"/>
      <c r="AW196" s="624"/>
    </row>
  </sheetData>
  <dataConsolidate/>
  <mergeCells count="22">
    <mergeCell ref="AU3:AU4"/>
    <mergeCell ref="AV3:AV4"/>
    <mergeCell ref="B2:AR2"/>
    <mergeCell ref="B3:B4"/>
    <mergeCell ref="C3:F3"/>
    <mergeCell ref="G3:J3"/>
    <mergeCell ref="K3:N3"/>
    <mergeCell ref="O3:R3"/>
    <mergeCell ref="S3:V3"/>
    <mergeCell ref="W3:Z3"/>
    <mergeCell ref="AA3:AD3"/>
    <mergeCell ref="AE3:AH3"/>
    <mergeCell ref="AI3:AL3"/>
    <mergeCell ref="AM3:AP3"/>
    <mergeCell ref="AQ3:AT3"/>
    <mergeCell ref="AX2:BG2"/>
    <mergeCell ref="BE19:BG19"/>
    <mergeCell ref="AX3:AX4"/>
    <mergeCell ref="BE3:BE4"/>
    <mergeCell ref="BF3:BF4"/>
    <mergeCell ref="BG3:BG4"/>
    <mergeCell ref="AX19:BD19"/>
  </mergeCells>
  <conditionalFormatting sqref="AH7:AH10 AH12 AH14:AH15 AH17">
    <cfRule type="dataBar" priority="55">
      <dataBar>
        <cfvo type="min" val="0"/>
        <cfvo type="max" val="0"/>
        <color rgb="FF63C384"/>
      </dataBar>
    </cfRule>
  </conditionalFormatting>
  <conditionalFormatting sqref="AV12:AV15 AV5:AV10">
    <cfRule type="dataBar" priority="25">
      <dataBar>
        <cfvo type="min" val="0"/>
        <cfvo type="max" val="0"/>
        <color rgb="FF63C384"/>
      </dataBar>
    </cfRule>
  </conditionalFormatting>
  <conditionalFormatting sqref="BF12:BF15 BF5:BF10">
    <cfRule type="dataBar" priority="19">
      <dataBar>
        <cfvo type="min" val="0"/>
        <cfvo type="max" val="0"/>
        <color rgb="FF63C384"/>
      </dataBar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2"/>
  <dimension ref="B1:AM77"/>
  <sheetViews>
    <sheetView showGridLines="0" topLeftCell="A14" zoomScale="85" zoomScaleNormal="85" workbookViewId="0">
      <pane xSplit="2" topLeftCell="C1" activePane="topRight" state="frozen"/>
      <selection pane="topRight" activeCell="N39" sqref="N39"/>
    </sheetView>
  </sheetViews>
  <sheetFormatPr defaultColWidth="9.140625" defaultRowHeight="15"/>
  <cols>
    <col min="1" max="1" width="1" style="689" customWidth="1"/>
    <col min="2" max="2" width="15.28515625" style="689" bestFit="1" customWidth="1"/>
    <col min="3" max="3" width="15.42578125" style="689" bestFit="1" customWidth="1"/>
    <col min="4" max="4" width="8.28515625" style="689" customWidth="1"/>
    <col min="5" max="5" width="10.140625" style="689" customWidth="1"/>
    <col min="6" max="6" width="11.140625" style="689" customWidth="1"/>
    <col min="7" max="7" width="9" style="689" customWidth="1"/>
    <col min="8" max="8" width="16.28515625" style="689" customWidth="1"/>
    <col min="9" max="9" width="9.5703125" style="689" customWidth="1"/>
    <col min="10" max="10" width="12.85546875" style="689" customWidth="1"/>
    <col min="11" max="11" width="10.5703125" style="689" customWidth="1"/>
    <col min="12" max="12" width="10.85546875" style="689" customWidth="1"/>
    <col min="13" max="13" width="10.42578125" style="689" bestFit="1" customWidth="1"/>
    <col min="14" max="14" width="9.5703125" style="689" customWidth="1"/>
    <col min="15" max="15" width="11" style="689" customWidth="1"/>
    <col min="16" max="16" width="8.140625" style="689" bestFit="1" customWidth="1"/>
    <col min="17" max="17" width="12.28515625" style="689" bestFit="1" customWidth="1"/>
    <col min="18" max="18" width="10.42578125" style="689" bestFit="1" customWidth="1"/>
    <col min="19" max="19" width="8.42578125" style="689" customWidth="1"/>
    <col min="20" max="20" width="7.7109375" style="689" bestFit="1" customWidth="1"/>
    <col min="21" max="21" width="10.140625" style="689" bestFit="1" customWidth="1"/>
    <col min="22" max="22" width="10.140625" style="689" customWidth="1"/>
    <col min="23" max="23" width="7.42578125" style="689" bestFit="1" customWidth="1"/>
    <col min="24" max="24" width="9.7109375" style="689" bestFit="1" customWidth="1"/>
    <col min="25" max="25" width="13.140625" style="689" bestFit="1" customWidth="1"/>
    <col min="26" max="26" width="10.42578125" style="689" customWidth="1"/>
    <col min="27" max="27" width="10.140625" style="68" customWidth="1"/>
    <col min="28" max="28" width="8.42578125" style="689" bestFit="1" customWidth="1"/>
    <col min="29" max="29" width="7.42578125" style="689" customWidth="1"/>
    <col min="30" max="30" width="15.42578125" style="689" bestFit="1" customWidth="1"/>
    <col min="31" max="16384" width="9.140625" style="689"/>
  </cols>
  <sheetData>
    <row r="1" spans="2:28" ht="15.75" thickBot="1"/>
    <row r="2" spans="2:28" ht="15.75" customHeight="1" thickBot="1">
      <c r="B2" s="1769" t="s">
        <v>269</v>
      </c>
      <c r="C2" s="1567"/>
      <c r="D2" s="1567"/>
      <c r="E2" s="1567"/>
      <c r="F2" s="1567"/>
      <c r="G2" s="1567"/>
      <c r="H2" s="1567"/>
      <c r="I2" s="1567"/>
      <c r="J2" s="1567"/>
      <c r="K2" s="1567"/>
      <c r="L2" s="1567"/>
      <c r="M2" s="1567"/>
      <c r="N2" s="1567"/>
      <c r="O2" s="1567"/>
      <c r="P2" s="1567"/>
      <c r="Q2" s="1567"/>
      <c r="R2" s="1567"/>
      <c r="S2" s="1567"/>
      <c r="T2" s="1567"/>
      <c r="U2" s="1567"/>
      <c r="V2" s="1567"/>
      <c r="W2" s="1567"/>
      <c r="X2" s="1567"/>
      <c r="Y2" s="1567"/>
      <c r="Z2" s="1567"/>
      <c r="AA2" s="1567"/>
      <c r="AB2" s="1568"/>
    </row>
    <row r="3" spans="2:28" ht="15" customHeight="1">
      <c r="B3" s="1767" t="s">
        <v>0</v>
      </c>
      <c r="C3" s="1776" t="s">
        <v>61</v>
      </c>
      <c r="D3" s="1777"/>
      <c r="E3" s="1777"/>
      <c r="F3" s="1778"/>
      <c r="G3" s="1776" t="s">
        <v>62</v>
      </c>
      <c r="H3" s="1777"/>
      <c r="I3" s="1777"/>
      <c r="J3" s="1778"/>
      <c r="K3" s="1776" t="s">
        <v>63</v>
      </c>
      <c r="L3" s="1777"/>
      <c r="M3" s="1777"/>
      <c r="N3" s="1778"/>
      <c r="O3" s="1776" t="s">
        <v>64</v>
      </c>
      <c r="P3" s="1777"/>
      <c r="Q3" s="1777"/>
      <c r="R3" s="1778"/>
      <c r="S3" s="1776" t="s">
        <v>66</v>
      </c>
      <c r="T3" s="1777"/>
      <c r="U3" s="1777"/>
      <c r="V3" s="1778"/>
      <c r="W3" s="1779" t="s">
        <v>178</v>
      </c>
      <c r="X3" s="1780"/>
      <c r="Y3" s="1780"/>
      <c r="Z3" s="1780"/>
      <c r="AA3" s="1781"/>
      <c r="AB3" s="1770" t="s">
        <v>121</v>
      </c>
    </row>
    <row r="4" spans="2:28" ht="19.5" customHeight="1">
      <c r="B4" s="1767"/>
      <c r="C4" s="1773"/>
      <c r="D4" s="1774"/>
      <c r="E4" s="1774"/>
      <c r="F4" s="1775"/>
      <c r="G4" s="1773"/>
      <c r="H4" s="1774"/>
      <c r="I4" s="1774"/>
      <c r="J4" s="1775"/>
      <c r="K4" s="1773"/>
      <c r="L4" s="1774"/>
      <c r="M4" s="1774"/>
      <c r="N4" s="1775"/>
      <c r="O4" s="1773"/>
      <c r="P4" s="1774"/>
      <c r="Q4" s="1774"/>
      <c r="R4" s="1775"/>
      <c r="S4" s="1773"/>
      <c r="T4" s="1774"/>
      <c r="U4" s="1774"/>
      <c r="V4" s="1775"/>
      <c r="W4" s="1782"/>
      <c r="X4" s="1783"/>
      <c r="Y4" s="1783"/>
      <c r="Z4" s="1783"/>
      <c r="AA4" s="1784"/>
      <c r="AB4" s="1771"/>
    </row>
    <row r="5" spans="2:28" ht="15.75" thickBot="1">
      <c r="B5" s="1768"/>
      <c r="C5" s="331" t="s">
        <v>1</v>
      </c>
      <c r="D5" s="109" t="s">
        <v>2</v>
      </c>
      <c r="E5" s="109" t="s">
        <v>187</v>
      </c>
      <c r="F5" s="293" t="s">
        <v>247</v>
      </c>
      <c r="G5" s="331" t="s">
        <v>1</v>
      </c>
      <c r="H5" s="109" t="s">
        <v>2</v>
      </c>
      <c r="I5" s="109" t="s">
        <v>187</v>
      </c>
      <c r="J5" s="293" t="s">
        <v>247</v>
      </c>
      <c r="K5" s="331" t="s">
        <v>1</v>
      </c>
      <c r="L5" s="109" t="s">
        <v>2</v>
      </c>
      <c r="M5" s="109" t="s">
        <v>187</v>
      </c>
      <c r="N5" s="293" t="s">
        <v>247</v>
      </c>
      <c r="O5" s="331" t="s">
        <v>1</v>
      </c>
      <c r="P5" s="109" t="s">
        <v>2</v>
      </c>
      <c r="Q5" s="109" t="s">
        <v>187</v>
      </c>
      <c r="R5" s="293" t="s">
        <v>247</v>
      </c>
      <c r="S5" s="331" t="s">
        <v>1</v>
      </c>
      <c r="T5" s="109" t="s">
        <v>2</v>
      </c>
      <c r="U5" s="109" t="s">
        <v>187</v>
      </c>
      <c r="V5" s="293" t="s">
        <v>247</v>
      </c>
      <c r="W5" s="108" t="s">
        <v>1</v>
      </c>
      <c r="X5" s="294" t="s">
        <v>2</v>
      </c>
      <c r="Y5" s="771" t="s">
        <v>260</v>
      </c>
      <c r="Z5" s="293" t="s">
        <v>247</v>
      </c>
      <c r="AA5" s="307" t="s">
        <v>188</v>
      </c>
      <c r="AB5" s="1772"/>
    </row>
    <row r="6" spans="2:28">
      <c r="B6" s="289" t="s">
        <v>4</v>
      </c>
      <c r="C6" s="316">
        <f>'Week (1)'!AQ5</f>
        <v>201</v>
      </c>
      <c r="D6" s="481">
        <f>'Week (1)'!AR5</f>
        <v>140.19999999999999</v>
      </c>
      <c r="E6" s="481">
        <f>'Week (1)'!AS5</f>
        <v>31.200000000000003</v>
      </c>
      <c r="F6" s="481">
        <f>'Week (1)'!AT5</f>
        <v>99.96</v>
      </c>
      <c r="G6" s="316">
        <f>'Week (2)'!AQ5</f>
        <v>267</v>
      </c>
      <c r="H6" s="481">
        <f>'Week (2)'!AR5</f>
        <v>168.84</v>
      </c>
      <c r="I6" s="481">
        <f>'Week (2)'!AS5</f>
        <v>55.440000000000005</v>
      </c>
      <c r="J6" s="481">
        <f>'Week (2)'!AT5</f>
        <v>75.400000000000006</v>
      </c>
      <c r="K6" s="316">
        <f>'Week (3)'!AQ5</f>
        <v>68</v>
      </c>
      <c r="L6" s="481">
        <f>'Week (3)'!AR5</f>
        <v>62.620000000000005</v>
      </c>
      <c r="M6" s="481">
        <f>'Week (3)'!AS5</f>
        <v>32.619999999999997</v>
      </c>
      <c r="N6" s="481">
        <f>'Week (3)'!AT5</f>
        <v>31.4</v>
      </c>
      <c r="O6" s="316">
        <f>'Week (4)'!AQ5</f>
        <v>287</v>
      </c>
      <c r="P6" s="481">
        <f>'Week (4)'!AR5</f>
        <v>216.76</v>
      </c>
      <c r="Q6" s="481">
        <f>'Week (4)'!AS5</f>
        <v>68.260000000000005</v>
      </c>
      <c r="R6" s="481">
        <f>'Week (4)'!AT5</f>
        <v>63.3</v>
      </c>
      <c r="S6" s="316">
        <f>'Week (5)'!AQ5</f>
        <v>0</v>
      </c>
      <c r="T6" s="481">
        <f>'Week (5)'!AR5</f>
        <v>0</v>
      </c>
      <c r="U6" s="481">
        <f>'Week (5)'!AS5</f>
        <v>0</v>
      </c>
      <c r="V6" s="481">
        <f>'Week (5)'!AT5</f>
        <v>0</v>
      </c>
      <c r="W6" s="295">
        <f t="shared" ref="W6:Z11" si="0">C6+G6+K6+O6+S6</f>
        <v>823</v>
      </c>
      <c r="X6" s="295">
        <f t="shared" si="0"/>
        <v>588.41999999999996</v>
      </c>
      <c r="Y6" s="295">
        <f t="shared" si="0"/>
        <v>187.52000000000004</v>
      </c>
      <c r="Z6" s="295">
        <f t="shared" si="0"/>
        <v>270.06</v>
      </c>
      <c r="AA6" s="313">
        <f>X6-Y6</f>
        <v>400.89999999999992</v>
      </c>
      <c r="AB6" s="45">
        <f>Y6/Y$19</f>
        <v>0.15187740953121462</v>
      </c>
    </row>
    <row r="7" spans="2:28">
      <c r="B7" s="287" t="s">
        <v>5</v>
      </c>
      <c r="C7" s="317">
        <f>'Week (1)'!AQ6</f>
        <v>91</v>
      </c>
      <c r="D7" s="482">
        <f>'Week (1)'!AR6</f>
        <v>101</v>
      </c>
      <c r="E7" s="482">
        <f>'Week (1)'!AS6</f>
        <v>66</v>
      </c>
      <c r="F7" s="486">
        <f>'Week (1)'!AT6</f>
        <v>33.380000000000003</v>
      </c>
      <c r="G7" s="317">
        <f>'Week (2)'!AQ6</f>
        <v>80</v>
      </c>
      <c r="H7" s="482">
        <f>'Week (2)'!AR6</f>
        <v>22.55</v>
      </c>
      <c r="I7" s="482">
        <f>'Week (2)'!AS6</f>
        <v>19.55</v>
      </c>
      <c r="J7" s="486">
        <f>'Week (2)'!AT6</f>
        <v>7</v>
      </c>
      <c r="K7" s="317">
        <f>'Week (3)'!AQ6</f>
        <v>52</v>
      </c>
      <c r="L7" s="482">
        <f>'Week (3)'!AR6</f>
        <v>34.5</v>
      </c>
      <c r="M7" s="482">
        <f>'Week (3)'!AS6</f>
        <v>17.5</v>
      </c>
      <c r="N7" s="486">
        <f>'Week (3)'!AT6</f>
        <v>0</v>
      </c>
      <c r="O7" s="317">
        <f>'Week (4)'!AQ6</f>
        <v>90</v>
      </c>
      <c r="P7" s="482">
        <f>'Week (4)'!AR6</f>
        <v>64.61</v>
      </c>
      <c r="Q7" s="482">
        <f>'Week (4)'!AS6</f>
        <v>39.5</v>
      </c>
      <c r="R7" s="486">
        <f>'Week (4)'!AT6</f>
        <v>36.56</v>
      </c>
      <c r="S7" s="317">
        <f>'Week (5)'!AQ6</f>
        <v>0</v>
      </c>
      <c r="T7" s="482">
        <f>'Week (5)'!AR6</f>
        <v>0</v>
      </c>
      <c r="U7" s="482">
        <f>'Week (5)'!AS6</f>
        <v>0</v>
      </c>
      <c r="V7" s="486">
        <f>'Week (5)'!AT6</f>
        <v>0</v>
      </c>
      <c r="W7" s="8">
        <f t="shared" si="0"/>
        <v>313</v>
      </c>
      <c r="X7" s="296">
        <f t="shared" si="0"/>
        <v>222.66000000000003</v>
      </c>
      <c r="Y7" s="296">
        <f t="shared" si="0"/>
        <v>142.55000000000001</v>
      </c>
      <c r="Z7" s="772">
        <f t="shared" si="0"/>
        <v>76.94</v>
      </c>
      <c r="AA7" s="314">
        <f t="shared" ref="AA7:AA16" si="1">X7-Y7</f>
        <v>80.110000000000014</v>
      </c>
      <c r="AB7" s="46">
        <f t="shared" ref="AB7:AB19" si="2">Y7/Y$19</f>
        <v>0.11545501668448507</v>
      </c>
    </row>
    <row r="8" spans="2:28">
      <c r="B8" s="287" t="s">
        <v>6</v>
      </c>
      <c r="C8" s="317">
        <f>'Week (1)'!AQ7</f>
        <v>48</v>
      </c>
      <c r="D8" s="482">
        <f>'Week (1)'!AR7</f>
        <v>44</v>
      </c>
      <c r="E8" s="482">
        <f>'Week (1)'!AS7</f>
        <v>0</v>
      </c>
      <c r="F8" s="482">
        <f>'Week (1)'!AT7</f>
        <v>5</v>
      </c>
      <c r="G8" s="317">
        <f>'Week (2)'!AQ7</f>
        <v>73</v>
      </c>
      <c r="H8" s="482">
        <f>'Week (2)'!AR7</f>
        <v>60</v>
      </c>
      <c r="I8" s="482">
        <f>'Week (2)'!AS7</f>
        <v>40</v>
      </c>
      <c r="J8" s="482">
        <f>'Week (2)'!AT7</f>
        <v>40.099999999999994</v>
      </c>
      <c r="K8" s="317">
        <f>'Week (3)'!AQ7</f>
        <v>23</v>
      </c>
      <c r="L8" s="482">
        <f>'Week (3)'!AR7</f>
        <v>5</v>
      </c>
      <c r="M8" s="482">
        <f>'Week (3)'!AS7</f>
        <v>0</v>
      </c>
      <c r="N8" s="482">
        <f>'Week (3)'!AT7</f>
        <v>0</v>
      </c>
      <c r="O8" s="317">
        <f>'Week (4)'!AQ7</f>
        <v>58.5</v>
      </c>
      <c r="P8" s="482">
        <f>'Week (4)'!AR7</f>
        <v>18.2</v>
      </c>
      <c r="Q8" s="482">
        <f>'Week (4)'!AS7</f>
        <v>8.1999999999999993</v>
      </c>
      <c r="R8" s="482">
        <f>'Week (4)'!AT7</f>
        <v>5</v>
      </c>
      <c r="S8" s="317">
        <f>'Week (5)'!AQ7</f>
        <v>0</v>
      </c>
      <c r="T8" s="482">
        <f>'Week (5)'!AR7</f>
        <v>0</v>
      </c>
      <c r="U8" s="482">
        <f>'Week (5)'!AS7</f>
        <v>0</v>
      </c>
      <c r="V8" s="482">
        <f>'Week (5)'!AT7</f>
        <v>0</v>
      </c>
      <c r="W8" s="8">
        <f t="shared" si="0"/>
        <v>202.5</v>
      </c>
      <c r="X8" s="296">
        <f t="shared" si="0"/>
        <v>127.2</v>
      </c>
      <c r="Y8" s="296">
        <f t="shared" si="0"/>
        <v>48.2</v>
      </c>
      <c r="Z8" s="772">
        <f t="shared" si="0"/>
        <v>50.099999999999994</v>
      </c>
      <c r="AA8" s="314">
        <f t="shared" si="1"/>
        <v>79</v>
      </c>
      <c r="AB8" s="46">
        <f t="shared" si="2"/>
        <v>3.9038455308258016E-2</v>
      </c>
    </row>
    <row r="9" spans="2:28">
      <c r="B9" s="287" t="s">
        <v>7</v>
      </c>
      <c r="C9" s="317">
        <f>'Week (1)'!AQ8</f>
        <v>46</v>
      </c>
      <c r="D9" s="482">
        <f>'Week (1)'!AR8</f>
        <v>28</v>
      </c>
      <c r="E9" s="482">
        <f>'Week (1)'!AS8</f>
        <v>21</v>
      </c>
      <c r="F9" s="482">
        <f>'Week (1)'!AT8</f>
        <v>0</v>
      </c>
      <c r="G9" s="317">
        <f>'Week (2)'!AQ8</f>
        <v>63</v>
      </c>
      <c r="H9" s="482">
        <f>'Week (2)'!AR8</f>
        <v>48</v>
      </c>
      <c r="I9" s="482">
        <f>'Week (2)'!AS8</f>
        <v>37.5</v>
      </c>
      <c r="J9" s="482">
        <f>'Week (2)'!AT8</f>
        <v>7.47</v>
      </c>
      <c r="K9" s="317">
        <f>'Week (3)'!AQ8</f>
        <v>35</v>
      </c>
      <c r="L9" s="482">
        <f>'Week (3)'!AR8</f>
        <v>7.5</v>
      </c>
      <c r="M9" s="482">
        <f>'Week (3)'!AS8</f>
        <v>7.5</v>
      </c>
      <c r="N9" s="482">
        <f>'Week (3)'!AT8</f>
        <v>0</v>
      </c>
      <c r="O9" s="317">
        <f>'Week (4)'!AQ8</f>
        <v>45</v>
      </c>
      <c r="P9" s="482">
        <f>'Week (4)'!AR8</f>
        <v>31.5</v>
      </c>
      <c r="Q9" s="482">
        <f>'Week (4)'!AS8</f>
        <v>11.5</v>
      </c>
      <c r="R9" s="482">
        <f>'Week (4)'!AT8</f>
        <v>6</v>
      </c>
      <c r="S9" s="317">
        <f>'Week (5)'!AQ8</f>
        <v>0</v>
      </c>
      <c r="T9" s="482">
        <f>'Week (5)'!AR8</f>
        <v>0</v>
      </c>
      <c r="U9" s="482">
        <f>'Week (5)'!AS8</f>
        <v>0</v>
      </c>
      <c r="V9" s="482">
        <f>'Week (5)'!AT8</f>
        <v>0</v>
      </c>
      <c r="W9" s="8">
        <f t="shared" si="0"/>
        <v>189</v>
      </c>
      <c r="X9" s="296">
        <f t="shared" si="0"/>
        <v>115</v>
      </c>
      <c r="Y9" s="296">
        <f t="shared" si="0"/>
        <v>77.5</v>
      </c>
      <c r="Z9" s="772">
        <f t="shared" si="0"/>
        <v>13.469999999999999</v>
      </c>
      <c r="AA9" s="314">
        <f t="shared" si="1"/>
        <v>37.5</v>
      </c>
      <c r="AB9" s="46">
        <f t="shared" si="2"/>
        <v>6.2769300547510301E-2</v>
      </c>
    </row>
    <row r="10" spans="2:28">
      <c r="B10" s="287" t="s">
        <v>8</v>
      </c>
      <c r="C10" s="317">
        <f>'Week (1)'!AQ9</f>
        <v>43</v>
      </c>
      <c r="D10" s="482">
        <f>'Week (1)'!AR9</f>
        <v>35.5</v>
      </c>
      <c r="E10" s="482">
        <f>'Week (1)'!AS9</f>
        <v>0.5</v>
      </c>
      <c r="F10" s="482">
        <f>'Week (1)'!AT9</f>
        <v>0</v>
      </c>
      <c r="G10" s="317">
        <f>'Week (2)'!AQ9</f>
        <v>5</v>
      </c>
      <c r="H10" s="482">
        <f>'Week (2)'!AR9</f>
        <v>3.5</v>
      </c>
      <c r="I10" s="482">
        <f>'Week (2)'!AS9</f>
        <v>3</v>
      </c>
      <c r="J10" s="482">
        <f>'Week (2)'!AT9</f>
        <v>38.21</v>
      </c>
      <c r="K10" s="317">
        <f>'Week (3)'!AQ9</f>
        <v>3</v>
      </c>
      <c r="L10" s="482">
        <f>'Week (3)'!AR9</f>
        <v>0.5</v>
      </c>
      <c r="M10" s="482">
        <f>'Week (3)'!AS9</f>
        <v>0.5</v>
      </c>
      <c r="N10" s="482">
        <f>'Week (3)'!AT9</f>
        <v>0</v>
      </c>
      <c r="O10" s="317">
        <f>'Week (4)'!AQ9</f>
        <v>7</v>
      </c>
      <c r="P10" s="482">
        <f>'Week (4)'!AR9</f>
        <v>0</v>
      </c>
      <c r="Q10" s="482">
        <f>'Week (4)'!AS9</f>
        <v>0</v>
      </c>
      <c r="R10" s="482">
        <f>'Week (4)'!AT9</f>
        <v>0</v>
      </c>
      <c r="S10" s="317">
        <f>'Week (5)'!AQ9</f>
        <v>0</v>
      </c>
      <c r="T10" s="482">
        <f>'Week (5)'!AR9</f>
        <v>0</v>
      </c>
      <c r="U10" s="482">
        <f>'Week (5)'!AS9</f>
        <v>0</v>
      </c>
      <c r="V10" s="482">
        <f>'Week (5)'!AT9</f>
        <v>0</v>
      </c>
      <c r="W10" s="8">
        <f t="shared" si="0"/>
        <v>58</v>
      </c>
      <c r="X10" s="296">
        <f t="shared" si="0"/>
        <v>39.5</v>
      </c>
      <c r="Y10" s="296">
        <f t="shared" si="0"/>
        <v>4</v>
      </c>
      <c r="Z10" s="772">
        <f t="shared" si="0"/>
        <v>38.21</v>
      </c>
      <c r="AA10" s="314">
        <f t="shared" si="1"/>
        <v>35.5</v>
      </c>
      <c r="AB10" s="46">
        <f t="shared" si="2"/>
        <v>3.2397058347102088E-3</v>
      </c>
    </row>
    <row r="11" spans="2:28">
      <c r="B11" s="288" t="s">
        <v>9</v>
      </c>
      <c r="C11" s="318">
        <f>'Week (1)'!AQ10</f>
        <v>115</v>
      </c>
      <c r="D11" s="483">
        <f>'Week (1)'!AR10</f>
        <v>83.179999999999993</v>
      </c>
      <c r="E11" s="483">
        <f>'Week (1)'!AS10</f>
        <v>78.179999999999993</v>
      </c>
      <c r="F11" s="483">
        <f>'Week (1)'!AT10</f>
        <v>5</v>
      </c>
      <c r="G11" s="318">
        <f>'Week (2)'!AQ10</f>
        <v>135</v>
      </c>
      <c r="H11" s="483">
        <f>'Week (2)'!AR10</f>
        <v>89.35</v>
      </c>
      <c r="I11" s="483">
        <f>'Week (2)'!AS10</f>
        <v>89.35</v>
      </c>
      <c r="J11" s="483">
        <f>'Week (2)'!AT10</f>
        <v>0</v>
      </c>
      <c r="K11" s="318">
        <f>'Week (3)'!AQ10</f>
        <v>70</v>
      </c>
      <c r="L11" s="483">
        <f>'Week (3)'!AR10</f>
        <v>42</v>
      </c>
      <c r="M11" s="483">
        <f>'Week (3)'!AS10</f>
        <v>42</v>
      </c>
      <c r="N11" s="483">
        <f>'Week (3)'!AT10</f>
        <v>0</v>
      </c>
      <c r="O11" s="318">
        <f>'Week (4)'!AQ10</f>
        <v>130</v>
      </c>
      <c r="P11" s="483">
        <f>'Week (4)'!AR10</f>
        <v>55</v>
      </c>
      <c r="Q11" s="483">
        <f>'Week (4)'!AS10</f>
        <v>25</v>
      </c>
      <c r="R11" s="483">
        <f>'Week (4)'!AT10</f>
        <v>0</v>
      </c>
      <c r="S11" s="318">
        <f>'Week (5)'!AQ10</f>
        <v>0</v>
      </c>
      <c r="T11" s="483">
        <f>'Week (5)'!AR10</f>
        <v>0</v>
      </c>
      <c r="U11" s="483">
        <f>'Week (5)'!AS10</f>
        <v>0</v>
      </c>
      <c r="V11" s="483">
        <f>'Week (5)'!AT10</f>
        <v>0</v>
      </c>
      <c r="W11" s="11">
        <f t="shared" si="0"/>
        <v>450</v>
      </c>
      <c r="X11" s="297">
        <f t="shared" si="0"/>
        <v>269.52999999999997</v>
      </c>
      <c r="Y11" s="297">
        <f t="shared" si="0"/>
        <v>234.52999999999997</v>
      </c>
      <c r="Z11" s="773">
        <f t="shared" si="0"/>
        <v>5</v>
      </c>
      <c r="AA11" s="314">
        <f t="shared" si="1"/>
        <v>35</v>
      </c>
      <c r="AB11" s="47">
        <f t="shared" si="2"/>
        <v>0.18995205235364629</v>
      </c>
    </row>
    <row r="12" spans="2:28">
      <c r="B12" s="105" t="s">
        <v>10</v>
      </c>
      <c r="C12" s="476">
        <f>'Week (1)'!AQ11</f>
        <v>544</v>
      </c>
      <c r="D12" s="478">
        <f>'Week (1)'!AR11</f>
        <v>431.88</v>
      </c>
      <c r="E12" s="478">
        <f>'Week (1)'!AS11</f>
        <v>196.88</v>
      </c>
      <c r="F12" s="485">
        <f>'Week (1)'!AT11</f>
        <v>143.34</v>
      </c>
      <c r="G12" s="476">
        <f>'Week (2)'!AQ11</f>
        <v>623</v>
      </c>
      <c r="H12" s="478">
        <f>'Week (2)'!AR11</f>
        <v>392.24</v>
      </c>
      <c r="I12" s="478">
        <f>'Week (2)'!AS11</f>
        <v>244.84</v>
      </c>
      <c r="J12" s="485">
        <f>'Week (2)'!AT11</f>
        <v>168.18</v>
      </c>
      <c r="K12" s="476">
        <f>'Week (3)'!AQ11</f>
        <v>251</v>
      </c>
      <c r="L12" s="478">
        <f>'Week (3)'!AR11</f>
        <v>152.12</v>
      </c>
      <c r="M12" s="478">
        <f>'Week (3)'!AS11</f>
        <v>100.12</v>
      </c>
      <c r="N12" s="485">
        <f>'Week (3)'!AT11</f>
        <v>31.4</v>
      </c>
      <c r="O12" s="476">
        <f>'Week (4)'!AQ11</f>
        <v>617.5</v>
      </c>
      <c r="P12" s="478">
        <f>'Week (4)'!AR11</f>
        <v>386.07</v>
      </c>
      <c r="Q12" s="478">
        <f>'Week (4)'!AS11</f>
        <v>152.46000000000004</v>
      </c>
      <c r="R12" s="485">
        <f>'Week (4)'!AT11</f>
        <v>110.86000000000001</v>
      </c>
      <c r="S12" s="476">
        <f>'Week (5)'!AQ11</f>
        <v>0</v>
      </c>
      <c r="T12" s="478">
        <f>'Week (5)'!AR11</f>
        <v>0</v>
      </c>
      <c r="U12" s="478">
        <f>'Week (5)'!AS11</f>
        <v>0</v>
      </c>
      <c r="V12" s="485">
        <f>'Week (5)'!AT11</f>
        <v>0</v>
      </c>
      <c r="W12" s="107">
        <f>SUM(W6:W11)</f>
        <v>2035.5</v>
      </c>
      <c r="X12" s="298">
        <f>SUM(X6:X11)</f>
        <v>1362.31</v>
      </c>
      <c r="Y12" s="298">
        <f>SUM(Y6:Y11)</f>
        <v>694.3</v>
      </c>
      <c r="Z12" s="298">
        <f>SUM(Z6:Z11)</f>
        <v>453.78000000000003</v>
      </c>
      <c r="AA12" s="309">
        <f>SUM(AA6:AA11)</f>
        <v>668.01</v>
      </c>
      <c r="AB12" s="48">
        <f t="shared" si="2"/>
        <v>0.56233194025982447</v>
      </c>
    </row>
    <row r="13" spans="2:28">
      <c r="B13" s="286" t="s">
        <v>11</v>
      </c>
      <c r="C13" s="472">
        <f>'Week (1)'!AQ12</f>
        <v>129</v>
      </c>
      <c r="D13" s="486">
        <f>'Week (1)'!AR12</f>
        <v>80.510000000000005</v>
      </c>
      <c r="E13" s="486">
        <f>'Week (1)'!AS12</f>
        <v>50.51</v>
      </c>
      <c r="F13" s="486">
        <f>'Week (1)'!AT12</f>
        <v>23</v>
      </c>
      <c r="G13" s="472">
        <f>'Week (2)'!AQ12</f>
        <v>123.5</v>
      </c>
      <c r="H13" s="486">
        <f>'Week (2)'!AR12</f>
        <v>99.5</v>
      </c>
      <c r="I13" s="486">
        <f>'Week (2)'!AS12</f>
        <v>71.5</v>
      </c>
      <c r="J13" s="486">
        <f>'Week (2)'!AT12</f>
        <v>0</v>
      </c>
      <c r="K13" s="472">
        <f>'Week (3)'!AQ12</f>
        <v>98.35</v>
      </c>
      <c r="L13" s="486">
        <f>'Week (3)'!AR12</f>
        <v>71.2</v>
      </c>
      <c r="M13" s="486">
        <f>'Week (3)'!AS12</f>
        <v>27.85</v>
      </c>
      <c r="N13" s="486">
        <f>'Week (3)'!AT12</f>
        <v>0</v>
      </c>
      <c r="O13" s="472">
        <f>'Week (4)'!AQ12</f>
        <v>222.5</v>
      </c>
      <c r="P13" s="486">
        <f>'Week (4)'!AR12</f>
        <v>236.32999999999998</v>
      </c>
      <c r="Q13" s="486">
        <f>'Week (4)'!AS12</f>
        <v>34.299999999999997</v>
      </c>
      <c r="R13" s="486">
        <f>'Week (4)'!AT12</f>
        <v>45.7</v>
      </c>
      <c r="S13" s="472">
        <f>'Week (5)'!AQ12</f>
        <v>0</v>
      </c>
      <c r="T13" s="486">
        <f>'Week (5)'!AR12</f>
        <v>0</v>
      </c>
      <c r="U13" s="486">
        <f>'Week (5)'!AS12</f>
        <v>0</v>
      </c>
      <c r="V13" s="486">
        <f>'Week (5)'!AT12</f>
        <v>0</v>
      </c>
      <c r="W13" s="487">
        <f t="shared" ref="W13:Z16" si="3">C13+G13+K13+O13+S13</f>
        <v>573.35</v>
      </c>
      <c r="X13" s="299">
        <f t="shared" si="3"/>
        <v>487.53999999999996</v>
      </c>
      <c r="Y13" s="299">
        <f t="shared" si="3"/>
        <v>184.15999999999997</v>
      </c>
      <c r="Z13" s="774">
        <f t="shared" si="3"/>
        <v>68.7</v>
      </c>
      <c r="AA13" s="308">
        <f t="shared" si="1"/>
        <v>303.38</v>
      </c>
      <c r="AB13" s="45">
        <f t="shared" si="2"/>
        <v>0.14915605663005799</v>
      </c>
    </row>
    <row r="14" spans="2:28">
      <c r="B14" s="287" t="s">
        <v>12</v>
      </c>
      <c r="C14" s="472">
        <f>'Week (1)'!AQ13</f>
        <v>31.5</v>
      </c>
      <c r="D14" s="486">
        <f>'Week (1)'!AR13</f>
        <v>14.75</v>
      </c>
      <c r="E14" s="486">
        <f>'Week (1)'!AS13</f>
        <v>7.75</v>
      </c>
      <c r="F14" s="486">
        <f>'Week (1)'!AT13</f>
        <v>3.97</v>
      </c>
      <c r="G14" s="472">
        <f>'Week (2)'!AQ13</f>
        <v>70</v>
      </c>
      <c r="H14" s="486">
        <f>'Week (2)'!AR13</f>
        <v>46.11</v>
      </c>
      <c r="I14" s="486">
        <f>'Week (2)'!AS13</f>
        <v>46.11</v>
      </c>
      <c r="J14" s="486">
        <f>'Week (2)'!AT13</f>
        <v>0</v>
      </c>
      <c r="K14" s="472">
        <f>'Week (3)'!AQ13</f>
        <v>40</v>
      </c>
      <c r="L14" s="486">
        <f>'Week (3)'!AR13</f>
        <v>9.5</v>
      </c>
      <c r="M14" s="486">
        <f>'Week (3)'!AS13</f>
        <v>9.5</v>
      </c>
      <c r="N14" s="486">
        <f>'Week (3)'!AT13</f>
        <v>8</v>
      </c>
      <c r="O14" s="472">
        <f>'Week (4)'!AQ13</f>
        <v>46</v>
      </c>
      <c r="P14" s="486">
        <f>'Week (4)'!AR13</f>
        <v>24.4</v>
      </c>
      <c r="Q14" s="486">
        <f>'Week (4)'!AS13</f>
        <v>1.4</v>
      </c>
      <c r="R14" s="486">
        <f>'Week (4)'!AT13</f>
        <v>0</v>
      </c>
      <c r="S14" s="472">
        <f>'Week (5)'!AQ13</f>
        <v>0</v>
      </c>
      <c r="T14" s="486">
        <f>'Week (5)'!AR13</f>
        <v>0</v>
      </c>
      <c r="U14" s="486">
        <f>'Week (5)'!AS13</f>
        <v>0</v>
      </c>
      <c r="V14" s="486">
        <f>'Week (5)'!AT13</f>
        <v>0</v>
      </c>
      <c r="W14" s="8">
        <f t="shared" si="3"/>
        <v>187.5</v>
      </c>
      <c r="X14" s="296">
        <f t="shared" si="3"/>
        <v>94.759999999999991</v>
      </c>
      <c r="Y14" s="296">
        <f t="shared" si="3"/>
        <v>64.760000000000005</v>
      </c>
      <c r="Z14" s="772">
        <f t="shared" si="3"/>
        <v>11.97</v>
      </c>
      <c r="AA14" s="308">
        <f t="shared" si="1"/>
        <v>29.999999999999986</v>
      </c>
      <c r="AB14" s="46">
        <f t="shared" si="2"/>
        <v>5.2450837463958282E-2</v>
      </c>
    </row>
    <row r="15" spans="2:28">
      <c r="B15" s="287" t="s">
        <v>13</v>
      </c>
      <c r="C15" s="472">
        <f>'Week (1)'!AQ14</f>
        <v>66</v>
      </c>
      <c r="D15" s="486">
        <f>'Week (1)'!AR14</f>
        <v>80.72</v>
      </c>
      <c r="E15" s="486">
        <f>'Week (1)'!AS14</f>
        <v>50.72</v>
      </c>
      <c r="F15" s="486">
        <f>'Week (1)'!AT14</f>
        <v>26.5</v>
      </c>
      <c r="G15" s="472">
        <f>'Week (2)'!AQ14</f>
        <v>84</v>
      </c>
      <c r="H15" s="486">
        <f>'Week (2)'!AR14</f>
        <v>71.5</v>
      </c>
      <c r="I15" s="486">
        <f>'Week (2)'!AS14</f>
        <v>43.5</v>
      </c>
      <c r="J15" s="486">
        <f>'Week (2)'!AT14</f>
        <v>12</v>
      </c>
      <c r="K15" s="472">
        <f>'Week (3)'!AQ14</f>
        <v>82</v>
      </c>
      <c r="L15" s="486">
        <f>'Week (3)'!AR14</f>
        <v>87.81</v>
      </c>
      <c r="M15" s="486">
        <f>'Week (3)'!AS14</f>
        <v>43</v>
      </c>
      <c r="N15" s="486">
        <f>'Week (3)'!AT14</f>
        <v>40.85</v>
      </c>
      <c r="O15" s="472">
        <f>'Week (4)'!AQ14</f>
        <v>113</v>
      </c>
      <c r="P15" s="486">
        <f>'Week (4)'!AR14</f>
        <v>45.5</v>
      </c>
      <c r="Q15" s="486">
        <f>'Week (4)'!AS14</f>
        <v>24.5</v>
      </c>
      <c r="R15" s="486">
        <f>'Week (4)'!AT14</f>
        <v>13</v>
      </c>
      <c r="S15" s="472">
        <f>'Week (5)'!AQ14</f>
        <v>0</v>
      </c>
      <c r="T15" s="486">
        <f>'Week (5)'!AR14</f>
        <v>0</v>
      </c>
      <c r="U15" s="486">
        <f>'Week (5)'!AS14</f>
        <v>0</v>
      </c>
      <c r="V15" s="486">
        <f>'Week (5)'!AT14</f>
        <v>0</v>
      </c>
      <c r="W15" s="8">
        <f t="shared" si="3"/>
        <v>345</v>
      </c>
      <c r="X15" s="296">
        <f t="shared" si="3"/>
        <v>285.52999999999997</v>
      </c>
      <c r="Y15" s="296">
        <f t="shared" si="3"/>
        <v>161.72</v>
      </c>
      <c r="Z15" s="772">
        <f t="shared" si="3"/>
        <v>92.35</v>
      </c>
      <c r="AA15" s="308">
        <f t="shared" si="1"/>
        <v>123.80999999999997</v>
      </c>
      <c r="AB15" s="46">
        <f t="shared" si="2"/>
        <v>0.13098130689733373</v>
      </c>
    </row>
    <row r="16" spans="2:28">
      <c r="B16" s="288" t="s">
        <v>14</v>
      </c>
      <c r="C16" s="472">
        <f>'Week (1)'!AQ15</f>
        <v>71</v>
      </c>
      <c r="D16" s="486">
        <f>'Week (1)'!AR15</f>
        <v>71.84</v>
      </c>
      <c r="E16" s="486">
        <f>'Week (1)'!AS15</f>
        <v>62.839999999999996</v>
      </c>
      <c r="F16" s="486">
        <f>'Week (1)'!AT15</f>
        <v>9.94</v>
      </c>
      <c r="G16" s="472">
        <f>'Week (2)'!AQ15</f>
        <v>70</v>
      </c>
      <c r="H16" s="486">
        <f>'Week (2)'!AR15</f>
        <v>36.5</v>
      </c>
      <c r="I16" s="486">
        <f>'Week (2)'!AS15</f>
        <v>28.5</v>
      </c>
      <c r="J16" s="486">
        <f>'Week (2)'!AT15</f>
        <v>17</v>
      </c>
      <c r="K16" s="472">
        <f>'Week (3)'!AQ15</f>
        <v>43</v>
      </c>
      <c r="L16" s="486">
        <f>'Week (3)'!AR15</f>
        <v>22.4</v>
      </c>
      <c r="M16" s="486">
        <f>'Week (3)'!AS15</f>
        <v>22.4</v>
      </c>
      <c r="N16" s="486">
        <f>'Week (3)'!AT15</f>
        <v>0</v>
      </c>
      <c r="O16" s="472">
        <f>'Week (4)'!AQ15</f>
        <v>30</v>
      </c>
      <c r="P16" s="486">
        <f>'Week (4)'!AR15</f>
        <v>23</v>
      </c>
      <c r="Q16" s="486">
        <f>'Week (4)'!AS15</f>
        <v>16</v>
      </c>
      <c r="R16" s="486">
        <f>'Week (4)'!AT15</f>
        <v>20</v>
      </c>
      <c r="S16" s="472">
        <f>'Week (5)'!AQ15</f>
        <v>0</v>
      </c>
      <c r="T16" s="486">
        <f>'Week (5)'!AR15</f>
        <v>0</v>
      </c>
      <c r="U16" s="486">
        <f>'Week (5)'!AS15</f>
        <v>0</v>
      </c>
      <c r="V16" s="486">
        <f>'Week (5)'!AT15</f>
        <v>0</v>
      </c>
      <c r="W16" s="11">
        <f t="shared" si="3"/>
        <v>214</v>
      </c>
      <c r="X16" s="297">
        <f t="shared" si="3"/>
        <v>153.74</v>
      </c>
      <c r="Y16" s="297">
        <f t="shared" si="3"/>
        <v>129.74</v>
      </c>
      <c r="Z16" s="773">
        <f t="shared" si="3"/>
        <v>46.94</v>
      </c>
      <c r="AA16" s="308">
        <f t="shared" si="1"/>
        <v>24</v>
      </c>
      <c r="AB16" s="47">
        <f t="shared" si="2"/>
        <v>0.10507985874882562</v>
      </c>
    </row>
    <row r="17" spans="2:39">
      <c r="B17" s="14" t="s">
        <v>15</v>
      </c>
      <c r="C17" s="16">
        <f>'Week (1)'!AQ16</f>
        <v>297.5</v>
      </c>
      <c r="D17" s="16">
        <f>'Week (1)'!AR16</f>
        <v>247.82000000000002</v>
      </c>
      <c r="E17" s="16">
        <f>'Week (1)'!AS16</f>
        <v>171.82</v>
      </c>
      <c r="F17" s="16">
        <f>'Week (1)'!AT16</f>
        <v>63.41</v>
      </c>
      <c r="G17" s="16">
        <f>'Week (2)'!AQ16</f>
        <v>347.5</v>
      </c>
      <c r="H17" s="16">
        <f>'Week (2)'!AR16</f>
        <v>253.61</v>
      </c>
      <c r="I17" s="16">
        <f>'Week (2)'!AS16</f>
        <v>189.61</v>
      </c>
      <c r="J17" s="16">
        <f>'Week (2)'!AT16</f>
        <v>29</v>
      </c>
      <c r="K17" s="16">
        <f>'Week (3)'!AQ16</f>
        <v>263.35000000000002</v>
      </c>
      <c r="L17" s="16">
        <f>'Week (3)'!AR16</f>
        <v>190.91</v>
      </c>
      <c r="M17" s="16">
        <f>'Week (3)'!AS16</f>
        <v>102.75</v>
      </c>
      <c r="N17" s="16">
        <f>'Week (3)'!AT16</f>
        <v>48.85</v>
      </c>
      <c r="O17" s="16">
        <f>'Week (4)'!AQ16</f>
        <v>411.5</v>
      </c>
      <c r="P17" s="16">
        <f>'Week (4)'!AR16</f>
        <v>329.22999999999996</v>
      </c>
      <c r="Q17" s="16">
        <f>'Week (4)'!AS16</f>
        <v>76.2</v>
      </c>
      <c r="R17" s="16">
        <f>'Week (4)'!AT16</f>
        <v>78.7</v>
      </c>
      <c r="S17" s="16">
        <f>'Week (5)'!AQ16</f>
        <v>0</v>
      </c>
      <c r="T17" s="16">
        <f>'Week (5)'!AR16</f>
        <v>0</v>
      </c>
      <c r="U17" s="16">
        <f>'Week (5)'!AS16</f>
        <v>0</v>
      </c>
      <c r="V17" s="16">
        <f>'Week (5)'!AT16</f>
        <v>0</v>
      </c>
      <c r="W17" s="15">
        <f>SUM(W13:W16)</f>
        <v>1319.85</v>
      </c>
      <c r="X17" s="300">
        <f>SUM(X13:X16)</f>
        <v>1021.5699999999999</v>
      </c>
      <c r="Y17" s="300">
        <f>SUM(Y13:Y16)</f>
        <v>540.38</v>
      </c>
      <c r="Z17" s="300">
        <f>SUM(Z13:Z16)</f>
        <v>219.95999999999998</v>
      </c>
      <c r="AA17" s="310">
        <f>SUM(AA13:AA16)</f>
        <v>481.18999999999994</v>
      </c>
      <c r="AB17" s="47">
        <f t="shared" si="2"/>
        <v>0.43766805974017564</v>
      </c>
    </row>
    <row r="18" spans="2:39" ht="21.75" hidden="1" customHeight="1">
      <c r="B18" s="19" t="s">
        <v>16</v>
      </c>
      <c r="C18" s="489">
        <f>'[1]Week (1)'!AQ17</f>
        <v>0</v>
      </c>
      <c r="D18" s="490">
        <f>'[1]Week (1)'!AR17</f>
        <v>0</v>
      </c>
      <c r="E18" s="490">
        <f>'[1]Week (1)'!AS17</f>
        <v>0</v>
      </c>
      <c r="F18" s="301">
        <f>'[1]Week (1)'!AT17</f>
        <v>0</v>
      </c>
      <c r="G18" s="489">
        <f>'[1]Week (2)'!AQ17</f>
        <v>0</v>
      </c>
      <c r="H18" s="490">
        <f>'[1]Week (2)'!AR17</f>
        <v>0</v>
      </c>
      <c r="I18" s="490">
        <f>'[1]Week (2)'!AS17</f>
        <v>0</v>
      </c>
      <c r="J18" s="301">
        <f>'[1]Week (2)'!AT17</f>
        <v>0</v>
      </c>
      <c r="K18" s="489">
        <f>'Week (3)'!AQ17</f>
        <v>0</v>
      </c>
      <c r="L18" s="490">
        <f>'Week (3)'!AR17</f>
        <v>0</v>
      </c>
      <c r="M18" s="490">
        <f>'Week (3)'!AS17</f>
        <v>0</v>
      </c>
      <c r="N18" s="301">
        <f>'Week (3)'!AT17</f>
        <v>0</v>
      </c>
      <c r="O18" s="489">
        <f>'Week (4)'!AQ17</f>
        <v>0</v>
      </c>
      <c r="P18" s="490">
        <f>'Week (4)'!AR17</f>
        <v>0</v>
      </c>
      <c r="Q18" s="490">
        <f>'Week (4)'!AS17</f>
        <v>0</v>
      </c>
      <c r="R18" s="301">
        <f>'Week (4)'!AT17</f>
        <v>0</v>
      </c>
      <c r="S18" s="489">
        <f>'[1]Week (5)'!AQ17</f>
        <v>0</v>
      </c>
      <c r="T18" s="490">
        <f>'[1]Week (5)'!AR17</f>
        <v>0</v>
      </c>
      <c r="U18" s="490">
        <f>'[1]Week (5)'!AS17</f>
        <v>0</v>
      </c>
      <c r="V18" s="301">
        <f>'[1]Week (5)'!AT17</f>
        <v>0</v>
      </c>
      <c r="W18" s="489">
        <f>C18+G18+K18+O18+S18</f>
        <v>0</v>
      </c>
      <c r="X18" s="301">
        <f>D18+H18+L18+P18+T18</f>
        <v>0</v>
      </c>
      <c r="Y18" s="301">
        <f>E18+I18+M18+Q18+U18</f>
        <v>0</v>
      </c>
      <c r="Z18" s="775">
        <f>F18+J18+N18+R18+V18</f>
        <v>0</v>
      </c>
      <c r="AA18" s="311" t="e">
        <f>Y18/X18</f>
        <v>#DIV/0!</v>
      </c>
      <c r="AB18" s="47">
        <f t="shared" si="2"/>
        <v>0</v>
      </c>
    </row>
    <row r="19" spans="2:39" ht="18" thickBot="1">
      <c r="B19" s="20" t="s">
        <v>17</v>
      </c>
      <c r="C19" s="480">
        <f t="shared" ref="C19:J19" si="4">C12+C17</f>
        <v>841.5</v>
      </c>
      <c r="D19" s="480">
        <f t="shared" si="4"/>
        <v>679.7</v>
      </c>
      <c r="E19" s="480">
        <f t="shared" si="4"/>
        <v>368.7</v>
      </c>
      <c r="F19" s="480">
        <f t="shared" si="4"/>
        <v>206.75</v>
      </c>
      <c r="G19" s="480">
        <f t="shared" si="4"/>
        <v>970.5</v>
      </c>
      <c r="H19" s="480">
        <f t="shared" si="4"/>
        <v>645.85</v>
      </c>
      <c r="I19" s="480">
        <f t="shared" si="4"/>
        <v>434.45000000000005</v>
      </c>
      <c r="J19" s="480">
        <f t="shared" si="4"/>
        <v>197.18</v>
      </c>
      <c r="K19" s="480">
        <f>'Week (3)'!AQ18</f>
        <v>514.35</v>
      </c>
      <c r="L19" s="491">
        <f>'Week (3)'!AR18</f>
        <v>343.03</v>
      </c>
      <c r="M19" s="491">
        <f>'Week (3)'!AS18</f>
        <v>202.87</v>
      </c>
      <c r="N19" s="302">
        <f>'Week (3)'!AT18</f>
        <v>80.25</v>
      </c>
      <c r="O19" s="480">
        <f>'Week (4)'!AQ18</f>
        <v>1029</v>
      </c>
      <c r="P19" s="491">
        <f>'Week (4)'!AR18</f>
        <v>715.3</v>
      </c>
      <c r="Q19" s="491">
        <f>'Week (4)'!AS18</f>
        <v>228.66000000000003</v>
      </c>
      <c r="R19" s="302">
        <f>'Week (4)'!AT18</f>
        <v>189.56000000000003</v>
      </c>
      <c r="S19" s="480">
        <f>S12+S17</f>
        <v>0</v>
      </c>
      <c r="T19" s="480">
        <f t="shared" ref="T19:V19" si="5">T12+T17</f>
        <v>0</v>
      </c>
      <c r="U19" s="480">
        <f t="shared" si="5"/>
        <v>0</v>
      </c>
      <c r="V19" s="480">
        <f t="shared" si="5"/>
        <v>0</v>
      </c>
      <c r="W19" s="480">
        <f>W17+W12</f>
        <v>3355.35</v>
      </c>
      <c r="X19" s="302">
        <f>X17+X12</f>
        <v>2383.88</v>
      </c>
      <c r="Y19" s="306">
        <f>Y17+Y12</f>
        <v>1234.6799999999998</v>
      </c>
      <c r="Z19" s="306">
        <f>Z17+Z12</f>
        <v>673.74</v>
      </c>
      <c r="AA19" s="312">
        <f>AA12+AA17</f>
        <v>1149.1999999999998</v>
      </c>
      <c r="AB19" s="47">
        <f t="shared" si="2"/>
        <v>1</v>
      </c>
    </row>
    <row r="20" spans="2:39">
      <c r="E20" s="44"/>
      <c r="F20" s="44">
        <f>D19-E19</f>
        <v>311.00000000000006</v>
      </c>
      <c r="I20" s="44"/>
      <c r="J20" s="44">
        <f>H19-I19</f>
        <v>211.39999999999998</v>
      </c>
      <c r="M20" s="44">
        <f>L19-M19</f>
        <v>140.15999999999997</v>
      </c>
      <c r="N20" s="44"/>
      <c r="Q20" s="44">
        <f>P19-Q19</f>
        <v>486.63999999999993</v>
      </c>
      <c r="R20" s="44"/>
      <c r="U20" s="44">
        <f>T19-U19</f>
        <v>0</v>
      </c>
      <c r="Y20" s="129"/>
      <c r="AA20" s="94">
        <f>X19-(Y19+Z19)</f>
        <v>475.46000000000026</v>
      </c>
    </row>
    <row r="21" spans="2:39" ht="15" customHeight="1" thickBot="1">
      <c r="D21" s="44"/>
      <c r="E21" s="44"/>
      <c r="F21" s="44"/>
      <c r="G21" s="44"/>
      <c r="H21" s="44"/>
      <c r="I21" s="44"/>
      <c r="J21" s="44"/>
      <c r="M21" s="129"/>
      <c r="N21" s="129"/>
    </row>
    <row r="22" spans="2:39" ht="15.75" customHeight="1">
      <c r="C22" s="1760" t="s">
        <v>403</v>
      </c>
      <c r="D22" s="1761"/>
      <c r="E22" s="1761"/>
      <c r="F22" s="1761"/>
      <c r="G22" s="1761"/>
      <c r="H22" s="1761"/>
      <c r="I22" s="1293"/>
      <c r="J22" s="1293"/>
      <c r="K22" s="1197"/>
      <c r="L22" s="600"/>
      <c r="M22" s="600"/>
      <c r="N22" s="600"/>
      <c r="O22" s="601"/>
      <c r="Q22" s="1440"/>
      <c r="R22" s="1440"/>
      <c r="S22" s="659"/>
      <c r="T22" s="659"/>
      <c r="Z22" s="129"/>
    </row>
    <row r="23" spans="2:39" ht="20.100000000000001" customHeight="1" thickBot="1">
      <c r="C23" s="1762"/>
      <c r="D23" s="1763"/>
      <c r="E23" s="1763"/>
      <c r="F23" s="1763"/>
      <c r="G23" s="1763"/>
      <c r="H23" s="1763"/>
      <c r="I23" s="1294"/>
      <c r="J23" s="1294"/>
      <c r="K23" s="1198"/>
      <c r="L23" s="602"/>
      <c r="M23" s="602"/>
      <c r="N23" s="602"/>
      <c r="O23" s="603"/>
      <c r="P23" s="657"/>
      <c r="Q23" s="1441"/>
      <c r="R23" s="1441"/>
      <c r="S23" s="663"/>
      <c r="T23" s="1746" t="s">
        <v>233</v>
      </c>
      <c r="U23" s="1747"/>
      <c r="V23" s="1747"/>
      <c r="W23" s="1748"/>
      <c r="Z23" s="1415"/>
    </row>
    <row r="24" spans="2:39" s="923" customFormat="1" ht="49.5" customHeight="1" thickBot="1">
      <c r="C24" s="950" t="s">
        <v>0</v>
      </c>
      <c r="D24" s="608" t="s">
        <v>216</v>
      </c>
      <c r="E24" s="924" t="s">
        <v>2</v>
      </c>
      <c r="F24" s="776" t="s">
        <v>261</v>
      </c>
      <c r="G24" s="641" t="s">
        <v>247</v>
      </c>
      <c r="H24" s="641" t="s">
        <v>262</v>
      </c>
      <c r="I24" s="969" t="s">
        <v>195</v>
      </c>
      <c r="J24" s="597" t="s">
        <v>197</v>
      </c>
      <c r="K24" s="432" t="s">
        <v>232</v>
      </c>
      <c r="L24" s="640" t="s">
        <v>267</v>
      </c>
      <c r="M24" s="641" t="s">
        <v>224</v>
      </c>
      <c r="N24" s="650" t="s">
        <v>225</v>
      </c>
      <c r="O24" s="642" t="s">
        <v>228</v>
      </c>
      <c r="P24" s="642" t="s">
        <v>223</v>
      </c>
      <c r="Q24" s="1442"/>
      <c r="R24" s="1443"/>
      <c r="S24" s="660"/>
      <c r="T24" s="643" t="s">
        <v>227</v>
      </c>
      <c r="U24" s="643" t="s">
        <v>229</v>
      </c>
      <c r="V24" s="643" t="s">
        <v>230</v>
      </c>
      <c r="W24" s="643" t="s">
        <v>231</v>
      </c>
      <c r="AA24" s="925"/>
      <c r="AD24" s="926"/>
      <c r="AE24" s="926"/>
      <c r="AF24" s="926"/>
      <c r="AG24" s="926"/>
      <c r="AH24" s="926"/>
      <c r="AI24" s="926"/>
      <c r="AJ24" s="926"/>
      <c r="AK24" s="926"/>
      <c r="AL24" s="926"/>
      <c r="AM24" s="926"/>
    </row>
    <row r="25" spans="2:39" ht="27" customHeight="1">
      <c r="C25" s="590" t="s">
        <v>4</v>
      </c>
      <c r="D25" s="617">
        <f>W6</f>
        <v>823</v>
      </c>
      <c r="E25" s="777">
        <f>X6</f>
        <v>588.41999999999996</v>
      </c>
      <c r="F25" s="617">
        <f>Y6</f>
        <v>187.52000000000004</v>
      </c>
      <c r="G25" s="431">
        <f t="shared" ref="D25:G36" si="6">Z6</f>
        <v>270.06</v>
      </c>
      <c r="H25" s="431">
        <f t="shared" ref="H25:H30" si="7">F25+G25</f>
        <v>457.58000000000004</v>
      </c>
      <c r="I25" s="778"/>
      <c r="J25" s="936">
        <f>E25-(H25+I25)</f>
        <v>130.83999999999992</v>
      </c>
      <c r="K25" s="665"/>
      <c r="L25" s="604">
        <f>H25+K25</f>
        <v>457.58000000000004</v>
      </c>
      <c r="M25" s="929">
        <f t="shared" ref="M25:M37" si="8">E25/D25</f>
        <v>0.71496962332928304</v>
      </c>
      <c r="N25" s="929">
        <f>H25/D25</f>
        <v>0.55599027946537061</v>
      </c>
      <c r="O25" s="635">
        <f>D25-H25</f>
        <v>365.41999999999996</v>
      </c>
      <c r="P25" s="635">
        <f t="shared" ref="P25:P36" si="9">H25+K25</f>
        <v>457.58000000000004</v>
      </c>
      <c r="Q25" s="1442"/>
      <c r="R25" s="1444"/>
      <c r="S25" s="629"/>
      <c r="T25" s="632">
        <f>28.4+19.5+19.5</f>
        <v>67.400000000000006</v>
      </c>
      <c r="U25" s="632"/>
      <c r="V25" s="632"/>
      <c r="W25" s="632"/>
      <c r="AD25" s="648"/>
      <c r="AE25" s="648"/>
      <c r="AF25" s="648"/>
      <c r="AG25" s="648"/>
      <c r="AH25" s="648"/>
      <c r="AI25" s="648"/>
      <c r="AJ25" s="657"/>
      <c r="AK25" s="657"/>
      <c r="AL25" s="657"/>
      <c r="AM25" s="657"/>
    </row>
    <row r="26" spans="2:39" ht="20.25" customHeight="1">
      <c r="C26" s="865" t="s">
        <v>5</v>
      </c>
      <c r="D26" s="617">
        <f t="shared" si="6"/>
        <v>313</v>
      </c>
      <c r="E26" s="777">
        <f t="shared" ref="E26:E36" si="10">X7</f>
        <v>222.66000000000003</v>
      </c>
      <c r="F26" s="617">
        <f t="shared" si="6"/>
        <v>142.55000000000001</v>
      </c>
      <c r="G26" s="431">
        <f t="shared" si="6"/>
        <v>76.94</v>
      </c>
      <c r="H26" s="431">
        <f t="shared" si="7"/>
        <v>219.49</v>
      </c>
      <c r="I26" s="778"/>
      <c r="J26" s="936">
        <f t="shared" ref="J26:J37" si="11">E26-(H26+I26)</f>
        <v>3.1700000000000159</v>
      </c>
      <c r="K26" s="665"/>
      <c r="L26" s="605">
        <f t="shared" ref="L26:L37" si="12">H26+K26</f>
        <v>219.49</v>
      </c>
      <c r="M26" s="930">
        <f t="shared" si="8"/>
        <v>0.711373801916933</v>
      </c>
      <c r="N26" s="930">
        <f t="shared" ref="N26:N36" si="13">H26/D26</f>
        <v>0.70124600638977641</v>
      </c>
      <c r="O26" s="636">
        <f t="shared" ref="O26:O37" si="14">D26-H26</f>
        <v>93.509999999999991</v>
      </c>
      <c r="P26" s="636">
        <f t="shared" si="9"/>
        <v>219.49</v>
      </c>
      <c r="Q26" s="1442"/>
      <c r="R26" s="1444"/>
      <c r="S26" s="629"/>
      <c r="T26" s="632">
        <f>16.47+9.16</f>
        <v>25.63</v>
      </c>
      <c r="U26" s="632"/>
      <c r="V26" s="632"/>
      <c r="W26" s="632"/>
      <c r="AD26" s="657"/>
      <c r="AE26" s="657"/>
      <c r="AF26" s="657"/>
      <c r="AG26" s="657"/>
      <c r="AH26" s="657"/>
      <c r="AI26" s="657"/>
      <c r="AJ26" s="657"/>
      <c r="AK26" s="657"/>
      <c r="AL26" s="657"/>
      <c r="AM26" s="657"/>
    </row>
    <row r="27" spans="2:39" ht="20.100000000000001" customHeight="1">
      <c r="B27" s="689">
        <f>568+80</f>
        <v>648</v>
      </c>
      <c r="C27" s="865" t="s">
        <v>6</v>
      </c>
      <c r="D27" s="617">
        <f t="shared" si="6"/>
        <v>202.5</v>
      </c>
      <c r="E27" s="777">
        <f t="shared" si="10"/>
        <v>127.2</v>
      </c>
      <c r="F27" s="617">
        <f t="shared" si="6"/>
        <v>48.2</v>
      </c>
      <c r="G27" s="431">
        <f t="shared" si="6"/>
        <v>50.099999999999994</v>
      </c>
      <c r="H27" s="431">
        <f>F27+G27</f>
        <v>98.3</v>
      </c>
      <c r="I27" s="779"/>
      <c r="J27" s="937">
        <f t="shared" si="11"/>
        <v>28.900000000000006</v>
      </c>
      <c r="K27" s="665"/>
      <c r="L27" s="605">
        <f t="shared" si="12"/>
        <v>98.3</v>
      </c>
      <c r="M27" s="930">
        <f t="shared" si="8"/>
        <v>0.62814814814814812</v>
      </c>
      <c r="N27" s="930">
        <f t="shared" si="13"/>
        <v>0.48543209876543209</v>
      </c>
      <c r="O27" s="636">
        <f t="shared" si="14"/>
        <v>104.2</v>
      </c>
      <c r="P27" s="636">
        <f t="shared" si="9"/>
        <v>98.3</v>
      </c>
      <c r="Q27" s="1442"/>
      <c r="R27" s="1444"/>
      <c r="S27" s="629"/>
      <c r="T27" s="632"/>
      <c r="U27" s="632"/>
      <c r="V27" s="632"/>
      <c r="W27" s="632"/>
      <c r="AD27" s="657"/>
      <c r="AE27" s="657"/>
      <c r="AF27" s="657"/>
      <c r="AG27" s="657"/>
      <c r="AH27" s="657"/>
      <c r="AI27" s="657"/>
      <c r="AJ27" s="657"/>
      <c r="AK27" s="657"/>
      <c r="AL27" s="657"/>
      <c r="AM27" s="657"/>
    </row>
    <row r="28" spans="2:39" ht="20.100000000000001" customHeight="1">
      <c r="C28" s="865" t="s">
        <v>7</v>
      </c>
      <c r="D28" s="617">
        <f t="shared" si="6"/>
        <v>189</v>
      </c>
      <c r="E28" s="777">
        <f t="shared" si="10"/>
        <v>115</v>
      </c>
      <c r="F28" s="617">
        <f t="shared" si="6"/>
        <v>77.5</v>
      </c>
      <c r="G28" s="431">
        <f t="shared" si="6"/>
        <v>13.469999999999999</v>
      </c>
      <c r="H28" s="431">
        <f t="shared" si="7"/>
        <v>90.97</v>
      </c>
      <c r="I28" s="779"/>
      <c r="J28" s="937">
        <f t="shared" si="11"/>
        <v>24.03</v>
      </c>
      <c r="K28" s="665"/>
      <c r="L28" s="605">
        <f t="shared" si="12"/>
        <v>90.97</v>
      </c>
      <c r="M28" s="930">
        <f t="shared" si="8"/>
        <v>0.60846560846560849</v>
      </c>
      <c r="N28" s="930">
        <f t="shared" si="13"/>
        <v>0.48132275132275132</v>
      </c>
      <c r="O28" s="636">
        <f t="shared" si="14"/>
        <v>98.03</v>
      </c>
      <c r="P28" s="636">
        <f t="shared" si="9"/>
        <v>90.97</v>
      </c>
      <c r="Q28" s="1442"/>
      <c r="R28" s="1444"/>
      <c r="S28" s="629"/>
      <c r="T28" s="632">
        <f>11.99+21.69</f>
        <v>33.68</v>
      </c>
      <c r="U28" s="632"/>
      <c r="V28" s="632"/>
      <c r="W28" s="632"/>
      <c r="AD28" s="657"/>
      <c r="AE28" s="657"/>
      <c r="AF28" s="657"/>
      <c r="AG28" s="657"/>
      <c r="AH28" s="657"/>
      <c r="AI28" s="657"/>
      <c r="AJ28" s="657"/>
      <c r="AK28" s="657"/>
      <c r="AL28" s="657"/>
      <c r="AM28" s="657"/>
    </row>
    <row r="29" spans="2:39" ht="20.100000000000001" customHeight="1">
      <c r="C29" s="865" t="s">
        <v>8</v>
      </c>
      <c r="D29" s="617">
        <f t="shared" si="6"/>
        <v>58</v>
      </c>
      <c r="E29" s="777">
        <f t="shared" si="10"/>
        <v>39.5</v>
      </c>
      <c r="F29" s="617">
        <f t="shared" si="6"/>
        <v>4</v>
      </c>
      <c r="G29" s="431">
        <f t="shared" si="6"/>
        <v>38.21</v>
      </c>
      <c r="H29" s="431">
        <f t="shared" si="7"/>
        <v>42.21</v>
      </c>
      <c r="I29" s="779"/>
      <c r="J29" s="937">
        <f t="shared" si="11"/>
        <v>-2.7100000000000009</v>
      </c>
      <c r="K29" s="665"/>
      <c r="L29" s="605">
        <f t="shared" si="12"/>
        <v>42.21</v>
      </c>
      <c r="M29" s="930">
        <f t="shared" si="8"/>
        <v>0.68103448275862066</v>
      </c>
      <c r="N29" s="930">
        <f t="shared" si="13"/>
        <v>0.72775862068965513</v>
      </c>
      <c r="O29" s="636">
        <f t="shared" si="14"/>
        <v>15.79</v>
      </c>
      <c r="P29" s="636">
        <f t="shared" si="9"/>
        <v>42.21</v>
      </c>
      <c r="Q29" s="1442"/>
      <c r="R29" s="1444"/>
      <c r="S29" s="629"/>
      <c r="T29" s="632"/>
      <c r="U29" s="632"/>
      <c r="V29" s="632"/>
      <c r="W29" s="632"/>
      <c r="AD29" s="657"/>
      <c r="AE29" s="657"/>
      <c r="AF29" s="657"/>
      <c r="AG29" s="657"/>
      <c r="AH29" s="657"/>
      <c r="AI29" s="657"/>
      <c r="AJ29" s="657"/>
      <c r="AK29" s="657"/>
      <c r="AL29" s="657"/>
      <c r="AM29" s="657"/>
    </row>
    <row r="30" spans="2:39" ht="20.100000000000001" customHeight="1" thickBot="1">
      <c r="C30" s="591" t="s">
        <v>9</v>
      </c>
      <c r="D30" s="618">
        <f t="shared" si="6"/>
        <v>450</v>
      </c>
      <c r="E30" s="780">
        <f t="shared" si="10"/>
        <v>269.52999999999997</v>
      </c>
      <c r="F30" s="618">
        <f t="shared" si="6"/>
        <v>234.52999999999997</v>
      </c>
      <c r="G30" s="613">
        <f t="shared" si="6"/>
        <v>5</v>
      </c>
      <c r="H30" s="613">
        <f t="shared" si="7"/>
        <v>239.52999999999997</v>
      </c>
      <c r="I30" s="781"/>
      <c r="J30" s="938">
        <f t="shared" si="11"/>
        <v>30</v>
      </c>
      <c r="K30" s="665"/>
      <c r="L30" s="606">
        <f t="shared" si="12"/>
        <v>239.52999999999997</v>
      </c>
      <c r="M30" s="931">
        <f t="shared" si="8"/>
        <v>0.59895555555555546</v>
      </c>
      <c r="N30" s="931">
        <f t="shared" si="13"/>
        <v>0.53228888888888881</v>
      </c>
      <c r="O30" s="637">
        <f t="shared" si="14"/>
        <v>210.47000000000003</v>
      </c>
      <c r="P30" s="637">
        <f t="shared" si="9"/>
        <v>239.52999999999997</v>
      </c>
      <c r="Q30" s="1442"/>
      <c r="R30" s="1444"/>
      <c r="S30" s="629"/>
      <c r="T30" s="632">
        <f>20+35+5</f>
        <v>60</v>
      </c>
      <c r="U30" s="632"/>
      <c r="V30" s="632"/>
      <c r="W30" s="632"/>
      <c r="AD30" s="657"/>
      <c r="AE30" s="657"/>
      <c r="AF30" s="657"/>
      <c r="AG30" s="657"/>
      <c r="AH30" s="657"/>
      <c r="AI30" s="657"/>
      <c r="AJ30" s="657"/>
      <c r="AK30" s="657"/>
      <c r="AL30" s="657"/>
      <c r="AM30" s="657"/>
    </row>
    <row r="31" spans="2:39" ht="20.100000000000001" customHeight="1" thickBot="1">
      <c r="C31" s="592" t="s">
        <v>10</v>
      </c>
      <c r="D31" s="594">
        <f t="shared" si="6"/>
        <v>2035.5</v>
      </c>
      <c r="E31" s="782">
        <f t="shared" si="10"/>
        <v>1362.31</v>
      </c>
      <c r="F31" s="594">
        <f t="shared" si="6"/>
        <v>694.3</v>
      </c>
      <c r="G31" s="433">
        <f t="shared" si="6"/>
        <v>453.78000000000003</v>
      </c>
      <c r="H31" s="433">
        <f>F31+G31</f>
        <v>1148.08</v>
      </c>
      <c r="I31" s="783">
        <f t="shared" ref="I31" si="15">SUM(I25:I30)</f>
        <v>0</v>
      </c>
      <c r="J31" s="939">
        <f t="shared" si="11"/>
        <v>214.23000000000002</v>
      </c>
      <c r="K31" s="595">
        <f>SUM(K25:K30)</f>
        <v>0</v>
      </c>
      <c r="L31" s="607">
        <f t="shared" si="12"/>
        <v>1148.08</v>
      </c>
      <c r="M31" s="932">
        <f t="shared" si="8"/>
        <v>0.66927536231884055</v>
      </c>
      <c r="N31" s="933">
        <f t="shared" si="13"/>
        <v>0.56402849422746248</v>
      </c>
      <c r="O31" s="638">
        <f t="shared" si="14"/>
        <v>887.42000000000007</v>
      </c>
      <c r="P31" s="638">
        <f t="shared" si="9"/>
        <v>1148.08</v>
      </c>
      <c r="Q31" s="1442"/>
      <c r="R31" s="1444"/>
      <c r="S31" s="661"/>
      <c r="T31" s="106">
        <f t="shared" ref="T31" si="16">SUM(T25:T30)</f>
        <v>186.71</v>
      </c>
      <c r="U31" s="106">
        <f>SUM(U25:U30)</f>
        <v>0</v>
      </c>
      <c r="V31" s="106"/>
      <c r="W31" s="106"/>
      <c r="AD31" s="657"/>
      <c r="AE31" s="657"/>
      <c r="AF31" s="657"/>
      <c r="AG31" s="657"/>
      <c r="AH31" s="657"/>
      <c r="AI31" s="657"/>
      <c r="AJ31" s="657"/>
      <c r="AK31" s="657"/>
      <c r="AL31" s="657"/>
      <c r="AM31" s="657"/>
    </row>
    <row r="32" spans="2:39" ht="20.100000000000001" customHeight="1">
      <c r="B32" s="689">
        <v>810</v>
      </c>
      <c r="C32" s="590" t="s">
        <v>11</v>
      </c>
      <c r="D32" s="617">
        <f t="shared" si="6"/>
        <v>573.35</v>
      </c>
      <c r="E32" s="777">
        <f t="shared" si="10"/>
        <v>487.53999999999996</v>
      </c>
      <c r="F32" s="617">
        <f t="shared" si="6"/>
        <v>184.15999999999997</v>
      </c>
      <c r="G32" s="431">
        <f t="shared" si="6"/>
        <v>68.7</v>
      </c>
      <c r="H32" s="431">
        <f t="shared" ref="H32:H35" si="17">F32+G32</f>
        <v>252.85999999999996</v>
      </c>
      <c r="I32" s="778"/>
      <c r="J32" s="936">
        <f t="shared" si="11"/>
        <v>234.68</v>
      </c>
      <c r="K32" s="665"/>
      <c r="L32" s="605">
        <f t="shared" si="12"/>
        <v>252.85999999999996</v>
      </c>
      <c r="M32" s="929">
        <f t="shared" si="8"/>
        <v>0.85033574605389373</v>
      </c>
      <c r="N32" s="929">
        <f t="shared" si="13"/>
        <v>0.44102206331211291</v>
      </c>
      <c r="O32" s="636">
        <f t="shared" si="14"/>
        <v>320.49000000000007</v>
      </c>
      <c r="P32" s="636">
        <f t="shared" si="9"/>
        <v>252.85999999999996</v>
      </c>
      <c r="Q32" s="1442"/>
      <c r="R32" s="1444"/>
      <c r="S32" s="629"/>
      <c r="T32" s="632">
        <f>21.71+53.99</f>
        <v>75.7</v>
      </c>
      <c r="U32" s="632"/>
      <c r="V32" s="632"/>
      <c r="W32" s="632"/>
      <c r="AD32" s="657"/>
      <c r="AE32" s="657"/>
      <c r="AF32" s="657"/>
      <c r="AG32" s="657"/>
      <c r="AH32" s="657"/>
      <c r="AI32" s="657"/>
      <c r="AJ32" s="657"/>
      <c r="AK32" s="657"/>
      <c r="AL32" s="657"/>
      <c r="AM32" s="657"/>
    </row>
    <row r="33" spans="3:27" ht="20.100000000000001" customHeight="1">
      <c r="C33" s="865" t="s">
        <v>12</v>
      </c>
      <c r="D33" s="619">
        <f t="shared" si="6"/>
        <v>187.5</v>
      </c>
      <c r="E33" s="784">
        <f t="shared" si="10"/>
        <v>94.759999999999991</v>
      </c>
      <c r="F33" s="619">
        <f t="shared" si="6"/>
        <v>64.760000000000005</v>
      </c>
      <c r="G33" s="598">
        <f t="shared" si="6"/>
        <v>11.97</v>
      </c>
      <c r="H33" s="598">
        <f t="shared" si="17"/>
        <v>76.73</v>
      </c>
      <c r="I33" s="779"/>
      <c r="J33" s="937">
        <f t="shared" si="11"/>
        <v>18.029999999999987</v>
      </c>
      <c r="K33" s="665"/>
      <c r="L33" s="605">
        <f t="shared" si="12"/>
        <v>76.73</v>
      </c>
      <c r="M33" s="930">
        <f t="shared" si="8"/>
        <v>0.50538666666666665</v>
      </c>
      <c r="N33" s="930">
        <f t="shared" si="13"/>
        <v>0.40922666666666668</v>
      </c>
      <c r="O33" s="636">
        <f t="shared" si="14"/>
        <v>110.77</v>
      </c>
      <c r="P33" s="636">
        <f t="shared" si="9"/>
        <v>76.73</v>
      </c>
      <c r="Q33" s="1442"/>
      <c r="R33" s="1444"/>
      <c r="S33" s="629"/>
      <c r="T33" s="632">
        <f>20+2.93</f>
        <v>22.93</v>
      </c>
      <c r="U33" s="632"/>
      <c r="V33" s="632"/>
      <c r="W33" s="632"/>
    </row>
    <row r="34" spans="3:27" ht="20.100000000000001" customHeight="1">
      <c r="C34" s="865" t="s">
        <v>13</v>
      </c>
      <c r="D34" s="619">
        <f t="shared" si="6"/>
        <v>345</v>
      </c>
      <c r="E34" s="784">
        <f t="shared" si="10"/>
        <v>285.52999999999997</v>
      </c>
      <c r="F34" s="619">
        <f t="shared" si="6"/>
        <v>161.72</v>
      </c>
      <c r="G34" s="598">
        <f t="shared" si="6"/>
        <v>92.35</v>
      </c>
      <c r="H34" s="598">
        <f t="shared" si="17"/>
        <v>254.07</v>
      </c>
      <c r="I34" s="779"/>
      <c r="J34" s="937">
        <f t="shared" si="11"/>
        <v>31.45999999999998</v>
      </c>
      <c r="K34" s="665"/>
      <c r="L34" s="605">
        <f t="shared" si="12"/>
        <v>254.07</v>
      </c>
      <c r="M34" s="930">
        <f t="shared" si="8"/>
        <v>0.82762318840579707</v>
      </c>
      <c r="N34" s="930">
        <f t="shared" si="13"/>
        <v>0.73643478260869566</v>
      </c>
      <c r="O34" s="636">
        <f t="shared" si="14"/>
        <v>90.93</v>
      </c>
      <c r="P34" s="636">
        <f t="shared" si="9"/>
        <v>254.07</v>
      </c>
      <c r="Q34" s="1442"/>
      <c r="R34" s="1444"/>
      <c r="S34" s="629"/>
      <c r="T34" s="632">
        <f>7.43+21.5+39.21+25</f>
        <v>93.14</v>
      </c>
      <c r="U34" s="632"/>
      <c r="V34" s="632"/>
      <c r="W34" s="632"/>
    </row>
    <row r="35" spans="3:27" ht="20.100000000000001" customHeight="1" thickBot="1">
      <c r="C35" s="591" t="s">
        <v>14</v>
      </c>
      <c r="D35" s="620">
        <f t="shared" si="6"/>
        <v>214</v>
      </c>
      <c r="E35" s="785">
        <f t="shared" si="10"/>
        <v>153.74</v>
      </c>
      <c r="F35" s="620">
        <f t="shared" si="6"/>
        <v>129.74</v>
      </c>
      <c r="G35" s="614">
        <f t="shared" si="6"/>
        <v>46.94</v>
      </c>
      <c r="H35" s="614">
        <f t="shared" si="17"/>
        <v>176.68</v>
      </c>
      <c r="I35" s="786"/>
      <c r="J35" s="940">
        <f t="shared" si="11"/>
        <v>-22.939999999999998</v>
      </c>
      <c r="K35" s="665"/>
      <c r="L35" s="606">
        <f t="shared" si="12"/>
        <v>176.68</v>
      </c>
      <c r="M35" s="931">
        <f t="shared" si="8"/>
        <v>0.71841121495327109</v>
      </c>
      <c r="N35" s="931">
        <f t="shared" si="13"/>
        <v>0.82560747663551404</v>
      </c>
      <c r="O35" s="637">
        <f t="shared" si="14"/>
        <v>37.319999999999993</v>
      </c>
      <c r="P35" s="637">
        <f t="shared" si="9"/>
        <v>176.68</v>
      </c>
      <c r="Q35" s="1442"/>
      <c r="R35" s="1444"/>
      <c r="S35" s="629"/>
      <c r="T35" s="632"/>
      <c r="U35" s="632"/>
      <c r="V35" s="632"/>
      <c r="W35" s="632"/>
    </row>
    <row r="36" spans="3:27" ht="20.100000000000001" customHeight="1" thickBot="1">
      <c r="C36" s="592" t="s">
        <v>15</v>
      </c>
      <c r="D36" s="594">
        <f t="shared" si="6"/>
        <v>1319.85</v>
      </c>
      <c r="E36" s="782">
        <f t="shared" si="10"/>
        <v>1021.5699999999999</v>
      </c>
      <c r="F36" s="594">
        <f t="shared" si="6"/>
        <v>540.38</v>
      </c>
      <c r="G36" s="433">
        <f t="shared" si="6"/>
        <v>219.95999999999998</v>
      </c>
      <c r="H36" s="433">
        <f>F36+G36</f>
        <v>760.33999999999992</v>
      </c>
      <c r="I36" s="783">
        <f t="shared" ref="I36" si="18">SUM(I32:I35)</f>
        <v>0</v>
      </c>
      <c r="J36" s="939">
        <f t="shared" si="11"/>
        <v>261.23</v>
      </c>
      <c r="K36" s="595">
        <f>SUM(K32:K35)</f>
        <v>0</v>
      </c>
      <c r="L36" s="607">
        <f t="shared" si="12"/>
        <v>760.33999999999992</v>
      </c>
      <c r="M36" s="932">
        <f t="shared" si="8"/>
        <v>0.77400462173731865</v>
      </c>
      <c r="N36" s="933">
        <f t="shared" si="13"/>
        <v>0.57608061522142662</v>
      </c>
      <c r="O36" s="638">
        <f t="shared" si="14"/>
        <v>559.51</v>
      </c>
      <c r="P36" s="638">
        <f t="shared" si="9"/>
        <v>760.33999999999992</v>
      </c>
      <c r="Q36" s="1442"/>
      <c r="R36" s="1444"/>
      <c r="S36" s="629"/>
      <c r="T36" s="634">
        <f>SUM(T32:T35)</f>
        <v>191.76999999999998</v>
      </c>
      <c r="U36" s="634">
        <f>SUM(U32:U35)</f>
        <v>0</v>
      </c>
      <c r="V36" s="634"/>
      <c r="W36" s="634"/>
    </row>
    <row r="37" spans="3:27" ht="20.100000000000001" customHeight="1" thickBot="1">
      <c r="C37" s="593" t="s">
        <v>17</v>
      </c>
      <c r="D37" s="615">
        <f>W19</f>
        <v>3355.35</v>
      </c>
      <c r="E37" s="787">
        <f>X19</f>
        <v>2383.88</v>
      </c>
      <c r="F37" s="615">
        <f>F31+F36</f>
        <v>1234.6799999999998</v>
      </c>
      <c r="G37" s="616">
        <f>G31+G36</f>
        <v>673.74</v>
      </c>
      <c r="H37" s="616">
        <f>H31+H36</f>
        <v>1908.4199999999998</v>
      </c>
      <c r="I37" s="789">
        <f t="shared" ref="I37" si="19">I31+I36</f>
        <v>0</v>
      </c>
      <c r="J37" s="616">
        <f t="shared" si="11"/>
        <v>475.46000000000026</v>
      </c>
      <c r="K37" s="788">
        <f>K31+K36</f>
        <v>0</v>
      </c>
      <c r="L37" s="970">
        <f t="shared" si="12"/>
        <v>1908.4199999999998</v>
      </c>
      <c r="M37" s="934">
        <f t="shared" si="8"/>
        <v>0.71047133682030195</v>
      </c>
      <c r="N37" s="935">
        <f>H37/D37</f>
        <v>0.56876927891278106</v>
      </c>
      <c r="O37" s="639">
        <f t="shared" si="14"/>
        <v>1446.93</v>
      </c>
      <c r="P37" s="639">
        <f>P31+P36</f>
        <v>1908.4199999999998</v>
      </c>
      <c r="Q37" s="1442"/>
      <c r="R37" s="1445"/>
      <c r="S37" s="662"/>
      <c r="T37" s="790">
        <f t="shared" ref="T37" si="20">T31+T36</f>
        <v>378.48</v>
      </c>
      <c r="U37" s="644">
        <f>U31+U36</f>
        <v>0</v>
      </c>
      <c r="V37" s="644"/>
      <c r="W37" s="644"/>
    </row>
    <row r="38" spans="3:27" ht="20.100000000000001" customHeight="1" thickBot="1">
      <c r="P38" s="657"/>
      <c r="Q38" s="1442"/>
      <c r="R38" s="1446"/>
      <c r="S38" s="664"/>
      <c r="T38" s="1749">
        <f>T37+U37+V37+W37</f>
        <v>378.48</v>
      </c>
      <c r="U38" s="1750"/>
      <c r="V38" s="1750"/>
      <c r="W38" s="1751"/>
    </row>
    <row r="39" spans="3:27" ht="16.5" thickBot="1">
      <c r="N39" s="689">
        <v>175</v>
      </c>
      <c r="Q39" s="660"/>
    </row>
    <row r="40" spans="3:27" ht="0.75" customHeight="1">
      <c r="C40" s="1752" t="s">
        <v>223</v>
      </c>
      <c r="D40" s="1753"/>
      <c r="E40" s="1753"/>
      <c r="F40" s="1753"/>
      <c r="G40" s="1753"/>
      <c r="H40" s="1756">
        <f>H37+K37</f>
        <v>1908.4199999999998</v>
      </c>
      <c r="I40" s="1756"/>
      <c r="J40" s="1756"/>
      <c r="K40" s="1757"/>
      <c r="V40" s="68"/>
    </row>
    <row r="41" spans="3:27" ht="21.75" customHeight="1" thickBot="1">
      <c r="C41" s="1754"/>
      <c r="D41" s="1755"/>
      <c r="E41" s="1755"/>
      <c r="F41" s="1755"/>
      <c r="G41" s="1755"/>
      <c r="H41" s="1758"/>
      <c r="I41" s="1758"/>
      <c r="J41" s="1758"/>
      <c r="K41" s="1759"/>
      <c r="V41" s="68"/>
    </row>
    <row r="42" spans="3:27">
      <c r="P42" s="1465"/>
    </row>
    <row r="43" spans="3:27">
      <c r="G43" s="44"/>
      <c r="N43" s="24"/>
      <c r="P43" s="1465"/>
      <c r="Y43" s="68"/>
      <c r="Z43" s="68"/>
      <c r="AA43" s="689"/>
    </row>
    <row r="44" spans="3:27">
      <c r="I44" s="44"/>
      <c r="J44" s="44"/>
      <c r="N44" s="24"/>
    </row>
    <row r="46" spans="3:27" ht="15.75" thickBot="1"/>
    <row r="47" spans="3:27" ht="15" customHeight="1">
      <c r="C47" s="1785" t="s">
        <v>316</v>
      </c>
      <c r="D47" s="1786"/>
      <c r="E47" s="1786"/>
      <c r="F47" s="1786"/>
      <c r="G47" s="1786"/>
      <c r="H47" s="1786"/>
      <c r="I47" s="1787"/>
    </row>
    <row r="48" spans="3:27" ht="15.75" customHeight="1">
      <c r="C48" s="1788"/>
      <c r="D48" s="1789"/>
      <c r="E48" s="1789"/>
      <c r="F48" s="1789"/>
      <c r="G48" s="1789"/>
      <c r="H48" s="1789"/>
      <c r="I48" s="1790"/>
    </row>
    <row r="49" spans="3:23" ht="30.75" thickBot="1">
      <c r="C49" s="1299" t="s">
        <v>0</v>
      </c>
      <c r="D49" s="1300" t="s">
        <v>216</v>
      </c>
      <c r="E49" s="1300" t="s">
        <v>2</v>
      </c>
      <c r="F49" s="1301" t="s">
        <v>261</v>
      </c>
      <c r="G49" s="1300" t="s">
        <v>247</v>
      </c>
      <c r="H49" s="1300" t="s">
        <v>262</v>
      </c>
      <c r="I49" s="1302" t="s">
        <v>317</v>
      </c>
    </row>
    <row r="50" spans="3:23" ht="16.5" thickBot="1">
      <c r="C50" s="1303" t="s">
        <v>4</v>
      </c>
      <c r="D50" s="1304">
        <f t="shared" ref="D50:D61" si="21">W31</f>
        <v>0</v>
      </c>
      <c r="E50" s="1304">
        <f t="shared" ref="E50:E61" si="22">X31</f>
        <v>0</v>
      </c>
      <c r="F50" s="1304">
        <f>Y31</f>
        <v>0</v>
      </c>
      <c r="G50" s="1304">
        <f t="shared" ref="G50:G61" si="23">Z31</f>
        <v>0</v>
      </c>
      <c r="H50" s="1304">
        <v>459.14</v>
      </c>
      <c r="I50" s="1305">
        <f>H50/$H$62</f>
        <v>0.19125414465901325</v>
      </c>
    </row>
    <row r="51" spans="3:23" ht="16.5" thickBot="1">
      <c r="C51" s="1291" t="s">
        <v>5</v>
      </c>
      <c r="D51" s="598">
        <f t="shared" si="21"/>
        <v>0</v>
      </c>
      <c r="E51" s="598">
        <f t="shared" si="22"/>
        <v>0</v>
      </c>
      <c r="F51" s="598">
        <f t="shared" ref="F51:F61" si="24">Y32</f>
        <v>0</v>
      </c>
      <c r="G51" s="598">
        <f t="shared" si="23"/>
        <v>0</v>
      </c>
      <c r="H51" s="598">
        <v>157.76</v>
      </c>
      <c r="I51" s="1295">
        <f t="shared" ref="I51:I62" si="25">H51/$H$62</f>
        <v>6.5714714164320093E-2</v>
      </c>
      <c r="M51" s="1764" t="s">
        <v>331</v>
      </c>
      <c r="N51" s="1765"/>
      <c r="O51" s="1765"/>
      <c r="P51" s="1765"/>
      <c r="Q51" s="1766"/>
    </row>
    <row r="52" spans="3:23" ht="16.5" thickBot="1">
      <c r="C52" s="1291" t="s">
        <v>6</v>
      </c>
      <c r="D52" s="598">
        <f t="shared" si="21"/>
        <v>0</v>
      </c>
      <c r="E52" s="598">
        <f t="shared" si="22"/>
        <v>0</v>
      </c>
      <c r="F52" s="598">
        <f t="shared" si="24"/>
        <v>0</v>
      </c>
      <c r="G52" s="598">
        <f t="shared" si="23"/>
        <v>0</v>
      </c>
      <c r="H52" s="598">
        <v>119.14999999999999</v>
      </c>
      <c r="I52" s="1295">
        <f t="shared" si="25"/>
        <v>4.963177099821716E-2</v>
      </c>
      <c r="M52" s="1363"/>
      <c r="N52" s="1387" t="s">
        <v>322</v>
      </c>
      <c r="O52" s="1387" t="s">
        <v>323</v>
      </c>
      <c r="P52" s="1387" t="s">
        <v>324</v>
      </c>
      <c r="Q52" s="1388" t="s">
        <v>325</v>
      </c>
      <c r="R52" s="1389" t="s">
        <v>328</v>
      </c>
      <c r="S52" s="1390" t="s">
        <v>327</v>
      </c>
      <c r="T52" s="1371" t="s">
        <v>329</v>
      </c>
    </row>
    <row r="53" spans="3:23" ht="15.75">
      <c r="C53" s="1291" t="s">
        <v>7</v>
      </c>
      <c r="D53" s="598">
        <f t="shared" si="21"/>
        <v>0</v>
      </c>
      <c r="E53" s="598">
        <f t="shared" si="22"/>
        <v>0</v>
      </c>
      <c r="F53" s="598">
        <f t="shared" si="24"/>
        <v>0</v>
      </c>
      <c r="G53" s="598">
        <f t="shared" si="23"/>
        <v>0</v>
      </c>
      <c r="H53" s="598">
        <v>111.94</v>
      </c>
      <c r="I53" s="1295">
        <f t="shared" si="25"/>
        <v>4.6628455271006543E-2</v>
      </c>
      <c r="M53" s="1357" t="s">
        <v>165</v>
      </c>
      <c r="N53" s="1361">
        <v>746</v>
      </c>
      <c r="O53" s="1361">
        <v>18</v>
      </c>
      <c r="P53" s="1361">
        <v>522.70000000000005</v>
      </c>
      <c r="Q53" s="1373">
        <f>P53/N53</f>
        <v>0.70067024128686328</v>
      </c>
      <c r="R53" s="1380">
        <v>26</v>
      </c>
      <c r="S53" s="1381">
        <v>55</v>
      </c>
      <c r="T53" s="1372">
        <v>1</v>
      </c>
      <c r="U53" s="1372">
        <v>8.7200000000000006</v>
      </c>
      <c r="V53" s="1372">
        <v>10.119999999999999</v>
      </c>
    </row>
    <row r="54" spans="3:23" ht="15.75">
      <c r="C54" s="1291" t="s">
        <v>8</v>
      </c>
      <c r="D54" s="598">
        <f t="shared" si="21"/>
        <v>0</v>
      </c>
      <c r="E54" s="598">
        <f t="shared" si="22"/>
        <v>0</v>
      </c>
      <c r="F54" s="598">
        <f t="shared" si="24"/>
        <v>0</v>
      </c>
      <c r="G54" s="598">
        <f t="shared" si="23"/>
        <v>0</v>
      </c>
      <c r="H54" s="598">
        <v>16.670000000000002</v>
      </c>
      <c r="I54" s="1295">
        <f t="shared" si="25"/>
        <v>6.9438659046603462E-3</v>
      </c>
      <c r="M54" s="1356" t="s">
        <v>166</v>
      </c>
      <c r="N54" s="1358">
        <v>264</v>
      </c>
      <c r="O54" s="1358">
        <v>9</v>
      </c>
      <c r="P54" s="1358">
        <v>209.7</v>
      </c>
      <c r="Q54" s="1374">
        <f t="shared" ref="Q54:Q58" si="26">P54/N54</f>
        <v>0.79431818181818181</v>
      </c>
      <c r="R54" s="1380">
        <v>14</v>
      </c>
      <c r="S54" s="1381">
        <v>21</v>
      </c>
      <c r="T54" s="1372">
        <v>3</v>
      </c>
      <c r="U54" s="689">
        <f>10.94+11.38+11.38</f>
        <v>33.700000000000003</v>
      </c>
      <c r="V54" s="1372">
        <v>9.5</v>
      </c>
      <c r="W54" s="1372">
        <v>27</v>
      </c>
    </row>
    <row r="55" spans="3:23" ht="15.75">
      <c r="C55" s="1291" t="s">
        <v>9</v>
      </c>
      <c r="D55" s="598">
        <f t="shared" si="21"/>
        <v>0</v>
      </c>
      <c r="E55" s="598">
        <f t="shared" si="22"/>
        <v>0</v>
      </c>
      <c r="F55" s="598">
        <f t="shared" si="24"/>
        <v>0</v>
      </c>
      <c r="G55" s="598">
        <f t="shared" si="23"/>
        <v>0</v>
      </c>
      <c r="H55" s="598">
        <v>351.04</v>
      </c>
      <c r="I55" s="1295">
        <f t="shared" si="25"/>
        <v>0.14622523618308145</v>
      </c>
      <c r="M55" s="1356" t="s">
        <v>167</v>
      </c>
      <c r="N55" s="1358">
        <v>223</v>
      </c>
      <c r="O55" s="1358">
        <v>4</v>
      </c>
      <c r="P55" s="1358">
        <v>100</v>
      </c>
      <c r="Q55" s="1374">
        <f t="shared" si="26"/>
        <v>0.44843049327354262</v>
      </c>
      <c r="R55" s="1380">
        <v>10</v>
      </c>
      <c r="S55" s="1381">
        <v>15</v>
      </c>
      <c r="V55" s="689">
        <v>10.94</v>
      </c>
      <c r="W55" s="1372">
        <v>27</v>
      </c>
    </row>
    <row r="56" spans="3:23" ht="16.5" thickBot="1">
      <c r="C56" s="1296" t="s">
        <v>10</v>
      </c>
      <c r="D56" s="1297">
        <f t="shared" si="21"/>
        <v>0</v>
      </c>
      <c r="E56" s="1297">
        <f t="shared" si="22"/>
        <v>0</v>
      </c>
      <c r="F56" s="1297">
        <f t="shared" si="24"/>
        <v>0</v>
      </c>
      <c r="G56" s="1297">
        <f t="shared" si="23"/>
        <v>0</v>
      </c>
      <c r="H56" s="1306">
        <v>1215.7</v>
      </c>
      <c r="I56" s="1298"/>
      <c r="M56" s="1356" t="s">
        <v>170</v>
      </c>
      <c r="N56" s="1358">
        <v>454</v>
      </c>
      <c r="O56" s="1358">
        <v>11</v>
      </c>
      <c r="P56" s="1358">
        <v>326</v>
      </c>
      <c r="Q56" s="1374">
        <f t="shared" si="26"/>
        <v>0.7180616740088106</v>
      </c>
      <c r="R56" s="1380">
        <v>15</v>
      </c>
      <c r="S56" s="1381">
        <v>28</v>
      </c>
      <c r="V56" s="689">
        <v>10.94</v>
      </c>
      <c r="W56" s="1372">
        <v>23.15</v>
      </c>
    </row>
    <row r="57" spans="3:23" ht="16.5" thickBot="1">
      <c r="C57" s="1303" t="s">
        <v>11</v>
      </c>
      <c r="D57" s="1304">
        <f t="shared" si="21"/>
        <v>0</v>
      </c>
      <c r="E57" s="1304">
        <f t="shared" si="22"/>
        <v>0</v>
      </c>
      <c r="F57" s="1304">
        <f t="shared" si="24"/>
        <v>0</v>
      </c>
      <c r="G57" s="1304">
        <f t="shared" si="23"/>
        <v>0</v>
      </c>
      <c r="H57" s="1304">
        <v>691.11</v>
      </c>
      <c r="I57" s="1305">
        <f t="shared" si="25"/>
        <v>0.2878809337354416</v>
      </c>
      <c r="M57" s="1360" t="s">
        <v>296</v>
      </c>
      <c r="N57" s="1359">
        <v>383</v>
      </c>
      <c r="O57" s="1359">
        <v>14</v>
      </c>
      <c r="P57" s="1369">
        <v>421.6</v>
      </c>
      <c r="Q57" s="1375">
        <f t="shared" si="26"/>
        <v>1.1007832898172325</v>
      </c>
      <c r="R57" s="1382">
        <v>21</v>
      </c>
      <c r="S57" s="1383">
        <v>52</v>
      </c>
      <c r="T57" s="1372">
        <v>1</v>
      </c>
      <c r="U57" s="1372">
        <v>9.5399999999999991</v>
      </c>
      <c r="V57" s="1372">
        <v>10.119999999999999</v>
      </c>
      <c r="W57" s="1372">
        <v>30.52</v>
      </c>
    </row>
    <row r="58" spans="3:23" ht="16.5" thickBot="1">
      <c r="C58" s="1291" t="s">
        <v>12</v>
      </c>
      <c r="D58" s="598">
        <f t="shared" si="21"/>
        <v>0</v>
      </c>
      <c r="E58" s="598">
        <f t="shared" si="22"/>
        <v>0</v>
      </c>
      <c r="F58" s="598">
        <f t="shared" si="24"/>
        <v>0</v>
      </c>
      <c r="G58" s="598">
        <f t="shared" si="23"/>
        <v>0</v>
      </c>
      <c r="H58" s="598">
        <v>98.710000000000008</v>
      </c>
      <c r="I58" s="1295">
        <f t="shared" si="25"/>
        <v>4.1117516703600643E-2</v>
      </c>
      <c r="M58" s="1363" t="s">
        <v>122</v>
      </c>
      <c r="N58" s="1364">
        <f>SUM(N53:N57)</f>
        <v>2070</v>
      </c>
      <c r="O58" s="1364">
        <f>SUM(O53:O57)</f>
        <v>56</v>
      </c>
      <c r="P58" s="1364">
        <f>SUM(P53:P57)</f>
        <v>1580</v>
      </c>
      <c r="Q58" s="1376">
        <f t="shared" si="26"/>
        <v>0.76328502415458932</v>
      </c>
      <c r="R58" s="1362">
        <f>SUM(R53:R57)</f>
        <v>86</v>
      </c>
      <c r="S58" s="191">
        <f>SUM(S53:S57)</f>
        <v>171</v>
      </c>
      <c r="V58" s="1372">
        <v>8.7200000000000006</v>
      </c>
      <c r="W58" s="1372">
        <v>41.02</v>
      </c>
    </row>
    <row r="59" spans="3:23" ht="15.75">
      <c r="C59" s="1291" t="s">
        <v>13</v>
      </c>
      <c r="D59" s="598">
        <f t="shared" si="21"/>
        <v>0</v>
      </c>
      <c r="E59" s="598">
        <f t="shared" si="22"/>
        <v>0</v>
      </c>
      <c r="F59" s="598">
        <f t="shared" si="24"/>
        <v>0</v>
      </c>
      <c r="G59" s="598">
        <f t="shared" si="23"/>
        <v>0</v>
      </c>
      <c r="H59" s="598">
        <v>185.59</v>
      </c>
      <c r="I59" s="1295">
        <f t="shared" si="25"/>
        <v>7.7307262942166374E-2</v>
      </c>
      <c r="M59" s="1357" t="s">
        <v>185</v>
      </c>
      <c r="N59" s="1361">
        <v>705</v>
      </c>
      <c r="O59" s="1361">
        <v>28</v>
      </c>
      <c r="P59" s="1370">
        <v>794.8</v>
      </c>
      <c r="Q59" s="1373">
        <f>P59/N59</f>
        <v>1.1273758865248227</v>
      </c>
      <c r="R59" s="1384">
        <v>33</v>
      </c>
      <c r="S59" s="1385">
        <v>81</v>
      </c>
      <c r="T59" s="1372">
        <v>3</v>
      </c>
      <c r="U59" s="689">
        <f>10.12+10.94+13.26</f>
        <v>34.32</v>
      </c>
      <c r="V59" s="1372">
        <v>12.08</v>
      </c>
    </row>
    <row r="60" spans="3:23" ht="15.75">
      <c r="C60" s="1291" t="s">
        <v>14</v>
      </c>
      <c r="D60" s="598">
        <f t="shared" si="21"/>
        <v>0</v>
      </c>
      <c r="E60" s="598">
        <f t="shared" si="22"/>
        <v>0</v>
      </c>
      <c r="F60" s="598">
        <f t="shared" si="24"/>
        <v>0</v>
      </c>
      <c r="G60" s="598">
        <f t="shared" si="23"/>
        <v>0</v>
      </c>
      <c r="H60" s="598">
        <v>209.57</v>
      </c>
      <c r="I60" s="1295">
        <f t="shared" si="25"/>
        <v>8.7296099438492411E-2</v>
      </c>
      <c r="M60" s="1356" t="s">
        <v>186</v>
      </c>
      <c r="N60" s="1358">
        <v>641</v>
      </c>
      <c r="O60" s="1358">
        <v>19</v>
      </c>
      <c r="P60" s="1358">
        <v>415.3</v>
      </c>
      <c r="Q60" s="1374">
        <f t="shared" ref="Q60:Q63" si="27">P60/N60</f>
        <v>0.64789391575663025</v>
      </c>
      <c r="R60" s="1380">
        <v>38</v>
      </c>
      <c r="S60" s="1381">
        <v>86</v>
      </c>
      <c r="T60" s="1372">
        <v>2</v>
      </c>
      <c r="U60" s="689">
        <f>10.12+13.26</f>
        <v>23.38</v>
      </c>
      <c r="V60" s="1372">
        <v>11.38</v>
      </c>
    </row>
    <row r="61" spans="3:23" ht="16.5" thickBot="1">
      <c r="C61" s="1296" t="s">
        <v>15</v>
      </c>
      <c r="D61" s="1297">
        <f t="shared" si="21"/>
        <v>0</v>
      </c>
      <c r="E61" s="1297">
        <f t="shared" si="22"/>
        <v>0</v>
      </c>
      <c r="F61" s="1297">
        <f t="shared" si="24"/>
        <v>0</v>
      </c>
      <c r="G61" s="1297">
        <f t="shared" si="23"/>
        <v>0</v>
      </c>
      <c r="H61" s="1306">
        <v>1184.98</v>
      </c>
      <c r="I61" s="1298"/>
      <c r="M61" s="1356" t="s">
        <v>203</v>
      </c>
      <c r="N61" s="1358">
        <v>281</v>
      </c>
      <c r="O61" s="1358">
        <v>11</v>
      </c>
      <c r="P61" s="197">
        <v>213.4</v>
      </c>
      <c r="Q61" s="1374">
        <f t="shared" si="27"/>
        <v>0.75943060498220638</v>
      </c>
      <c r="R61" s="1380">
        <v>25</v>
      </c>
      <c r="S61" s="1381">
        <v>58</v>
      </c>
      <c r="T61" s="1372">
        <v>2</v>
      </c>
      <c r="U61" s="689">
        <f>11.38+12.08</f>
        <v>23.46</v>
      </c>
      <c r="V61" s="1372">
        <v>11.38</v>
      </c>
    </row>
    <row r="62" spans="3:23" ht="16.5" customHeight="1" thickBot="1">
      <c r="C62" s="1307" t="s">
        <v>17</v>
      </c>
      <c r="D62" s="616">
        <f>W44</f>
        <v>0</v>
      </c>
      <c r="E62" s="616">
        <f>X44</f>
        <v>0</v>
      </c>
      <c r="F62" s="616">
        <f>F56+F61</f>
        <v>0</v>
      </c>
      <c r="G62" s="616">
        <f>G56+G61</f>
        <v>0</v>
      </c>
      <c r="H62" s="616">
        <f>H56+H61</f>
        <v>2400.6800000000003</v>
      </c>
      <c r="I62" s="1308">
        <f t="shared" si="25"/>
        <v>1</v>
      </c>
      <c r="K62" s="689">
        <v>2818</v>
      </c>
      <c r="M62" s="1360" t="s">
        <v>202</v>
      </c>
      <c r="N62" s="1359">
        <v>85</v>
      </c>
      <c r="O62" s="1359">
        <v>4</v>
      </c>
      <c r="P62" s="1369">
        <v>96</v>
      </c>
      <c r="Q62" s="1375">
        <f t="shared" si="27"/>
        <v>1.1294117647058823</v>
      </c>
      <c r="R62" s="1382">
        <v>14</v>
      </c>
      <c r="S62" s="1383">
        <v>28</v>
      </c>
      <c r="V62" s="1372">
        <v>11.38</v>
      </c>
    </row>
    <row r="63" spans="3:23" ht="15.75" thickBot="1">
      <c r="K63" s="689">
        <v>133</v>
      </c>
      <c r="M63" s="1365" t="s">
        <v>123</v>
      </c>
      <c r="N63" s="1366">
        <f>SUM(N59:N62)</f>
        <v>1712</v>
      </c>
      <c r="O63" s="1366">
        <f>SUM(O59:O62)</f>
        <v>62</v>
      </c>
      <c r="P63" s="1366">
        <f t="shared" ref="P63" si="28">SUM(P59:P62)</f>
        <v>1519.5</v>
      </c>
      <c r="Q63" s="1377">
        <f t="shared" si="27"/>
        <v>0.88755841121495327</v>
      </c>
      <c r="R63" s="1362">
        <f>SUM(R59:R62)</f>
        <v>110</v>
      </c>
      <c r="S63" s="191">
        <f>SUM(S59:S62)</f>
        <v>253</v>
      </c>
      <c r="V63" s="1372">
        <v>13.2</v>
      </c>
    </row>
    <row r="64" spans="3:23" ht="16.5" thickBot="1">
      <c r="K64" s="689">
        <v>149</v>
      </c>
      <c r="M64" s="1367" t="s">
        <v>326</v>
      </c>
      <c r="N64" s="1368">
        <f>N63+N58</f>
        <v>3782</v>
      </c>
      <c r="O64" s="1368">
        <f>O63+O58</f>
        <v>118</v>
      </c>
      <c r="P64" s="1368">
        <f t="shared" ref="P64" si="29">P63+P58</f>
        <v>3099.5</v>
      </c>
      <c r="Q64" s="1378">
        <f>P64/N64</f>
        <v>0.81953992596509784</v>
      </c>
      <c r="R64" s="1386">
        <f>R63+R58</f>
        <v>196</v>
      </c>
      <c r="S64" s="1379">
        <f>S63+S58</f>
        <v>424</v>
      </c>
      <c r="V64" s="1372">
        <v>13.2</v>
      </c>
    </row>
    <row r="77" spans="9:10">
      <c r="I77" s="689">
        <v>9849521081</v>
      </c>
      <c r="J77" s="689" t="s">
        <v>342</v>
      </c>
    </row>
  </sheetData>
  <mergeCells count="21">
    <mergeCell ref="M51:Q51"/>
    <mergeCell ref="B3:B5"/>
    <mergeCell ref="B2:AB2"/>
    <mergeCell ref="AB3:AB5"/>
    <mergeCell ref="O4:R4"/>
    <mergeCell ref="C3:F3"/>
    <mergeCell ref="G3:J3"/>
    <mergeCell ref="K3:N3"/>
    <mergeCell ref="O3:R3"/>
    <mergeCell ref="S3:V3"/>
    <mergeCell ref="S4:V4"/>
    <mergeCell ref="W3:AA4"/>
    <mergeCell ref="C4:F4"/>
    <mergeCell ref="G4:J4"/>
    <mergeCell ref="K4:N4"/>
    <mergeCell ref="C47:I48"/>
    <mergeCell ref="T23:W23"/>
    <mergeCell ref="T38:W38"/>
    <mergeCell ref="C40:G41"/>
    <mergeCell ref="H40:K41"/>
    <mergeCell ref="C22:H23"/>
  </mergeCells>
  <conditionalFormatting sqref="H38:I38">
    <cfRule type="dataBar" priority="18">
      <dataBar>
        <cfvo type="min" val="0"/>
        <cfvo type="max" val="0"/>
        <color rgb="FF63C384"/>
      </dataBar>
    </cfRule>
  </conditionalFormatting>
  <conditionalFormatting sqref="H38">
    <cfRule type="dataBar" priority="17">
      <dataBar>
        <cfvo type="min" val="0"/>
        <cfvo type="max" val="0"/>
        <color rgb="FFFF555A"/>
      </dataBar>
    </cfRule>
  </conditionalFormatting>
  <conditionalFormatting sqref="Z25">
    <cfRule type="dataBar" priority="16">
      <dataBar>
        <cfvo type="min" val="0"/>
        <cfvo type="max" val="0"/>
        <color rgb="FF63C384"/>
      </dataBar>
    </cfRule>
  </conditionalFormatting>
  <conditionalFormatting sqref="Z25">
    <cfRule type="dataBar" priority="15">
      <dataBar>
        <cfvo type="min" val="0"/>
        <cfvo type="max" val="0"/>
        <color rgb="FFFF555A"/>
      </dataBar>
    </cfRule>
  </conditionalFormatting>
  <conditionalFormatting sqref="AA6:AA11 AA13:AA16">
    <cfRule type="colorScale" priority="14">
      <colorScale>
        <cfvo type="formula" val="0.95"/>
        <cfvo type="formula" val="0.99"/>
        <cfvo type="formula" val="1"/>
        <color rgb="FFF8696B"/>
        <color rgb="FFFFEB84"/>
        <color rgb="FF63BE7B"/>
      </colorScale>
    </cfRule>
  </conditionalFormatting>
  <conditionalFormatting sqref="AB6:AB11 AB13:AB19">
    <cfRule type="dataBar" priority="13">
      <dataBar>
        <cfvo type="min" val="0"/>
        <cfvo type="max" val="0"/>
        <color rgb="FF638EC6"/>
      </dataBar>
    </cfRule>
  </conditionalFormatting>
  <conditionalFormatting sqref="AB17:AB18 AB12">
    <cfRule type="colorScale" priority="12">
      <colorScale>
        <cfvo type="min" val="0"/>
        <cfvo type="max" val="0"/>
        <color rgb="FFFCFCFF"/>
        <color rgb="FF63BE7B"/>
      </colorScale>
    </cfRule>
  </conditionalFormatting>
  <conditionalFormatting sqref="J25:J37 K37">
    <cfRule type="dataBar" priority="11">
      <dataBar>
        <cfvo type="min" val="0"/>
        <cfvo type="max" val="0"/>
        <color rgb="FF63C384"/>
      </dataBar>
    </cfRule>
  </conditionalFormatting>
  <conditionalFormatting sqref="J25:J37">
    <cfRule type="dataBar" priority="10">
      <dataBar>
        <cfvo type="min" val="0"/>
        <cfvo type="max" val="0"/>
        <color rgb="FFFF555A"/>
      </dataBar>
    </cfRule>
  </conditionalFormatting>
  <conditionalFormatting sqref="AF25">
    <cfRule type="dataBar" priority="9">
      <dataBar>
        <cfvo type="min" val="0"/>
        <cfvo type="max" val="0"/>
        <color rgb="FF63C384"/>
      </dataBar>
    </cfRule>
  </conditionalFormatting>
  <conditionalFormatting sqref="AF25">
    <cfRule type="dataBar" priority="8">
      <dataBar>
        <cfvo type="min" val="0"/>
        <cfvo type="max" val="0"/>
        <color rgb="FFFF555A"/>
      </dataBar>
    </cfRule>
  </conditionalFormatting>
  <pageMargins left="0.70866141732283472" right="0.70866141732283472" top="0.74803149606299213" bottom="0.74803149606299213" header="0.31496062992125984" footer="0.31496062992125984"/>
  <pageSetup paperSize="9" scale="11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B1:X48"/>
  <sheetViews>
    <sheetView showGridLines="0" tabSelected="1" zoomScale="85" zoomScaleNormal="85" workbookViewId="0">
      <pane ySplit="1" topLeftCell="A21" activePane="bottomLeft" state="frozen"/>
      <selection pane="bottomLeft" activeCell="M28" sqref="M28"/>
    </sheetView>
  </sheetViews>
  <sheetFormatPr defaultColWidth="9.140625" defaultRowHeight="15.75"/>
  <cols>
    <col min="1" max="1" width="9.140625" style="262"/>
    <col min="2" max="2" width="17.85546875" style="262" bestFit="1" customWidth="1"/>
    <col min="3" max="3" width="9.5703125" style="263" bestFit="1" customWidth="1"/>
    <col min="4" max="4" width="8.5703125" style="261" customWidth="1"/>
    <col min="5" max="5" width="12" style="261" customWidth="1"/>
    <col min="6" max="6" width="11.42578125" style="261" customWidth="1"/>
    <col min="7" max="7" width="12.28515625" style="261" customWidth="1"/>
    <col min="8" max="8" width="9.7109375" style="262" customWidth="1"/>
    <col min="9" max="9" width="11.42578125" style="626" hidden="1" customWidth="1"/>
    <col min="10" max="10" width="13.28515625" style="261" customWidth="1"/>
    <col min="11" max="11" width="9.5703125" style="261" customWidth="1"/>
    <col min="12" max="12" width="13.7109375" style="261" customWidth="1"/>
    <col min="13" max="13" width="13.7109375" style="262" customWidth="1"/>
    <col min="14" max="14" width="12.7109375" style="927" customWidth="1"/>
    <col min="15" max="15" width="9.140625" style="262" customWidth="1"/>
    <col min="16" max="16" width="7.140625" style="262" customWidth="1"/>
    <col min="17" max="17" width="9" style="262" customWidth="1"/>
    <col min="18" max="18" width="6.5703125" style="262" customWidth="1"/>
    <col min="19" max="19" width="10.140625" style="262" customWidth="1"/>
    <col min="20" max="20" width="9.7109375" style="262" customWidth="1"/>
    <col min="21" max="21" width="9.140625" style="262"/>
    <col min="22" max="22" width="8.28515625" style="262" customWidth="1"/>
    <col min="23" max="16384" width="9.140625" style="262"/>
  </cols>
  <sheetData>
    <row r="1" spans="2:18">
      <c r="B1" s="270" t="s">
        <v>46</v>
      </c>
      <c r="C1" s="269" t="str">
        <f>TEXT(G1, "d")</f>
        <v>29</v>
      </c>
      <c r="D1" s="281"/>
      <c r="E1" s="282"/>
      <c r="F1" s="270" t="s">
        <v>120</v>
      </c>
      <c r="G1" s="269">
        <v>44590</v>
      </c>
    </row>
    <row r="2" spans="2:18" ht="12.75" customHeight="1" thickBot="1"/>
    <row r="3" spans="2:18" ht="18.75" customHeight="1" thickBot="1">
      <c r="B3" s="1837" t="s">
        <v>234</v>
      </c>
      <c r="C3" s="1838"/>
      <c r="D3" s="1838"/>
      <c r="E3" s="981">
        <f>G1</f>
        <v>44590</v>
      </c>
      <c r="F3" s="283"/>
      <c r="G3" s="283"/>
      <c r="H3" s="649"/>
    </row>
    <row r="4" spans="2:18" ht="12.75" customHeight="1">
      <c r="B4" s="1829" t="s">
        <v>113</v>
      </c>
      <c r="C4" s="1830"/>
      <c r="D4" s="1833" t="s">
        <v>1</v>
      </c>
      <c r="E4" s="1835" t="s">
        <v>180</v>
      </c>
      <c r="F4" s="1835" t="s">
        <v>179</v>
      </c>
      <c r="G4" s="1822" t="s">
        <v>181</v>
      </c>
      <c r="H4" s="1824" t="s">
        <v>245</v>
      </c>
      <c r="J4" s="999"/>
    </row>
    <row r="5" spans="2:18">
      <c r="B5" s="1831"/>
      <c r="C5" s="1832"/>
      <c r="D5" s="1834"/>
      <c r="E5" s="1836"/>
      <c r="F5" s="1836"/>
      <c r="G5" s="1823"/>
      <c r="H5" s="1825"/>
      <c r="J5" s="999"/>
    </row>
    <row r="6" spans="2:18" ht="15.75" customHeight="1">
      <c r="B6" s="1826" t="s">
        <v>32</v>
      </c>
      <c r="C6" s="117" t="s">
        <v>32</v>
      </c>
      <c r="D6" s="116">
        <f ca="1">INDIRECT("'"&amp;$C$1&amp;"'!"&amp;"BF6")</f>
        <v>99</v>
      </c>
      <c r="E6" s="116">
        <f ca="1">INDIRECT("'"&amp;$C$1&amp;"'!"&amp;"BG6")</f>
        <v>78.5</v>
      </c>
      <c r="F6" s="285">
        <f ca="1">INDIRECT("'"&amp;$C$1&amp;"'!"&amp;"BH6")</f>
        <v>51</v>
      </c>
      <c r="G6" s="716">
        <f ca="1">E6-F6</f>
        <v>27.5</v>
      </c>
      <c r="H6" s="285">
        <f>26+23+20</f>
        <v>69</v>
      </c>
      <c r="J6" s="1000">
        <f ca="1">F6+H6</f>
        <v>120</v>
      </c>
    </row>
    <row r="7" spans="2:18" ht="15.75" customHeight="1">
      <c r="B7" s="1827"/>
      <c r="C7" s="117" t="s">
        <v>31</v>
      </c>
      <c r="D7" s="116">
        <f ca="1">INDIRECT("'"&amp;$C$1&amp;"'!"&amp;"BF7")</f>
        <v>0</v>
      </c>
      <c r="E7" s="116">
        <f ca="1">INDIRECT("'"&amp;$C$1&amp;"'!"&amp;"BG7")</f>
        <v>0</v>
      </c>
      <c r="F7" s="116">
        <f ca="1">INDIRECT("'"&amp;$C$1&amp;"'!"&amp;"BH7")</f>
        <v>0</v>
      </c>
      <c r="G7" s="324">
        <f ca="1">MAX(E7-F7, 0)</f>
        <v>0</v>
      </c>
      <c r="H7" s="116">
        <f ca="1">INDIRECT("'"&amp;$C$1&amp;"'!"&amp;"BI7")</f>
        <v>0</v>
      </c>
      <c r="J7" s="1000">
        <f t="shared" ref="J7:J24" ca="1" si="0">F7+H7</f>
        <v>0</v>
      </c>
      <c r="K7" s="1001"/>
      <c r="L7" s="1001"/>
      <c r="M7" s="626"/>
      <c r="N7" s="928"/>
      <c r="O7" s="626"/>
      <c r="P7" s="626"/>
      <c r="Q7" s="633"/>
      <c r="R7" s="626"/>
    </row>
    <row r="8" spans="2:18" ht="15.75" customHeight="1">
      <c r="B8" s="1827"/>
      <c r="C8" s="117" t="s">
        <v>30</v>
      </c>
      <c r="D8" s="116">
        <f ca="1">INDIRECT("'"&amp;$C$1&amp;"'!"&amp;"BF8")</f>
        <v>7</v>
      </c>
      <c r="E8" s="116">
        <f ca="1">INDIRECT("'"&amp;$C$1&amp;"'!"&amp;"BG8")</f>
        <v>0</v>
      </c>
      <c r="F8" s="116">
        <f ca="1">INDIRECT("'"&amp;$C$1&amp;"'!"&amp;"BH8")</f>
        <v>0</v>
      </c>
      <c r="G8" s="324">
        <f ca="1">MAX(E8-F8, 0)</f>
        <v>0</v>
      </c>
      <c r="H8" s="116">
        <f ca="1">INDIRECT("'"&amp;$C$1&amp;"'!"&amp;"BI8")</f>
        <v>0</v>
      </c>
      <c r="J8" s="1000">
        <f t="shared" ca="1" si="0"/>
        <v>0</v>
      </c>
      <c r="K8" s="1001"/>
      <c r="L8" s="1001"/>
      <c r="M8" s="626"/>
      <c r="N8" s="928"/>
      <c r="O8" s="626"/>
      <c r="P8" s="626"/>
      <c r="Q8" s="626"/>
      <c r="R8" s="626"/>
    </row>
    <row r="9" spans="2:18" ht="15.75" customHeight="1">
      <c r="B9" s="1828"/>
      <c r="C9" s="334" t="s">
        <v>109</v>
      </c>
      <c r="D9" s="116">
        <f ca="1">INDIRECT("'"&amp;$C$1&amp;"'!"&amp;"BF9")</f>
        <v>2</v>
      </c>
      <c r="E9" s="116">
        <f ca="1">INDIRECT("'"&amp;$C$1&amp;"'!"&amp;"BG9")</f>
        <v>0</v>
      </c>
      <c r="F9" s="116">
        <f ca="1">INDIRECT("'"&amp;$C$1&amp;"'!"&amp;"BH9")</f>
        <v>0</v>
      </c>
      <c r="G9" s="324">
        <f ca="1">MAX(E9-F9, 0)</f>
        <v>0</v>
      </c>
      <c r="H9" s="116">
        <f ca="1">INDIRECT("'"&amp;$C$1&amp;"'!"&amp;"BI9")</f>
        <v>0</v>
      </c>
      <c r="J9" s="1000">
        <f t="shared" ca="1" si="0"/>
        <v>0</v>
      </c>
      <c r="K9" s="1001"/>
      <c r="L9" s="1001"/>
      <c r="M9" s="626"/>
      <c r="N9" s="928"/>
      <c r="O9" s="626"/>
      <c r="P9" s="626"/>
      <c r="Q9" s="626"/>
      <c r="R9" s="626"/>
    </row>
    <row r="10" spans="2:18" ht="18.75" customHeight="1" thickBot="1">
      <c r="B10" s="1812" t="s">
        <v>47</v>
      </c>
      <c r="C10" s="1813"/>
      <c r="D10" s="265">
        <f ca="1">SUM(D6:D9)</f>
        <v>108</v>
      </c>
      <c r="E10" s="265">
        <f ca="1">SUM(E6:E9)</f>
        <v>78.5</v>
      </c>
      <c r="F10" s="265">
        <f ca="1">SUM(F6:F9)</f>
        <v>51</v>
      </c>
      <c r="G10" s="325">
        <f ca="1">E10-F10</f>
        <v>27.5</v>
      </c>
      <c r="H10" s="265">
        <f ca="1">SUM(H6:H9)</f>
        <v>69</v>
      </c>
      <c r="J10" s="1000"/>
      <c r="K10" s="1001"/>
      <c r="L10" s="1001"/>
      <c r="M10" s="626"/>
      <c r="N10" s="928"/>
      <c r="O10" s="626"/>
      <c r="P10" s="626"/>
      <c r="Q10" s="626"/>
      <c r="R10" s="626"/>
    </row>
    <row r="11" spans="2:18" s="266" customFormat="1" ht="3.75" customHeight="1" thickBot="1">
      <c r="B11" s="326"/>
      <c r="C11" s="260"/>
      <c r="D11" s="1177"/>
      <c r="E11" s="1177"/>
      <c r="F11" s="1177"/>
      <c r="G11" s="327"/>
      <c r="H11" s="1177"/>
      <c r="I11" s="626"/>
      <c r="J11" s="1000"/>
      <c r="K11" s="1001"/>
      <c r="L11" s="1001"/>
      <c r="M11" s="626"/>
      <c r="N11" s="928"/>
      <c r="O11" s="626"/>
      <c r="P11" s="626"/>
      <c r="Q11" s="626"/>
      <c r="R11" s="626"/>
    </row>
    <row r="12" spans="2:18" ht="12.75" customHeight="1">
      <c r="B12" s="1829" t="s">
        <v>114</v>
      </c>
      <c r="C12" s="1830"/>
      <c r="D12" s="1833" t="s">
        <v>1</v>
      </c>
      <c r="E12" s="1835" t="s">
        <v>180</v>
      </c>
      <c r="F12" s="1835" t="s">
        <v>179</v>
      </c>
      <c r="G12" s="1822" t="s">
        <v>181</v>
      </c>
      <c r="H12" s="1824"/>
      <c r="J12" s="1000"/>
    </row>
    <row r="13" spans="2:18" ht="12.75" customHeight="1">
      <c r="B13" s="1831"/>
      <c r="C13" s="1832"/>
      <c r="D13" s="1834"/>
      <c r="E13" s="1836"/>
      <c r="F13" s="1836"/>
      <c r="G13" s="1823"/>
      <c r="H13" s="1825"/>
      <c r="J13" s="1000"/>
    </row>
    <row r="14" spans="2:18" ht="15.75" customHeight="1">
      <c r="B14" s="1809" t="s">
        <v>112</v>
      </c>
      <c r="C14" s="117" t="s">
        <v>27</v>
      </c>
      <c r="D14" s="264">
        <f ca="1">INDIRECT("'"&amp;$C$1&amp;"'!"&amp;"BF15")</f>
        <v>0</v>
      </c>
      <c r="E14" s="264">
        <f ca="1">INDIRECT("'"&amp;$C$1&amp;"'!"&amp;"BG15")</f>
        <v>0</v>
      </c>
      <c r="F14" s="264">
        <f ca="1">INDIRECT("'"&amp;$C$1&amp;"'!"&amp;"BH15")</f>
        <v>0</v>
      </c>
      <c r="G14" s="324">
        <f t="shared" ref="G14:G22" ca="1" si="1">MAX(E14-F14, 0)</f>
        <v>0</v>
      </c>
      <c r="H14" s="264">
        <f ca="1">INDIRECT("'"&amp;$C$1&amp;"'!"&amp;"BI15")</f>
        <v>0</v>
      </c>
      <c r="J14" s="1000">
        <f t="shared" ca="1" si="0"/>
        <v>0</v>
      </c>
    </row>
    <row r="15" spans="2:18" ht="15.75" customHeight="1">
      <c r="B15" s="1810"/>
      <c r="C15" s="117" t="s">
        <v>26</v>
      </c>
      <c r="D15" s="264">
        <f ca="1">INDIRECT("'"&amp;$C$1&amp;"'!"&amp;"BF16")</f>
        <v>0</v>
      </c>
      <c r="E15" s="264">
        <f ca="1">INDIRECT("'"&amp;$C$1&amp;"'!"&amp;"BG16")</f>
        <v>0</v>
      </c>
      <c r="F15" s="264">
        <f ca="1">INDIRECT("'"&amp;$C$1&amp;"'!"&amp;"BH16")</f>
        <v>0</v>
      </c>
      <c r="G15" s="324">
        <f t="shared" ca="1" si="1"/>
        <v>0</v>
      </c>
      <c r="H15" s="264">
        <v>0</v>
      </c>
      <c r="J15" s="1000">
        <f t="shared" ca="1" si="0"/>
        <v>0</v>
      </c>
    </row>
    <row r="16" spans="2:18" ht="15.75" customHeight="1">
      <c r="B16" s="1810"/>
      <c r="C16" s="117" t="s">
        <v>25</v>
      </c>
      <c r="D16" s="264">
        <f ca="1">INDIRECT("'"&amp;$C$1&amp;"'!"&amp;"BF17")</f>
        <v>0</v>
      </c>
      <c r="E16" s="264">
        <f ca="1">INDIRECT("'"&amp;$C$1&amp;"'!"&amp;"BG17")</f>
        <v>0</v>
      </c>
      <c r="F16" s="264">
        <f ca="1">INDIRECT("'"&amp;$C$1&amp;"'!"&amp;"BH17")</f>
        <v>0</v>
      </c>
      <c r="G16" s="324">
        <f t="shared" ca="1" si="1"/>
        <v>0</v>
      </c>
      <c r="H16" s="264">
        <f ca="1">INDIRECT("'"&amp;$C$1&amp;"'!"&amp;"BI17")</f>
        <v>0</v>
      </c>
      <c r="J16" s="1000">
        <f t="shared" ca="1" si="0"/>
        <v>0</v>
      </c>
    </row>
    <row r="17" spans="2:23" ht="15.75" customHeight="1">
      <c r="B17" s="1810"/>
      <c r="C17" s="117" t="s">
        <v>24</v>
      </c>
      <c r="D17" s="264">
        <f ca="1">INDIRECT("'"&amp;$C$1&amp;"'!"&amp;"BF18")</f>
        <v>0</v>
      </c>
      <c r="E17" s="264">
        <f ca="1">INDIRECT("'"&amp;$C$1&amp;"'!"&amp;"BG18")</f>
        <v>0</v>
      </c>
      <c r="F17" s="264">
        <f ca="1">INDIRECT("'"&amp;$C$1&amp;"'!"&amp;"BH18")</f>
        <v>0</v>
      </c>
      <c r="G17" s="324">
        <f t="shared" ca="1" si="1"/>
        <v>0</v>
      </c>
      <c r="H17" s="264">
        <f ca="1">INDIRECT("'"&amp;$C$1&amp;"'!"&amp;"BI18")</f>
        <v>0</v>
      </c>
      <c r="J17" s="1000">
        <f t="shared" ca="1" si="0"/>
        <v>0</v>
      </c>
      <c r="M17" s="262">
        <v>20</v>
      </c>
    </row>
    <row r="18" spans="2:23" ht="15.75" customHeight="1">
      <c r="B18" s="1810"/>
      <c r="C18" s="117" t="s">
        <v>23</v>
      </c>
      <c r="D18" s="264">
        <f ca="1">INDIRECT("'"&amp;$C$1&amp;"'!"&amp;"BF19")</f>
        <v>20</v>
      </c>
      <c r="E18" s="264">
        <f ca="1">INDIRECT("'"&amp;$C$1&amp;"'!"&amp;"BG19")</f>
        <v>20</v>
      </c>
      <c r="F18" s="264">
        <f ca="1">INDIRECT("'"&amp;$C$1&amp;"'!"&amp;"BH19")</f>
        <v>20</v>
      </c>
      <c r="G18" s="324">
        <f t="shared" ca="1" si="1"/>
        <v>0</v>
      </c>
      <c r="H18" s="264">
        <v>30</v>
      </c>
      <c r="J18" s="1000">
        <f t="shared" ca="1" si="0"/>
        <v>50</v>
      </c>
      <c r="M18" s="262">
        <v>68</v>
      </c>
    </row>
    <row r="19" spans="2:23" ht="15.75" customHeight="1">
      <c r="B19" s="1810"/>
      <c r="C19" s="117" t="s">
        <v>22</v>
      </c>
      <c r="D19" s="264">
        <f ca="1">INDIRECT("'"&amp;$C$1&amp;"'!"&amp;"BF20")</f>
        <v>17</v>
      </c>
      <c r="E19" s="264">
        <f ca="1">INDIRECT("'"&amp;$C$1&amp;"'!"&amp;"BG20")</f>
        <v>24.5</v>
      </c>
      <c r="F19" s="264">
        <f ca="1">INDIRECT("'"&amp;$C$1&amp;"'!"&amp;"BH20")</f>
        <v>0</v>
      </c>
      <c r="G19" s="324">
        <f t="shared" ca="1" si="1"/>
        <v>24.5</v>
      </c>
      <c r="H19" s="264">
        <f>68+65+25+15</f>
        <v>173</v>
      </c>
      <c r="J19" s="1000">
        <f t="shared" ca="1" si="0"/>
        <v>173</v>
      </c>
      <c r="M19" s="262">
        <v>26</v>
      </c>
    </row>
    <row r="20" spans="2:23" ht="15.75" customHeight="1">
      <c r="B20" s="1810"/>
      <c r="C20" s="117" t="s">
        <v>21</v>
      </c>
      <c r="D20" s="264">
        <f ca="1">INDIRECT("'"&amp;$C$1&amp;"'!"&amp;"BF21")</f>
        <v>0</v>
      </c>
      <c r="E20" s="264">
        <f ca="1">INDIRECT("'"&amp;$C$1&amp;"'!"&amp;"BG21")</f>
        <v>0</v>
      </c>
      <c r="F20" s="264">
        <f ca="1">INDIRECT("'"&amp;$C$1&amp;"'!"&amp;"BH21")</f>
        <v>0</v>
      </c>
      <c r="G20" s="324">
        <f t="shared" ca="1" si="1"/>
        <v>0</v>
      </c>
      <c r="H20" s="264">
        <f ca="1">INDIRECT("'"&amp;$C$1&amp;"'!"&amp;"BI21")</f>
        <v>0</v>
      </c>
      <c r="J20" s="1000">
        <f t="shared" ca="1" si="0"/>
        <v>0</v>
      </c>
    </row>
    <row r="21" spans="2:23" ht="15.75" customHeight="1">
      <c r="B21" s="1810"/>
      <c r="C21" s="117" t="s">
        <v>20</v>
      </c>
      <c r="D21" s="264">
        <f ca="1">INDIRECT("'"&amp;$C$1&amp;"'!"&amp;"BF22")</f>
        <v>0</v>
      </c>
      <c r="E21" s="264">
        <f ca="1">INDIRECT("'"&amp;$C$1&amp;"'!"&amp;"BG22")</f>
        <v>0</v>
      </c>
      <c r="F21" s="264">
        <f ca="1">INDIRECT("'"&amp;$C$1&amp;"'!"&amp;"BH22")</f>
        <v>0</v>
      </c>
      <c r="G21" s="324">
        <f t="shared" ca="1" si="1"/>
        <v>0</v>
      </c>
      <c r="H21" s="264">
        <f ca="1">INDIRECT("'"&amp;$C$1&amp;"'!"&amp;"BI22")</f>
        <v>0</v>
      </c>
      <c r="J21" s="1000">
        <f t="shared" ca="1" si="0"/>
        <v>0</v>
      </c>
    </row>
    <row r="22" spans="2:23" ht="15.75" customHeight="1">
      <c r="B22" s="1811"/>
      <c r="C22" s="117" t="s">
        <v>19</v>
      </c>
      <c r="D22" s="264">
        <f ca="1">INDIRECT("'"&amp;$C$1&amp;"'!"&amp;"BF23")</f>
        <v>40</v>
      </c>
      <c r="E22" s="264">
        <f ca="1">INDIRECT("'"&amp;$C$1&amp;"'!"&amp;"BG23")</f>
        <v>0</v>
      </c>
      <c r="F22" s="264">
        <f ca="1">INDIRECT("'"&amp;$C$1&amp;"'!"&amp;"BH23")</f>
        <v>0</v>
      </c>
      <c r="G22" s="324">
        <f t="shared" ca="1" si="1"/>
        <v>0</v>
      </c>
      <c r="H22" s="264">
        <v>0</v>
      </c>
      <c r="J22" s="1000">
        <f t="shared" ca="1" si="0"/>
        <v>0</v>
      </c>
    </row>
    <row r="23" spans="2:23" ht="16.5" customHeight="1" thickBot="1">
      <c r="B23" s="1812" t="s">
        <v>48</v>
      </c>
      <c r="C23" s="1813"/>
      <c r="D23" s="265">
        <f ca="1">SUM(D14:D22)</f>
        <v>77</v>
      </c>
      <c r="E23" s="265">
        <f ca="1">SUM(E14:E22)</f>
        <v>44.5</v>
      </c>
      <c r="F23" s="265">
        <f ca="1">SUM(F14:F22)</f>
        <v>20</v>
      </c>
      <c r="G23" s="325">
        <f ca="1">E23-F23</f>
        <v>24.5</v>
      </c>
      <c r="H23" s="265">
        <f ca="1">SUM(H14:H22)</f>
        <v>203</v>
      </c>
      <c r="J23" s="1000"/>
    </row>
    <row r="24" spans="2:23" ht="6.75" customHeight="1" thickBot="1">
      <c r="B24" s="328"/>
      <c r="C24" s="267"/>
      <c r="D24" s="268"/>
      <c r="E24" s="268"/>
      <c r="F24" s="268"/>
      <c r="G24" s="329"/>
      <c r="H24" s="268"/>
      <c r="J24" s="1000">
        <f t="shared" si="0"/>
        <v>0</v>
      </c>
    </row>
    <row r="25" spans="2:23" ht="16.5" thickBot="1">
      <c r="B25" s="1814" t="s">
        <v>49</v>
      </c>
      <c r="C25" s="1815"/>
      <c r="D25" s="645">
        <f ca="1">D10+D23</f>
        <v>185</v>
      </c>
      <c r="E25" s="656">
        <f ca="1">E10+E23</f>
        <v>123</v>
      </c>
      <c r="F25" s="656">
        <f ca="1">F10+F23</f>
        <v>71</v>
      </c>
      <c r="G25" s="330">
        <f ca="1">G10+G23</f>
        <v>52</v>
      </c>
      <c r="H25" s="645">
        <f ca="1">H10+H23</f>
        <v>272</v>
      </c>
      <c r="J25" s="1000"/>
    </row>
    <row r="26" spans="2:23" ht="12" customHeight="1" thickBot="1"/>
    <row r="27" spans="2:23" ht="0.75" hidden="1" customHeight="1" thickBot="1"/>
    <row r="28" spans="2:23" ht="19.5" thickBot="1">
      <c r="B28" s="1245" t="s">
        <v>119</v>
      </c>
      <c r="C28" s="1246"/>
      <c r="D28" s="1246"/>
      <c r="E28" s="1246"/>
      <c r="F28" s="1246"/>
      <c r="G28" s="1246"/>
      <c r="H28" s="1247"/>
      <c r="I28" s="627"/>
      <c r="O28" s="1858" t="s">
        <v>119</v>
      </c>
      <c r="P28" s="1859"/>
      <c r="Q28" s="1859"/>
      <c r="R28" s="1859"/>
      <c r="S28" s="1859"/>
      <c r="T28" s="1859"/>
    </row>
    <row r="29" spans="2:23">
      <c r="B29" s="1816" t="s">
        <v>0</v>
      </c>
      <c r="C29" s="1817"/>
      <c r="D29" s="1204">
        <f>E3</f>
        <v>44590</v>
      </c>
      <c r="E29" s="1202">
        <f>G1</f>
        <v>44590</v>
      </c>
      <c r="F29" s="1202"/>
      <c r="G29" s="1202"/>
      <c r="H29" s="1203"/>
      <c r="I29" s="628"/>
      <c r="O29" s="1851" t="s">
        <v>0</v>
      </c>
      <c r="P29" s="1656"/>
      <c r="Q29" s="1852" t="s">
        <v>238</v>
      </c>
      <c r="R29" s="1853"/>
      <c r="S29" s="1853"/>
      <c r="T29" s="1854"/>
    </row>
    <row r="30" spans="2:23" ht="16.5" thickBot="1">
      <c r="B30" s="1818"/>
      <c r="C30" s="1819"/>
      <c r="D30" s="1199" t="str">
        <f>TEXT(D29, "dddd")</f>
        <v>Saturday</v>
      </c>
      <c r="E30" s="1200"/>
      <c r="F30" s="1200"/>
      <c r="G30" s="1200"/>
      <c r="H30" s="1201"/>
      <c r="I30" s="629"/>
      <c r="O30" s="1656"/>
      <c r="P30" s="1656"/>
      <c r="Q30" s="1855"/>
      <c r="R30" s="1856"/>
      <c r="S30" s="1856"/>
      <c r="T30" s="1857"/>
    </row>
    <row r="31" spans="2:23" ht="48" customHeight="1" thickBot="1">
      <c r="B31" s="1820"/>
      <c r="C31" s="1821"/>
      <c r="D31" s="906" t="s">
        <v>1</v>
      </c>
      <c r="E31" s="907" t="s">
        <v>2</v>
      </c>
      <c r="F31" s="908" t="s">
        <v>182</v>
      </c>
      <c r="G31" s="907" t="s">
        <v>252</v>
      </c>
      <c r="H31" s="909" t="s">
        <v>246</v>
      </c>
      <c r="I31" s="996" t="s">
        <v>237</v>
      </c>
      <c r="J31" s="1860" t="s">
        <v>263</v>
      </c>
      <c r="K31" s="1861"/>
      <c r="L31" s="1862"/>
      <c r="O31" s="1656"/>
      <c r="P31" s="1656"/>
      <c r="Q31" s="980" t="s">
        <v>1</v>
      </c>
      <c r="R31" s="980" t="s">
        <v>32</v>
      </c>
      <c r="S31" s="681" t="s">
        <v>241</v>
      </c>
      <c r="T31" s="681" t="s">
        <v>239</v>
      </c>
      <c r="U31" s="681" t="s">
        <v>240</v>
      </c>
      <c r="V31" s="681" t="s">
        <v>242</v>
      </c>
      <c r="W31" s="681" t="s">
        <v>243</v>
      </c>
    </row>
    <row r="32" spans="2:23" ht="18" customHeight="1">
      <c r="B32" s="1795" t="s">
        <v>4</v>
      </c>
      <c r="C32" s="1796"/>
      <c r="D32" s="910">
        <f ca="1">INDIRECT("'"&amp;$C$1&amp;"'!"&amp;"J$26")</f>
        <v>23</v>
      </c>
      <c r="E32" s="911">
        <f ca="1">INDIRECT("'"&amp;$C$1&amp;"'!"&amp;"k$26")</f>
        <v>4</v>
      </c>
      <c r="F32" s="911">
        <f ca="1">INDIRECT("'"&amp;$C$1&amp;"'!"&amp;"L$26")</f>
        <v>4</v>
      </c>
      <c r="G32" s="912">
        <f ca="1">E32-F32</f>
        <v>0</v>
      </c>
      <c r="H32" s="1010"/>
      <c r="I32" s="997">
        <f ca="1">D32-E32</f>
        <v>19</v>
      </c>
      <c r="J32" s="1002"/>
      <c r="K32" s="1003">
        <v>0</v>
      </c>
      <c r="L32" s="1004"/>
      <c r="M32" s="1462"/>
      <c r="O32" s="1849" t="s">
        <v>4</v>
      </c>
      <c r="P32" s="1850"/>
      <c r="Q32" s="336">
        <v>20</v>
      </c>
      <c r="R32" s="338">
        <v>15</v>
      </c>
      <c r="S32" s="338">
        <v>13</v>
      </c>
      <c r="T32" s="337"/>
      <c r="U32" s="337"/>
      <c r="V32" s="337">
        <v>12</v>
      </c>
      <c r="W32" s="337">
        <v>4.5999999999999996</v>
      </c>
    </row>
    <row r="33" spans="2:24" ht="18" customHeight="1">
      <c r="B33" s="1795" t="s">
        <v>5</v>
      </c>
      <c r="C33" s="1796"/>
      <c r="D33" s="910">
        <f ca="1">INDIRECT("'"&amp;$C$1&amp;"'!"&amp;"N$26")</f>
        <v>12</v>
      </c>
      <c r="E33" s="911">
        <f ca="1">INDIRECT("'"&amp;$C$1&amp;"'!"&amp;"O$26")</f>
        <v>12</v>
      </c>
      <c r="F33" s="911">
        <f ca="1">INDIRECT("'"&amp;$C$1&amp;"'!"&amp;"P$26")</f>
        <v>0</v>
      </c>
      <c r="G33" s="912">
        <f t="shared" ref="G33:G43" ca="1" si="2">E33-F33</f>
        <v>12</v>
      </c>
      <c r="H33" s="1010"/>
      <c r="I33" s="997">
        <f t="shared" ref="I33:I44" ca="1" si="3">D33-E33</f>
        <v>0</v>
      </c>
      <c r="J33" s="1439">
        <f ca="1">D33-E33</f>
        <v>0</v>
      </c>
      <c r="K33" s="1006">
        <v>6.8</v>
      </c>
      <c r="L33" s="1005"/>
      <c r="M33" s="1462"/>
      <c r="O33" s="1849" t="s">
        <v>5</v>
      </c>
      <c r="P33" s="1850"/>
      <c r="Q33" s="336">
        <v>40</v>
      </c>
      <c r="R33" s="338">
        <v>22</v>
      </c>
      <c r="S33" s="338">
        <v>16</v>
      </c>
      <c r="T33" s="337">
        <v>3</v>
      </c>
      <c r="U33" s="337">
        <v>8</v>
      </c>
      <c r="V33" s="337">
        <f>5+8+6</f>
        <v>19</v>
      </c>
      <c r="W33" s="337">
        <v>5</v>
      </c>
      <c r="X33" s="262">
        <v>13</v>
      </c>
    </row>
    <row r="34" spans="2:24" ht="18" customHeight="1">
      <c r="B34" s="1795" t="s">
        <v>6</v>
      </c>
      <c r="C34" s="1796"/>
      <c r="D34" s="910">
        <f ca="1">INDIRECT("'"&amp;$C$1&amp;"'!"&amp;"R$26")</f>
        <v>0</v>
      </c>
      <c r="E34" s="911">
        <f ca="1">INDIRECT("'"&amp;$C$1&amp;"'!"&amp;"S$26")</f>
        <v>0</v>
      </c>
      <c r="F34" s="911">
        <f ca="1">INDIRECT("'"&amp;$C$1&amp;"'!"&amp;"T$26")</f>
        <v>0</v>
      </c>
      <c r="G34" s="912">
        <f t="shared" ca="1" si="2"/>
        <v>0</v>
      </c>
      <c r="H34" s="1010"/>
      <c r="I34" s="997">
        <f t="shared" ca="1" si="3"/>
        <v>0</v>
      </c>
      <c r="J34" s="1439">
        <f t="shared" ref="J34:J43" ca="1" si="4">D34-E34</f>
        <v>0</v>
      </c>
      <c r="K34" s="1006">
        <v>0</v>
      </c>
      <c r="L34" s="1005"/>
      <c r="M34" s="1462"/>
      <c r="O34" s="1849" t="s">
        <v>6</v>
      </c>
      <c r="P34" s="1850"/>
      <c r="Q34" s="336">
        <v>25</v>
      </c>
      <c r="R34" s="337">
        <v>10</v>
      </c>
      <c r="S34" s="338">
        <v>0</v>
      </c>
      <c r="T34" s="337"/>
      <c r="U34" s="337"/>
      <c r="V34" s="337">
        <f>7</f>
        <v>7</v>
      </c>
      <c r="W34" s="337">
        <v>2.5</v>
      </c>
    </row>
    <row r="35" spans="2:24" ht="18" customHeight="1">
      <c r="B35" s="1795" t="s">
        <v>7</v>
      </c>
      <c r="C35" s="1796"/>
      <c r="D35" s="910">
        <f ca="1">INDIRECT("'"&amp;$C$1&amp;"'!"&amp;"V$26")</f>
        <v>10</v>
      </c>
      <c r="E35" s="911">
        <f ca="1">INDIRECT("'"&amp;$C$1&amp;"'!"&amp;"W$26")</f>
        <v>9</v>
      </c>
      <c r="F35" s="911">
        <f ca="1">INDIRECT("'"&amp;$C$1&amp;"'!"&amp;"X$26")</f>
        <v>0</v>
      </c>
      <c r="G35" s="912">
        <f t="shared" ca="1" si="2"/>
        <v>9</v>
      </c>
      <c r="H35" s="1010"/>
      <c r="I35" s="997">
        <f t="shared" ca="1" si="3"/>
        <v>1</v>
      </c>
      <c r="J35" s="1439">
        <f t="shared" ca="1" si="4"/>
        <v>1</v>
      </c>
      <c r="K35" s="1006">
        <v>0</v>
      </c>
      <c r="L35" s="1005"/>
      <c r="M35" s="1462"/>
      <c r="O35" s="1849" t="s">
        <v>7</v>
      </c>
      <c r="P35" s="1850"/>
      <c r="Q35" s="336">
        <v>52</v>
      </c>
      <c r="R35" s="338">
        <v>29</v>
      </c>
      <c r="S35" s="338">
        <v>0</v>
      </c>
      <c r="T35" s="337"/>
      <c r="U35" s="337"/>
      <c r="V35" s="337">
        <f>22+7</f>
        <v>29</v>
      </c>
      <c r="W35" s="337"/>
    </row>
    <row r="36" spans="2:24" ht="18" customHeight="1">
      <c r="B36" s="1795" t="s">
        <v>8</v>
      </c>
      <c r="C36" s="1796"/>
      <c r="D36" s="910">
        <f ca="1">INDIRECT("'"&amp;$C$1&amp;"'!"&amp;"Z$26")</f>
        <v>0</v>
      </c>
      <c r="E36" s="911">
        <f ca="1">INDIRECT("'"&amp;$C$1&amp;"'!"&amp;"AA$26")</f>
        <v>0</v>
      </c>
      <c r="F36" s="911">
        <f ca="1">INDIRECT("'"&amp;$C$1&amp;"'!"&amp;"AB$26")</f>
        <v>0</v>
      </c>
      <c r="G36" s="912">
        <f t="shared" ca="1" si="2"/>
        <v>0</v>
      </c>
      <c r="H36" s="1010"/>
      <c r="I36" s="997">
        <f t="shared" ca="1" si="3"/>
        <v>0</v>
      </c>
      <c r="J36" s="1439">
        <f t="shared" ca="1" si="4"/>
        <v>0</v>
      </c>
      <c r="K36" s="1006">
        <v>0</v>
      </c>
      <c r="L36" s="1005"/>
      <c r="M36" s="1462"/>
      <c r="O36" s="1849" t="s">
        <v>8</v>
      </c>
      <c r="P36" s="1850"/>
      <c r="Q36" s="336">
        <v>8</v>
      </c>
      <c r="R36" s="337">
        <v>8</v>
      </c>
      <c r="S36" s="337">
        <v>8</v>
      </c>
      <c r="T36" s="337"/>
      <c r="U36" s="337"/>
      <c r="V36" s="337">
        <f>8+2+28</f>
        <v>38</v>
      </c>
      <c r="W36" s="337"/>
      <c r="X36" s="262">
        <v>28</v>
      </c>
    </row>
    <row r="37" spans="2:24" ht="18" customHeight="1">
      <c r="B37" s="1795" t="s">
        <v>9</v>
      </c>
      <c r="C37" s="1796"/>
      <c r="D37" s="910">
        <f ca="1">INDIRECT("'"&amp;$C$1&amp;"'!"&amp;"AD$26")</f>
        <v>60</v>
      </c>
      <c r="E37" s="911">
        <f ca="1">INDIRECT("'"&amp;$C$1&amp;"'!"&amp;"AE$26")</f>
        <v>25.5</v>
      </c>
      <c r="F37" s="911">
        <f ca="1">INDIRECT("'"&amp;$C$1&amp;"'!"&amp;"AF$26")</f>
        <v>17</v>
      </c>
      <c r="G37" s="912">
        <f t="shared" ca="1" si="2"/>
        <v>8.5</v>
      </c>
      <c r="H37" s="1010"/>
      <c r="I37" s="997">
        <f t="shared" ca="1" si="3"/>
        <v>34.5</v>
      </c>
      <c r="J37" s="1439">
        <f t="shared" ca="1" si="4"/>
        <v>34.5</v>
      </c>
      <c r="K37" s="1006">
        <v>7</v>
      </c>
      <c r="L37" s="1005"/>
      <c r="M37" s="1462"/>
      <c r="O37" s="1849" t="s">
        <v>9</v>
      </c>
      <c r="P37" s="1850"/>
      <c r="Q37" s="336">
        <v>60</v>
      </c>
      <c r="R37" s="338">
        <v>40</v>
      </c>
      <c r="S37" s="338">
        <v>0</v>
      </c>
      <c r="T37" s="337"/>
      <c r="U37" s="337">
        <v>20</v>
      </c>
      <c r="V37" s="337">
        <f>22+7.5</f>
        <v>29.5</v>
      </c>
      <c r="W37" s="337"/>
      <c r="X37" s="262">
        <v>30</v>
      </c>
    </row>
    <row r="38" spans="2:24" ht="18" customHeight="1">
      <c r="B38" s="1839" t="s">
        <v>122</v>
      </c>
      <c r="C38" s="1840"/>
      <c r="D38" s="1318">
        <f ca="1">SUM(D32:D37)</f>
        <v>105</v>
      </c>
      <c r="E38" s="913">
        <f ca="1">SUM(E32:E37)</f>
        <v>50.5</v>
      </c>
      <c r="F38" s="913">
        <f ca="1">SUM(F32:F37)</f>
        <v>21</v>
      </c>
      <c r="G38" s="914">
        <f t="shared" ca="1" si="2"/>
        <v>29.5</v>
      </c>
      <c r="H38" s="915">
        <f>SUM(H32:H37)</f>
        <v>0</v>
      </c>
      <c r="I38" s="998">
        <f t="shared" ca="1" si="3"/>
        <v>54.5</v>
      </c>
      <c r="J38" s="1439">
        <f t="shared" ca="1" si="4"/>
        <v>54.5</v>
      </c>
      <c r="K38" s="1006">
        <v>27</v>
      </c>
      <c r="L38" s="1005"/>
      <c r="M38" s="1462"/>
      <c r="O38" s="1847" t="s">
        <v>122</v>
      </c>
      <c r="P38" s="1848"/>
      <c r="Q38" s="339">
        <f t="shared" ref="Q38:W38" si="5">SUM(Q32:Q37)</f>
        <v>205</v>
      </c>
      <c r="R38" s="340">
        <f t="shared" si="5"/>
        <v>124</v>
      </c>
      <c r="S38" s="339">
        <f t="shared" si="5"/>
        <v>37</v>
      </c>
      <c r="T38" s="339">
        <f t="shared" si="5"/>
        <v>3</v>
      </c>
      <c r="U38" s="339">
        <f t="shared" si="5"/>
        <v>28</v>
      </c>
      <c r="V38" s="339">
        <f t="shared" si="5"/>
        <v>134.5</v>
      </c>
      <c r="W38" s="339">
        <f t="shared" si="5"/>
        <v>12.1</v>
      </c>
    </row>
    <row r="39" spans="2:24" ht="18" customHeight="1">
      <c r="B39" s="1795" t="s">
        <v>11</v>
      </c>
      <c r="C39" s="1796"/>
      <c r="D39" s="910">
        <f ca="1">INDIRECT("'"&amp;$C$1&amp;"'!"&amp;"AL$26")</f>
        <v>60</v>
      </c>
      <c r="E39" s="911">
        <v>45</v>
      </c>
      <c r="F39" s="911">
        <v>29</v>
      </c>
      <c r="G39" s="912">
        <f>E39-F39</f>
        <v>16</v>
      </c>
      <c r="H39" s="1010"/>
      <c r="I39" s="997">
        <f t="shared" ca="1" si="3"/>
        <v>15</v>
      </c>
      <c r="J39" s="1439">
        <f t="shared" ca="1" si="4"/>
        <v>15</v>
      </c>
      <c r="K39" s="1006">
        <v>0</v>
      </c>
      <c r="L39" s="1005"/>
      <c r="M39" s="1462"/>
      <c r="O39" s="1849" t="s">
        <v>11</v>
      </c>
      <c r="P39" s="1850"/>
      <c r="Q39" s="336">
        <v>170</v>
      </c>
      <c r="R39" s="338">
        <v>75</v>
      </c>
      <c r="S39" s="338">
        <v>70</v>
      </c>
      <c r="T39" s="337">
        <v>10</v>
      </c>
      <c r="U39" s="337"/>
      <c r="V39" s="337">
        <v>65</v>
      </c>
      <c r="W39" s="337">
        <v>35</v>
      </c>
      <c r="X39" s="262">
        <v>55</v>
      </c>
    </row>
    <row r="40" spans="2:24" ht="18" customHeight="1">
      <c r="B40" s="1795" t="s">
        <v>12</v>
      </c>
      <c r="C40" s="1796"/>
      <c r="D40" s="910">
        <f ca="1">INDIRECT("'"&amp;$C$1&amp;"'!"&amp;"AP$26")</f>
        <v>0</v>
      </c>
      <c r="E40" s="911">
        <f ca="1">INDIRECT("'"&amp;$C$1&amp;"'!"&amp;"AQ$26")</f>
        <v>0</v>
      </c>
      <c r="F40" s="911">
        <f ca="1">INDIRECT("'"&amp;$C$1&amp;"'!"&amp;"AR$26")</f>
        <v>0</v>
      </c>
      <c r="G40" s="912">
        <f t="shared" ca="1" si="2"/>
        <v>0</v>
      </c>
      <c r="H40" s="1010"/>
      <c r="I40" s="997">
        <f t="shared" ca="1" si="3"/>
        <v>0</v>
      </c>
      <c r="J40" s="1439">
        <f t="shared" ca="1" si="4"/>
        <v>0</v>
      </c>
      <c r="K40" s="1006">
        <v>17.8</v>
      </c>
      <c r="L40" s="1005"/>
      <c r="M40" s="1462"/>
      <c r="O40" s="1849" t="s">
        <v>12</v>
      </c>
      <c r="P40" s="1850"/>
      <c r="Q40" s="336">
        <v>10</v>
      </c>
      <c r="R40" s="338">
        <v>5</v>
      </c>
      <c r="S40" s="338">
        <v>5</v>
      </c>
      <c r="T40" s="337"/>
      <c r="U40" s="337"/>
      <c r="V40" s="337">
        <v>3</v>
      </c>
      <c r="W40" s="337">
        <v>1.2</v>
      </c>
    </row>
    <row r="41" spans="2:24" ht="18" customHeight="1">
      <c r="B41" s="1795" t="s">
        <v>13</v>
      </c>
      <c r="C41" s="1796"/>
      <c r="D41" s="910">
        <f ca="1">INDIRECT("'"&amp;$C$1&amp;"'!"&amp;"AT$26")</f>
        <v>0</v>
      </c>
      <c r="E41" s="911">
        <f ca="1">INDIRECT("'"&amp;$C$1&amp;"'!"&amp;"AU$26")</f>
        <v>1</v>
      </c>
      <c r="F41" s="911">
        <f ca="1">INDIRECT("'"&amp;$C$1&amp;"'!"&amp;"AV$26")</f>
        <v>1</v>
      </c>
      <c r="G41" s="912">
        <f t="shared" ca="1" si="2"/>
        <v>0</v>
      </c>
      <c r="H41" s="1010"/>
      <c r="I41" s="997">
        <f t="shared" ca="1" si="3"/>
        <v>-1</v>
      </c>
      <c r="J41" s="1439">
        <f t="shared" ca="1" si="4"/>
        <v>-1</v>
      </c>
      <c r="K41" s="1006">
        <v>0</v>
      </c>
      <c r="L41" s="1005"/>
      <c r="M41" s="1462"/>
      <c r="O41" s="1849" t="s">
        <v>13</v>
      </c>
      <c r="P41" s="1850"/>
      <c r="Q41" s="336">
        <v>60</v>
      </c>
      <c r="R41" s="337">
        <v>25</v>
      </c>
      <c r="S41" s="337">
        <v>20</v>
      </c>
      <c r="T41" s="337">
        <v>46</v>
      </c>
      <c r="U41" s="337">
        <v>24</v>
      </c>
      <c r="V41" s="337">
        <v>4</v>
      </c>
      <c r="W41" s="337">
        <f>17+7+23+8</f>
        <v>55</v>
      </c>
    </row>
    <row r="42" spans="2:24" ht="18" customHeight="1" thickBot="1">
      <c r="B42" s="1795" t="s">
        <v>14</v>
      </c>
      <c r="C42" s="1796"/>
      <c r="D42" s="910">
        <f ca="1">INDIRECT("'"&amp;$C$1&amp;"'!"&amp;"AX$26")</f>
        <v>20</v>
      </c>
      <c r="E42" s="911">
        <f ca="1">INDIRECT("'"&amp;$C$1&amp;"'!"&amp;"AY$26")</f>
        <v>26.5</v>
      </c>
      <c r="F42" s="911">
        <f ca="1">INDIRECT("'"&amp;$C$1&amp;"'!"&amp;"AZ$26")</f>
        <v>20</v>
      </c>
      <c r="G42" s="912">
        <f ca="1">E42-F42</f>
        <v>6.5</v>
      </c>
      <c r="H42" s="1010"/>
      <c r="I42" s="997">
        <f t="shared" ca="1" si="3"/>
        <v>-6.5</v>
      </c>
      <c r="J42" s="1439">
        <f t="shared" ca="1" si="4"/>
        <v>-6.5</v>
      </c>
      <c r="K42" s="1007"/>
      <c r="L42" s="1008"/>
      <c r="M42" s="1462"/>
      <c r="O42" s="1849" t="s">
        <v>14</v>
      </c>
      <c r="P42" s="1850"/>
      <c r="Q42" s="336">
        <v>20</v>
      </c>
      <c r="R42" s="338">
        <v>20</v>
      </c>
      <c r="S42" s="338">
        <v>20</v>
      </c>
      <c r="T42" s="337"/>
      <c r="U42" s="337"/>
      <c r="V42" s="337">
        <f>52+3</f>
        <v>55</v>
      </c>
      <c r="W42" s="337"/>
    </row>
    <row r="43" spans="2:24" ht="18" customHeight="1">
      <c r="B43" s="1797" t="s">
        <v>176</v>
      </c>
      <c r="C43" s="1798"/>
      <c r="D43" s="1319">
        <f ca="1">SUM(D39:D42)</f>
        <v>80</v>
      </c>
      <c r="E43" s="916">
        <f ca="1">SUM(E39:E42)</f>
        <v>72.5</v>
      </c>
      <c r="F43" s="916">
        <f ca="1">SUM(F39:F42)</f>
        <v>50</v>
      </c>
      <c r="G43" s="917">
        <f t="shared" ca="1" si="2"/>
        <v>22.5</v>
      </c>
      <c r="H43" s="918">
        <f>SUM(H39:H42)</f>
        <v>0</v>
      </c>
      <c r="I43" s="683">
        <f t="shared" ca="1" si="3"/>
        <v>7.5</v>
      </c>
      <c r="J43" s="1439">
        <f t="shared" ca="1" si="4"/>
        <v>7.5</v>
      </c>
      <c r="M43" s="1462"/>
      <c r="O43" s="1863" t="s">
        <v>176</v>
      </c>
      <c r="P43" s="1864"/>
      <c r="Q43" s="341">
        <f t="shared" ref="Q43:W43" si="6">SUM(Q39:Q42)</f>
        <v>260</v>
      </c>
      <c r="R43" s="342">
        <f t="shared" si="6"/>
        <v>125</v>
      </c>
      <c r="S43" s="341">
        <f t="shared" si="6"/>
        <v>115</v>
      </c>
      <c r="T43" s="341">
        <f t="shared" si="6"/>
        <v>56</v>
      </c>
      <c r="U43" s="341">
        <f t="shared" si="6"/>
        <v>24</v>
      </c>
      <c r="V43" s="341">
        <f t="shared" si="6"/>
        <v>127</v>
      </c>
      <c r="W43" s="341">
        <f t="shared" si="6"/>
        <v>91.2</v>
      </c>
    </row>
    <row r="44" spans="2:24" ht="23.25" customHeight="1" thickBot="1">
      <c r="B44" s="1799" t="s">
        <v>177</v>
      </c>
      <c r="C44" s="1800"/>
      <c r="D44" s="919">
        <f t="shared" ref="D44:H44" ca="1" si="7">D38+D43</f>
        <v>185</v>
      </c>
      <c r="E44" s="920">
        <f t="shared" ca="1" si="7"/>
        <v>123</v>
      </c>
      <c r="F44" s="920">
        <f t="shared" ca="1" si="7"/>
        <v>71</v>
      </c>
      <c r="G44" s="921">
        <f t="shared" ca="1" si="7"/>
        <v>52</v>
      </c>
      <c r="H44" s="922">
        <f t="shared" si="7"/>
        <v>0</v>
      </c>
      <c r="I44" s="684">
        <f t="shared" ca="1" si="3"/>
        <v>62</v>
      </c>
      <c r="J44" s="1439"/>
      <c r="K44" s="1009">
        <v>9</v>
      </c>
      <c r="M44" s="1462"/>
      <c r="O44" s="1841" t="s">
        <v>177</v>
      </c>
      <c r="P44" s="1842"/>
      <c r="Q44" s="358">
        <f t="shared" ref="Q44:W44" si="8">Q38+Q43</f>
        <v>465</v>
      </c>
      <c r="R44" s="359">
        <f t="shared" si="8"/>
        <v>249</v>
      </c>
      <c r="S44" s="452">
        <f t="shared" si="8"/>
        <v>152</v>
      </c>
      <c r="T44" s="452">
        <f t="shared" si="8"/>
        <v>59</v>
      </c>
      <c r="U44" s="452">
        <f t="shared" si="8"/>
        <v>52</v>
      </c>
      <c r="V44" s="452">
        <f t="shared" si="8"/>
        <v>261.5</v>
      </c>
      <c r="W44" s="452">
        <f t="shared" si="8"/>
        <v>103.3</v>
      </c>
    </row>
    <row r="45" spans="2:24" ht="15.75" customHeight="1">
      <c r="B45" s="1801" t="s">
        <v>222</v>
      </c>
      <c r="C45" s="1802"/>
      <c r="D45" s="1802"/>
      <c r="E45" s="1803"/>
      <c r="F45" s="1807">
        <f ca="1">F44+H44</f>
        <v>71</v>
      </c>
      <c r="G45" s="1756"/>
      <c r="H45" s="1757"/>
      <c r="J45" s="905"/>
      <c r="K45" s="236">
        <v>52</v>
      </c>
      <c r="O45" s="1843" t="s">
        <v>222</v>
      </c>
      <c r="P45" s="1843"/>
      <c r="Q45" s="1843"/>
      <c r="R45" s="1843"/>
      <c r="S45" s="1845"/>
    </row>
    <row r="46" spans="2:24" ht="12.75" customHeight="1" thickBot="1">
      <c r="B46" s="1804"/>
      <c r="C46" s="1805"/>
      <c r="D46" s="1805"/>
      <c r="E46" s="1806"/>
      <c r="F46" s="1808"/>
      <c r="G46" s="1758"/>
      <c r="H46" s="1759"/>
      <c r="O46" s="1844"/>
      <c r="P46" s="1844"/>
      <c r="Q46" s="1844"/>
      <c r="R46" s="1844"/>
      <c r="S46" s="1846"/>
    </row>
    <row r="47" spans="2:24" ht="12.75" customHeight="1">
      <c r="C47" s="1791" t="s">
        <v>264</v>
      </c>
      <c r="D47" s="1791"/>
      <c r="E47" s="1791"/>
      <c r="F47" s="1793">
        <v>51</v>
      </c>
      <c r="G47" s="1793"/>
      <c r="H47" s="1793"/>
    </row>
    <row r="48" spans="2:24" ht="12.75" customHeight="1">
      <c r="C48" s="1792"/>
      <c r="D48" s="1792"/>
      <c r="E48" s="1792"/>
      <c r="F48" s="1794"/>
      <c r="G48" s="1794"/>
      <c r="H48" s="1794"/>
    </row>
  </sheetData>
  <mergeCells count="55">
    <mergeCell ref="O29:P31"/>
    <mergeCell ref="Q29:T30"/>
    <mergeCell ref="O28:T28"/>
    <mergeCell ref="J31:L31"/>
    <mergeCell ref="O43:P43"/>
    <mergeCell ref="O33:P33"/>
    <mergeCell ref="O34:P34"/>
    <mergeCell ref="O35:P35"/>
    <mergeCell ref="O36:P36"/>
    <mergeCell ref="O37:P37"/>
    <mergeCell ref="O32:P32"/>
    <mergeCell ref="S45:S46"/>
    <mergeCell ref="O38:P38"/>
    <mergeCell ref="O39:P39"/>
    <mergeCell ref="O40:P40"/>
    <mergeCell ref="O41:P41"/>
    <mergeCell ref="O42:P42"/>
    <mergeCell ref="B37:C37"/>
    <mergeCell ref="B38:C38"/>
    <mergeCell ref="B39:C39"/>
    <mergeCell ref="O44:P44"/>
    <mergeCell ref="O45:R46"/>
    <mergeCell ref="B32:C32"/>
    <mergeCell ref="B33:C33"/>
    <mergeCell ref="B34:C34"/>
    <mergeCell ref="B35:C35"/>
    <mergeCell ref="B36:C36"/>
    <mergeCell ref="B3:D3"/>
    <mergeCell ref="B4:C5"/>
    <mergeCell ref="D4:D5"/>
    <mergeCell ref="E4:E5"/>
    <mergeCell ref="F4:F5"/>
    <mergeCell ref="H4:H5"/>
    <mergeCell ref="B6:B9"/>
    <mergeCell ref="B10:C10"/>
    <mergeCell ref="B12:C13"/>
    <mergeCell ref="D12:D13"/>
    <mergeCell ref="E12:E13"/>
    <mergeCell ref="F12:F13"/>
    <mergeCell ref="G12:G13"/>
    <mergeCell ref="H12:H13"/>
    <mergeCell ref="B14:B22"/>
    <mergeCell ref="B23:C23"/>
    <mergeCell ref="B25:C25"/>
    <mergeCell ref="B29:C31"/>
    <mergeCell ref="G4:G5"/>
    <mergeCell ref="C47:E48"/>
    <mergeCell ref="F47:H48"/>
    <mergeCell ref="B40:C40"/>
    <mergeCell ref="B41:C41"/>
    <mergeCell ref="B42:C42"/>
    <mergeCell ref="B43:C43"/>
    <mergeCell ref="B44:C44"/>
    <mergeCell ref="B45:E46"/>
    <mergeCell ref="F45:H46"/>
  </mergeCells>
  <conditionalFormatting sqref="G14:G25 G6:G11">
    <cfRule type="cellIs" dxfId="68" priority="5" operator="greaterThan">
      <formula>0</formula>
    </cfRule>
  </conditionalFormatting>
  <pageMargins left="0.52" right="0.7" top="0.67" bottom="0.66" header="0.44" footer="0.3"/>
  <pageSetup paperSize="9" scale="37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K37"/>
  <sheetViews>
    <sheetView showGridLines="0" topLeftCell="G1" zoomScale="70" zoomScaleNormal="70" workbookViewId="0">
      <pane xSplit="3" topLeftCell="AO1" activePane="topRight" state="frozen"/>
      <selection activeCell="G1" sqref="G1"/>
      <selection pane="topRight" activeCell="BH20" sqref="BH20:BI20"/>
    </sheetView>
  </sheetViews>
  <sheetFormatPr defaultColWidth="9.140625" defaultRowHeight="15"/>
  <cols>
    <col min="1" max="2" width="9.140625" style="23" hidden="1" customWidth="1"/>
    <col min="3" max="3" width="14.5703125" style="23" hidden="1" customWidth="1"/>
    <col min="4" max="4" width="11.42578125" style="27" hidden="1" customWidth="1"/>
    <col min="5" max="5" width="6.85546875" style="27" hidden="1" customWidth="1"/>
    <col min="6" max="6" width="9.140625" style="27" hidden="1" customWidth="1"/>
    <col min="7" max="7" width="3.42578125" style="23" hidden="1" customWidth="1"/>
    <col min="8" max="8" width="6.140625" style="23" customWidth="1"/>
    <col min="9" max="9" width="15.28515625" style="27" bestFit="1" customWidth="1"/>
    <col min="10" max="10" width="11.5703125" style="26" customWidth="1"/>
    <col min="11" max="11" width="9.140625" style="24" customWidth="1"/>
    <col min="12" max="13" width="12.85546875" style="24" customWidth="1"/>
    <col min="14" max="14" width="10.5703125" style="26" customWidth="1"/>
    <col min="15" max="15" width="10.28515625" style="24" customWidth="1"/>
    <col min="16" max="17" width="10.5703125" style="24" customWidth="1"/>
    <col min="18" max="18" width="8.5703125" style="26" customWidth="1"/>
    <col min="19" max="19" width="11.5703125" style="24" customWidth="1"/>
    <col min="20" max="20" width="10.5703125" style="24" bestFit="1" customWidth="1"/>
    <col min="21" max="21" width="10.5703125" style="24" customWidth="1"/>
    <col min="22" max="22" width="10.28515625" style="26" customWidth="1"/>
    <col min="23" max="23" width="11" style="24" bestFit="1" customWidth="1"/>
    <col min="24" max="25" width="9.7109375" style="24" customWidth="1"/>
    <col min="26" max="26" width="11" style="26" customWidth="1"/>
    <col min="27" max="27" width="12.42578125" style="24" customWidth="1"/>
    <col min="28" max="29" width="11.85546875" style="24" customWidth="1"/>
    <col min="30" max="30" width="9.28515625" style="26" customWidth="1"/>
    <col min="31" max="31" width="11.7109375" style="24" bestFit="1" customWidth="1"/>
    <col min="32" max="32" width="10.5703125" style="24" bestFit="1" customWidth="1"/>
    <col min="33" max="33" width="10.5703125" style="24" customWidth="1"/>
    <col min="34" max="34" width="9.140625" style="26" bestFit="1" customWidth="1"/>
    <col min="35" max="35" width="13.5703125" style="24" customWidth="1"/>
    <col min="36" max="37" width="11.5703125" style="24" customWidth="1"/>
    <col min="38" max="38" width="10.5703125" style="49" customWidth="1"/>
    <col min="39" max="39" width="9" style="24" customWidth="1"/>
    <col min="40" max="40" width="12" style="24" bestFit="1" customWidth="1"/>
    <col min="41" max="41" width="12" style="24" customWidth="1"/>
    <col min="42" max="42" width="8.42578125" style="26" customWidth="1"/>
    <col min="43" max="43" width="9" style="24" customWidth="1"/>
    <col min="44" max="45" width="13.85546875" style="24" customWidth="1"/>
    <col min="46" max="46" width="11.7109375" style="26" customWidth="1"/>
    <col min="47" max="47" width="11.7109375" style="24" customWidth="1"/>
    <col min="48" max="49" width="10.5703125" style="24" customWidth="1"/>
    <col min="50" max="50" width="9.140625" style="26" customWidth="1"/>
    <col min="51" max="51" width="9.140625" style="50" customWidth="1"/>
    <col min="52" max="53" width="10.5703125" style="50" customWidth="1"/>
    <col min="54" max="54" width="10.7109375" style="26" customWidth="1"/>
    <col min="55" max="55" width="12.85546875" style="24" customWidth="1"/>
    <col min="56" max="57" width="10.5703125" style="24" customWidth="1"/>
    <col min="58" max="58" width="16" style="25" bestFit="1" customWidth="1"/>
    <col min="59" max="59" width="10.7109375" style="24" bestFit="1" customWidth="1"/>
    <col min="60" max="60" width="13" style="23" bestFit="1" customWidth="1"/>
    <col min="61" max="61" width="11.5703125" style="23" customWidth="1"/>
    <col min="62" max="16384" width="9.140625" style="23"/>
  </cols>
  <sheetData>
    <row r="1" spans="3:61" ht="15" customHeight="1" thickBot="1">
      <c r="N1" s="24"/>
      <c r="R1" s="24"/>
      <c r="V1" s="24"/>
      <c r="Z1" s="24"/>
      <c r="AD1" s="24"/>
      <c r="AH1" s="24"/>
      <c r="AL1" s="24"/>
      <c r="AP1" s="24"/>
      <c r="AT1" s="24"/>
      <c r="AX1" s="24"/>
      <c r="AY1" s="24"/>
      <c r="AZ1" s="24"/>
      <c r="BA1" s="24"/>
      <c r="BB1" s="24"/>
      <c r="BF1" s="24"/>
      <c r="BH1" s="24"/>
      <c r="BI1" s="24"/>
    </row>
    <row r="2" spans="3:61" ht="21.75" thickBot="1">
      <c r="C2" s="1899" t="s">
        <v>45</v>
      </c>
      <c r="D2" s="1900"/>
      <c r="E2" s="1900"/>
      <c r="F2" s="1901"/>
      <c r="H2" s="1912" t="s">
        <v>253</v>
      </c>
      <c r="I2" s="1913"/>
      <c r="J2" s="1913"/>
      <c r="K2" s="1913"/>
      <c r="L2" s="1913"/>
      <c r="M2" s="1913"/>
      <c r="N2" s="1913"/>
      <c r="O2" s="1913"/>
      <c r="P2" s="1913"/>
      <c r="Q2" s="1913"/>
      <c r="R2" s="1913"/>
      <c r="S2" s="1913"/>
      <c r="T2" s="1913"/>
      <c r="U2" s="1913"/>
      <c r="V2" s="1913"/>
      <c r="W2" s="1913"/>
      <c r="X2" s="1913"/>
      <c r="Y2" s="1913"/>
      <c r="Z2" s="1913"/>
      <c r="AA2" s="1913"/>
      <c r="AB2" s="1913"/>
      <c r="AC2" s="1913"/>
      <c r="AD2" s="1913"/>
      <c r="AE2" s="1913"/>
      <c r="AF2" s="1913"/>
      <c r="AG2" s="1913"/>
      <c r="AH2" s="1913"/>
      <c r="AI2" s="1913"/>
      <c r="AJ2" s="1913"/>
      <c r="AK2" s="1913"/>
      <c r="AL2" s="1913"/>
      <c r="AM2" s="1913"/>
      <c r="AN2" s="1913"/>
      <c r="AO2" s="1913"/>
      <c r="AP2" s="1913"/>
      <c r="AQ2" s="1913"/>
      <c r="AR2" s="1913"/>
      <c r="AS2" s="1913"/>
      <c r="AT2" s="1913"/>
      <c r="AU2" s="1913"/>
      <c r="AV2" s="1913"/>
      <c r="AW2" s="1913"/>
      <c r="AX2" s="1913"/>
      <c r="AY2" s="1913"/>
      <c r="AZ2" s="1913"/>
      <c r="BA2" s="1914"/>
      <c r="BB2" s="1902" t="s">
        <v>118</v>
      </c>
      <c r="BC2" s="1903"/>
      <c r="BD2" s="1903"/>
      <c r="BE2" s="1903"/>
      <c r="BF2" s="1903"/>
      <c r="BG2" s="1903"/>
      <c r="BH2" s="1903"/>
      <c r="BI2" s="1904"/>
    </row>
    <row r="3" spans="3:61" ht="19.5" thickBot="1">
      <c r="C3" s="731"/>
      <c r="D3" s="732"/>
      <c r="E3" s="732"/>
      <c r="F3" s="734"/>
      <c r="H3" s="1905" t="s">
        <v>115</v>
      </c>
      <c r="I3" s="1906"/>
      <c r="J3" s="1906"/>
      <c r="K3" s="1906"/>
      <c r="L3" s="1906"/>
      <c r="M3" s="1906"/>
      <c r="N3" s="1906"/>
      <c r="O3" s="1906"/>
      <c r="P3" s="1906"/>
      <c r="Q3" s="1906"/>
      <c r="R3" s="1906"/>
      <c r="S3" s="1906"/>
      <c r="T3" s="1906"/>
      <c r="U3" s="1906"/>
      <c r="V3" s="1906"/>
      <c r="W3" s="1906"/>
      <c r="X3" s="1906"/>
      <c r="Y3" s="1906"/>
      <c r="Z3" s="1906"/>
      <c r="AA3" s="1906"/>
      <c r="AB3" s="1906"/>
      <c r="AC3" s="1906"/>
      <c r="AD3" s="1906"/>
      <c r="AE3" s="1906"/>
      <c r="AF3" s="1906"/>
      <c r="AG3" s="1906"/>
      <c r="AH3" s="1906"/>
      <c r="AI3" s="1906"/>
      <c r="AJ3" s="1906"/>
      <c r="AK3" s="1906"/>
      <c r="AL3" s="1906"/>
      <c r="AM3" s="1906"/>
      <c r="AN3" s="1906"/>
      <c r="AO3" s="1906"/>
      <c r="AP3" s="1906"/>
      <c r="AQ3" s="1906"/>
      <c r="AR3" s="1906"/>
      <c r="AS3" s="1906"/>
      <c r="AT3" s="1906"/>
      <c r="AU3" s="1906"/>
      <c r="AV3" s="1906"/>
      <c r="AW3" s="1906"/>
      <c r="AX3" s="1906"/>
      <c r="AY3" s="1906"/>
      <c r="AZ3" s="1906"/>
      <c r="BA3" s="1906"/>
      <c r="BB3" s="1906"/>
      <c r="BC3" s="1906"/>
      <c r="BD3" s="1906"/>
      <c r="BE3" s="1906"/>
      <c r="BF3" s="1906"/>
      <c r="BG3" s="1906"/>
      <c r="BH3" s="1906"/>
      <c r="BI3" s="1907"/>
    </row>
    <row r="4" spans="3:61" ht="18.75">
      <c r="C4" s="37" t="s">
        <v>44</v>
      </c>
      <c r="D4" s="1869"/>
      <c r="E4" s="1869"/>
      <c r="F4" s="1870"/>
      <c r="H4" s="1908" t="s">
        <v>33</v>
      </c>
      <c r="I4" s="1909"/>
      <c r="J4" s="1871" t="s">
        <v>43</v>
      </c>
      <c r="K4" s="1872"/>
      <c r="L4" s="1872"/>
      <c r="M4" s="1873"/>
      <c r="N4" s="1871" t="s">
        <v>42</v>
      </c>
      <c r="O4" s="1872"/>
      <c r="P4" s="1872"/>
      <c r="Q4" s="1873"/>
      <c r="R4" s="1871" t="s">
        <v>41</v>
      </c>
      <c r="S4" s="1872"/>
      <c r="T4" s="1872"/>
      <c r="U4" s="1873"/>
      <c r="V4" s="1871" t="s">
        <v>40</v>
      </c>
      <c r="W4" s="1872"/>
      <c r="X4" s="1872"/>
      <c r="Y4" s="1873"/>
      <c r="Z4" s="1871" t="s">
        <v>39</v>
      </c>
      <c r="AA4" s="1872"/>
      <c r="AB4" s="1872"/>
      <c r="AC4" s="1873"/>
      <c r="AD4" s="1871" t="s">
        <v>38</v>
      </c>
      <c r="AE4" s="1872"/>
      <c r="AF4" s="1872"/>
      <c r="AG4" s="1873"/>
      <c r="AH4" s="1874" t="s">
        <v>122</v>
      </c>
      <c r="AI4" s="1875"/>
      <c r="AJ4" s="1875"/>
      <c r="AK4" s="1876"/>
      <c r="AL4" s="1871" t="s">
        <v>37</v>
      </c>
      <c r="AM4" s="1872"/>
      <c r="AN4" s="1872"/>
      <c r="AO4" s="1873"/>
      <c r="AP4" s="1871" t="s">
        <v>36</v>
      </c>
      <c r="AQ4" s="1872"/>
      <c r="AR4" s="1872"/>
      <c r="AS4" s="1873"/>
      <c r="AT4" s="1871" t="s">
        <v>35</v>
      </c>
      <c r="AU4" s="1872"/>
      <c r="AV4" s="1872"/>
      <c r="AW4" s="1873"/>
      <c r="AX4" s="1871" t="s">
        <v>34</v>
      </c>
      <c r="AY4" s="1872"/>
      <c r="AZ4" s="1872"/>
      <c r="BA4" s="1873"/>
      <c r="BB4" s="1874" t="s">
        <v>123</v>
      </c>
      <c r="BC4" s="1875"/>
      <c r="BD4" s="1875"/>
      <c r="BE4" s="1876"/>
      <c r="BF4" s="1877" t="s">
        <v>17</v>
      </c>
      <c r="BG4" s="1878"/>
      <c r="BH4" s="1878"/>
      <c r="BI4" s="1878"/>
    </row>
    <row r="5" spans="3:61" ht="15.75" customHeight="1">
      <c r="C5" s="1879" t="s">
        <v>33</v>
      </c>
      <c r="D5" s="1869"/>
      <c r="E5" s="732" t="s">
        <v>1</v>
      </c>
      <c r="F5" s="734" t="s">
        <v>2</v>
      </c>
      <c r="H5" s="1910"/>
      <c r="I5" s="1911"/>
      <c r="J5" s="36" t="s">
        <v>1</v>
      </c>
      <c r="K5" s="271" t="s">
        <v>2</v>
      </c>
      <c r="L5" s="693" t="s">
        <v>182</v>
      </c>
      <c r="M5" s="35" t="s">
        <v>247</v>
      </c>
      <c r="N5" s="36" t="s">
        <v>1</v>
      </c>
      <c r="O5" s="271" t="s">
        <v>2</v>
      </c>
      <c r="P5" s="693" t="s">
        <v>182</v>
      </c>
      <c r="Q5" s="35" t="s">
        <v>247</v>
      </c>
      <c r="R5" s="36" t="s">
        <v>1</v>
      </c>
      <c r="S5" s="271" t="s">
        <v>2</v>
      </c>
      <c r="T5" s="693" t="s">
        <v>182</v>
      </c>
      <c r="U5" s="35" t="s">
        <v>247</v>
      </c>
      <c r="V5" s="36" t="s">
        <v>1</v>
      </c>
      <c r="W5" s="271" t="s">
        <v>2</v>
      </c>
      <c r="X5" s="693" t="s">
        <v>182</v>
      </c>
      <c r="Y5" s="35" t="s">
        <v>247</v>
      </c>
      <c r="Z5" s="36" t="s">
        <v>1</v>
      </c>
      <c r="AA5" s="271" t="s">
        <v>2</v>
      </c>
      <c r="AB5" s="693" t="s">
        <v>182</v>
      </c>
      <c r="AC5" s="35" t="s">
        <v>247</v>
      </c>
      <c r="AD5" s="36" t="s">
        <v>1</v>
      </c>
      <c r="AE5" s="271" t="s">
        <v>2</v>
      </c>
      <c r="AF5" s="693" t="s">
        <v>182</v>
      </c>
      <c r="AG5" s="35" t="s">
        <v>247</v>
      </c>
      <c r="AH5" s="36" t="s">
        <v>1</v>
      </c>
      <c r="AI5" s="271" t="s">
        <v>2</v>
      </c>
      <c r="AJ5" s="271" t="s">
        <v>182</v>
      </c>
      <c r="AK5" s="690" t="s">
        <v>196</v>
      </c>
      <c r="AL5" s="36" t="s">
        <v>1</v>
      </c>
      <c r="AM5" s="271" t="s">
        <v>2</v>
      </c>
      <c r="AN5" s="693" t="s">
        <v>182</v>
      </c>
      <c r="AO5" s="35" t="s">
        <v>247</v>
      </c>
      <c r="AP5" s="36" t="s">
        <v>1</v>
      </c>
      <c r="AQ5" s="271" t="s">
        <v>2</v>
      </c>
      <c r="AR5" s="693" t="s">
        <v>182</v>
      </c>
      <c r="AS5" s="35" t="s">
        <v>247</v>
      </c>
      <c r="AT5" s="36" t="s">
        <v>1</v>
      </c>
      <c r="AU5" s="271" t="s">
        <v>2</v>
      </c>
      <c r="AV5" s="693" t="s">
        <v>182</v>
      </c>
      <c r="AW5" s="35" t="s">
        <v>247</v>
      </c>
      <c r="AX5" s="36" t="s">
        <v>1</v>
      </c>
      <c r="AY5" s="271" t="s">
        <v>2</v>
      </c>
      <c r="AZ5" s="693" t="s">
        <v>182</v>
      </c>
      <c r="BA5" s="35" t="s">
        <v>247</v>
      </c>
      <c r="BB5" s="36" t="s">
        <v>1</v>
      </c>
      <c r="BC5" s="271" t="s">
        <v>2</v>
      </c>
      <c r="BD5" s="271" t="s">
        <v>182</v>
      </c>
      <c r="BE5" s="690" t="s">
        <v>196</v>
      </c>
      <c r="BF5" s="274" t="s">
        <v>1</v>
      </c>
      <c r="BG5" s="275" t="s">
        <v>2</v>
      </c>
      <c r="BH5" s="275" t="s">
        <v>182</v>
      </c>
      <c r="BI5" s="698" t="s">
        <v>196</v>
      </c>
    </row>
    <row r="6" spans="3:61" s="28" customFormat="1" ht="20.100000000000001" customHeight="1">
      <c r="C6" s="1879" t="s">
        <v>19</v>
      </c>
      <c r="D6" s="732" t="s">
        <v>32</v>
      </c>
      <c r="E6" s="732"/>
      <c r="F6" s="733"/>
      <c r="H6" s="1886" t="s">
        <v>32</v>
      </c>
      <c r="I6" s="33" t="s">
        <v>32</v>
      </c>
      <c r="J6" s="462">
        <f>SUM('1:31'!J6)</f>
        <v>532</v>
      </c>
      <c r="K6" s="463">
        <f>SUM('1:31'!K6)</f>
        <v>411.16</v>
      </c>
      <c r="L6" s="463">
        <f>SUM('1:31'!L6)</f>
        <v>156.65999999999997</v>
      </c>
      <c r="M6" s="691">
        <f>SUM('1:31'!M6)</f>
        <v>248.10000000000002</v>
      </c>
      <c r="N6" s="462">
        <f>SUM('1:31'!N6)</f>
        <v>256</v>
      </c>
      <c r="O6" s="463">
        <f>SUM('1:31'!O6)</f>
        <v>214.26000000000002</v>
      </c>
      <c r="P6" s="463">
        <f>SUM('1:31'!P6)</f>
        <v>137.15</v>
      </c>
      <c r="Q6" s="691">
        <f>SUM('1:31'!Q6)</f>
        <v>63.559999999999995</v>
      </c>
      <c r="R6" s="462">
        <f>SUM('1:31'!R6)</f>
        <v>67</v>
      </c>
      <c r="S6" s="463">
        <f>SUM('1:31'!S6)</f>
        <v>111</v>
      </c>
      <c r="T6" s="463">
        <f>SUM('1:31'!T6)</f>
        <v>40</v>
      </c>
      <c r="U6" s="691">
        <f>SUM('1:31'!U6)</f>
        <v>42.3</v>
      </c>
      <c r="V6" s="462">
        <f>SUM('1:31'!V6)</f>
        <v>82</v>
      </c>
      <c r="W6" s="463">
        <f>SUM('1:31'!W6)</f>
        <v>70.5</v>
      </c>
      <c r="X6" s="463">
        <f>SUM('1:31'!X6)</f>
        <v>55.5</v>
      </c>
      <c r="Y6" s="691">
        <f>SUM('1:31'!Y6)</f>
        <v>0</v>
      </c>
      <c r="Z6" s="462">
        <f>SUM('1:31'!Z6)</f>
        <v>2</v>
      </c>
      <c r="AA6" s="463">
        <f>SUM('1:31'!AA6)</f>
        <v>3</v>
      </c>
      <c r="AB6" s="463">
        <f>SUM('1:31'!AB6)</f>
        <v>3</v>
      </c>
      <c r="AC6" s="691">
        <f>SUM('1:31'!AC6)</f>
        <v>0</v>
      </c>
      <c r="AD6" s="462">
        <f>SUM('1:31'!AD6)</f>
        <v>275</v>
      </c>
      <c r="AE6" s="463">
        <f>SUM('1:31'!AE6)</f>
        <v>189.18</v>
      </c>
      <c r="AF6" s="463">
        <f>SUM('1:31'!AF6)</f>
        <v>184.18</v>
      </c>
      <c r="AG6" s="691">
        <f>SUM('1:31'!AG6)</f>
        <v>5</v>
      </c>
      <c r="AH6" s="128">
        <f>J6+N6+R6+V6+Z6+AD6</f>
        <v>1214</v>
      </c>
      <c r="AI6" s="273">
        <f>K6+O6+S6+W6+AA6+AE6</f>
        <v>999.10000000000014</v>
      </c>
      <c r="AJ6" s="273">
        <f>L6+P6+T6+X6+AB6+AF6</f>
        <v>576.49</v>
      </c>
      <c r="AK6" s="694">
        <f>M6+Q6+U6+Y6+AC6+AG6</f>
        <v>358.96000000000004</v>
      </c>
      <c r="AL6" s="462">
        <f>SUM('1:31'!AL6)</f>
        <v>372.5</v>
      </c>
      <c r="AM6" s="463">
        <f>SUM('1:31'!AM6)</f>
        <v>85.009999999999991</v>
      </c>
      <c r="AN6" s="463">
        <f>SUM('1:31'!AN6)</f>
        <v>81.509999999999991</v>
      </c>
      <c r="AO6" s="691">
        <f>SUM('1:31'!AO6)</f>
        <v>8</v>
      </c>
      <c r="AP6" s="462">
        <f>SUM('1:31'!AP6)</f>
        <v>93</v>
      </c>
      <c r="AQ6" s="463">
        <f>SUM('1:31'!AQ6)</f>
        <v>55.059999999999995</v>
      </c>
      <c r="AR6" s="463">
        <f>SUM('1:31'!AR6)</f>
        <v>55.059999999999995</v>
      </c>
      <c r="AS6" s="691">
        <f>SUM('1:31'!AS6)</f>
        <v>4</v>
      </c>
      <c r="AT6" s="462">
        <f>SUM('1:31'!AT6)</f>
        <v>129</v>
      </c>
      <c r="AU6" s="463">
        <f>SUM('1:31'!AU6)</f>
        <v>140.53</v>
      </c>
      <c r="AV6" s="463">
        <f>SUM('1:31'!AV6)</f>
        <v>105.22</v>
      </c>
      <c r="AW6" s="691">
        <f>SUM('1:31'!AW6)</f>
        <v>34</v>
      </c>
      <c r="AX6" s="462">
        <f>SUM('1:31'!AX6)</f>
        <v>127</v>
      </c>
      <c r="AY6" s="463">
        <f>SUM('1:31'!AY6)</f>
        <v>64.400000000000006</v>
      </c>
      <c r="AZ6" s="463">
        <f>SUM('1:31'!AZ6)</f>
        <v>50.9</v>
      </c>
      <c r="BA6" s="691">
        <f>SUM('1:31'!BA6)</f>
        <v>43</v>
      </c>
      <c r="BB6" s="128">
        <f>AL6+AP6+AT6+AX6</f>
        <v>721.5</v>
      </c>
      <c r="BC6" s="273">
        <f>AM6+AQ6+AU6+AY6</f>
        <v>345</v>
      </c>
      <c r="BD6" s="273">
        <f>AN6+AR6+AV6+AZ6</f>
        <v>292.69</v>
      </c>
      <c r="BE6" s="273">
        <f>AO6+AS6+AW6+BA6</f>
        <v>89</v>
      </c>
      <c r="BF6" s="276">
        <f>AH6+BB6</f>
        <v>1935.5</v>
      </c>
      <c r="BG6" s="277">
        <f>AI6+BC6</f>
        <v>1344.1000000000001</v>
      </c>
      <c r="BH6" s="701">
        <f>AJ6+BD6</f>
        <v>869.18000000000006</v>
      </c>
      <c r="BI6" s="699">
        <f>AK6+BE6</f>
        <v>447.96000000000004</v>
      </c>
    </row>
    <row r="7" spans="3:61" s="28" customFormat="1" ht="20.100000000000001" customHeight="1">
      <c r="C7" s="1879"/>
      <c r="D7" s="732" t="s">
        <v>31</v>
      </c>
      <c r="E7" s="732"/>
      <c r="F7" s="733"/>
      <c r="H7" s="1887"/>
      <c r="I7" s="33" t="s">
        <v>31</v>
      </c>
      <c r="J7" s="462">
        <f>SUM('1:31'!J7)</f>
        <v>11</v>
      </c>
      <c r="K7" s="463">
        <f>SUM('1:31'!K7)</f>
        <v>0</v>
      </c>
      <c r="L7" s="463">
        <f>SUM('1:31'!L7)</f>
        <v>0</v>
      </c>
      <c r="M7" s="691">
        <f>SUM('1:31'!M7)</f>
        <v>0</v>
      </c>
      <c r="N7" s="462">
        <f>SUM('1:31'!N7)</f>
        <v>0</v>
      </c>
      <c r="O7" s="463">
        <f>SUM('1:31'!O7)</f>
        <v>0</v>
      </c>
      <c r="P7" s="463">
        <f>SUM('1:31'!P7)</f>
        <v>0</v>
      </c>
      <c r="Q7" s="691">
        <f>SUM('1:31'!Q7)</f>
        <v>0</v>
      </c>
      <c r="R7" s="462">
        <f>SUM('1:31'!R7)</f>
        <v>0</v>
      </c>
      <c r="S7" s="463">
        <f>SUM('1:31'!S7)</f>
        <v>0</v>
      </c>
      <c r="T7" s="463">
        <f>SUM('1:31'!T7)</f>
        <v>0</v>
      </c>
      <c r="U7" s="691">
        <f>SUM('1:31'!U7)</f>
        <v>0</v>
      </c>
      <c r="V7" s="462">
        <f>SUM('1:31'!V7)</f>
        <v>0</v>
      </c>
      <c r="W7" s="463">
        <f>SUM('1:31'!W7)</f>
        <v>0</v>
      </c>
      <c r="X7" s="463">
        <f>SUM('1:31'!X7)</f>
        <v>0</v>
      </c>
      <c r="Y7" s="691">
        <f>SUM('1:31'!Y7)</f>
        <v>0</v>
      </c>
      <c r="Z7" s="462">
        <f>SUM('1:31'!Z7)</f>
        <v>0</v>
      </c>
      <c r="AA7" s="463">
        <f>SUM('1:31'!AA7)</f>
        <v>0</v>
      </c>
      <c r="AB7" s="463">
        <f>SUM('1:31'!AB7)</f>
        <v>0</v>
      </c>
      <c r="AC7" s="691">
        <f>SUM('1:31'!AC7)</f>
        <v>0</v>
      </c>
      <c r="AD7" s="462">
        <f>SUM('1:31'!AD7)</f>
        <v>0</v>
      </c>
      <c r="AE7" s="463">
        <f>SUM('1:31'!AE7)</f>
        <v>16</v>
      </c>
      <c r="AF7" s="463">
        <f>SUM('1:31'!AF7)</f>
        <v>16</v>
      </c>
      <c r="AG7" s="691">
        <f>SUM('1:31'!AG7)</f>
        <v>0</v>
      </c>
      <c r="AH7" s="128">
        <f t="shared" ref="AH7:AK9" si="0">J7+N7+R7+V7+Z7+AD7</f>
        <v>11</v>
      </c>
      <c r="AI7" s="273">
        <f t="shared" si="0"/>
        <v>16</v>
      </c>
      <c r="AJ7" s="273">
        <f t="shared" si="0"/>
        <v>16</v>
      </c>
      <c r="AK7" s="694">
        <f t="shared" si="0"/>
        <v>0</v>
      </c>
      <c r="AL7" s="462">
        <f>SUM('1:31'!AL7)</f>
        <v>0</v>
      </c>
      <c r="AM7" s="463">
        <f>SUM('1:31'!AM7)</f>
        <v>0</v>
      </c>
      <c r="AN7" s="463">
        <f>SUM('1:31'!AN7)</f>
        <v>0</v>
      </c>
      <c r="AO7" s="691">
        <f>SUM('1:31'!AO7)</f>
        <v>0</v>
      </c>
      <c r="AP7" s="462">
        <f>SUM('1:31'!AP7)</f>
        <v>0</v>
      </c>
      <c r="AQ7" s="463">
        <f>SUM('1:31'!AQ7)</f>
        <v>0</v>
      </c>
      <c r="AR7" s="463">
        <f>SUM('1:31'!AR7)</f>
        <v>0</v>
      </c>
      <c r="AS7" s="691">
        <f>SUM('1:31'!AS7)</f>
        <v>0</v>
      </c>
      <c r="AT7" s="462">
        <f>SUM('1:31'!AT7)</f>
        <v>0</v>
      </c>
      <c r="AU7" s="463">
        <f>SUM('1:31'!AU7)</f>
        <v>23</v>
      </c>
      <c r="AV7" s="463">
        <f>SUM('1:31'!AV7)</f>
        <v>23</v>
      </c>
      <c r="AW7" s="691">
        <f>SUM('1:31'!AW7)</f>
        <v>0</v>
      </c>
      <c r="AX7" s="462">
        <f>SUM('1:31'!AX7)</f>
        <v>0</v>
      </c>
      <c r="AY7" s="463">
        <f>SUM('1:31'!AY7)</f>
        <v>15.4</v>
      </c>
      <c r="AZ7" s="463">
        <f>SUM('1:31'!AZ7)</f>
        <v>15.4</v>
      </c>
      <c r="BA7" s="691">
        <f>SUM('1:31'!BA7)</f>
        <v>0</v>
      </c>
      <c r="BB7" s="128">
        <f t="shared" ref="BB7:BE9" si="1">AL7+AP7+AT7+AX7</f>
        <v>0</v>
      </c>
      <c r="BC7" s="273">
        <f t="shared" si="1"/>
        <v>38.4</v>
      </c>
      <c r="BD7" s="273">
        <f t="shared" si="1"/>
        <v>38.4</v>
      </c>
      <c r="BE7" s="273">
        <f t="shared" si="1"/>
        <v>0</v>
      </c>
      <c r="BF7" s="276">
        <f t="shared" ref="BF7:BI9" si="2">AH7+BB7</f>
        <v>11</v>
      </c>
      <c r="BG7" s="277">
        <f t="shared" si="2"/>
        <v>54.4</v>
      </c>
      <c r="BH7" s="277">
        <f t="shared" si="2"/>
        <v>54.4</v>
      </c>
      <c r="BI7" s="699">
        <f t="shared" si="2"/>
        <v>0</v>
      </c>
    </row>
    <row r="8" spans="3:61" s="28" customFormat="1" ht="20.100000000000001" customHeight="1">
      <c r="C8" s="1879"/>
      <c r="D8" s="732" t="s">
        <v>30</v>
      </c>
      <c r="E8" s="732"/>
      <c r="F8" s="733"/>
      <c r="H8" s="1887"/>
      <c r="I8" s="33" t="s">
        <v>30</v>
      </c>
      <c r="J8" s="462">
        <f>SUM('1:31'!J8)</f>
        <v>145</v>
      </c>
      <c r="K8" s="463">
        <f>SUM('1:31'!K8)</f>
        <v>25.71</v>
      </c>
      <c r="L8" s="463">
        <f>SUM('1:31'!L8)</f>
        <v>15.71</v>
      </c>
      <c r="M8" s="691">
        <f>SUM('1:31'!M8)</f>
        <v>0</v>
      </c>
      <c r="N8" s="462">
        <f>SUM('1:31'!N8)</f>
        <v>5</v>
      </c>
      <c r="O8" s="463">
        <f>SUM('1:31'!O8)</f>
        <v>0</v>
      </c>
      <c r="P8" s="463">
        <f>SUM('1:31'!P8)</f>
        <v>0</v>
      </c>
      <c r="Q8" s="691">
        <f>SUM('1:31'!Q8)</f>
        <v>0</v>
      </c>
      <c r="R8" s="462">
        <f>SUM('1:31'!R8)</f>
        <v>8.5</v>
      </c>
      <c r="S8" s="463">
        <f>SUM('1:31'!S8)</f>
        <v>3.5</v>
      </c>
      <c r="T8" s="463">
        <f>SUM('1:31'!T8)</f>
        <v>3.5</v>
      </c>
      <c r="U8" s="691">
        <f>SUM('1:31'!U8)</f>
        <v>0</v>
      </c>
      <c r="V8" s="462">
        <f>SUM('1:31'!V8)</f>
        <v>12</v>
      </c>
      <c r="W8" s="463">
        <f>SUM('1:31'!W8)</f>
        <v>4</v>
      </c>
      <c r="X8" s="463">
        <f>SUM('1:31'!X8)</f>
        <v>4</v>
      </c>
      <c r="Y8" s="691">
        <f>SUM('1:31'!Y8)</f>
        <v>0</v>
      </c>
      <c r="Z8" s="462">
        <f>SUM('1:31'!Z8)</f>
        <v>35</v>
      </c>
      <c r="AA8" s="463">
        <f>SUM('1:31'!AA8)</f>
        <v>35</v>
      </c>
      <c r="AB8" s="463">
        <f>SUM('1:31'!AB8)</f>
        <v>0</v>
      </c>
      <c r="AC8" s="691">
        <f>SUM('1:31'!AC8)</f>
        <v>38.21</v>
      </c>
      <c r="AD8" s="462">
        <f>SUM('1:31'!AD8)</f>
        <v>115</v>
      </c>
      <c r="AE8" s="463">
        <f>SUM('1:31'!AE8)</f>
        <v>48</v>
      </c>
      <c r="AF8" s="463">
        <f>SUM('1:31'!AF8)</f>
        <v>48</v>
      </c>
      <c r="AG8" s="691">
        <f>SUM('1:31'!AG8)</f>
        <v>0</v>
      </c>
      <c r="AH8" s="128">
        <f t="shared" si="0"/>
        <v>320.5</v>
      </c>
      <c r="AI8" s="273">
        <f t="shared" si="0"/>
        <v>116.21000000000001</v>
      </c>
      <c r="AJ8" s="273">
        <f t="shared" si="0"/>
        <v>71.210000000000008</v>
      </c>
      <c r="AK8" s="694">
        <f t="shared" si="0"/>
        <v>38.21</v>
      </c>
      <c r="AL8" s="462">
        <f>SUM('1:31'!AL8)</f>
        <v>97</v>
      </c>
      <c r="AM8" s="463">
        <f>SUM('1:31'!AM8)</f>
        <v>99.08</v>
      </c>
      <c r="AN8" s="463">
        <f>SUM('1:31'!AN8)</f>
        <v>89.55</v>
      </c>
      <c r="AO8" s="691">
        <f>SUM('1:31'!AO8)</f>
        <v>0</v>
      </c>
      <c r="AP8" s="462">
        <f>SUM('1:31'!AP8)</f>
        <v>12</v>
      </c>
      <c r="AQ8" s="463">
        <f>SUM('1:31'!AQ8)</f>
        <v>0</v>
      </c>
      <c r="AR8" s="463">
        <f>SUM('1:31'!AR8)</f>
        <v>0</v>
      </c>
      <c r="AS8" s="691">
        <f>SUM('1:31'!AS8)</f>
        <v>0</v>
      </c>
      <c r="AT8" s="462">
        <f>SUM('1:31'!AT8)</f>
        <v>31</v>
      </c>
      <c r="AU8" s="463">
        <f>SUM('1:31'!AU8)</f>
        <v>27</v>
      </c>
      <c r="AV8" s="463">
        <f>SUM('1:31'!AV8)</f>
        <v>15</v>
      </c>
      <c r="AW8" s="691">
        <f>SUM('1:31'!AW8)</f>
        <v>0</v>
      </c>
      <c r="AX8" s="462">
        <f>SUM('1:31'!AX8)</f>
        <v>32</v>
      </c>
      <c r="AY8" s="463">
        <f>SUM('1:31'!AY8)</f>
        <v>45</v>
      </c>
      <c r="AZ8" s="463">
        <f>SUM('1:31'!AZ8)</f>
        <v>45</v>
      </c>
      <c r="BA8" s="691">
        <f>SUM('1:31'!BA8)</f>
        <v>0</v>
      </c>
      <c r="BB8" s="128">
        <f t="shared" si="1"/>
        <v>172</v>
      </c>
      <c r="BC8" s="273">
        <f t="shared" si="1"/>
        <v>171.07999999999998</v>
      </c>
      <c r="BD8" s="273">
        <f t="shared" si="1"/>
        <v>149.55000000000001</v>
      </c>
      <c r="BE8" s="273">
        <f t="shared" si="1"/>
        <v>0</v>
      </c>
      <c r="BF8" s="276">
        <f t="shared" si="2"/>
        <v>492.5</v>
      </c>
      <c r="BG8" s="277">
        <f t="shared" si="2"/>
        <v>287.28999999999996</v>
      </c>
      <c r="BH8" s="277">
        <f t="shared" si="2"/>
        <v>220.76000000000002</v>
      </c>
      <c r="BI8" s="699">
        <f t="shared" si="2"/>
        <v>38.21</v>
      </c>
    </row>
    <row r="9" spans="3:61" s="28" customFormat="1" ht="20.100000000000001" customHeight="1">
      <c r="C9" s="1885"/>
      <c r="D9" s="732" t="s">
        <v>29</v>
      </c>
      <c r="E9" s="732"/>
      <c r="F9" s="733"/>
      <c r="H9" s="1887"/>
      <c r="I9" s="33" t="s">
        <v>109</v>
      </c>
      <c r="J9" s="462">
        <f>SUM('1:31'!J9)</f>
        <v>49</v>
      </c>
      <c r="K9" s="463">
        <f>SUM('1:31'!K9)</f>
        <v>19.150000000000002</v>
      </c>
      <c r="L9" s="463">
        <f>SUM('1:31'!L9)</f>
        <v>19.150000000000002</v>
      </c>
      <c r="M9" s="691">
        <f>SUM('1:31'!M9)</f>
        <v>0</v>
      </c>
      <c r="N9" s="462">
        <f>SUM('1:31'!N9)</f>
        <v>13</v>
      </c>
      <c r="O9" s="463">
        <f>SUM('1:31'!O9)</f>
        <v>5.4</v>
      </c>
      <c r="P9" s="463">
        <f>SUM('1:31'!P9)</f>
        <v>5.4</v>
      </c>
      <c r="Q9" s="691">
        <f>SUM('1:31'!Q9)</f>
        <v>0</v>
      </c>
      <c r="R9" s="462">
        <f>SUM('1:31'!R9)</f>
        <v>11</v>
      </c>
      <c r="S9" s="463">
        <f>SUM('1:31'!S9)</f>
        <v>4.7</v>
      </c>
      <c r="T9" s="463">
        <f>SUM('1:31'!T9)</f>
        <v>4.7</v>
      </c>
      <c r="U9" s="691">
        <f>SUM('1:31'!U9)</f>
        <v>0</v>
      </c>
      <c r="V9" s="462">
        <f>SUM('1:31'!V9)</f>
        <v>54.5</v>
      </c>
      <c r="W9" s="463">
        <f>SUM('1:31'!W9)</f>
        <v>17</v>
      </c>
      <c r="X9" s="463">
        <f>SUM('1:31'!X9)</f>
        <v>11</v>
      </c>
      <c r="Y9" s="691">
        <f>SUM('1:31'!Y9)</f>
        <v>0</v>
      </c>
      <c r="Z9" s="462">
        <f>SUM('1:31'!Z9)</f>
        <v>21</v>
      </c>
      <c r="AA9" s="463">
        <f>SUM('1:31'!AA9)</f>
        <v>1.5</v>
      </c>
      <c r="AB9" s="463">
        <f>SUM('1:31'!AB9)</f>
        <v>1</v>
      </c>
      <c r="AC9" s="691">
        <f>SUM('1:31'!AC9)</f>
        <v>0</v>
      </c>
      <c r="AD9" s="462">
        <f>SUM('1:31'!AD9)</f>
        <v>10</v>
      </c>
      <c r="AE9" s="463">
        <f>SUM('1:31'!AE9)</f>
        <v>3.35</v>
      </c>
      <c r="AF9" s="463">
        <f>SUM('1:31'!AF9)</f>
        <v>3.35</v>
      </c>
      <c r="AG9" s="691">
        <f>SUM('1:31'!AG9)</f>
        <v>0</v>
      </c>
      <c r="AH9" s="128">
        <f t="shared" si="0"/>
        <v>158.5</v>
      </c>
      <c r="AI9" s="273">
        <f t="shared" si="0"/>
        <v>51.1</v>
      </c>
      <c r="AJ9" s="273">
        <f t="shared" si="0"/>
        <v>44.6</v>
      </c>
      <c r="AK9" s="694">
        <f t="shared" si="0"/>
        <v>0</v>
      </c>
      <c r="AL9" s="462">
        <f>SUM('1:31'!AL9)</f>
        <v>2</v>
      </c>
      <c r="AM9" s="463">
        <f>SUM('1:31'!AM9)</f>
        <v>4.5999999999999996</v>
      </c>
      <c r="AN9" s="463">
        <f>SUM('1:31'!AN9)</f>
        <v>3.6</v>
      </c>
      <c r="AO9" s="691">
        <f>SUM('1:31'!AO9)</f>
        <v>0</v>
      </c>
      <c r="AP9" s="462">
        <f>SUM('1:31'!AP9)</f>
        <v>5</v>
      </c>
      <c r="AQ9" s="463">
        <f>SUM('1:31'!AQ9)</f>
        <v>5.7</v>
      </c>
      <c r="AR9" s="463">
        <f>SUM('1:31'!AR9)</f>
        <v>5.7</v>
      </c>
      <c r="AS9" s="691">
        <f>SUM('1:31'!AS9)</f>
        <v>0</v>
      </c>
      <c r="AT9" s="462">
        <f>SUM('1:31'!AT9)</f>
        <v>2.5</v>
      </c>
      <c r="AU9" s="463">
        <f>SUM('1:31'!AU9)</f>
        <v>14.5</v>
      </c>
      <c r="AV9" s="463">
        <f>SUM('1:31'!AV9)</f>
        <v>11.5</v>
      </c>
      <c r="AW9" s="691">
        <f>SUM('1:31'!AW9)</f>
        <v>0</v>
      </c>
      <c r="AX9" s="462">
        <f>SUM('1:31'!AX9)</f>
        <v>0</v>
      </c>
      <c r="AY9" s="463">
        <f>SUM('1:31'!AY9)</f>
        <v>6.4399999999999995</v>
      </c>
      <c r="AZ9" s="463">
        <f>SUM('1:31'!AZ9)</f>
        <v>6.44</v>
      </c>
      <c r="BA9" s="691">
        <f>SUM('1:31'!BA9)</f>
        <v>0</v>
      </c>
      <c r="BB9" s="128">
        <f t="shared" si="1"/>
        <v>9.5</v>
      </c>
      <c r="BC9" s="273">
        <f t="shared" si="1"/>
        <v>31.240000000000002</v>
      </c>
      <c r="BD9" s="273">
        <f t="shared" si="1"/>
        <v>27.240000000000002</v>
      </c>
      <c r="BE9" s="273">
        <f t="shared" si="1"/>
        <v>0</v>
      </c>
      <c r="BF9" s="276">
        <f t="shared" si="2"/>
        <v>168</v>
      </c>
      <c r="BG9" s="277">
        <f t="shared" si="2"/>
        <v>82.34</v>
      </c>
      <c r="BH9" s="277">
        <f t="shared" si="2"/>
        <v>71.84</v>
      </c>
      <c r="BI9" s="699">
        <f t="shared" si="2"/>
        <v>0</v>
      </c>
    </row>
    <row r="10" spans="3:61" s="28" customFormat="1" ht="19.5" customHeight="1" thickBot="1">
      <c r="C10" s="32"/>
      <c r="D10" s="31" t="s">
        <v>18</v>
      </c>
      <c r="E10" s="31"/>
      <c r="F10" s="30"/>
      <c r="H10" s="1865" t="s">
        <v>47</v>
      </c>
      <c r="I10" s="1866"/>
      <c r="J10" s="118">
        <f t="shared" ref="J10:BG10" si="3">SUM(J6:J9)</f>
        <v>737</v>
      </c>
      <c r="K10" s="272">
        <f t="shared" si="3"/>
        <v>456.02</v>
      </c>
      <c r="L10" s="272">
        <f t="shared" si="3"/>
        <v>191.51999999999998</v>
      </c>
      <c r="M10" s="272">
        <f t="shared" si="3"/>
        <v>248.10000000000002</v>
      </c>
      <c r="N10" s="118">
        <f t="shared" si="3"/>
        <v>274</v>
      </c>
      <c r="O10" s="272">
        <f t="shared" si="3"/>
        <v>219.66000000000003</v>
      </c>
      <c r="P10" s="272">
        <f t="shared" si="3"/>
        <v>142.55000000000001</v>
      </c>
      <c r="Q10" s="272">
        <f t="shared" si="3"/>
        <v>63.559999999999995</v>
      </c>
      <c r="R10" s="118">
        <f t="shared" si="3"/>
        <v>86.5</v>
      </c>
      <c r="S10" s="272">
        <f t="shared" si="3"/>
        <v>119.2</v>
      </c>
      <c r="T10" s="272">
        <f t="shared" si="3"/>
        <v>48.2</v>
      </c>
      <c r="U10" s="272">
        <f t="shared" si="3"/>
        <v>42.3</v>
      </c>
      <c r="V10" s="118">
        <f t="shared" si="3"/>
        <v>148.5</v>
      </c>
      <c r="W10" s="272">
        <f t="shared" si="3"/>
        <v>91.5</v>
      </c>
      <c r="X10" s="272">
        <f t="shared" si="3"/>
        <v>70.5</v>
      </c>
      <c r="Y10" s="272">
        <f t="shared" si="3"/>
        <v>0</v>
      </c>
      <c r="Z10" s="118">
        <f t="shared" si="3"/>
        <v>58</v>
      </c>
      <c r="AA10" s="272">
        <f t="shared" si="3"/>
        <v>39.5</v>
      </c>
      <c r="AB10" s="272">
        <f t="shared" si="3"/>
        <v>4</v>
      </c>
      <c r="AC10" s="272">
        <f t="shared" si="3"/>
        <v>38.21</v>
      </c>
      <c r="AD10" s="118">
        <f t="shared" si="3"/>
        <v>400</v>
      </c>
      <c r="AE10" s="272">
        <f t="shared" si="3"/>
        <v>256.53000000000003</v>
      </c>
      <c r="AF10" s="272">
        <f t="shared" si="3"/>
        <v>251.53</v>
      </c>
      <c r="AG10" s="272">
        <f t="shared" si="3"/>
        <v>5</v>
      </c>
      <c r="AH10" s="118">
        <f t="shared" si="3"/>
        <v>1704</v>
      </c>
      <c r="AI10" s="272">
        <f t="shared" si="3"/>
        <v>1182.4100000000001</v>
      </c>
      <c r="AJ10" s="272">
        <f>SUM(AJ6:AJ9)</f>
        <v>708.30000000000007</v>
      </c>
      <c r="AK10" s="695">
        <f>SUM(AK6:AK9)</f>
        <v>397.17</v>
      </c>
      <c r="AL10" s="118">
        <f t="shared" si="3"/>
        <v>471.5</v>
      </c>
      <c r="AM10" s="272">
        <f t="shared" si="3"/>
        <v>188.68999999999997</v>
      </c>
      <c r="AN10" s="272">
        <f t="shared" si="3"/>
        <v>174.66</v>
      </c>
      <c r="AO10" s="272">
        <f t="shared" si="3"/>
        <v>8</v>
      </c>
      <c r="AP10" s="118">
        <f t="shared" si="3"/>
        <v>110</v>
      </c>
      <c r="AQ10" s="272">
        <f t="shared" si="3"/>
        <v>60.76</v>
      </c>
      <c r="AR10" s="272">
        <f t="shared" si="3"/>
        <v>60.76</v>
      </c>
      <c r="AS10" s="272">
        <f t="shared" si="3"/>
        <v>4</v>
      </c>
      <c r="AT10" s="118">
        <f t="shared" si="3"/>
        <v>162.5</v>
      </c>
      <c r="AU10" s="272">
        <f t="shared" si="3"/>
        <v>205.03</v>
      </c>
      <c r="AV10" s="272">
        <f t="shared" si="3"/>
        <v>154.72</v>
      </c>
      <c r="AW10" s="272">
        <f t="shared" si="3"/>
        <v>34</v>
      </c>
      <c r="AX10" s="118">
        <f t="shared" si="3"/>
        <v>159</v>
      </c>
      <c r="AY10" s="272">
        <f t="shared" si="3"/>
        <v>131.24</v>
      </c>
      <c r="AZ10" s="272">
        <f t="shared" si="3"/>
        <v>117.74</v>
      </c>
      <c r="BA10" s="272">
        <f t="shared" si="3"/>
        <v>43</v>
      </c>
      <c r="BB10" s="118">
        <f t="shared" si="3"/>
        <v>903</v>
      </c>
      <c r="BC10" s="272">
        <f t="shared" si="3"/>
        <v>585.72</v>
      </c>
      <c r="BD10" s="272">
        <f t="shared" si="3"/>
        <v>507.88</v>
      </c>
      <c r="BE10" s="272">
        <f t="shared" si="3"/>
        <v>89</v>
      </c>
      <c r="BF10" s="278">
        <f t="shared" si="3"/>
        <v>2607</v>
      </c>
      <c r="BG10" s="279">
        <f t="shared" si="3"/>
        <v>1768.13</v>
      </c>
      <c r="BH10" s="702">
        <f>AJ10+BD10</f>
        <v>1216.18</v>
      </c>
      <c r="BI10" s="700">
        <f>AK10+BE10</f>
        <v>486.17</v>
      </c>
    </row>
    <row r="11" spans="3:61" s="119" customFormat="1" ht="5.25" customHeight="1">
      <c r="D11" s="120"/>
      <c r="E11" s="120"/>
      <c r="F11" s="120"/>
      <c r="H11" s="122"/>
      <c r="I11" s="122"/>
      <c r="J11" s="125"/>
      <c r="K11" s="126"/>
      <c r="L11" s="126"/>
      <c r="M11" s="126"/>
      <c r="N11" s="125"/>
      <c r="O11" s="126"/>
      <c r="P11" s="126"/>
      <c r="Q11" s="126"/>
      <c r="R11" s="125"/>
      <c r="S11" s="126"/>
      <c r="T11" s="126"/>
      <c r="U11" s="126"/>
      <c r="V11" s="125"/>
      <c r="W11" s="126"/>
      <c r="X11" s="126"/>
      <c r="Y11" s="126"/>
      <c r="Z11" s="125"/>
      <c r="AA11" s="126"/>
      <c r="AB11" s="126"/>
      <c r="AC11" s="126"/>
      <c r="AD11" s="125"/>
      <c r="AE11" s="126"/>
      <c r="AF11" s="126"/>
      <c r="AG11" s="126"/>
      <c r="AH11" s="125"/>
      <c r="AI11" s="126"/>
      <c r="AJ11" s="126"/>
      <c r="AK11" s="126"/>
      <c r="AL11" s="125"/>
      <c r="AM11" s="126"/>
      <c r="AN11" s="126"/>
      <c r="AO11" s="126"/>
      <c r="AP11" s="125"/>
      <c r="AQ11" s="126"/>
      <c r="AR11" s="126"/>
      <c r="AS11" s="126"/>
      <c r="AT11" s="125"/>
      <c r="AU11" s="126"/>
      <c r="AV11" s="126"/>
      <c r="AW11" s="126"/>
      <c r="AX11" s="125"/>
      <c r="AY11" s="126"/>
      <c r="AZ11" s="126"/>
      <c r="BA11" s="126"/>
      <c r="BB11" s="125"/>
      <c r="BC11" s="126"/>
      <c r="BD11" s="126"/>
      <c r="BE11" s="126"/>
      <c r="BF11" s="125"/>
      <c r="BG11" s="126"/>
    </row>
    <row r="12" spans="3:61" ht="19.5" thickBot="1">
      <c r="C12" s="731"/>
      <c r="D12" s="732"/>
      <c r="E12" s="732"/>
      <c r="F12" s="734"/>
      <c r="H12" s="1867" t="s">
        <v>114</v>
      </c>
      <c r="I12" s="1868"/>
      <c r="J12" s="1868"/>
      <c r="K12" s="1868"/>
      <c r="L12" s="1868"/>
      <c r="M12" s="1868"/>
      <c r="N12" s="1868"/>
      <c r="O12" s="1868"/>
      <c r="P12" s="1868"/>
      <c r="Q12" s="1868"/>
      <c r="R12" s="1868"/>
      <c r="S12" s="1868"/>
      <c r="T12" s="1868"/>
      <c r="U12" s="1868"/>
      <c r="V12" s="1868"/>
      <c r="W12" s="1868"/>
      <c r="X12" s="1868"/>
      <c r="Y12" s="1868"/>
      <c r="Z12" s="1868"/>
      <c r="AA12" s="1868"/>
      <c r="AB12" s="1868"/>
      <c r="AC12" s="1868"/>
      <c r="AD12" s="1868"/>
      <c r="AE12" s="1868"/>
      <c r="AF12" s="1868"/>
      <c r="AG12" s="1868"/>
      <c r="AH12" s="1868"/>
      <c r="AI12" s="1868"/>
      <c r="AJ12" s="1868"/>
      <c r="AK12" s="1868"/>
      <c r="AL12" s="1868"/>
      <c r="AM12" s="1868"/>
      <c r="AN12" s="1868"/>
      <c r="AO12" s="1868"/>
      <c r="AP12" s="1868"/>
      <c r="AQ12" s="1868"/>
      <c r="AR12" s="1868"/>
      <c r="AS12" s="1868"/>
      <c r="AT12" s="1868"/>
      <c r="AU12" s="1868"/>
      <c r="AV12" s="1868"/>
      <c r="AW12" s="1868"/>
      <c r="AX12" s="1868"/>
      <c r="AY12" s="1868"/>
      <c r="AZ12" s="1868"/>
      <c r="BA12" s="1868"/>
      <c r="BB12" s="1868"/>
      <c r="BC12" s="1868"/>
      <c r="BD12" s="1868"/>
      <c r="BE12" s="1868"/>
      <c r="BF12" s="1868"/>
      <c r="BG12" s="1868"/>
      <c r="BH12" s="1868"/>
      <c r="BI12" s="1868"/>
    </row>
    <row r="13" spans="3:61" ht="18.75" customHeight="1">
      <c r="C13" s="37" t="s">
        <v>44</v>
      </c>
      <c r="D13" s="1869"/>
      <c r="E13" s="1869"/>
      <c r="F13" s="1870"/>
      <c r="H13" s="1895" t="s">
        <v>117</v>
      </c>
      <c r="I13" s="1896"/>
      <c r="J13" s="1890" t="s">
        <v>43</v>
      </c>
      <c r="K13" s="1891"/>
      <c r="L13" s="1891"/>
      <c r="M13" s="1892"/>
      <c r="N13" s="1890" t="s">
        <v>42</v>
      </c>
      <c r="O13" s="1891"/>
      <c r="P13" s="1891"/>
      <c r="Q13" s="1892"/>
      <c r="R13" s="1890" t="s">
        <v>41</v>
      </c>
      <c r="S13" s="1891"/>
      <c r="T13" s="1891"/>
      <c r="U13" s="1892"/>
      <c r="V13" s="1890" t="s">
        <v>40</v>
      </c>
      <c r="W13" s="1891"/>
      <c r="X13" s="1891"/>
      <c r="Y13" s="1892"/>
      <c r="Z13" s="1890" t="s">
        <v>39</v>
      </c>
      <c r="AA13" s="1891"/>
      <c r="AB13" s="1891"/>
      <c r="AC13" s="1892"/>
      <c r="AD13" s="1890" t="s">
        <v>38</v>
      </c>
      <c r="AE13" s="1891"/>
      <c r="AF13" s="1891"/>
      <c r="AG13" s="1892"/>
      <c r="AH13" s="1882" t="s">
        <v>122</v>
      </c>
      <c r="AI13" s="1883"/>
      <c r="AJ13" s="1883"/>
      <c r="AK13" s="1884"/>
      <c r="AL13" s="1890" t="s">
        <v>37</v>
      </c>
      <c r="AM13" s="1891"/>
      <c r="AN13" s="1891"/>
      <c r="AO13" s="1892"/>
      <c r="AP13" s="1890" t="s">
        <v>36</v>
      </c>
      <c r="AQ13" s="1891"/>
      <c r="AR13" s="1891"/>
      <c r="AS13" s="1892"/>
      <c r="AT13" s="1890" t="s">
        <v>35</v>
      </c>
      <c r="AU13" s="1891"/>
      <c r="AV13" s="1891"/>
      <c r="AW13" s="1892"/>
      <c r="AX13" s="1890" t="s">
        <v>34</v>
      </c>
      <c r="AY13" s="1891"/>
      <c r="AZ13" s="1891"/>
      <c r="BA13" s="1892"/>
      <c r="BB13" s="1882" t="s">
        <v>123</v>
      </c>
      <c r="BC13" s="1883"/>
      <c r="BD13" s="1883"/>
      <c r="BE13" s="1884"/>
      <c r="BF13" s="1880" t="s">
        <v>17</v>
      </c>
      <c r="BG13" s="1881"/>
      <c r="BH13" s="1881"/>
      <c r="BI13" s="1881"/>
    </row>
    <row r="14" spans="3:61" ht="27" customHeight="1">
      <c r="C14" s="1879" t="s">
        <v>33</v>
      </c>
      <c r="D14" s="1869"/>
      <c r="E14" s="732" t="s">
        <v>1</v>
      </c>
      <c r="F14" s="734" t="s">
        <v>2</v>
      </c>
      <c r="H14" s="1897"/>
      <c r="I14" s="1898"/>
      <c r="J14" s="36" t="s">
        <v>1</v>
      </c>
      <c r="K14" s="271" t="s">
        <v>2</v>
      </c>
      <c r="L14" s="271" t="s">
        <v>182</v>
      </c>
      <c r="M14" s="35" t="s">
        <v>247</v>
      </c>
      <c r="N14" s="36" t="s">
        <v>1</v>
      </c>
      <c r="O14" s="271" t="s">
        <v>2</v>
      </c>
      <c r="P14" s="271" t="s">
        <v>182</v>
      </c>
      <c r="Q14" s="35" t="s">
        <v>247</v>
      </c>
      <c r="R14" s="36" t="s">
        <v>1</v>
      </c>
      <c r="S14" s="271" t="s">
        <v>2</v>
      </c>
      <c r="T14" s="271" t="s">
        <v>182</v>
      </c>
      <c r="U14" s="35" t="s">
        <v>247</v>
      </c>
      <c r="V14" s="36" t="s">
        <v>1</v>
      </c>
      <c r="W14" s="271" t="s">
        <v>2</v>
      </c>
      <c r="X14" s="271" t="s">
        <v>182</v>
      </c>
      <c r="Y14" s="35" t="s">
        <v>247</v>
      </c>
      <c r="Z14" s="36" t="s">
        <v>1</v>
      </c>
      <c r="AA14" s="271" t="s">
        <v>2</v>
      </c>
      <c r="AB14" s="271" t="s">
        <v>182</v>
      </c>
      <c r="AC14" s="35" t="s">
        <v>247</v>
      </c>
      <c r="AD14" s="36" t="s">
        <v>1</v>
      </c>
      <c r="AE14" s="271" t="s">
        <v>2</v>
      </c>
      <c r="AF14" s="271" t="s">
        <v>182</v>
      </c>
      <c r="AG14" s="35" t="s">
        <v>247</v>
      </c>
      <c r="AH14" s="36" t="s">
        <v>1</v>
      </c>
      <c r="AI14" s="271" t="s">
        <v>2</v>
      </c>
      <c r="AJ14" s="271" t="s">
        <v>182</v>
      </c>
      <c r="AK14" s="690" t="s">
        <v>196</v>
      </c>
      <c r="AL14" s="36" t="s">
        <v>1</v>
      </c>
      <c r="AM14" s="271" t="s">
        <v>2</v>
      </c>
      <c r="AN14" s="271" t="s">
        <v>182</v>
      </c>
      <c r="AO14" s="35" t="s">
        <v>247</v>
      </c>
      <c r="AP14" s="36" t="s">
        <v>1</v>
      </c>
      <c r="AQ14" s="271" t="s">
        <v>2</v>
      </c>
      <c r="AR14" s="271" t="s">
        <v>182</v>
      </c>
      <c r="AS14" s="35" t="s">
        <v>247</v>
      </c>
      <c r="AT14" s="36" t="s">
        <v>1</v>
      </c>
      <c r="AU14" s="271" t="s">
        <v>2</v>
      </c>
      <c r="AV14" s="271" t="s">
        <v>182</v>
      </c>
      <c r="AW14" s="35" t="s">
        <v>247</v>
      </c>
      <c r="AX14" s="36" t="s">
        <v>1</v>
      </c>
      <c r="AY14" s="271" t="s">
        <v>2</v>
      </c>
      <c r="AZ14" s="271" t="s">
        <v>182</v>
      </c>
      <c r="BA14" s="35" t="s">
        <v>247</v>
      </c>
      <c r="BB14" s="36" t="s">
        <v>1</v>
      </c>
      <c r="BC14" s="271" t="s">
        <v>2</v>
      </c>
      <c r="BD14" s="271" t="s">
        <v>182</v>
      </c>
      <c r="BE14" s="690" t="s">
        <v>196</v>
      </c>
      <c r="BF14" s="274" t="s">
        <v>1</v>
      </c>
      <c r="BG14" s="275" t="s">
        <v>2</v>
      </c>
      <c r="BH14" s="275" t="s">
        <v>182</v>
      </c>
      <c r="BI14" s="703" t="s">
        <v>196</v>
      </c>
    </row>
    <row r="15" spans="3:61" s="28" customFormat="1" ht="20.100000000000001" customHeight="1">
      <c r="C15" s="1879" t="s">
        <v>28</v>
      </c>
      <c r="D15" s="732" t="s">
        <v>27</v>
      </c>
      <c r="E15" s="735"/>
      <c r="F15" s="34"/>
      <c r="H15" s="1888" t="s">
        <v>112</v>
      </c>
      <c r="I15" s="33" t="s">
        <v>27</v>
      </c>
      <c r="J15" s="462">
        <f>SUM('1:31'!J15)</f>
        <v>0</v>
      </c>
      <c r="K15" s="463">
        <f>SUM('1:31'!K15)</f>
        <v>0</v>
      </c>
      <c r="L15" s="463">
        <f>SUM('1:31'!L15)</f>
        <v>0</v>
      </c>
      <c r="M15" s="692">
        <f>SUM('1:31'!M15)</f>
        <v>0</v>
      </c>
      <c r="N15" s="462">
        <f>SUM('1:31'!N15)</f>
        <v>0</v>
      </c>
      <c r="O15" s="463">
        <f>SUM('1:31'!O15)</f>
        <v>0</v>
      </c>
      <c r="P15" s="463">
        <f>SUM('1:31'!P15)</f>
        <v>0</v>
      </c>
      <c r="Q15" s="692">
        <f>SUM('1:31'!Q15)</f>
        <v>0</v>
      </c>
      <c r="R15" s="462">
        <f>SUM('1:31'!R15)</f>
        <v>14</v>
      </c>
      <c r="S15" s="463">
        <f>SUM('1:31'!S15)</f>
        <v>0</v>
      </c>
      <c r="T15" s="463">
        <f>SUM('1:31'!T15)</f>
        <v>0</v>
      </c>
      <c r="U15" s="692">
        <f>SUM('1:31'!U15)</f>
        <v>0</v>
      </c>
      <c r="V15" s="462">
        <f>SUM('1:31'!V15)</f>
        <v>0</v>
      </c>
      <c r="W15" s="463">
        <f>SUM('1:31'!W15)</f>
        <v>0</v>
      </c>
      <c r="X15" s="463">
        <f>SUM('1:31'!X15)</f>
        <v>0</v>
      </c>
      <c r="Y15" s="692">
        <f>SUM('1:31'!Y15)</f>
        <v>0</v>
      </c>
      <c r="Z15" s="462">
        <f>SUM('1:31'!Z15)</f>
        <v>0</v>
      </c>
      <c r="AA15" s="463">
        <f>SUM('1:31'!AA15)</f>
        <v>0</v>
      </c>
      <c r="AB15" s="463">
        <f>SUM('1:31'!AB15)</f>
        <v>0</v>
      </c>
      <c r="AC15" s="692">
        <f>SUM('1:31'!AC15)</f>
        <v>0</v>
      </c>
      <c r="AD15" s="462">
        <f>SUM('1:31'!AD15)</f>
        <v>0</v>
      </c>
      <c r="AE15" s="463">
        <f>SUM('1:31'!AE15)</f>
        <v>0</v>
      </c>
      <c r="AF15" s="463">
        <f>SUM('1:31'!AF15)</f>
        <v>0</v>
      </c>
      <c r="AG15" s="692">
        <f>SUM('1:31'!AG15)</f>
        <v>0</v>
      </c>
      <c r="AH15" s="128">
        <f>J15+N15+R15+V15+Z15+AD15</f>
        <v>14</v>
      </c>
      <c r="AI15" s="273">
        <f>K15+O15+S15+W15+AA15+AE15</f>
        <v>0</v>
      </c>
      <c r="AJ15" s="273">
        <f>L15+P15+T15+X15+AB15+AF15</f>
        <v>0</v>
      </c>
      <c r="AK15" s="694">
        <f>M15+Q15+U15+Y15+AC15+AG15</f>
        <v>0</v>
      </c>
      <c r="AL15" s="462">
        <f>SUM('1:31'!AL15)</f>
        <v>0</v>
      </c>
      <c r="AM15" s="463">
        <f>SUM('1:31'!AM15)</f>
        <v>0</v>
      </c>
      <c r="AN15" s="463">
        <f>SUM('1:31'!AN15)</f>
        <v>0</v>
      </c>
      <c r="AO15" s="692">
        <f>SUM('1:31'!AO15)</f>
        <v>0</v>
      </c>
      <c r="AP15" s="462">
        <f>SUM('1:31'!AP15)</f>
        <v>13</v>
      </c>
      <c r="AQ15" s="463">
        <f>SUM('1:31'!AQ15)</f>
        <v>0</v>
      </c>
      <c r="AR15" s="463">
        <f>SUM('1:31'!AR15)</f>
        <v>0</v>
      </c>
      <c r="AS15" s="692">
        <f>SUM('1:31'!AS15)</f>
        <v>0</v>
      </c>
      <c r="AT15" s="462">
        <f>SUM('1:31'!AT15)</f>
        <v>0</v>
      </c>
      <c r="AU15" s="463">
        <f>SUM('1:31'!AU15)</f>
        <v>0</v>
      </c>
      <c r="AV15" s="463">
        <f>SUM('1:31'!AV15)</f>
        <v>0</v>
      </c>
      <c r="AW15" s="692">
        <f>SUM('1:31'!AW15)</f>
        <v>0</v>
      </c>
      <c r="AX15" s="462">
        <f>SUM('1:31'!AX15)</f>
        <v>6</v>
      </c>
      <c r="AY15" s="463">
        <f>SUM('1:31'!AY15)</f>
        <v>0</v>
      </c>
      <c r="AZ15" s="463">
        <f>SUM('1:31'!AZ15)</f>
        <v>0</v>
      </c>
      <c r="BA15" s="692">
        <f>SUM('1:31'!BA15)</f>
        <v>0</v>
      </c>
      <c r="BB15" s="128">
        <f>AL15+AP15+AT15+AX15</f>
        <v>19</v>
      </c>
      <c r="BC15" s="273">
        <f>AM15+AQ15+AU15+AY15</f>
        <v>0</v>
      </c>
      <c r="BD15" s="273">
        <f>AN15+AR15+AV15+AZ15</f>
        <v>0</v>
      </c>
      <c r="BE15" s="273">
        <f>AO15+AS15+AW15+BA15</f>
        <v>0</v>
      </c>
      <c r="BF15" s="276">
        <f t="shared" ref="BF15:BI23" si="4">AH15+BB15</f>
        <v>33</v>
      </c>
      <c r="BG15" s="277">
        <f t="shared" si="4"/>
        <v>0</v>
      </c>
      <c r="BH15" s="277">
        <f t="shared" si="4"/>
        <v>0</v>
      </c>
      <c r="BI15" s="704">
        <f t="shared" si="4"/>
        <v>0</v>
      </c>
    </row>
    <row r="16" spans="3:61" s="28" customFormat="1" ht="20.100000000000001" customHeight="1">
      <c r="C16" s="1879"/>
      <c r="D16" s="732" t="s">
        <v>26</v>
      </c>
      <c r="E16" s="732"/>
      <c r="F16" s="733"/>
      <c r="H16" s="1889"/>
      <c r="I16" s="33" t="s">
        <v>26</v>
      </c>
      <c r="J16" s="462">
        <f>SUM('1:31'!J16)</f>
        <v>0</v>
      </c>
      <c r="K16" s="463">
        <f>SUM('1:31'!K16)</f>
        <v>28.4</v>
      </c>
      <c r="L16" s="463">
        <f>SUM('1:31'!L16)</f>
        <v>0</v>
      </c>
      <c r="M16" s="692">
        <f>SUM('1:31'!M16)</f>
        <v>0</v>
      </c>
      <c r="N16" s="462">
        <f>SUM('1:31'!N16)</f>
        <v>13</v>
      </c>
      <c r="O16" s="463">
        <f>SUM('1:31'!O16)</f>
        <v>15</v>
      </c>
      <c r="P16" s="463">
        <f>SUM('1:31'!P16)</f>
        <v>0</v>
      </c>
      <c r="Q16" s="692">
        <f>SUM('1:31'!Q16)</f>
        <v>0</v>
      </c>
      <c r="R16" s="462">
        <f>SUM('1:31'!R16)</f>
        <v>40</v>
      </c>
      <c r="S16" s="463">
        <f>SUM('1:31'!S16)</f>
        <v>0</v>
      </c>
      <c r="T16" s="463">
        <f>SUM('1:31'!T16)</f>
        <v>0</v>
      </c>
      <c r="U16" s="692">
        <f>SUM('1:31'!U16)</f>
        <v>0</v>
      </c>
      <c r="V16" s="462">
        <f>SUM('1:31'!V16)</f>
        <v>0</v>
      </c>
      <c r="W16" s="463">
        <f>SUM('1:31'!W16)</f>
        <v>0</v>
      </c>
      <c r="X16" s="463">
        <f>SUM('1:31'!X16)</f>
        <v>0</v>
      </c>
      <c r="Y16" s="692">
        <f>SUM('1:31'!Y16)</f>
        <v>0</v>
      </c>
      <c r="Z16" s="462">
        <f>SUM('1:31'!Z16)</f>
        <v>0</v>
      </c>
      <c r="AA16" s="463">
        <f>SUM('1:31'!AA16)</f>
        <v>0</v>
      </c>
      <c r="AB16" s="463">
        <f>SUM('1:31'!AB16)</f>
        <v>0</v>
      </c>
      <c r="AC16" s="692">
        <f>SUM('1:31'!AC16)</f>
        <v>0</v>
      </c>
      <c r="AD16" s="462">
        <f>SUM('1:31'!AD16)</f>
        <v>0</v>
      </c>
      <c r="AE16" s="463">
        <f>SUM('1:31'!AE16)</f>
        <v>0</v>
      </c>
      <c r="AF16" s="463">
        <f>SUM('1:31'!AF16)</f>
        <v>0</v>
      </c>
      <c r="AG16" s="692">
        <f>SUM('1:31'!AG16)</f>
        <v>0</v>
      </c>
      <c r="AH16" s="128">
        <f t="shared" ref="AH16:AK23" si="5">J16+N16+R16+V16+Z16+AD16</f>
        <v>53</v>
      </c>
      <c r="AI16" s="273">
        <f t="shared" si="5"/>
        <v>43.4</v>
      </c>
      <c r="AJ16" s="273">
        <f t="shared" si="5"/>
        <v>0</v>
      </c>
      <c r="AK16" s="694">
        <f t="shared" si="5"/>
        <v>0</v>
      </c>
      <c r="AL16" s="462">
        <f>SUM('1:31'!AL16)</f>
        <v>22</v>
      </c>
      <c r="AM16" s="463">
        <f>SUM('1:31'!AM16)</f>
        <v>0</v>
      </c>
      <c r="AN16" s="463">
        <f>SUM('1:31'!AN16)</f>
        <v>0</v>
      </c>
      <c r="AO16" s="692">
        <f>SUM('1:31'!AO16)</f>
        <v>0</v>
      </c>
      <c r="AP16" s="462">
        <f>SUM('1:31'!AP16)</f>
        <v>0</v>
      </c>
      <c r="AQ16" s="463">
        <f>SUM('1:31'!AQ16)</f>
        <v>0</v>
      </c>
      <c r="AR16" s="463">
        <f>SUM('1:31'!AR16)</f>
        <v>0</v>
      </c>
      <c r="AS16" s="692">
        <f>SUM('1:31'!AS16)</f>
        <v>0</v>
      </c>
      <c r="AT16" s="462">
        <f>SUM('1:31'!AT16)</f>
        <v>0</v>
      </c>
      <c r="AU16" s="463">
        <f>SUM('1:31'!AU16)</f>
        <v>0</v>
      </c>
      <c r="AV16" s="463">
        <f>SUM('1:31'!AV16)</f>
        <v>0</v>
      </c>
      <c r="AW16" s="692">
        <f>SUM('1:31'!AW16)</f>
        <v>0</v>
      </c>
      <c r="AX16" s="462">
        <f>SUM('1:31'!AX16)</f>
        <v>8</v>
      </c>
      <c r="AY16" s="463">
        <f>SUM('1:31'!AY16)</f>
        <v>8</v>
      </c>
      <c r="AZ16" s="463">
        <f>SUM('1:31'!AZ16)</f>
        <v>0</v>
      </c>
      <c r="BA16" s="692">
        <f>SUM('1:31'!BA16)</f>
        <v>0</v>
      </c>
      <c r="BB16" s="128">
        <f t="shared" ref="BB16:BE23" si="6">AL16+AP16+AT16+AX16</f>
        <v>30</v>
      </c>
      <c r="BC16" s="273">
        <f t="shared" si="6"/>
        <v>8</v>
      </c>
      <c r="BD16" s="273">
        <f t="shared" si="6"/>
        <v>0</v>
      </c>
      <c r="BE16" s="273">
        <f t="shared" si="6"/>
        <v>0</v>
      </c>
      <c r="BF16" s="276">
        <f t="shared" si="4"/>
        <v>83</v>
      </c>
      <c r="BG16" s="277">
        <f t="shared" si="4"/>
        <v>51.4</v>
      </c>
      <c r="BH16" s="277">
        <f t="shared" si="4"/>
        <v>0</v>
      </c>
      <c r="BI16" s="704">
        <f t="shared" si="4"/>
        <v>0</v>
      </c>
    </row>
    <row r="17" spans="3:63" s="28" customFormat="1" ht="23.25" customHeight="1">
      <c r="C17" s="1879"/>
      <c r="D17" s="732" t="s">
        <v>25</v>
      </c>
      <c r="E17" s="732"/>
      <c r="F17" s="733"/>
      <c r="H17" s="1889"/>
      <c r="I17" s="33" t="s">
        <v>25</v>
      </c>
      <c r="J17" s="462">
        <f>SUM('1:31'!J17)</f>
        <v>45</v>
      </c>
      <c r="K17" s="463">
        <f>SUM('1:31'!K17)</f>
        <v>38</v>
      </c>
      <c r="L17" s="463">
        <f>SUM('1:31'!L17)</f>
        <v>0</v>
      </c>
      <c r="M17" s="692">
        <f>SUM('1:31'!M17)</f>
        <v>0</v>
      </c>
      <c r="N17" s="462">
        <f>SUM('1:31'!N17)</f>
        <v>18</v>
      </c>
      <c r="O17" s="463">
        <f>SUM('1:31'!O17)</f>
        <v>0</v>
      </c>
      <c r="P17" s="463">
        <f>SUM('1:31'!P17)</f>
        <v>0</v>
      </c>
      <c r="Q17" s="692">
        <f>SUM('1:31'!Q17)</f>
        <v>0</v>
      </c>
      <c r="R17" s="462">
        <f>SUM('1:31'!R17)</f>
        <v>0</v>
      </c>
      <c r="S17" s="463">
        <f>SUM('1:31'!S17)</f>
        <v>0</v>
      </c>
      <c r="T17" s="463">
        <f>SUM('1:31'!T17)</f>
        <v>0</v>
      </c>
      <c r="U17" s="692">
        <f>SUM('1:31'!U17)</f>
        <v>0</v>
      </c>
      <c r="V17" s="462">
        <f>SUM('1:31'!V17)</f>
        <v>12</v>
      </c>
      <c r="W17" s="463">
        <f>SUM('1:31'!W17)</f>
        <v>6</v>
      </c>
      <c r="X17" s="463">
        <f>SUM('1:31'!X17)</f>
        <v>0</v>
      </c>
      <c r="Y17" s="692">
        <f>SUM('1:31'!Y17)</f>
        <v>6</v>
      </c>
      <c r="Z17" s="462">
        <f>SUM('1:31'!Z17)</f>
        <v>0</v>
      </c>
      <c r="AA17" s="463">
        <f>SUM('1:31'!AA17)</f>
        <v>0</v>
      </c>
      <c r="AB17" s="463">
        <f>SUM('1:31'!AB17)</f>
        <v>0</v>
      </c>
      <c r="AC17" s="692">
        <f>SUM('1:31'!AC17)</f>
        <v>0</v>
      </c>
      <c r="AD17" s="462">
        <f>SUM('1:31'!AD17)</f>
        <v>30</v>
      </c>
      <c r="AE17" s="463">
        <f>SUM('1:31'!AE17)</f>
        <v>30</v>
      </c>
      <c r="AF17" s="463">
        <f>SUM('1:31'!AF17)</f>
        <v>0</v>
      </c>
      <c r="AG17" s="692">
        <f>SUM('1:31'!AG17)</f>
        <v>0</v>
      </c>
      <c r="AH17" s="128">
        <f t="shared" si="5"/>
        <v>105</v>
      </c>
      <c r="AI17" s="273">
        <f t="shared" si="5"/>
        <v>74</v>
      </c>
      <c r="AJ17" s="273">
        <f t="shared" si="5"/>
        <v>0</v>
      </c>
      <c r="AK17" s="694">
        <f t="shared" si="5"/>
        <v>6</v>
      </c>
      <c r="AL17" s="462">
        <f>SUM('1:31'!AL17)</f>
        <v>18</v>
      </c>
      <c r="AM17" s="463">
        <f>SUM('1:31'!AM17)</f>
        <v>30</v>
      </c>
      <c r="AN17" s="463">
        <f>SUM('1:31'!AN17)</f>
        <v>0</v>
      </c>
      <c r="AO17" s="692">
        <f>SUM('1:31'!AO17)</f>
        <v>0</v>
      </c>
      <c r="AP17" s="462">
        <f>SUM('1:31'!AP17)</f>
        <v>0</v>
      </c>
      <c r="AQ17" s="463">
        <f>SUM('1:31'!AQ17)</f>
        <v>0</v>
      </c>
      <c r="AR17" s="463">
        <f>SUM('1:31'!AR17)</f>
        <v>0</v>
      </c>
      <c r="AS17" s="692">
        <f>SUM('1:31'!AS17)</f>
        <v>0</v>
      </c>
      <c r="AT17" s="462">
        <f>SUM('1:31'!AT17)</f>
        <v>29.5</v>
      </c>
      <c r="AU17" s="463">
        <f>SUM('1:31'!AU17)</f>
        <v>0</v>
      </c>
      <c r="AV17" s="463">
        <f>SUM('1:31'!AV17)</f>
        <v>0</v>
      </c>
      <c r="AW17" s="692">
        <f>SUM('1:31'!AW17)</f>
        <v>0</v>
      </c>
      <c r="AX17" s="462">
        <f>SUM('1:31'!AX17)</f>
        <v>0</v>
      </c>
      <c r="AY17" s="463">
        <f>SUM('1:31'!AY17)</f>
        <v>9</v>
      </c>
      <c r="AZ17" s="463">
        <f>SUM('1:31'!AZ17)</f>
        <v>0</v>
      </c>
      <c r="BA17" s="692">
        <f>SUM('1:31'!BA17)</f>
        <v>0</v>
      </c>
      <c r="BB17" s="128">
        <f t="shared" si="6"/>
        <v>47.5</v>
      </c>
      <c r="BC17" s="273">
        <f t="shared" si="6"/>
        <v>39</v>
      </c>
      <c r="BD17" s="273">
        <f t="shared" si="6"/>
        <v>0</v>
      </c>
      <c r="BE17" s="273">
        <f t="shared" si="6"/>
        <v>0</v>
      </c>
      <c r="BF17" s="276">
        <f t="shared" si="4"/>
        <v>152.5</v>
      </c>
      <c r="BG17" s="277">
        <f t="shared" si="4"/>
        <v>113</v>
      </c>
      <c r="BH17" s="277">
        <f t="shared" si="4"/>
        <v>0</v>
      </c>
      <c r="BI17" s="704">
        <f t="shared" si="4"/>
        <v>6</v>
      </c>
    </row>
    <row r="18" spans="3:63" s="28" customFormat="1" ht="21">
      <c r="C18" s="1879"/>
      <c r="D18" s="732" t="s">
        <v>24</v>
      </c>
      <c r="E18" s="732"/>
      <c r="F18" s="733"/>
      <c r="H18" s="1889"/>
      <c r="I18" s="33" t="s">
        <v>24</v>
      </c>
      <c r="J18" s="462">
        <f>SUM('1:31'!J18)</f>
        <v>0</v>
      </c>
      <c r="K18" s="463">
        <f>SUM('1:31'!K18)</f>
        <v>0</v>
      </c>
      <c r="L18" s="463">
        <f>SUM('1:31'!L18)</f>
        <v>0</v>
      </c>
      <c r="M18" s="692">
        <f>SUM('1:31'!M18)</f>
        <v>0</v>
      </c>
      <c r="N18" s="462">
        <f>SUM('1:31'!N18)</f>
        <v>0</v>
      </c>
      <c r="O18" s="463">
        <f>SUM('1:31'!O18)</f>
        <v>0</v>
      </c>
      <c r="P18" s="463">
        <f>SUM('1:31'!P18)</f>
        <v>0</v>
      </c>
      <c r="Q18" s="692">
        <f>SUM('1:31'!Q18)</f>
        <v>0</v>
      </c>
      <c r="R18" s="462">
        <f>SUM('1:31'!R18)</f>
        <v>0</v>
      </c>
      <c r="S18" s="463">
        <f>SUM('1:31'!S18)</f>
        <v>0</v>
      </c>
      <c r="T18" s="463">
        <f>SUM('1:31'!T18)</f>
        <v>0</v>
      </c>
      <c r="U18" s="692">
        <f>SUM('1:31'!U18)</f>
        <v>0</v>
      </c>
      <c r="V18" s="462">
        <f>SUM('1:31'!V18)</f>
        <v>0</v>
      </c>
      <c r="W18" s="463">
        <f>SUM('1:31'!W18)</f>
        <v>0</v>
      </c>
      <c r="X18" s="463">
        <f>SUM('1:31'!X18)</f>
        <v>0</v>
      </c>
      <c r="Y18" s="692">
        <f>SUM('1:31'!Y18)</f>
        <v>0</v>
      </c>
      <c r="Z18" s="462">
        <f>SUM('1:31'!Z18)</f>
        <v>0</v>
      </c>
      <c r="AA18" s="463">
        <f>SUM('1:31'!AA18)</f>
        <v>0</v>
      </c>
      <c r="AB18" s="463">
        <f>SUM('1:31'!AB18)</f>
        <v>0</v>
      </c>
      <c r="AC18" s="692">
        <f>SUM('1:31'!AC18)</f>
        <v>0</v>
      </c>
      <c r="AD18" s="462">
        <f>SUM('1:31'!AD18)</f>
        <v>0</v>
      </c>
      <c r="AE18" s="463">
        <f>SUM('1:31'!AE18)</f>
        <v>0</v>
      </c>
      <c r="AF18" s="463">
        <f>SUM('1:31'!AF18)</f>
        <v>0</v>
      </c>
      <c r="AG18" s="692">
        <f>SUM('1:31'!AG18)</f>
        <v>0</v>
      </c>
      <c r="AH18" s="128">
        <f t="shared" si="5"/>
        <v>0</v>
      </c>
      <c r="AI18" s="273">
        <f t="shared" si="5"/>
        <v>0</v>
      </c>
      <c r="AJ18" s="273">
        <f t="shared" si="5"/>
        <v>0</v>
      </c>
      <c r="AK18" s="694">
        <f t="shared" si="5"/>
        <v>0</v>
      </c>
      <c r="AL18" s="462">
        <f>SUM('1:31'!AL18)</f>
        <v>0</v>
      </c>
      <c r="AM18" s="463">
        <f>SUM('1:31'!AM18)</f>
        <v>53.5</v>
      </c>
      <c r="AN18" s="463">
        <f>SUM('1:31'!AN18)</f>
        <v>0</v>
      </c>
      <c r="AO18" s="692">
        <f>SUM('1:31'!AO18)</f>
        <v>0</v>
      </c>
      <c r="AP18" s="462">
        <f>SUM('1:31'!AP18)</f>
        <v>0</v>
      </c>
      <c r="AQ18" s="463">
        <f>SUM('1:31'!AQ18)</f>
        <v>0</v>
      </c>
      <c r="AR18" s="463">
        <f>SUM('1:31'!AR18)</f>
        <v>0</v>
      </c>
      <c r="AS18" s="692">
        <f>SUM('1:31'!AS18)</f>
        <v>0</v>
      </c>
      <c r="AT18" s="462">
        <f>SUM('1:31'!AT18)</f>
        <v>38</v>
      </c>
      <c r="AU18" s="463">
        <f>SUM('1:31'!AU18)</f>
        <v>0</v>
      </c>
      <c r="AV18" s="463">
        <f>SUM('1:31'!AV18)</f>
        <v>0</v>
      </c>
      <c r="AW18" s="692">
        <f>SUM('1:31'!AW18)</f>
        <v>0</v>
      </c>
      <c r="AX18" s="462">
        <f>SUM('1:31'!AX18)</f>
        <v>0</v>
      </c>
      <c r="AY18" s="463">
        <f>SUM('1:31'!AY18)</f>
        <v>0</v>
      </c>
      <c r="AZ18" s="463">
        <f>SUM('1:31'!AZ18)</f>
        <v>0</v>
      </c>
      <c r="BA18" s="692">
        <f>SUM('1:31'!BA18)</f>
        <v>0</v>
      </c>
      <c r="BB18" s="128">
        <f t="shared" si="6"/>
        <v>38</v>
      </c>
      <c r="BC18" s="273">
        <f t="shared" si="6"/>
        <v>53.5</v>
      </c>
      <c r="BD18" s="273">
        <f t="shared" si="6"/>
        <v>0</v>
      </c>
      <c r="BE18" s="273">
        <f t="shared" si="6"/>
        <v>0</v>
      </c>
      <c r="BF18" s="276">
        <f t="shared" si="4"/>
        <v>38</v>
      </c>
      <c r="BG18" s="277">
        <f t="shared" si="4"/>
        <v>53.5</v>
      </c>
      <c r="BH18" s="277">
        <f t="shared" si="4"/>
        <v>0</v>
      </c>
      <c r="BI18" s="704">
        <f t="shared" si="4"/>
        <v>0</v>
      </c>
    </row>
    <row r="19" spans="3:63" s="28" customFormat="1" ht="20.100000000000001" customHeight="1">
      <c r="C19" s="1879"/>
      <c r="D19" s="732" t="s">
        <v>23</v>
      </c>
      <c r="E19" s="732"/>
      <c r="F19" s="733"/>
      <c r="H19" s="1889"/>
      <c r="I19" s="33" t="s">
        <v>23</v>
      </c>
      <c r="J19" s="462">
        <f>SUM('1:31'!J19)</f>
        <v>14</v>
      </c>
      <c r="K19" s="463">
        <f>SUM('1:31'!K19)</f>
        <v>40</v>
      </c>
      <c r="L19" s="463">
        <f>SUM('1:31'!L19)</f>
        <v>0</v>
      </c>
      <c r="M19" s="692">
        <f>SUM('1:31'!M19)</f>
        <v>0</v>
      </c>
      <c r="N19" s="462">
        <f>SUM('1:31'!N19)</f>
        <v>20</v>
      </c>
      <c r="O19" s="463">
        <f>SUM('1:31'!O19)</f>
        <v>0</v>
      </c>
      <c r="P19" s="463">
        <f>SUM('1:31'!P19)</f>
        <v>0</v>
      </c>
      <c r="Q19" s="692">
        <f>SUM('1:31'!Q19)</f>
        <v>0</v>
      </c>
      <c r="R19" s="462">
        <f>SUM('1:31'!R19)</f>
        <v>0</v>
      </c>
      <c r="S19" s="463">
        <f>SUM('1:31'!S19)</f>
        <v>0</v>
      </c>
      <c r="T19" s="463">
        <f>SUM('1:31'!T19)</f>
        <v>0</v>
      </c>
      <c r="U19" s="692">
        <f>SUM('1:31'!U19)</f>
        <v>0</v>
      </c>
      <c r="V19" s="462">
        <f>SUM('1:31'!V19)</f>
        <v>6</v>
      </c>
      <c r="W19" s="463">
        <f>SUM('1:31'!W19)</f>
        <v>0</v>
      </c>
      <c r="X19" s="463">
        <f>SUM('1:31'!X19)</f>
        <v>0</v>
      </c>
      <c r="Y19" s="692">
        <f>SUM('1:31'!Y19)</f>
        <v>0</v>
      </c>
      <c r="Z19" s="462">
        <f>SUM('1:31'!Z19)</f>
        <v>0</v>
      </c>
      <c r="AA19" s="463">
        <f>SUM('1:31'!AA19)</f>
        <v>0</v>
      </c>
      <c r="AB19" s="463">
        <f>SUM('1:31'!AB19)</f>
        <v>0</v>
      </c>
      <c r="AC19" s="692">
        <f>SUM('1:31'!AC19)</f>
        <v>0</v>
      </c>
      <c r="AD19" s="462">
        <f>SUM('1:31'!AD19)</f>
        <v>0</v>
      </c>
      <c r="AE19" s="463">
        <f>SUM('1:31'!AE19)</f>
        <v>0</v>
      </c>
      <c r="AF19" s="463">
        <f>SUM('1:31'!AF19)</f>
        <v>0</v>
      </c>
      <c r="AG19" s="692">
        <f>SUM('1:31'!AG19)</f>
        <v>0</v>
      </c>
      <c r="AH19" s="128">
        <f t="shared" si="5"/>
        <v>40</v>
      </c>
      <c r="AI19" s="273">
        <f t="shared" si="5"/>
        <v>40</v>
      </c>
      <c r="AJ19" s="273">
        <f t="shared" si="5"/>
        <v>0</v>
      </c>
      <c r="AK19" s="694">
        <f t="shared" si="5"/>
        <v>0</v>
      </c>
      <c r="AL19" s="462">
        <f>SUM('1:31'!AL19)</f>
        <v>20</v>
      </c>
      <c r="AM19" s="463">
        <f>SUM('1:31'!AM19)</f>
        <v>0</v>
      </c>
      <c r="AN19" s="463">
        <f>SUM('1:31'!AN19)</f>
        <v>0</v>
      </c>
      <c r="AO19" s="692">
        <f>SUM('1:31'!AO19)</f>
        <v>0</v>
      </c>
      <c r="AP19" s="462">
        <f>SUM('1:31'!AP19)</f>
        <v>28</v>
      </c>
      <c r="AQ19" s="463">
        <f>SUM('1:31'!AQ19)</f>
        <v>15</v>
      </c>
      <c r="AR19" s="463">
        <f>SUM('1:31'!AR19)</f>
        <v>0</v>
      </c>
      <c r="AS19" s="692">
        <f>SUM('1:31'!AS19)</f>
        <v>4</v>
      </c>
      <c r="AT19" s="462">
        <f>SUM('1:31'!AT19)</f>
        <v>8</v>
      </c>
      <c r="AU19" s="463">
        <f>SUM('1:31'!AU19)</f>
        <v>8</v>
      </c>
      <c r="AV19" s="463">
        <f>SUM('1:31'!AV19)</f>
        <v>8</v>
      </c>
      <c r="AW19" s="692">
        <f>SUM('1:31'!AW19)</f>
        <v>0</v>
      </c>
      <c r="AX19" s="462">
        <f>SUM('1:31'!AX19)</f>
        <v>20</v>
      </c>
      <c r="AY19" s="463">
        <f>SUM('1:31'!AY19)</f>
        <v>20</v>
      </c>
      <c r="AZ19" s="463">
        <f>SUM('1:31'!AZ19)</f>
        <v>20</v>
      </c>
      <c r="BA19" s="692">
        <f>SUM('1:31'!BA19)</f>
        <v>0</v>
      </c>
      <c r="BB19" s="128">
        <f t="shared" si="6"/>
        <v>76</v>
      </c>
      <c r="BC19" s="273">
        <f t="shared" si="6"/>
        <v>43</v>
      </c>
      <c r="BD19" s="273">
        <f t="shared" si="6"/>
        <v>28</v>
      </c>
      <c r="BE19" s="273">
        <f t="shared" si="6"/>
        <v>4</v>
      </c>
      <c r="BF19" s="276">
        <f t="shared" si="4"/>
        <v>116</v>
      </c>
      <c r="BG19" s="277">
        <f t="shared" si="4"/>
        <v>83</v>
      </c>
      <c r="BH19" s="277">
        <f t="shared" si="4"/>
        <v>28</v>
      </c>
      <c r="BI19" s="704">
        <f t="shared" si="4"/>
        <v>4</v>
      </c>
    </row>
    <row r="20" spans="3:63" s="28" customFormat="1" ht="20.100000000000001" customHeight="1">
      <c r="C20" s="1879"/>
      <c r="D20" s="732" t="s">
        <v>22</v>
      </c>
      <c r="E20" s="732"/>
      <c r="F20" s="733"/>
      <c r="H20" s="1889"/>
      <c r="I20" s="33" t="s">
        <v>22</v>
      </c>
      <c r="J20" s="462">
        <f>SUM('1:31'!J20)</f>
        <v>0</v>
      </c>
      <c r="K20" s="463">
        <f>SUM('1:31'!K20)</f>
        <v>7</v>
      </c>
      <c r="L20" s="463">
        <f>SUM('1:31'!L20)</f>
        <v>0</v>
      </c>
      <c r="M20" s="692">
        <f>SUM('1:31'!M20)</f>
        <v>21.96</v>
      </c>
      <c r="N20" s="462">
        <f>SUM('1:31'!N20)</f>
        <v>0</v>
      </c>
      <c r="O20" s="463">
        <f>SUM('1:31'!O20)</f>
        <v>0</v>
      </c>
      <c r="P20" s="463">
        <f>SUM('1:31'!P20)</f>
        <v>0</v>
      </c>
      <c r="Q20" s="692">
        <f>SUM('1:31'!Q20)</f>
        <v>13.38</v>
      </c>
      <c r="R20" s="462">
        <f>SUM('1:31'!R20)</f>
        <v>16</v>
      </c>
      <c r="S20" s="463">
        <f>SUM('1:31'!S20)</f>
        <v>8</v>
      </c>
      <c r="T20" s="463">
        <f>SUM('1:31'!T20)</f>
        <v>0</v>
      </c>
      <c r="U20" s="692">
        <f>SUM('1:31'!U20)</f>
        <v>7.8</v>
      </c>
      <c r="V20" s="462">
        <f>SUM('1:31'!V20)</f>
        <v>32.5</v>
      </c>
      <c r="W20" s="463">
        <f>SUM('1:31'!W20)</f>
        <v>26.5</v>
      </c>
      <c r="X20" s="463">
        <f>SUM('1:31'!X20)</f>
        <v>7</v>
      </c>
      <c r="Y20" s="692">
        <f>SUM('1:31'!Y20)</f>
        <v>7.47</v>
      </c>
      <c r="Z20" s="462">
        <f>SUM('1:31'!Z20)</f>
        <v>0</v>
      </c>
      <c r="AA20" s="463">
        <f>SUM('1:31'!AA20)</f>
        <v>0</v>
      </c>
      <c r="AB20" s="463">
        <f>SUM('1:31'!AB20)</f>
        <v>0</v>
      </c>
      <c r="AC20" s="692">
        <f>SUM('1:31'!AC20)</f>
        <v>0</v>
      </c>
      <c r="AD20" s="462">
        <f>SUM('1:31'!AD20)</f>
        <v>0</v>
      </c>
      <c r="AE20" s="463">
        <f>SUM('1:31'!AE20)</f>
        <v>8.5</v>
      </c>
      <c r="AF20" s="463">
        <f>SUM('1:31'!AF20)</f>
        <v>0</v>
      </c>
      <c r="AG20" s="692">
        <f>SUM('1:31'!AG20)</f>
        <v>0</v>
      </c>
      <c r="AH20" s="128">
        <f t="shared" si="5"/>
        <v>48.5</v>
      </c>
      <c r="AI20" s="273">
        <f t="shared" si="5"/>
        <v>50</v>
      </c>
      <c r="AJ20" s="273">
        <f t="shared" si="5"/>
        <v>7</v>
      </c>
      <c r="AK20" s="694">
        <f t="shared" si="5"/>
        <v>50.61</v>
      </c>
      <c r="AL20" s="462">
        <f>SUM('1:31'!AL20)</f>
        <v>86.85</v>
      </c>
      <c r="AM20" s="463">
        <f>SUM('1:31'!AM20)</f>
        <v>90.35</v>
      </c>
      <c r="AN20" s="463">
        <f>SUM('1:31'!AN20)</f>
        <v>38.5</v>
      </c>
      <c r="AO20" s="692">
        <f>SUM('1:31'!AO20)</f>
        <v>60.7</v>
      </c>
      <c r="AP20" s="462">
        <f>SUM('1:31'!AP20)</f>
        <v>30</v>
      </c>
      <c r="AQ20" s="463">
        <f>SUM('1:31'!AQ20)</f>
        <v>19</v>
      </c>
      <c r="AR20" s="463">
        <f>SUM('1:31'!AR20)</f>
        <v>4</v>
      </c>
      <c r="AS20" s="692">
        <f>SUM('1:31'!AS20)</f>
        <v>3.97</v>
      </c>
      <c r="AT20" s="462">
        <f>SUM('1:31'!AT20)</f>
        <v>83</v>
      </c>
      <c r="AU20" s="463">
        <f>SUM('1:31'!AU20)</f>
        <v>61.5</v>
      </c>
      <c r="AV20" s="463">
        <f>SUM('1:31'!AV20)</f>
        <v>0</v>
      </c>
      <c r="AW20" s="692">
        <f>SUM('1:31'!AW20)</f>
        <v>65.849999999999994</v>
      </c>
      <c r="AX20" s="462">
        <f>SUM('1:31'!AX20)</f>
        <v>12</v>
      </c>
      <c r="AY20" s="463">
        <f>SUM('1:31'!AY20)</f>
        <v>12</v>
      </c>
      <c r="AZ20" s="463">
        <f>SUM('1:31'!AZ20)</f>
        <v>12</v>
      </c>
      <c r="BA20" s="692">
        <f>SUM('1:31'!BA20)</f>
        <v>3.94</v>
      </c>
      <c r="BB20" s="128">
        <f t="shared" si="6"/>
        <v>211.85</v>
      </c>
      <c r="BC20" s="273">
        <f t="shared" si="6"/>
        <v>182.85</v>
      </c>
      <c r="BD20" s="273">
        <f t="shared" si="6"/>
        <v>54.5</v>
      </c>
      <c r="BE20" s="273">
        <f t="shared" si="6"/>
        <v>134.45999999999998</v>
      </c>
      <c r="BF20" s="276">
        <f t="shared" si="4"/>
        <v>260.35000000000002</v>
      </c>
      <c r="BG20" s="277">
        <f t="shared" si="4"/>
        <v>232.85</v>
      </c>
      <c r="BH20" s="277">
        <f t="shared" si="4"/>
        <v>61.5</v>
      </c>
      <c r="BI20" s="704">
        <f t="shared" si="4"/>
        <v>185.07</v>
      </c>
      <c r="BJ20" s="28">
        <f>BG20-(BH20+BI20)</f>
        <v>-13.719999999999999</v>
      </c>
      <c r="BK20" s="28">
        <f>19+30</f>
        <v>49</v>
      </c>
    </row>
    <row r="21" spans="3:63" s="28" customFormat="1" ht="20.100000000000001" customHeight="1">
      <c r="C21" s="1885"/>
      <c r="D21" s="732"/>
      <c r="E21" s="732"/>
      <c r="F21" s="733"/>
      <c r="H21" s="1889"/>
      <c r="I21" s="33" t="s">
        <v>21</v>
      </c>
      <c r="J21" s="462">
        <f>SUM('1:31'!J21)</f>
        <v>0</v>
      </c>
      <c r="K21" s="463">
        <f>SUM('1:31'!K21)</f>
        <v>0</v>
      </c>
      <c r="L21" s="463">
        <f>SUM('1:31'!L21)</f>
        <v>0</v>
      </c>
      <c r="M21" s="692">
        <f>SUM('1:31'!M21)</f>
        <v>0</v>
      </c>
      <c r="N21" s="462">
        <f>SUM('1:31'!N21)</f>
        <v>0</v>
      </c>
      <c r="O21" s="463">
        <f>SUM('1:31'!O21)</f>
        <v>0</v>
      </c>
      <c r="P21" s="463">
        <f>SUM('1:31'!P21)</f>
        <v>0</v>
      </c>
      <c r="Q21" s="692">
        <f>SUM('1:31'!Q21)</f>
        <v>0</v>
      </c>
      <c r="R21" s="462">
        <f>SUM('1:31'!R21)</f>
        <v>0</v>
      </c>
      <c r="S21" s="463">
        <f>SUM('1:31'!S21)</f>
        <v>0</v>
      </c>
      <c r="T21" s="463">
        <f>SUM('1:31'!T21)</f>
        <v>0</v>
      </c>
      <c r="U21" s="692">
        <f>SUM('1:31'!U21)</f>
        <v>0</v>
      </c>
      <c r="V21" s="462">
        <f>SUM('1:31'!V21)</f>
        <v>0</v>
      </c>
      <c r="W21" s="463">
        <f>SUM('1:31'!W21)</f>
        <v>0</v>
      </c>
      <c r="X21" s="463">
        <f>SUM('1:31'!X21)</f>
        <v>0</v>
      </c>
      <c r="Y21" s="692">
        <f>SUM('1:31'!Y21)</f>
        <v>0</v>
      </c>
      <c r="Z21" s="462">
        <f>SUM('1:31'!Z21)</f>
        <v>0</v>
      </c>
      <c r="AA21" s="463">
        <f>SUM('1:31'!AA21)</f>
        <v>0</v>
      </c>
      <c r="AB21" s="463">
        <f>SUM('1:31'!AB21)</f>
        <v>0</v>
      </c>
      <c r="AC21" s="692">
        <f>SUM('1:31'!AC21)</f>
        <v>0</v>
      </c>
      <c r="AD21" s="462">
        <f>SUM('1:31'!AD21)</f>
        <v>0</v>
      </c>
      <c r="AE21" s="463">
        <f>SUM('1:31'!AE21)</f>
        <v>0</v>
      </c>
      <c r="AF21" s="463">
        <f>SUM('1:31'!AF21)</f>
        <v>0</v>
      </c>
      <c r="AG21" s="692">
        <f>SUM('1:31'!AG21)</f>
        <v>0</v>
      </c>
      <c r="AH21" s="128">
        <f t="shared" si="5"/>
        <v>0</v>
      </c>
      <c r="AI21" s="273">
        <f t="shared" si="5"/>
        <v>0</v>
      </c>
      <c r="AJ21" s="273">
        <f t="shared" si="5"/>
        <v>0</v>
      </c>
      <c r="AK21" s="694">
        <f t="shared" si="5"/>
        <v>0</v>
      </c>
      <c r="AL21" s="462">
        <f>SUM('1:31'!AL21)</f>
        <v>0</v>
      </c>
      <c r="AM21" s="463">
        <f>SUM('1:31'!AM21)</f>
        <v>0</v>
      </c>
      <c r="AN21" s="463">
        <f>SUM('1:31'!AN21)</f>
        <v>0</v>
      </c>
      <c r="AO21" s="692">
        <f>SUM('1:31'!AO21)</f>
        <v>0</v>
      </c>
      <c r="AP21" s="462">
        <f>SUM('1:31'!AP21)</f>
        <v>0</v>
      </c>
      <c r="AQ21" s="463">
        <f>SUM('1:31'!AQ21)</f>
        <v>0</v>
      </c>
      <c r="AR21" s="463">
        <f>SUM('1:31'!AR21)</f>
        <v>0</v>
      </c>
      <c r="AS21" s="692">
        <f>SUM('1:31'!AS21)</f>
        <v>0</v>
      </c>
      <c r="AT21" s="462">
        <f>SUM('1:31'!AT21)</f>
        <v>0</v>
      </c>
      <c r="AU21" s="463">
        <f>SUM('1:31'!AU21)</f>
        <v>0</v>
      </c>
      <c r="AV21" s="463">
        <f>SUM('1:31'!AV21)</f>
        <v>0</v>
      </c>
      <c r="AW21" s="692">
        <f>SUM('1:31'!AW21)</f>
        <v>0</v>
      </c>
      <c r="AX21" s="462">
        <f>SUM('1:31'!AX21)</f>
        <v>0</v>
      </c>
      <c r="AY21" s="463">
        <f>SUM('1:31'!AY21)</f>
        <v>0</v>
      </c>
      <c r="AZ21" s="463">
        <f>SUM('1:31'!AZ21)</f>
        <v>0</v>
      </c>
      <c r="BA21" s="692">
        <f>SUM('1:31'!BA21)</f>
        <v>0</v>
      </c>
      <c r="BB21" s="128">
        <f t="shared" si="6"/>
        <v>0</v>
      </c>
      <c r="BC21" s="273">
        <f t="shared" si="6"/>
        <v>0</v>
      </c>
      <c r="BD21" s="273">
        <f t="shared" si="6"/>
        <v>0</v>
      </c>
      <c r="BE21" s="273">
        <f t="shared" si="6"/>
        <v>0</v>
      </c>
      <c r="BF21" s="276">
        <f t="shared" si="4"/>
        <v>0</v>
      </c>
      <c r="BG21" s="277">
        <f t="shared" si="4"/>
        <v>0</v>
      </c>
      <c r="BH21" s="277">
        <f t="shared" si="4"/>
        <v>0</v>
      </c>
      <c r="BI21" s="704">
        <f t="shared" si="4"/>
        <v>0</v>
      </c>
    </row>
    <row r="22" spans="3:63" s="28" customFormat="1" ht="20.100000000000001" customHeight="1">
      <c r="C22" s="1885"/>
      <c r="D22" s="732"/>
      <c r="E22" s="732"/>
      <c r="F22" s="733"/>
      <c r="H22" s="1889"/>
      <c r="I22" s="33" t="s">
        <v>20</v>
      </c>
      <c r="J22" s="462">
        <f>SUM('1:31'!J22)</f>
        <v>0</v>
      </c>
      <c r="K22" s="463">
        <f>SUM('1:31'!K22)</f>
        <v>0</v>
      </c>
      <c r="L22" s="463">
        <f>SUM('1:31'!L22)</f>
        <v>0</v>
      </c>
      <c r="M22" s="692">
        <f>SUM('1:31'!M22)</f>
        <v>0</v>
      </c>
      <c r="N22" s="462">
        <f>SUM('1:31'!N22)</f>
        <v>0</v>
      </c>
      <c r="O22" s="463">
        <f>SUM('1:31'!O22)</f>
        <v>0</v>
      </c>
      <c r="P22" s="463">
        <f>SUM('1:31'!P22)</f>
        <v>0</v>
      </c>
      <c r="Q22" s="692">
        <f>SUM('1:31'!Q22)</f>
        <v>0</v>
      </c>
      <c r="R22" s="462">
        <f>SUM('1:31'!R22)</f>
        <v>0</v>
      </c>
      <c r="S22" s="463">
        <f>SUM('1:31'!S22)</f>
        <v>0</v>
      </c>
      <c r="T22" s="463">
        <f>SUM('1:31'!T22)</f>
        <v>0</v>
      </c>
      <c r="U22" s="692">
        <f>SUM('1:31'!U22)</f>
        <v>0</v>
      </c>
      <c r="V22" s="462">
        <f>SUM('1:31'!V22)</f>
        <v>0</v>
      </c>
      <c r="W22" s="463">
        <f>SUM('1:31'!W22)</f>
        <v>0</v>
      </c>
      <c r="X22" s="463">
        <f>SUM('1:31'!X22)</f>
        <v>0</v>
      </c>
      <c r="Y22" s="692">
        <f>SUM('1:31'!Y22)</f>
        <v>0</v>
      </c>
      <c r="Z22" s="462">
        <f>SUM('1:31'!Z22)</f>
        <v>0</v>
      </c>
      <c r="AA22" s="463">
        <f>SUM('1:31'!AA22)</f>
        <v>0</v>
      </c>
      <c r="AB22" s="463">
        <f>SUM('1:31'!AB22)</f>
        <v>0</v>
      </c>
      <c r="AC22" s="692">
        <f>SUM('1:31'!AC22)</f>
        <v>0</v>
      </c>
      <c r="AD22" s="462">
        <f>SUM('1:31'!AD22)</f>
        <v>0</v>
      </c>
      <c r="AE22" s="463">
        <f>SUM('1:31'!AE22)</f>
        <v>0</v>
      </c>
      <c r="AF22" s="463">
        <f>SUM('1:31'!AF22)</f>
        <v>0</v>
      </c>
      <c r="AG22" s="692">
        <f>SUM('1:31'!AG22)</f>
        <v>0</v>
      </c>
      <c r="AH22" s="128">
        <f t="shared" si="5"/>
        <v>0</v>
      </c>
      <c r="AI22" s="273">
        <f t="shared" si="5"/>
        <v>0</v>
      </c>
      <c r="AJ22" s="273">
        <f t="shared" si="5"/>
        <v>0</v>
      </c>
      <c r="AK22" s="694">
        <f t="shared" si="5"/>
        <v>0</v>
      </c>
      <c r="AL22" s="462">
        <f>SUM('1:31'!AL22)</f>
        <v>0</v>
      </c>
      <c r="AM22" s="463">
        <f>SUM('1:31'!AM22)</f>
        <v>0</v>
      </c>
      <c r="AN22" s="463">
        <f>SUM('1:31'!AN22)</f>
        <v>0</v>
      </c>
      <c r="AO22" s="692">
        <f>SUM('1:31'!AO22)</f>
        <v>0</v>
      </c>
      <c r="AP22" s="462">
        <f>SUM('1:31'!AP22)</f>
        <v>0</v>
      </c>
      <c r="AQ22" s="463">
        <f>SUM('1:31'!AQ22)</f>
        <v>0</v>
      </c>
      <c r="AR22" s="463">
        <f>SUM('1:31'!AR22)</f>
        <v>0</v>
      </c>
      <c r="AS22" s="692">
        <f>SUM('1:31'!AS22)</f>
        <v>0</v>
      </c>
      <c r="AT22" s="462">
        <f>SUM('1:31'!AT22)</f>
        <v>24</v>
      </c>
      <c r="AU22" s="463">
        <f>SUM('1:31'!AU22)</f>
        <v>0</v>
      </c>
      <c r="AV22" s="463">
        <f>SUM('1:31'!AV22)</f>
        <v>0</v>
      </c>
      <c r="AW22" s="692">
        <f>SUM('1:31'!AW22)</f>
        <v>0</v>
      </c>
      <c r="AX22" s="462">
        <f>SUM('1:31'!AX22)</f>
        <v>0</v>
      </c>
      <c r="AY22" s="463">
        <f>SUM('1:31'!AY22)</f>
        <v>0</v>
      </c>
      <c r="AZ22" s="463">
        <f>SUM('1:31'!AZ22)</f>
        <v>0</v>
      </c>
      <c r="BA22" s="692">
        <f>SUM('1:31'!BA22)</f>
        <v>0</v>
      </c>
      <c r="BB22" s="128">
        <f t="shared" si="6"/>
        <v>24</v>
      </c>
      <c r="BC22" s="273">
        <f t="shared" si="6"/>
        <v>0</v>
      </c>
      <c r="BD22" s="273">
        <f t="shared" si="6"/>
        <v>0</v>
      </c>
      <c r="BE22" s="273">
        <f t="shared" si="6"/>
        <v>0</v>
      </c>
      <c r="BF22" s="276">
        <f t="shared" si="4"/>
        <v>24</v>
      </c>
      <c r="BG22" s="277">
        <f t="shared" si="4"/>
        <v>0</v>
      </c>
      <c r="BH22" s="277">
        <f t="shared" si="4"/>
        <v>0</v>
      </c>
      <c r="BI22" s="704">
        <f t="shared" si="4"/>
        <v>0</v>
      </c>
    </row>
    <row r="23" spans="3:63" s="28" customFormat="1" ht="20.100000000000001" customHeight="1">
      <c r="C23" s="1885"/>
      <c r="D23" s="732"/>
      <c r="E23" s="732"/>
      <c r="F23" s="733"/>
      <c r="H23" s="1889"/>
      <c r="I23" s="33" t="s">
        <v>19</v>
      </c>
      <c r="J23" s="462">
        <f>SUM('1:31'!J23)</f>
        <v>50</v>
      </c>
      <c r="K23" s="463">
        <f>SUM('1:31'!K23)</f>
        <v>23</v>
      </c>
      <c r="L23" s="463">
        <f>SUM('1:31'!L23)</f>
        <v>0</v>
      </c>
      <c r="M23" s="692">
        <f>SUM('1:31'!M23)</f>
        <v>0</v>
      </c>
      <c r="N23" s="462">
        <f>SUM('1:31'!N23)</f>
        <v>0</v>
      </c>
      <c r="O23" s="463">
        <f>SUM('1:31'!O23)</f>
        <v>0</v>
      </c>
      <c r="P23" s="463">
        <f>SUM('1:31'!P23)</f>
        <v>0</v>
      </c>
      <c r="Q23" s="692">
        <f>SUM('1:31'!Q23)</f>
        <v>0</v>
      </c>
      <c r="R23" s="462">
        <f>SUM('1:31'!R23)</f>
        <v>46</v>
      </c>
      <c r="S23" s="463">
        <f>SUM('1:31'!S23)</f>
        <v>0</v>
      </c>
      <c r="T23" s="463">
        <f>SUM('1:31'!T23)</f>
        <v>0</v>
      </c>
      <c r="U23" s="692">
        <f>SUM('1:31'!U23)</f>
        <v>0</v>
      </c>
      <c r="V23" s="462">
        <f>SUM('1:31'!V23)</f>
        <v>0</v>
      </c>
      <c r="W23" s="463">
        <f>SUM('1:31'!W23)</f>
        <v>0</v>
      </c>
      <c r="X23" s="463">
        <f>SUM('1:31'!X23)</f>
        <v>0</v>
      </c>
      <c r="Y23" s="692">
        <f>SUM('1:31'!Y23)</f>
        <v>0</v>
      </c>
      <c r="Z23" s="462">
        <f>SUM('1:31'!Z23)</f>
        <v>0</v>
      </c>
      <c r="AA23" s="463">
        <f>SUM('1:31'!AA23)</f>
        <v>0</v>
      </c>
      <c r="AB23" s="463">
        <f>SUM('1:31'!AB23)</f>
        <v>0</v>
      </c>
      <c r="AC23" s="692">
        <f>SUM('1:31'!AC23)</f>
        <v>0</v>
      </c>
      <c r="AD23" s="462">
        <f>SUM('1:31'!AD23)</f>
        <v>80</v>
      </c>
      <c r="AE23" s="463">
        <f>SUM('1:31'!AE23)</f>
        <v>0</v>
      </c>
      <c r="AF23" s="463">
        <f>SUM('1:31'!AF23)</f>
        <v>0</v>
      </c>
      <c r="AG23" s="692">
        <f>SUM('1:31'!AG23)</f>
        <v>0</v>
      </c>
      <c r="AH23" s="128">
        <f t="shared" si="5"/>
        <v>176</v>
      </c>
      <c r="AI23" s="273">
        <f t="shared" si="5"/>
        <v>23</v>
      </c>
      <c r="AJ23" s="273">
        <f t="shared" si="5"/>
        <v>0</v>
      </c>
      <c r="AK23" s="694">
        <f t="shared" si="5"/>
        <v>0</v>
      </c>
      <c r="AL23" s="462">
        <f>SUM('1:31'!AL23)</f>
        <v>15</v>
      </c>
      <c r="AM23" s="463">
        <f>SUM('1:31'!AM23)</f>
        <v>170</v>
      </c>
      <c r="AN23" s="463">
        <f>SUM('1:31'!AN23)</f>
        <v>0</v>
      </c>
      <c r="AO23" s="692">
        <f>SUM('1:31'!AO23)</f>
        <v>0</v>
      </c>
      <c r="AP23" s="462">
        <f>SUM('1:31'!AP23)</f>
        <v>6.5</v>
      </c>
      <c r="AQ23" s="463">
        <f>SUM('1:31'!AQ23)</f>
        <v>0</v>
      </c>
      <c r="AR23" s="463">
        <f>SUM('1:31'!AR23)</f>
        <v>0</v>
      </c>
      <c r="AS23" s="692">
        <f>SUM('1:31'!AS23)</f>
        <v>0</v>
      </c>
      <c r="AT23" s="462">
        <f>SUM('1:31'!AT23)</f>
        <v>0</v>
      </c>
      <c r="AU23" s="463">
        <f>SUM('1:31'!AU23)</f>
        <v>12</v>
      </c>
      <c r="AV23" s="463">
        <f>SUM('1:31'!AV23)</f>
        <v>0</v>
      </c>
      <c r="AW23" s="692">
        <f>SUM('1:31'!AW23)</f>
        <v>0</v>
      </c>
      <c r="AX23" s="462">
        <f>SUM('1:31'!AX23)</f>
        <v>29</v>
      </c>
      <c r="AY23" s="463">
        <f>SUM('1:31'!AY23)</f>
        <v>0</v>
      </c>
      <c r="AZ23" s="463">
        <f>SUM('1:31'!AZ23)</f>
        <v>0</v>
      </c>
      <c r="BA23" s="692">
        <f>SUM('1:31'!BA23)</f>
        <v>0</v>
      </c>
      <c r="BB23" s="128">
        <f t="shared" si="6"/>
        <v>50.5</v>
      </c>
      <c r="BC23" s="273">
        <f t="shared" si="6"/>
        <v>182</v>
      </c>
      <c r="BD23" s="273">
        <f t="shared" si="6"/>
        <v>0</v>
      </c>
      <c r="BE23" s="273">
        <f t="shared" si="6"/>
        <v>0</v>
      </c>
      <c r="BF23" s="276">
        <f t="shared" si="4"/>
        <v>226.5</v>
      </c>
      <c r="BG23" s="277">
        <f t="shared" si="4"/>
        <v>205</v>
      </c>
      <c r="BH23" s="277">
        <f t="shared" si="4"/>
        <v>0</v>
      </c>
      <c r="BI23" s="704">
        <f t="shared" si="4"/>
        <v>0</v>
      </c>
    </row>
    <row r="24" spans="3:63" s="28" customFormat="1" ht="20.100000000000001" customHeight="1" thickBot="1">
      <c r="C24" s="1885"/>
      <c r="D24" s="732"/>
      <c r="E24" s="732"/>
      <c r="F24" s="733"/>
      <c r="H24" s="1865" t="s">
        <v>116</v>
      </c>
      <c r="I24" s="1866"/>
      <c r="J24" s="118">
        <f t="shared" ref="J24:BI24" si="7">SUM(J15:J23)</f>
        <v>109</v>
      </c>
      <c r="K24" s="272">
        <f t="shared" si="7"/>
        <v>136.4</v>
      </c>
      <c r="L24" s="272">
        <f>SUM(L15:L23)</f>
        <v>0</v>
      </c>
      <c r="M24" s="272">
        <f>SUM(M15:M23)</f>
        <v>21.96</v>
      </c>
      <c r="N24" s="118">
        <f t="shared" ref="N24:AI24" si="8">SUM(N15:N23)</f>
        <v>51</v>
      </c>
      <c r="O24" s="272">
        <f t="shared" si="8"/>
        <v>15</v>
      </c>
      <c r="P24" s="272">
        <f t="shared" si="8"/>
        <v>0</v>
      </c>
      <c r="Q24" s="272">
        <f t="shared" si="8"/>
        <v>13.38</v>
      </c>
      <c r="R24" s="118">
        <f t="shared" si="8"/>
        <v>116</v>
      </c>
      <c r="S24" s="272">
        <f t="shared" si="8"/>
        <v>8</v>
      </c>
      <c r="T24" s="272">
        <f t="shared" si="8"/>
        <v>0</v>
      </c>
      <c r="U24" s="272">
        <f t="shared" si="8"/>
        <v>7.8</v>
      </c>
      <c r="V24" s="118">
        <f t="shared" si="8"/>
        <v>50.5</v>
      </c>
      <c r="W24" s="272">
        <f t="shared" si="8"/>
        <v>32.5</v>
      </c>
      <c r="X24" s="272">
        <f t="shared" si="8"/>
        <v>7</v>
      </c>
      <c r="Y24" s="272">
        <f t="shared" si="8"/>
        <v>13.469999999999999</v>
      </c>
      <c r="Z24" s="118">
        <f t="shared" si="8"/>
        <v>0</v>
      </c>
      <c r="AA24" s="272">
        <f t="shared" si="8"/>
        <v>0</v>
      </c>
      <c r="AB24" s="272">
        <f t="shared" si="8"/>
        <v>0</v>
      </c>
      <c r="AC24" s="272">
        <f t="shared" si="8"/>
        <v>0</v>
      </c>
      <c r="AD24" s="118">
        <f t="shared" si="8"/>
        <v>110</v>
      </c>
      <c r="AE24" s="272">
        <f t="shared" si="8"/>
        <v>38.5</v>
      </c>
      <c r="AF24" s="272">
        <f t="shared" si="8"/>
        <v>0</v>
      </c>
      <c r="AG24" s="272">
        <f t="shared" si="8"/>
        <v>0</v>
      </c>
      <c r="AH24" s="118">
        <f t="shared" si="8"/>
        <v>436.5</v>
      </c>
      <c r="AI24" s="272">
        <f t="shared" si="8"/>
        <v>230.4</v>
      </c>
      <c r="AJ24" s="272">
        <f>SUM(AJ15:AJ23)</f>
        <v>7</v>
      </c>
      <c r="AK24" s="695">
        <f>SUM(AK15:AK23)</f>
        <v>56.61</v>
      </c>
      <c r="AL24" s="118">
        <f t="shared" ref="AL24:BC24" si="9">SUM(AL15:AL23)</f>
        <v>161.85</v>
      </c>
      <c r="AM24" s="272">
        <f t="shared" si="9"/>
        <v>343.85</v>
      </c>
      <c r="AN24" s="272">
        <f t="shared" si="9"/>
        <v>38.5</v>
      </c>
      <c r="AO24" s="272">
        <f t="shared" si="9"/>
        <v>60.7</v>
      </c>
      <c r="AP24" s="118">
        <f t="shared" si="9"/>
        <v>77.5</v>
      </c>
      <c r="AQ24" s="272">
        <f t="shared" si="9"/>
        <v>34</v>
      </c>
      <c r="AR24" s="272">
        <f t="shared" si="9"/>
        <v>4</v>
      </c>
      <c r="AS24" s="272">
        <f t="shared" si="9"/>
        <v>7.9700000000000006</v>
      </c>
      <c r="AT24" s="118">
        <f t="shared" si="9"/>
        <v>182.5</v>
      </c>
      <c r="AU24" s="272">
        <f t="shared" si="9"/>
        <v>81.5</v>
      </c>
      <c r="AV24" s="272">
        <f t="shared" si="9"/>
        <v>8</v>
      </c>
      <c r="AW24" s="272">
        <f t="shared" si="9"/>
        <v>65.849999999999994</v>
      </c>
      <c r="AX24" s="118">
        <f t="shared" si="9"/>
        <v>75</v>
      </c>
      <c r="AY24" s="272">
        <f t="shared" si="9"/>
        <v>49</v>
      </c>
      <c r="AZ24" s="272">
        <f t="shared" si="9"/>
        <v>32</v>
      </c>
      <c r="BA24" s="272">
        <f t="shared" si="9"/>
        <v>3.94</v>
      </c>
      <c r="BB24" s="118">
        <f t="shared" si="9"/>
        <v>496.85</v>
      </c>
      <c r="BC24" s="272">
        <f t="shared" si="9"/>
        <v>508.35</v>
      </c>
      <c r="BD24" s="272">
        <f>SUM(BD15:BD23)</f>
        <v>82.5</v>
      </c>
      <c r="BE24" s="272">
        <f>SUM(BE15:BE23)</f>
        <v>138.45999999999998</v>
      </c>
      <c r="BF24" s="278">
        <f t="shared" si="7"/>
        <v>933.35</v>
      </c>
      <c r="BG24" s="279">
        <f t="shared" si="7"/>
        <v>738.75</v>
      </c>
      <c r="BH24" s="279">
        <f t="shared" si="7"/>
        <v>89.5</v>
      </c>
      <c r="BI24" s="705">
        <f t="shared" si="7"/>
        <v>195.07</v>
      </c>
    </row>
    <row r="25" spans="3:63" s="119" customFormat="1" ht="9" customHeight="1" thickBot="1">
      <c r="C25" s="121"/>
      <c r="D25" s="121"/>
      <c r="E25" s="121"/>
      <c r="F25" s="121"/>
      <c r="H25" s="122"/>
      <c r="I25" s="122"/>
      <c r="J25" s="125"/>
      <c r="K25" s="126"/>
      <c r="L25" s="126"/>
      <c r="M25" s="126"/>
      <c r="N25" s="125"/>
      <c r="O25" s="126"/>
      <c r="P25" s="126"/>
      <c r="Q25" s="126"/>
      <c r="R25" s="125"/>
      <c r="S25" s="126"/>
      <c r="T25" s="126"/>
      <c r="U25" s="126"/>
      <c r="V25" s="125"/>
      <c r="W25" s="126"/>
      <c r="X25" s="126"/>
      <c r="Y25" s="126"/>
      <c r="Z25" s="125"/>
      <c r="AA25" s="126"/>
      <c r="AB25" s="126"/>
      <c r="AC25" s="126"/>
      <c r="AD25" s="125"/>
      <c r="AE25" s="126"/>
      <c r="AF25" s="126"/>
      <c r="AG25" s="126"/>
      <c r="AH25" s="125"/>
      <c r="AI25" s="126"/>
      <c r="AJ25" s="126"/>
      <c r="AK25" s="126"/>
      <c r="AL25" s="125"/>
      <c r="AM25" s="126"/>
      <c r="AN25" s="126"/>
      <c r="AO25" s="126"/>
      <c r="AP25" s="125"/>
      <c r="AQ25" s="126"/>
      <c r="AR25" s="126"/>
      <c r="AS25" s="126"/>
      <c r="AT25" s="125"/>
      <c r="AU25" s="126"/>
      <c r="AV25" s="126"/>
      <c r="AW25" s="126"/>
      <c r="AX25" s="125"/>
      <c r="AY25" s="126"/>
      <c r="AZ25" s="126"/>
      <c r="BA25" s="126"/>
      <c r="BB25" s="125"/>
      <c r="BC25" s="126"/>
      <c r="BD25" s="126"/>
      <c r="BE25" s="126"/>
      <c r="BF25" s="125"/>
      <c r="BG25" s="126"/>
    </row>
    <row r="26" spans="3:63" s="28" customFormat="1" ht="26.25" customHeight="1" thickBot="1">
      <c r="D26" s="29"/>
      <c r="E26" s="29"/>
      <c r="F26" s="29"/>
      <c r="H26" s="1893" t="s">
        <v>49</v>
      </c>
      <c r="I26" s="1894"/>
      <c r="J26" s="123">
        <f t="shared" ref="J26:BI26" si="10">J10+J24</f>
        <v>846</v>
      </c>
      <c r="K26" s="280">
        <f t="shared" si="10"/>
        <v>592.41999999999996</v>
      </c>
      <c r="L26" s="280">
        <f>L10+L24</f>
        <v>191.51999999999998</v>
      </c>
      <c r="M26" s="280">
        <f>M10+M24</f>
        <v>270.06</v>
      </c>
      <c r="N26" s="123">
        <f t="shared" ref="N26:O26" si="11">N10+N24</f>
        <v>325</v>
      </c>
      <c r="O26" s="280">
        <f t="shared" si="11"/>
        <v>234.66000000000003</v>
      </c>
      <c r="P26" s="280">
        <f>P10+P24</f>
        <v>142.55000000000001</v>
      </c>
      <c r="Q26" s="280">
        <f>Q10+Q24</f>
        <v>76.94</v>
      </c>
      <c r="R26" s="123">
        <f t="shared" ref="R26:S26" si="12">R10+R24</f>
        <v>202.5</v>
      </c>
      <c r="S26" s="280">
        <f t="shared" si="12"/>
        <v>127.2</v>
      </c>
      <c r="T26" s="280">
        <f>T10+T24</f>
        <v>48.2</v>
      </c>
      <c r="U26" s="280">
        <f>U10+U24</f>
        <v>50.099999999999994</v>
      </c>
      <c r="V26" s="123">
        <f t="shared" ref="V26:W26" si="13">V10+V24</f>
        <v>199</v>
      </c>
      <c r="W26" s="280">
        <f t="shared" si="13"/>
        <v>124</v>
      </c>
      <c r="X26" s="280">
        <f>X10+X24</f>
        <v>77.5</v>
      </c>
      <c r="Y26" s="280">
        <f>Y10+Y24</f>
        <v>13.469999999999999</v>
      </c>
      <c r="Z26" s="123">
        <f t="shared" ref="Z26:AA26" si="14">Z10+Z24</f>
        <v>58</v>
      </c>
      <c r="AA26" s="280">
        <f t="shared" si="14"/>
        <v>39.5</v>
      </c>
      <c r="AB26" s="280">
        <f>AB10+AB24</f>
        <v>4</v>
      </c>
      <c r="AC26" s="280">
        <f>AC10+AC24</f>
        <v>38.21</v>
      </c>
      <c r="AD26" s="123">
        <f t="shared" ref="AD26:AE26" si="15">AD10+AD24</f>
        <v>510</v>
      </c>
      <c r="AE26" s="280">
        <f t="shared" si="15"/>
        <v>295.03000000000003</v>
      </c>
      <c r="AF26" s="280">
        <f>AF10+AF24</f>
        <v>251.53</v>
      </c>
      <c r="AG26" s="280">
        <f>AG10+AG24</f>
        <v>5</v>
      </c>
      <c r="AH26" s="127">
        <f t="shared" ref="AH26:AI26" si="16">AH10+AH24</f>
        <v>2140.5</v>
      </c>
      <c r="AI26" s="280">
        <f t="shared" si="16"/>
        <v>1412.8100000000002</v>
      </c>
      <c r="AJ26" s="697">
        <f>AJ10+AJ24</f>
        <v>715.30000000000007</v>
      </c>
      <c r="AK26" s="696">
        <f>AK10+AK24</f>
        <v>453.78000000000003</v>
      </c>
      <c r="AL26" s="123">
        <f t="shared" ref="AL26:AM26" si="17">AL10+AL24</f>
        <v>633.35</v>
      </c>
      <c r="AM26" s="280">
        <f t="shared" si="17"/>
        <v>532.54</v>
      </c>
      <c r="AN26" s="280">
        <f>AN10+AN24</f>
        <v>213.16</v>
      </c>
      <c r="AO26" s="280">
        <f>AO10+AO24</f>
        <v>68.7</v>
      </c>
      <c r="AP26" s="123">
        <f t="shared" ref="AP26:AQ26" si="18">AP10+AP24</f>
        <v>187.5</v>
      </c>
      <c r="AQ26" s="280">
        <f t="shared" si="18"/>
        <v>94.759999999999991</v>
      </c>
      <c r="AR26" s="280">
        <f>AR10+AR24</f>
        <v>64.759999999999991</v>
      </c>
      <c r="AS26" s="280">
        <f>AS10+AS24</f>
        <v>11.97</v>
      </c>
      <c r="AT26" s="123">
        <f t="shared" ref="AT26:AU26" si="19">AT10+AT24</f>
        <v>345</v>
      </c>
      <c r="AU26" s="280">
        <f t="shared" si="19"/>
        <v>286.52999999999997</v>
      </c>
      <c r="AV26" s="280">
        <f>AV10+AV24</f>
        <v>162.72</v>
      </c>
      <c r="AW26" s="280">
        <f>AW10+AW24</f>
        <v>99.85</v>
      </c>
      <c r="AX26" s="123">
        <f t="shared" ref="AX26:AY26" si="20">AX10+AX24</f>
        <v>234</v>
      </c>
      <c r="AY26" s="280">
        <f t="shared" si="20"/>
        <v>180.24</v>
      </c>
      <c r="AZ26" s="280">
        <f>AZ10+AZ24</f>
        <v>149.74</v>
      </c>
      <c r="BA26" s="280">
        <f>BA10+BA24</f>
        <v>46.94</v>
      </c>
      <c r="BB26" s="127">
        <f t="shared" ref="BB26:BC26" si="21">BB10+BB24</f>
        <v>1399.85</v>
      </c>
      <c r="BC26" s="280">
        <f t="shared" si="21"/>
        <v>1094.0700000000002</v>
      </c>
      <c r="BD26" s="697">
        <f>BD10+BD24</f>
        <v>590.38</v>
      </c>
      <c r="BE26" s="697">
        <f>BE10+BE24</f>
        <v>227.45999999999998</v>
      </c>
      <c r="BF26" s="124">
        <f>BF10+BF24</f>
        <v>3540.35</v>
      </c>
      <c r="BG26" s="707">
        <f t="shared" si="10"/>
        <v>2506.88</v>
      </c>
      <c r="BH26" s="706">
        <f t="shared" si="10"/>
        <v>1305.68</v>
      </c>
      <c r="BI26" s="284">
        <f t="shared" si="10"/>
        <v>681.24</v>
      </c>
    </row>
    <row r="27" spans="3:63">
      <c r="L27" s="26"/>
      <c r="M27" s="26"/>
      <c r="N27" s="24"/>
      <c r="P27" s="26"/>
      <c r="Q27" s="26"/>
      <c r="R27" s="24"/>
      <c r="T27" s="26"/>
      <c r="U27" s="26"/>
      <c r="V27" s="466"/>
      <c r="W27" s="466"/>
      <c r="X27" s="466"/>
      <c r="Y27" s="465"/>
      <c r="Z27" s="466"/>
      <c r="AA27" s="466"/>
      <c r="AB27" s="466"/>
      <c r="AC27" s="465"/>
      <c r="AD27" s="466"/>
      <c r="AG27" s="26"/>
      <c r="AH27" s="24"/>
      <c r="AK27" s="49"/>
      <c r="AL27" s="24"/>
      <c r="AM27" s="26"/>
      <c r="AN27" s="26"/>
      <c r="AY27" s="24"/>
      <c r="AZ27" s="24"/>
      <c r="BA27" s="24"/>
      <c r="BB27" s="24"/>
      <c r="BC27" s="25"/>
      <c r="BD27" s="25"/>
      <c r="BF27" s="23"/>
      <c r="BG27" s="23"/>
    </row>
    <row r="28" spans="3:63">
      <c r="L28" s="26"/>
      <c r="M28" s="26"/>
      <c r="N28" s="24"/>
      <c r="P28" s="26"/>
      <c r="Q28" s="26"/>
      <c r="R28" s="24"/>
      <c r="T28" s="26"/>
      <c r="U28" s="26"/>
      <c r="V28" s="466"/>
      <c r="W28" s="466"/>
      <c r="X28" s="466"/>
      <c r="Y28" s="465"/>
      <c r="Z28" s="466"/>
      <c r="AA28" s="466"/>
      <c r="AB28" s="466"/>
      <c r="AC28" s="465"/>
      <c r="AD28" s="466"/>
      <c r="AG28" s="26"/>
      <c r="AH28" s="24"/>
      <c r="AK28" s="49"/>
      <c r="AL28" s="24"/>
      <c r="AM28" s="26"/>
      <c r="AN28" s="26"/>
      <c r="AY28" s="24"/>
      <c r="AZ28" s="24"/>
      <c r="BA28" s="24"/>
      <c r="BB28" s="24"/>
      <c r="BC28" s="25"/>
      <c r="BD28" s="25"/>
      <c r="BF28" s="23"/>
      <c r="BG28" s="23"/>
    </row>
    <row r="29" spans="3:63">
      <c r="L29" s="26"/>
      <c r="M29" s="26"/>
      <c r="N29" s="24"/>
      <c r="P29" s="26"/>
      <c r="Q29" s="26"/>
      <c r="R29" s="24"/>
      <c r="T29" s="26"/>
      <c r="U29" s="26"/>
      <c r="V29" s="466"/>
      <c r="W29" s="466"/>
      <c r="X29" s="466"/>
      <c r="Y29" s="465"/>
      <c r="Z29" s="466"/>
      <c r="AA29" s="466"/>
      <c r="AB29" s="466"/>
      <c r="AC29" s="465"/>
      <c r="AD29" s="466"/>
      <c r="AG29" s="26"/>
      <c r="AH29" s="24"/>
      <c r="AK29" s="49"/>
      <c r="AL29" s="24"/>
      <c r="AM29" s="26"/>
      <c r="AN29" s="26"/>
      <c r="AY29" s="24"/>
      <c r="AZ29" s="24"/>
      <c r="BA29" s="24"/>
      <c r="BB29" s="24"/>
      <c r="BC29" s="25"/>
      <c r="BD29" s="25"/>
      <c r="BF29" s="23"/>
      <c r="BG29" s="23"/>
    </row>
    <row r="30" spans="3:63">
      <c r="L30" s="26"/>
      <c r="M30" s="26"/>
      <c r="N30" s="24"/>
      <c r="P30" s="26"/>
      <c r="Q30" s="26"/>
      <c r="R30" s="24"/>
      <c r="T30" s="26"/>
      <c r="U30" s="26"/>
      <c r="V30" s="466"/>
      <c r="W30" s="466"/>
      <c r="X30" s="466"/>
      <c r="Y30" s="465"/>
      <c r="Z30" s="466"/>
      <c r="AA30" s="466"/>
      <c r="AB30" s="466"/>
      <c r="AC30" s="465"/>
      <c r="AD30" s="466"/>
      <c r="AG30" s="26"/>
      <c r="AH30" s="24"/>
      <c r="AK30" s="49"/>
      <c r="AL30" s="24"/>
      <c r="AM30" s="26"/>
      <c r="AN30" s="26"/>
      <c r="AY30" s="24"/>
      <c r="AZ30" s="24"/>
      <c r="BA30" s="24"/>
      <c r="BB30" s="24"/>
      <c r="BC30" s="25"/>
      <c r="BD30" s="25"/>
      <c r="BF30" s="23"/>
      <c r="BG30" s="23"/>
    </row>
    <row r="31" spans="3:63" ht="15" customHeight="1">
      <c r="L31" s="26"/>
      <c r="M31" s="26"/>
      <c r="N31" s="24"/>
      <c r="P31" s="26"/>
      <c r="Q31" s="26"/>
      <c r="R31" s="24"/>
      <c r="T31" s="26"/>
      <c r="U31" s="26"/>
      <c r="V31" s="466"/>
      <c r="W31" s="466"/>
      <c r="X31" s="466"/>
      <c r="Y31" s="465"/>
      <c r="Z31" s="466"/>
      <c r="AA31" s="466"/>
      <c r="AB31" s="466"/>
      <c r="AC31" s="465"/>
      <c r="AD31" s="466"/>
      <c r="AG31" s="26"/>
      <c r="AH31" s="24"/>
      <c r="AK31" s="49"/>
      <c r="AL31" s="24"/>
      <c r="AM31" s="26"/>
      <c r="AN31" s="26"/>
      <c r="AP31" s="24"/>
      <c r="AQ31" s="26"/>
      <c r="AR31" s="26"/>
      <c r="AT31" s="24"/>
      <c r="AU31" s="26"/>
      <c r="AV31" s="26"/>
      <c r="AW31" s="50"/>
      <c r="AX31" s="50"/>
      <c r="AY31" s="26"/>
      <c r="AZ31" s="26"/>
      <c r="BA31" s="24"/>
      <c r="BB31" s="24"/>
      <c r="BC31" s="25"/>
      <c r="BD31" s="25"/>
      <c r="BF31" s="23"/>
      <c r="BG31" s="23"/>
    </row>
    <row r="32" spans="3:63" ht="27" customHeight="1">
      <c r="L32" s="26"/>
      <c r="M32" s="26"/>
      <c r="N32" s="24"/>
      <c r="P32" s="26"/>
      <c r="Q32" s="26"/>
      <c r="R32" s="24"/>
      <c r="T32" s="26"/>
      <c r="U32" s="26"/>
      <c r="V32" s="24"/>
      <c r="W32" s="466"/>
      <c r="X32" s="466"/>
      <c r="Y32" s="466"/>
      <c r="Z32" s="465"/>
      <c r="AA32" s="466"/>
      <c r="AB32" s="466"/>
      <c r="AC32" s="466"/>
      <c r="AD32" s="465"/>
      <c r="AE32" s="466"/>
      <c r="AN32" s="26"/>
      <c r="AO32" s="26"/>
      <c r="AP32" s="24"/>
      <c r="AR32" s="26"/>
      <c r="AS32" s="26"/>
      <c r="AT32" s="24"/>
      <c r="AV32" s="26"/>
      <c r="AW32" s="26"/>
      <c r="AX32" s="50"/>
      <c r="AZ32" s="26"/>
      <c r="BA32" s="26"/>
      <c r="BB32" s="24"/>
      <c r="BD32" s="25"/>
      <c r="BE32" s="25"/>
      <c r="BF32" s="24"/>
      <c r="BG32" s="23"/>
    </row>
    <row r="33" spans="12:59" ht="27" customHeight="1">
      <c r="L33" s="26"/>
      <c r="M33" s="26"/>
      <c r="N33" s="24"/>
      <c r="P33" s="26"/>
      <c r="Q33" s="26"/>
      <c r="R33" s="24"/>
      <c r="T33" s="26"/>
      <c r="U33" s="26"/>
      <c r="V33" s="24"/>
      <c r="W33" s="466"/>
      <c r="X33" s="466"/>
      <c r="Y33" s="466"/>
      <c r="Z33" s="465"/>
      <c r="AA33" s="466"/>
      <c r="AB33" s="466"/>
      <c r="AC33" s="466"/>
      <c r="AD33" s="465"/>
      <c r="AE33" s="466"/>
      <c r="AN33" s="26"/>
      <c r="AO33" s="26"/>
      <c r="AP33" s="24"/>
      <c r="AR33" s="26"/>
      <c r="AS33" s="26"/>
      <c r="AT33" s="24"/>
      <c r="AV33" s="26"/>
      <c r="AW33" s="26"/>
      <c r="AX33" s="50"/>
      <c r="AZ33" s="26"/>
      <c r="BA33" s="26"/>
      <c r="BB33" s="24"/>
      <c r="BD33" s="25"/>
      <c r="BE33" s="25"/>
      <c r="BF33" s="24"/>
      <c r="BG33" s="23"/>
    </row>
    <row r="34" spans="12:59">
      <c r="L34" s="26"/>
      <c r="M34" s="26"/>
      <c r="N34" s="24"/>
      <c r="P34" s="26"/>
      <c r="Q34" s="26"/>
      <c r="R34" s="24"/>
      <c r="T34" s="26"/>
      <c r="U34" s="26"/>
      <c r="V34" s="24"/>
      <c r="W34" s="466"/>
      <c r="X34" s="466"/>
      <c r="Y34" s="466"/>
      <c r="Z34" s="465"/>
      <c r="AA34" s="466"/>
      <c r="AB34" s="466"/>
      <c r="AC34" s="466"/>
      <c r="AD34" s="465"/>
      <c r="AE34" s="466"/>
      <c r="AN34" s="26"/>
      <c r="AO34" s="26"/>
      <c r="AP34" s="24"/>
      <c r="AR34" s="26"/>
      <c r="AS34" s="26"/>
      <c r="AT34" s="24"/>
      <c r="AV34" s="26"/>
      <c r="AW34" s="26"/>
      <c r="AX34" s="50"/>
      <c r="AZ34" s="26"/>
      <c r="BA34" s="26"/>
      <c r="BB34" s="24"/>
      <c r="BD34" s="25"/>
      <c r="BE34" s="25"/>
      <c r="BF34" s="24"/>
      <c r="BG34" s="23"/>
    </row>
    <row r="35" spans="12:59">
      <c r="L35" s="26"/>
      <c r="M35" s="26"/>
      <c r="N35" s="24"/>
      <c r="P35" s="26"/>
      <c r="Q35" s="26"/>
      <c r="R35" s="24"/>
      <c r="T35" s="26"/>
      <c r="U35" s="26"/>
      <c r="V35" s="24"/>
      <c r="W35" s="466"/>
      <c r="X35" s="466"/>
      <c r="Y35" s="466"/>
      <c r="Z35" s="465"/>
      <c r="AA35" s="466"/>
      <c r="AB35" s="466"/>
      <c r="AC35" s="466"/>
      <c r="AD35" s="465"/>
      <c r="AE35" s="466"/>
      <c r="AN35" s="26"/>
      <c r="AO35" s="26"/>
      <c r="AP35" s="24"/>
      <c r="AR35" s="26"/>
      <c r="AS35" s="26"/>
      <c r="AT35" s="24"/>
      <c r="AV35" s="26"/>
      <c r="AW35" s="26"/>
      <c r="AX35" s="50"/>
      <c r="AZ35" s="26"/>
      <c r="BA35" s="26"/>
      <c r="BB35" s="24"/>
      <c r="BD35" s="25"/>
      <c r="BE35" s="25"/>
      <c r="BF35" s="24"/>
      <c r="BG35" s="23"/>
    </row>
    <row r="36" spans="12:59">
      <c r="L36" s="26"/>
      <c r="M36" s="26"/>
      <c r="N36" s="24"/>
      <c r="P36" s="26"/>
      <c r="Q36" s="26"/>
      <c r="R36" s="24"/>
      <c r="T36" s="26"/>
      <c r="U36" s="26"/>
      <c r="V36" s="24"/>
      <c r="X36" s="26"/>
      <c r="Y36" s="26"/>
      <c r="Z36" s="24"/>
      <c r="AB36" s="26"/>
      <c r="AC36" s="26"/>
      <c r="AD36" s="24"/>
      <c r="AF36" s="26"/>
      <c r="AG36" s="26"/>
      <c r="AH36" s="24"/>
      <c r="AJ36" s="49"/>
      <c r="AK36" s="49"/>
      <c r="AL36" s="24"/>
      <c r="AN36" s="26"/>
      <c r="AO36" s="26"/>
      <c r="AP36" s="24"/>
      <c r="AR36" s="26"/>
      <c r="AS36" s="26"/>
      <c r="AT36" s="24"/>
      <c r="AV36" s="26"/>
      <c r="AW36" s="26"/>
      <c r="AX36" s="50"/>
      <c r="AZ36" s="26"/>
      <c r="BA36" s="26"/>
      <c r="BB36" s="24"/>
      <c r="BD36" s="25"/>
      <c r="BE36" s="25"/>
      <c r="BF36" s="24"/>
      <c r="BG36" s="23"/>
    </row>
    <row r="37" spans="12:59">
      <c r="L37" s="26"/>
      <c r="M37" s="26"/>
      <c r="N37" s="24"/>
      <c r="P37" s="26"/>
      <c r="Q37" s="26"/>
      <c r="R37" s="24"/>
      <c r="T37" s="26"/>
      <c r="U37" s="26"/>
      <c r="V37" s="24"/>
      <c r="X37" s="26"/>
      <c r="Y37" s="26"/>
      <c r="Z37" s="24"/>
      <c r="AB37" s="26"/>
      <c r="AC37" s="26"/>
      <c r="AD37" s="24"/>
      <c r="AF37" s="26"/>
      <c r="AG37" s="26"/>
      <c r="AH37" s="24"/>
      <c r="AJ37" s="49"/>
      <c r="AK37" s="49"/>
      <c r="AL37" s="24"/>
      <c r="AN37" s="26"/>
      <c r="AO37" s="26"/>
      <c r="AP37" s="24"/>
      <c r="AR37" s="26"/>
      <c r="AS37" s="26"/>
      <c r="AT37" s="24"/>
      <c r="AV37" s="26"/>
      <c r="AW37" s="26"/>
      <c r="AX37" s="50"/>
      <c r="AZ37" s="26"/>
      <c r="BA37" s="26"/>
      <c r="BB37" s="24"/>
      <c r="BD37" s="25"/>
      <c r="BE37" s="25"/>
      <c r="BF37" s="24"/>
      <c r="BG37" s="23"/>
    </row>
  </sheetData>
  <mergeCells count="44">
    <mergeCell ref="AL4:AO4"/>
    <mergeCell ref="AP4:AS4"/>
    <mergeCell ref="C2:F2"/>
    <mergeCell ref="BB2:BI2"/>
    <mergeCell ref="H3:BI3"/>
    <mergeCell ref="D4:F4"/>
    <mergeCell ref="H4:I5"/>
    <mergeCell ref="J4:M4"/>
    <mergeCell ref="N4:Q4"/>
    <mergeCell ref="R4:U4"/>
    <mergeCell ref="H2:BA2"/>
    <mergeCell ref="H26:I26"/>
    <mergeCell ref="AH13:AK13"/>
    <mergeCell ref="AL13:AO13"/>
    <mergeCell ref="AP13:AS13"/>
    <mergeCell ref="AT13:AW13"/>
    <mergeCell ref="H13:I14"/>
    <mergeCell ref="J13:M13"/>
    <mergeCell ref="N13:Q13"/>
    <mergeCell ref="R13:U13"/>
    <mergeCell ref="V13:Y13"/>
    <mergeCell ref="Z13:AC13"/>
    <mergeCell ref="AD13:AG13"/>
    <mergeCell ref="C14:D14"/>
    <mergeCell ref="C15:C24"/>
    <mergeCell ref="H15:H23"/>
    <mergeCell ref="H24:I24"/>
    <mergeCell ref="AX13:BA13"/>
    <mergeCell ref="H10:I10"/>
    <mergeCell ref="H12:BI12"/>
    <mergeCell ref="D13:F13"/>
    <mergeCell ref="AT4:AW4"/>
    <mergeCell ref="AX4:BA4"/>
    <mergeCell ref="BB4:BE4"/>
    <mergeCell ref="BF4:BI4"/>
    <mergeCell ref="C5:D5"/>
    <mergeCell ref="BF13:BI13"/>
    <mergeCell ref="BB13:BE13"/>
    <mergeCell ref="C6:C9"/>
    <mergeCell ref="H6:H9"/>
    <mergeCell ref="V4:Y4"/>
    <mergeCell ref="Z4:AC4"/>
    <mergeCell ref="AD4:AG4"/>
    <mergeCell ref="AH4:AK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2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48</vt:i4>
      </vt:variant>
      <vt:variant>
        <vt:lpstr>Named Ranges</vt:lpstr>
      </vt:variant>
      <vt:variant>
        <vt:i4>24</vt:i4>
      </vt:variant>
    </vt:vector>
  </HeadingPairs>
  <TitlesOfParts>
    <vt:vector size="72" baseType="lpstr">
      <vt:lpstr>Targetwise Plan</vt:lpstr>
      <vt:lpstr>Week (1)</vt:lpstr>
      <vt:lpstr>Week (2)</vt:lpstr>
      <vt:lpstr>Week (3)</vt:lpstr>
      <vt:lpstr>Week (4)</vt:lpstr>
      <vt:lpstr>Week (5)</vt:lpstr>
      <vt:lpstr>Month</vt:lpstr>
      <vt:lpstr>DAY</vt:lpstr>
      <vt:lpstr>MTD Total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last</vt:lpstr>
      <vt:lpstr>Cumulative_Graph</vt:lpstr>
      <vt:lpstr>RMT</vt:lpstr>
      <vt:lpstr>New format</vt:lpstr>
      <vt:lpstr>New format 2</vt:lpstr>
      <vt:lpstr>Plan Mapping</vt:lpstr>
      <vt:lpstr>Sheet1</vt:lpstr>
      <vt:lpstr>Sheet2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'20'!Print_Area</vt:lpstr>
      <vt:lpstr>'21'!Print_Area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Month!Print_Area</vt:lpstr>
      <vt:lpstr>'New format'!Print_Area</vt:lpstr>
      <vt:lpstr>'New format 2'!Print_Area</vt:lpstr>
      <vt:lpstr>'Week (1)'!Print_Area</vt:lpstr>
      <vt:lpstr>'Week (2)'!Print_Area</vt:lpstr>
      <vt:lpstr>'Week (3)'!Print_Area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2022-01-29T13:21:59Z</dcterms:modified>
</cp:coreProperties>
</file>