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R\Downloads\"/>
    </mc:Choice>
  </mc:AlternateContent>
  <bookViews>
    <workbookView xWindow="0" yWindow="0" windowWidth="20490" windowHeight="8655" firstSheet="20" activeTab="20"/>
  </bookViews>
  <sheets>
    <sheet name="Final Sheet" sheetId="1" state="hidden" r:id="rId1"/>
    <sheet name="Sheet1" sheetId="7" state="hidden" r:id="rId2"/>
    <sheet name="Sheet2" sheetId="8" state="hidden" r:id="rId3"/>
    <sheet name="Mail Sheet (2)" sheetId="9" state="hidden" r:id="rId4"/>
    <sheet name="Sheet3" sheetId="10" state="hidden" r:id="rId5"/>
    <sheet name="Sheet4" sheetId="11" state="hidden" r:id="rId6"/>
    <sheet name="Sheet5" sheetId="12" state="hidden" r:id="rId7"/>
    <sheet name="Sheet6" sheetId="13" state="hidden" r:id="rId8"/>
    <sheet name="Sheet7" sheetId="15" state="hidden" r:id="rId9"/>
    <sheet name="21 Approved Cases" sheetId="16" state="hidden" r:id="rId10"/>
    <sheet name="6 under login" sheetId="17" state="hidden" r:id="rId11"/>
    <sheet name="17 Yet to login by 30th jun'21" sheetId="18" state="hidden" r:id="rId12"/>
    <sheet name="Oct Final Dashboard (4)" sheetId="34" state="hidden" r:id="rId13"/>
    <sheet name="Nov Final Dashboard" sheetId="30" state="hidden" r:id="rId14"/>
    <sheet name="Oct Work Sheet" sheetId="29" state="hidden" r:id="rId15"/>
    <sheet name="Sheet9" sheetId="35" state="hidden" r:id="rId16"/>
    <sheet name="Sheet10" sheetId="36" state="hidden" r:id="rId17"/>
    <sheet name="Sheet11" sheetId="37" state="hidden" r:id="rId18"/>
    <sheet name="Sheet12" sheetId="38" state="hidden" r:id="rId19"/>
    <sheet name="Sheet8" sheetId="31" state="hidden" r:id="rId20"/>
    <sheet name="Sheet13" sheetId="39" r:id="rId21"/>
    <sheet name="Approved" sheetId="40" r:id="rId22"/>
    <sheet name="Login files" sheetId="41" r:id="rId23"/>
  </sheets>
  <definedNames>
    <definedName name="_xlnm._FilterDatabase" localSheetId="11" hidden="1">'17 Yet to login by 30th jun''21'!$B$3:$J$21</definedName>
    <definedName name="_xlnm._FilterDatabase" localSheetId="9" hidden="1">'21 Approved Cases'!$B$4:$L$24</definedName>
    <definedName name="_xlnm._FilterDatabase" localSheetId="21" hidden="1">Approved!$A$1:$N$32</definedName>
    <definedName name="_xlnm._FilterDatabase" localSheetId="0" hidden="1">'Final Sheet'!$A$3:$AD$18</definedName>
    <definedName name="_xlnm._FilterDatabase" localSheetId="22" hidden="1">'Login files'!$A$2:$T$64</definedName>
    <definedName name="_xlnm._FilterDatabase" localSheetId="3" hidden="1">'Mail Sheet (2)'!$B$3:$N$81</definedName>
    <definedName name="_xlnm._FilterDatabase" localSheetId="13" hidden="1">'Nov Final Dashboard'!$B$2:$AE$92</definedName>
    <definedName name="_xlnm._FilterDatabase" localSheetId="12" hidden="1">'Oct Final Dashboard (4)'!$B$5:$I$84</definedName>
    <definedName name="_xlnm._FilterDatabase" localSheetId="14" hidden="1">'Oct Work Sheet'!$B$5:$J$82</definedName>
    <definedName name="_xlnm._FilterDatabase" localSheetId="2" hidden="1">Sheet2!$B$1:$L$19</definedName>
    <definedName name="_xlnm._FilterDatabase" localSheetId="4" hidden="1">Sheet3!$C$3:$J$20</definedName>
    <definedName name="_xlnm._FilterDatabase" localSheetId="15" hidden="1">Sheet9!$B$3:$I$34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4" i="41" l="1"/>
  <c r="I43" i="39" l="1"/>
  <c r="E29" i="39" l="1"/>
  <c r="F43" i="39"/>
  <c r="L43" i="39" l="1"/>
  <c r="K43" i="39"/>
  <c r="H21" i="39"/>
  <c r="H22" i="39"/>
  <c r="H23" i="39"/>
  <c r="H24" i="39"/>
  <c r="H25" i="39"/>
  <c r="H26" i="39"/>
  <c r="H27" i="39"/>
  <c r="H28" i="39"/>
  <c r="H20" i="39"/>
  <c r="G20" i="39"/>
  <c r="G34" i="39" s="1"/>
  <c r="N21" i="39"/>
  <c r="O21" i="39"/>
  <c r="N22" i="39"/>
  <c r="O22" i="39"/>
  <c r="N23" i="39"/>
  <c r="O23" i="39"/>
  <c r="N24" i="39"/>
  <c r="O24" i="39"/>
  <c r="N25" i="39"/>
  <c r="O25" i="39"/>
  <c r="N26" i="39"/>
  <c r="O26" i="39"/>
  <c r="N27" i="39"/>
  <c r="O27" i="39"/>
  <c r="N28" i="39"/>
  <c r="O28" i="39"/>
  <c r="O20" i="39"/>
  <c r="K20" i="39"/>
  <c r="N20" i="39"/>
  <c r="J20" i="39"/>
  <c r="E43" i="39"/>
  <c r="J43" i="39"/>
  <c r="D43" i="39"/>
  <c r="H35" i="39"/>
  <c r="H36" i="39"/>
  <c r="H37" i="39"/>
  <c r="H38" i="39"/>
  <c r="H39" i="39"/>
  <c r="H40" i="39"/>
  <c r="H41" i="39"/>
  <c r="H42" i="39"/>
  <c r="H43" i="39"/>
  <c r="H34" i="39"/>
  <c r="C15" i="39"/>
  <c r="F21" i="39"/>
  <c r="F22" i="39"/>
  <c r="F23" i="39"/>
  <c r="F24" i="39"/>
  <c r="F25" i="39"/>
  <c r="F26" i="39"/>
  <c r="F27" i="39"/>
  <c r="F28" i="39"/>
  <c r="F20" i="39"/>
  <c r="D21" i="39"/>
  <c r="D22" i="39"/>
  <c r="D23" i="39"/>
  <c r="D24" i="39"/>
  <c r="D25" i="39"/>
  <c r="D26" i="39"/>
  <c r="D27" i="39"/>
  <c r="D28" i="39"/>
  <c r="D20" i="39"/>
  <c r="C21" i="39"/>
  <c r="C22" i="39"/>
  <c r="C23" i="39"/>
  <c r="C24" i="39"/>
  <c r="C25" i="39"/>
  <c r="C26" i="39"/>
  <c r="C27" i="39"/>
  <c r="C28" i="39"/>
  <c r="C20" i="39"/>
  <c r="G21" i="39"/>
  <c r="G35" i="39" s="1"/>
  <c r="G22" i="39"/>
  <c r="G36" i="39" s="1"/>
  <c r="G23" i="39"/>
  <c r="G37" i="39" s="1"/>
  <c r="G24" i="39"/>
  <c r="G38" i="39" s="1"/>
  <c r="G25" i="39"/>
  <c r="G39" i="39" s="1"/>
  <c r="G26" i="39"/>
  <c r="G40" i="39" s="1"/>
  <c r="G27" i="39"/>
  <c r="G41" i="39" s="1"/>
  <c r="G28" i="39"/>
  <c r="G42" i="39" s="1"/>
  <c r="K21" i="39"/>
  <c r="K22" i="39"/>
  <c r="K23" i="39"/>
  <c r="K24" i="39"/>
  <c r="K25" i="39"/>
  <c r="K26" i="39"/>
  <c r="K27" i="39"/>
  <c r="K28" i="39"/>
  <c r="J21" i="39"/>
  <c r="J22" i="39"/>
  <c r="J23" i="39"/>
  <c r="J24" i="39"/>
  <c r="J25" i="39"/>
  <c r="J26" i="39"/>
  <c r="J27" i="39"/>
  <c r="J28" i="39"/>
  <c r="P21" i="39"/>
  <c r="M35" i="39" s="1"/>
  <c r="P22" i="39"/>
  <c r="M36" i="39" s="1"/>
  <c r="P23" i="39"/>
  <c r="M37" i="39" s="1"/>
  <c r="P24" i="39"/>
  <c r="M38" i="39" s="1"/>
  <c r="P25" i="39"/>
  <c r="M39" i="39" s="1"/>
  <c r="P26" i="39"/>
  <c r="M40" i="39" s="1"/>
  <c r="P27" i="39"/>
  <c r="M41" i="39" s="1"/>
  <c r="P28" i="39"/>
  <c r="M42" i="39" s="1"/>
  <c r="P20" i="39"/>
  <c r="M34" i="39" s="1"/>
  <c r="Q21" i="39"/>
  <c r="Q22" i="39"/>
  <c r="Q23" i="39"/>
  <c r="Q24" i="39"/>
  <c r="Q25" i="39"/>
  <c r="Q26" i="39"/>
  <c r="Q27" i="39"/>
  <c r="Q28" i="39"/>
  <c r="Q20" i="39"/>
  <c r="W5" i="30"/>
  <c r="O5" i="30"/>
  <c r="M43" i="39" l="1"/>
  <c r="G43" i="39"/>
  <c r="I15" i="39"/>
  <c r="H15" i="39"/>
  <c r="Q29" i="39"/>
  <c r="P29" i="39"/>
  <c r="O29" i="39"/>
  <c r="N29" i="39"/>
  <c r="M21" i="39"/>
  <c r="M22" i="39"/>
  <c r="M23" i="39"/>
  <c r="M24" i="39"/>
  <c r="M25" i="39"/>
  <c r="M26" i="39"/>
  <c r="M27" i="39"/>
  <c r="M28" i="39"/>
  <c r="M20" i="39"/>
  <c r="L21" i="39"/>
  <c r="L22" i="39"/>
  <c r="L23" i="39"/>
  <c r="L24" i="39"/>
  <c r="L25" i="39"/>
  <c r="L26" i="39"/>
  <c r="L27" i="39"/>
  <c r="L28" i="39"/>
  <c r="L20" i="39"/>
  <c r="F29" i="39"/>
  <c r="D29" i="39"/>
  <c r="C29" i="39"/>
  <c r="F7" i="39"/>
  <c r="F8" i="39"/>
  <c r="F9" i="39"/>
  <c r="F10" i="39"/>
  <c r="F11" i="39"/>
  <c r="F12" i="39"/>
  <c r="F13" i="39"/>
  <c r="F14" i="39"/>
  <c r="F6" i="39"/>
  <c r="E7" i="39"/>
  <c r="C35" i="39" s="1"/>
  <c r="E8" i="39"/>
  <c r="C36" i="39" s="1"/>
  <c r="E9" i="39"/>
  <c r="C37" i="39" s="1"/>
  <c r="E10" i="39"/>
  <c r="C38" i="39" s="1"/>
  <c r="E11" i="39"/>
  <c r="C39" i="39" s="1"/>
  <c r="E12" i="39"/>
  <c r="E13" i="39"/>
  <c r="C41" i="39" s="1"/>
  <c r="E14" i="39"/>
  <c r="C42" i="39" s="1"/>
  <c r="E6" i="39"/>
  <c r="R15" i="41"/>
  <c r="Q15" i="41"/>
  <c r="P15" i="41"/>
  <c r="O15" i="41"/>
  <c r="T14" i="41"/>
  <c r="S14" i="41"/>
  <c r="T13" i="41"/>
  <c r="S13" i="41"/>
  <c r="T12" i="41"/>
  <c r="S12" i="41"/>
  <c r="T11" i="41"/>
  <c r="S11" i="41"/>
  <c r="T10" i="41"/>
  <c r="S10" i="41"/>
  <c r="T9" i="41"/>
  <c r="S9" i="41"/>
  <c r="T8" i="41"/>
  <c r="S8" i="41"/>
  <c r="T7" i="41"/>
  <c r="S7" i="41"/>
  <c r="T6" i="41"/>
  <c r="S6" i="41"/>
  <c r="K29" i="39"/>
  <c r="J29" i="39"/>
  <c r="H29" i="39"/>
  <c r="G29" i="39"/>
  <c r="G41" i="37"/>
  <c r="G47" i="37"/>
  <c r="G48" i="37" s="1"/>
  <c r="C41" i="37"/>
  <c r="H47" i="37"/>
  <c r="G40" i="37"/>
  <c r="H40" i="37"/>
  <c r="G44" i="37"/>
  <c r="P48" i="37"/>
  <c r="O48" i="37"/>
  <c r="J40" i="37"/>
  <c r="F40" i="37"/>
  <c r="M36" i="37"/>
  <c r="M40" i="37" s="1"/>
  <c r="M47" i="37"/>
  <c r="I47" i="37"/>
  <c r="K47" i="37"/>
  <c r="E47" i="37"/>
  <c r="I40" i="37"/>
  <c r="K40" i="37"/>
  <c r="K48" i="37" s="1"/>
  <c r="E40" i="37"/>
  <c r="L37" i="37"/>
  <c r="L38" i="37"/>
  <c r="L39" i="37"/>
  <c r="L41" i="37"/>
  <c r="L42" i="37"/>
  <c r="L45" i="37"/>
  <c r="L46" i="37"/>
  <c r="L36" i="37"/>
  <c r="J44" i="37"/>
  <c r="L44" i="37" s="1"/>
  <c r="F43" i="37"/>
  <c r="F47" i="37" s="1"/>
  <c r="F48" i="37" s="1"/>
  <c r="J30" i="37"/>
  <c r="J9" i="37"/>
  <c r="L9" i="37" s="1"/>
  <c r="J10" i="37"/>
  <c r="L10" i="37" s="1"/>
  <c r="M23" i="37" s="1"/>
  <c r="J11" i="37"/>
  <c r="J12" i="37"/>
  <c r="L12" i="37" s="1"/>
  <c r="M25" i="37" s="1"/>
  <c r="J13" i="37"/>
  <c r="L13" i="37" s="1"/>
  <c r="M26" i="37" s="1"/>
  <c r="J14" i="37"/>
  <c r="L14" i="37" s="1"/>
  <c r="J15" i="37"/>
  <c r="L15" i="37" s="1"/>
  <c r="M28" i="37" s="1"/>
  <c r="J16" i="37"/>
  <c r="L16" i="37" s="1"/>
  <c r="M29" i="37" s="1"/>
  <c r="J8" i="37"/>
  <c r="L8" i="37" s="1"/>
  <c r="M21" i="37" s="1"/>
  <c r="K30" i="37"/>
  <c r="I30" i="37"/>
  <c r="F30" i="37"/>
  <c r="E30" i="37"/>
  <c r="I17" i="37"/>
  <c r="F17" i="37"/>
  <c r="E17" i="37"/>
  <c r="K16" i="37"/>
  <c r="L29" i="37" s="1"/>
  <c r="K15" i="37"/>
  <c r="L28" i="37" s="1"/>
  <c r="Q14" i="37"/>
  <c r="K14" i="37"/>
  <c r="K13" i="37"/>
  <c r="K12" i="37"/>
  <c r="K11" i="37"/>
  <c r="L24" i="37" s="1"/>
  <c r="K10" i="37"/>
  <c r="Q9" i="37"/>
  <c r="K9" i="37"/>
  <c r="K8" i="37"/>
  <c r="L21" i="37" s="1"/>
  <c r="H34" i="35"/>
  <c r="J14" i="31"/>
  <c r="P6" i="30"/>
  <c r="P7" i="30"/>
  <c r="P8" i="30"/>
  <c r="P9" i="30"/>
  <c r="P10" i="30"/>
  <c r="P11" i="30"/>
  <c r="P12" i="30"/>
  <c r="P13" i="30"/>
  <c r="M10" i="30"/>
  <c r="M11" i="30"/>
  <c r="M12" i="30"/>
  <c r="M13" i="30"/>
  <c r="M9" i="30"/>
  <c r="V9" i="30" s="1"/>
  <c r="M5" i="30"/>
  <c r="Y5" i="30" s="1"/>
  <c r="L14" i="30"/>
  <c r="N6" i="34"/>
  <c r="N7" i="34"/>
  <c r="N8" i="34"/>
  <c r="N9" i="34"/>
  <c r="N10" i="34"/>
  <c r="N11" i="34"/>
  <c r="N12" i="34"/>
  <c r="N13" i="34"/>
  <c r="N5" i="34"/>
  <c r="M6" i="34"/>
  <c r="M7" i="34"/>
  <c r="M8" i="34"/>
  <c r="M9" i="34"/>
  <c r="M10" i="34"/>
  <c r="M11" i="34"/>
  <c r="M12" i="34"/>
  <c r="M13" i="34"/>
  <c r="M5" i="34"/>
  <c r="AB13" i="30"/>
  <c r="AC13" i="30"/>
  <c r="AB11" i="30"/>
  <c r="AC11" i="30"/>
  <c r="AB12" i="30"/>
  <c r="AC12" i="30"/>
  <c r="Z11" i="30"/>
  <c r="AA11" i="30"/>
  <c r="Z12" i="30"/>
  <c r="AA12" i="30"/>
  <c r="Z13" i="30"/>
  <c r="AA13" i="30"/>
  <c r="W11" i="30"/>
  <c r="X11" i="30"/>
  <c r="W12" i="30"/>
  <c r="X12" i="30"/>
  <c r="W13" i="30"/>
  <c r="X13" i="30"/>
  <c r="S10" i="30"/>
  <c r="T10" i="30"/>
  <c r="S11" i="30"/>
  <c r="T11" i="30"/>
  <c r="S12" i="30"/>
  <c r="T12" i="30"/>
  <c r="S13" i="30"/>
  <c r="T13" i="30"/>
  <c r="P5" i="30"/>
  <c r="O6" i="30"/>
  <c r="O7" i="30"/>
  <c r="O8" i="30"/>
  <c r="O9" i="30"/>
  <c r="O10" i="30"/>
  <c r="O11" i="30"/>
  <c r="O12" i="30"/>
  <c r="O13" i="30"/>
  <c r="N6" i="30"/>
  <c r="N7" i="30"/>
  <c r="N8" i="30"/>
  <c r="N9" i="30"/>
  <c r="N10" i="30"/>
  <c r="N11" i="30"/>
  <c r="N12" i="30"/>
  <c r="N13" i="30"/>
  <c r="Q14" i="30"/>
  <c r="M6" i="30"/>
  <c r="U6" i="30" s="1"/>
  <c r="M7" i="30"/>
  <c r="V7" i="30" s="1"/>
  <c r="M8" i="30"/>
  <c r="V8" i="30" s="1"/>
  <c r="V10" i="30"/>
  <c r="H84" i="34"/>
  <c r="U15" i="34"/>
  <c r="Q14" i="34"/>
  <c r="Q15" i="34" s="1"/>
  <c r="L14" i="34"/>
  <c r="AC13" i="34"/>
  <c r="AB13" i="34"/>
  <c r="AA13" i="34"/>
  <c r="Z13" i="34"/>
  <c r="X13" i="34"/>
  <c r="W13" i="34"/>
  <c r="T13" i="34"/>
  <c r="S13" i="34"/>
  <c r="P13" i="34"/>
  <c r="O13" i="34"/>
  <c r="Y13" i="34"/>
  <c r="AC12" i="34"/>
  <c r="AB12" i="34"/>
  <c r="AA12" i="34"/>
  <c r="Z12" i="34"/>
  <c r="X12" i="34"/>
  <c r="W12" i="34"/>
  <c r="T12" i="34"/>
  <c r="AE12" i="34" s="1"/>
  <c r="S12" i="34"/>
  <c r="P12" i="34"/>
  <c r="O12" i="34"/>
  <c r="Y12" i="34"/>
  <c r="AC11" i="34"/>
  <c r="AB11" i="34"/>
  <c r="AA11" i="34"/>
  <c r="Z11" i="34"/>
  <c r="X11" i="34"/>
  <c r="W11" i="34"/>
  <c r="T11" i="34"/>
  <c r="AE11" i="34" s="1"/>
  <c r="S11" i="34"/>
  <c r="AD11" i="34" s="1"/>
  <c r="P11" i="34"/>
  <c r="O11" i="34"/>
  <c r="V11" i="34"/>
  <c r="AC10" i="34"/>
  <c r="AB10" i="34"/>
  <c r="AA10" i="34"/>
  <c r="Z10" i="34"/>
  <c r="X10" i="34"/>
  <c r="W10" i="34"/>
  <c r="T10" i="34"/>
  <c r="S10" i="34"/>
  <c r="AD10" i="34"/>
  <c r="P10" i="34"/>
  <c r="O10" i="34"/>
  <c r="Y10" i="34"/>
  <c r="AC9" i="34"/>
  <c r="AB9" i="34"/>
  <c r="AA9" i="34"/>
  <c r="Z9" i="34"/>
  <c r="X9" i="34"/>
  <c r="W9" i="34"/>
  <c r="T9" i="34"/>
  <c r="AE9" i="34" s="1"/>
  <c r="S9" i="34"/>
  <c r="AD9" i="34" s="1"/>
  <c r="P9" i="34"/>
  <c r="O9" i="34"/>
  <c r="U9" i="34"/>
  <c r="AC8" i="34"/>
  <c r="AB8" i="34"/>
  <c r="AA8" i="34"/>
  <c r="Z8" i="34"/>
  <c r="X8" i="34"/>
  <c r="W8" i="34"/>
  <c r="T8" i="34"/>
  <c r="S8" i="34"/>
  <c r="P8" i="34"/>
  <c r="O8" i="34"/>
  <c r="Y8" i="34"/>
  <c r="AC7" i="34"/>
  <c r="AB7" i="34"/>
  <c r="AA7" i="34"/>
  <c r="Z7" i="34"/>
  <c r="X7" i="34"/>
  <c r="W7" i="34"/>
  <c r="T7" i="34"/>
  <c r="AE7" i="34" s="1"/>
  <c r="S7" i="34"/>
  <c r="P7" i="34"/>
  <c r="O7" i="34"/>
  <c r="V7" i="34"/>
  <c r="AC6" i="34"/>
  <c r="AB6" i="34"/>
  <c r="AA6" i="34"/>
  <c r="Z6" i="34"/>
  <c r="AD6" i="34" s="1"/>
  <c r="X6" i="34"/>
  <c r="W6" i="34"/>
  <c r="T6" i="34"/>
  <c r="AE6" i="34"/>
  <c r="S6" i="34"/>
  <c r="P6" i="34"/>
  <c r="O6" i="34"/>
  <c r="U6" i="34"/>
  <c r="AC5" i="34"/>
  <c r="AB5" i="34"/>
  <c r="AB14" i="34" s="1"/>
  <c r="AA5" i="34"/>
  <c r="Z5" i="34"/>
  <c r="Y5" i="34"/>
  <c r="X5" i="34"/>
  <c r="X14" i="34"/>
  <c r="W5" i="34"/>
  <c r="W14" i="34"/>
  <c r="T5" i="34"/>
  <c r="S5" i="34"/>
  <c r="S14" i="34" s="1"/>
  <c r="P5" i="34"/>
  <c r="O5" i="34"/>
  <c r="U5" i="34"/>
  <c r="U14" i="34" s="1"/>
  <c r="I29" i="31"/>
  <c r="D29" i="31"/>
  <c r="G29" i="31"/>
  <c r="E29" i="31"/>
  <c r="D30" i="31" s="1"/>
  <c r="K14" i="31"/>
  <c r="K15" i="31" s="1"/>
  <c r="F14" i="31"/>
  <c r="S6" i="30"/>
  <c r="S7" i="30"/>
  <c r="S8" i="30"/>
  <c r="S9" i="30"/>
  <c r="W6" i="30"/>
  <c r="W7" i="30"/>
  <c r="W8" i="30"/>
  <c r="W9" i="30"/>
  <c r="W10" i="30"/>
  <c r="AC10" i="30"/>
  <c r="AB10" i="30"/>
  <c r="AA10" i="30"/>
  <c r="Z10" i="30"/>
  <c r="X10" i="30"/>
  <c r="AC9" i="30"/>
  <c r="AB9" i="30"/>
  <c r="AA9" i="30"/>
  <c r="Z9" i="30"/>
  <c r="X9" i="30"/>
  <c r="T9" i="30"/>
  <c r="AC8" i="30"/>
  <c r="AB8" i="30"/>
  <c r="AA8" i="30"/>
  <c r="Z8" i="30"/>
  <c r="X8" i="30"/>
  <c r="T8" i="30"/>
  <c r="AC7" i="30"/>
  <c r="AB7" i="30"/>
  <c r="AA7" i="30"/>
  <c r="Z7" i="30"/>
  <c r="X7" i="30"/>
  <c r="T7" i="30"/>
  <c r="AC6" i="30"/>
  <c r="AB6" i="30"/>
  <c r="AA6" i="30"/>
  <c r="Z6" i="30"/>
  <c r="X6" i="30"/>
  <c r="T6" i="30"/>
  <c r="AC5" i="30"/>
  <c r="AB5" i="30"/>
  <c r="AA5" i="30"/>
  <c r="Z5" i="30"/>
  <c r="X5" i="30"/>
  <c r="T5" i="30"/>
  <c r="S5" i="30"/>
  <c r="N5" i="30"/>
  <c r="H81" i="29"/>
  <c r="V15" i="29"/>
  <c r="R14" i="29"/>
  <c r="M14" i="29"/>
  <c r="AD13" i="29"/>
  <c r="AC13" i="29"/>
  <c r="AB13" i="29"/>
  <c r="AA13" i="29"/>
  <c r="Y13" i="29"/>
  <c r="X13" i="29"/>
  <c r="U13" i="29"/>
  <c r="T13" i="29"/>
  <c r="Q13" i="29"/>
  <c r="P13" i="29"/>
  <c r="O13" i="29"/>
  <c r="N13" i="29"/>
  <c r="Z13" i="29" s="1"/>
  <c r="AD12" i="29"/>
  <c r="AC12" i="29"/>
  <c r="AB12" i="29"/>
  <c r="AA12" i="29"/>
  <c r="Y12" i="29"/>
  <c r="X12" i="29"/>
  <c r="U12" i="29"/>
  <c r="T12" i="29"/>
  <c r="Q12" i="29"/>
  <c r="P12" i="29"/>
  <c r="O12" i="29"/>
  <c r="N12" i="29"/>
  <c r="W12" i="29"/>
  <c r="AD11" i="29"/>
  <c r="AC11" i="29"/>
  <c r="AB11" i="29"/>
  <c r="AA11" i="29"/>
  <c r="Y11" i="29"/>
  <c r="X11" i="29"/>
  <c r="U11" i="29"/>
  <c r="T11" i="29"/>
  <c r="Q11" i="29"/>
  <c r="P11" i="29"/>
  <c r="O11" i="29"/>
  <c r="N11" i="29"/>
  <c r="Z11" i="29" s="1"/>
  <c r="AD10" i="29"/>
  <c r="AC10" i="29"/>
  <c r="AB10" i="29"/>
  <c r="AA10" i="29"/>
  <c r="Y10" i="29"/>
  <c r="X10" i="29"/>
  <c r="U10" i="29"/>
  <c r="T10" i="29"/>
  <c r="Q10" i="29"/>
  <c r="P10" i="29"/>
  <c r="O10" i="29"/>
  <c r="N10" i="29"/>
  <c r="W10" i="29" s="1"/>
  <c r="AD9" i="29"/>
  <c r="AC9" i="29"/>
  <c r="AB9" i="29"/>
  <c r="AA9" i="29"/>
  <c r="Y9" i="29"/>
  <c r="X9" i="29"/>
  <c r="U9" i="29"/>
  <c r="T9" i="29"/>
  <c r="Q9" i="29"/>
  <c r="P9" i="29"/>
  <c r="O9" i="29"/>
  <c r="N9" i="29"/>
  <c r="V9" i="29" s="1"/>
  <c r="AD8" i="29"/>
  <c r="AC8" i="29"/>
  <c r="AB8" i="29"/>
  <c r="AA8" i="29"/>
  <c r="Y8" i="29"/>
  <c r="AF8" i="29" s="1"/>
  <c r="X8" i="29"/>
  <c r="U8" i="29"/>
  <c r="T8" i="29"/>
  <c r="Q8" i="29"/>
  <c r="P8" i="29"/>
  <c r="O8" i="29"/>
  <c r="N8" i="29"/>
  <c r="Z8" i="29"/>
  <c r="AD7" i="29"/>
  <c r="AC7" i="29"/>
  <c r="AB7" i="29"/>
  <c r="AA7" i="29"/>
  <c r="Y7" i="29"/>
  <c r="X7" i="29"/>
  <c r="U7" i="29"/>
  <c r="T7" i="29"/>
  <c r="Q7" i="29"/>
  <c r="P7" i="29"/>
  <c r="O7" i="29"/>
  <c r="N7" i="29"/>
  <c r="V7" i="29" s="1"/>
  <c r="AD6" i="29"/>
  <c r="AC6" i="29"/>
  <c r="AB6" i="29"/>
  <c r="AA6" i="29"/>
  <c r="Y6" i="29"/>
  <c r="X6" i="29"/>
  <c r="U6" i="29"/>
  <c r="T6" i="29"/>
  <c r="Q6" i="29"/>
  <c r="P6" i="29"/>
  <c r="O6" i="29"/>
  <c r="N6" i="29"/>
  <c r="W6" i="29" s="1"/>
  <c r="AD5" i="29"/>
  <c r="AC5" i="29"/>
  <c r="AB5" i="29"/>
  <c r="AA5" i="29"/>
  <c r="Y5" i="29"/>
  <c r="X5" i="29"/>
  <c r="U5" i="29"/>
  <c r="T5" i="29"/>
  <c r="Q5" i="29"/>
  <c r="P5" i="29"/>
  <c r="O5" i="29"/>
  <c r="N5" i="29"/>
  <c r="W5" i="29" s="1"/>
  <c r="I22" i="18"/>
  <c r="G10" i="17"/>
  <c r="I25" i="16"/>
  <c r="L9" i="12"/>
  <c r="E11" i="12"/>
  <c r="H11" i="12"/>
  <c r="K12" i="12"/>
  <c r="Q4" i="9"/>
  <c r="R4" i="9"/>
  <c r="U4" i="9"/>
  <c r="V4" i="9"/>
  <c r="W4" i="9"/>
  <c r="X4" i="9"/>
  <c r="Y4" i="9"/>
  <c r="Z4" i="9"/>
  <c r="AA4" i="9"/>
  <c r="AB4" i="9"/>
  <c r="Q5" i="9"/>
  <c r="R5" i="9"/>
  <c r="U5" i="9"/>
  <c r="V5" i="9"/>
  <c r="W5" i="9"/>
  <c r="X5" i="9"/>
  <c r="Y5" i="9"/>
  <c r="Z5" i="9"/>
  <c r="AA5" i="9"/>
  <c r="AB5" i="9"/>
  <c r="Q6" i="9"/>
  <c r="R6" i="9"/>
  <c r="U6" i="9"/>
  <c r="V6" i="9"/>
  <c r="W6" i="9"/>
  <c r="X6" i="9"/>
  <c r="Y6" i="9"/>
  <c r="Z6" i="9"/>
  <c r="AA6" i="9"/>
  <c r="AB6" i="9"/>
  <c r="Q7" i="9"/>
  <c r="R7" i="9"/>
  <c r="U7" i="9"/>
  <c r="V7" i="9"/>
  <c r="W7" i="9"/>
  <c r="X7" i="9"/>
  <c r="Y7" i="9"/>
  <c r="Z7" i="9"/>
  <c r="AA7" i="9"/>
  <c r="AB7" i="9"/>
  <c r="Q8" i="9"/>
  <c r="R8" i="9"/>
  <c r="U8" i="9"/>
  <c r="V8" i="9"/>
  <c r="W8" i="9"/>
  <c r="X8" i="9"/>
  <c r="Y8" i="9"/>
  <c r="Z8" i="9"/>
  <c r="AA8" i="9"/>
  <c r="AB8" i="9"/>
  <c r="Q9" i="9"/>
  <c r="R9" i="9"/>
  <c r="U9" i="9"/>
  <c r="V9" i="9"/>
  <c r="W9" i="9"/>
  <c r="X9" i="9"/>
  <c r="Y9" i="9"/>
  <c r="Z9" i="9"/>
  <c r="AA9" i="9"/>
  <c r="AB9" i="9"/>
  <c r="Q10" i="9"/>
  <c r="R10" i="9"/>
  <c r="R13" i="9" s="1"/>
  <c r="U10" i="9"/>
  <c r="V10" i="9"/>
  <c r="W10" i="9"/>
  <c r="X10" i="9"/>
  <c r="Y10" i="9"/>
  <c r="Z10" i="9"/>
  <c r="AA10" i="9"/>
  <c r="AB10" i="9"/>
  <c r="Q11" i="9"/>
  <c r="R11" i="9"/>
  <c r="U11" i="9"/>
  <c r="V11" i="9"/>
  <c r="W11" i="9"/>
  <c r="X11" i="9"/>
  <c r="Y11" i="9"/>
  <c r="Z11" i="9"/>
  <c r="AA11" i="9"/>
  <c r="AB11" i="9"/>
  <c r="Q12" i="9"/>
  <c r="Q13" i="9" s="1"/>
  <c r="R12" i="9"/>
  <c r="U12" i="9"/>
  <c r="V12" i="9"/>
  <c r="W12" i="9"/>
  <c r="W13" i="9" s="1"/>
  <c r="X12" i="9"/>
  <c r="Y12" i="9"/>
  <c r="Z12" i="9"/>
  <c r="AA12" i="9"/>
  <c r="AA13" i="9" s="1"/>
  <c r="AB12" i="9"/>
  <c r="S13" i="9"/>
  <c r="U13" i="9"/>
  <c r="Y13" i="9"/>
  <c r="AC13" i="9"/>
  <c r="U14" i="9"/>
  <c r="W14" i="9"/>
  <c r="AC14" i="9" s="1"/>
  <c r="Y14" i="9"/>
  <c r="AA14" i="9"/>
  <c r="J81" i="9"/>
  <c r="J92" i="9"/>
  <c r="P4" i="1"/>
  <c r="Q4" i="1"/>
  <c r="T4" i="1"/>
  <c r="T13" i="1" s="1"/>
  <c r="U4" i="1"/>
  <c r="U13" i="1" s="1"/>
  <c r="V4" i="1"/>
  <c r="W4" i="1"/>
  <c r="W13" i="1" s="1"/>
  <c r="X4" i="1"/>
  <c r="X13" i="1" s="1"/>
  <c r="Y4" i="1"/>
  <c r="Y13" i="1" s="1"/>
  <c r="Z4" i="1"/>
  <c r="AA4" i="1"/>
  <c r="AA13" i="1" s="1"/>
  <c r="AB4" i="1"/>
  <c r="AB13" i="1" s="1"/>
  <c r="P5" i="1"/>
  <c r="Q5" i="1"/>
  <c r="T5" i="1"/>
  <c r="U5" i="1"/>
  <c r="V5" i="1"/>
  <c r="W5" i="1"/>
  <c r="X5" i="1"/>
  <c r="Y5" i="1"/>
  <c r="Z5" i="1"/>
  <c r="AA5" i="1"/>
  <c r="AB5" i="1"/>
  <c r="P6" i="1"/>
  <c r="Q6" i="1"/>
  <c r="T6" i="1"/>
  <c r="U6" i="1"/>
  <c r="V6" i="1"/>
  <c r="W6" i="1"/>
  <c r="X6" i="1"/>
  <c r="Y6" i="1"/>
  <c r="Z6" i="1"/>
  <c r="AA6" i="1"/>
  <c r="AB6" i="1"/>
  <c r="P7" i="1"/>
  <c r="Q7" i="1"/>
  <c r="T7" i="1"/>
  <c r="U7" i="1"/>
  <c r="V7" i="1"/>
  <c r="W7" i="1"/>
  <c r="X7" i="1"/>
  <c r="Y7" i="1"/>
  <c r="Z7" i="1"/>
  <c r="AA7" i="1"/>
  <c r="AB7" i="1"/>
  <c r="P8" i="1"/>
  <c r="Q8" i="1"/>
  <c r="T8" i="1"/>
  <c r="U8" i="1"/>
  <c r="V8" i="1"/>
  <c r="W8" i="1"/>
  <c r="X8" i="1"/>
  <c r="Y8" i="1"/>
  <c r="Z8" i="1"/>
  <c r="AA8" i="1"/>
  <c r="AB8" i="1"/>
  <c r="P9" i="1"/>
  <c r="Q9" i="1"/>
  <c r="T9" i="1"/>
  <c r="U9" i="1"/>
  <c r="V9" i="1"/>
  <c r="W9" i="1"/>
  <c r="X9" i="1"/>
  <c r="Y9" i="1"/>
  <c r="Z9" i="1"/>
  <c r="AA9" i="1"/>
  <c r="AB9" i="1"/>
  <c r="P10" i="1"/>
  <c r="Q10" i="1"/>
  <c r="T10" i="1"/>
  <c r="U10" i="1"/>
  <c r="V10" i="1"/>
  <c r="W10" i="1"/>
  <c r="X10" i="1"/>
  <c r="Y10" i="1"/>
  <c r="Z10" i="1"/>
  <c r="AA10" i="1"/>
  <c r="AB10" i="1"/>
  <c r="P11" i="1"/>
  <c r="Q11" i="1"/>
  <c r="T11" i="1"/>
  <c r="U11" i="1"/>
  <c r="V11" i="1"/>
  <c r="W11" i="1"/>
  <c r="X11" i="1"/>
  <c r="Y11" i="1"/>
  <c r="Z11" i="1"/>
  <c r="AA11" i="1"/>
  <c r="AB11" i="1"/>
  <c r="P12" i="1"/>
  <c r="Q12" i="1"/>
  <c r="T12" i="1"/>
  <c r="U12" i="1"/>
  <c r="V12" i="1"/>
  <c r="W12" i="1"/>
  <c r="X12" i="1"/>
  <c r="Y12" i="1"/>
  <c r="Z12" i="1"/>
  <c r="AA12" i="1"/>
  <c r="AB12" i="1"/>
  <c r="R13" i="1"/>
  <c r="V13" i="1"/>
  <c r="Z13" i="1"/>
  <c r="T14" i="1"/>
  <c r="V14" i="1"/>
  <c r="W14" i="1"/>
  <c r="Y14" i="1"/>
  <c r="AA14" i="1"/>
  <c r="J18" i="1"/>
  <c r="Z5" i="29"/>
  <c r="V5" i="29"/>
  <c r="AF12" i="29"/>
  <c r="W8" i="29"/>
  <c r="Z12" i="29"/>
  <c r="N14" i="29"/>
  <c r="M15" i="29" s="1"/>
  <c r="V12" i="29"/>
  <c r="AE8" i="29"/>
  <c r="AE11" i="29"/>
  <c r="AF13" i="29"/>
  <c r="V6" i="29"/>
  <c r="Z6" i="29"/>
  <c r="V10" i="29"/>
  <c r="Z10" i="29"/>
  <c r="W13" i="29"/>
  <c r="V13" i="29"/>
  <c r="W7" i="29"/>
  <c r="V8" i="29"/>
  <c r="W11" i="29"/>
  <c r="V11" i="29"/>
  <c r="Q14" i="29"/>
  <c r="P14" i="29"/>
  <c r="AC14" i="29"/>
  <c r="AE5" i="29"/>
  <c r="AF7" i="29"/>
  <c r="AF5" i="29"/>
  <c r="AB14" i="29"/>
  <c r="AA15" i="29" s="1"/>
  <c r="AE6" i="29"/>
  <c r="AF9" i="29"/>
  <c r="AE10" i="29"/>
  <c r="AF11" i="29"/>
  <c r="AE12" i="29"/>
  <c r="AE13" i="29"/>
  <c r="AA14" i="29"/>
  <c r="AD14" i="29"/>
  <c r="AC15" i="29" s="1"/>
  <c r="AF6" i="29"/>
  <c r="T14" i="29"/>
  <c r="X14" i="29"/>
  <c r="Y14" i="29"/>
  <c r="U14" i="29"/>
  <c r="T15" i="29" s="1"/>
  <c r="AF10" i="29"/>
  <c r="AE7" i="29"/>
  <c r="Z9" i="29"/>
  <c r="W9" i="29"/>
  <c r="H14" i="31"/>
  <c r="G14" i="31"/>
  <c r="F15" i="31" s="1"/>
  <c r="I14" i="31"/>
  <c r="I15" i="31" s="1"/>
  <c r="F30" i="31"/>
  <c r="F29" i="31"/>
  <c r="H29" i="31"/>
  <c r="H30" i="31"/>
  <c r="L29" i="31"/>
  <c r="M29" i="31"/>
  <c r="K29" i="31"/>
  <c r="J30" i="31" s="1"/>
  <c r="J29" i="31"/>
  <c r="U9" i="30"/>
  <c r="AE5" i="34"/>
  <c r="U7" i="34"/>
  <c r="V10" i="34"/>
  <c r="U11" i="34"/>
  <c r="AD5" i="34"/>
  <c r="U10" i="34"/>
  <c r="V13" i="34"/>
  <c r="U13" i="34"/>
  <c r="V12" i="34"/>
  <c r="U12" i="34"/>
  <c r="Y11" i="34"/>
  <c r="N14" i="34"/>
  <c r="V9" i="34"/>
  <c r="Y9" i="34"/>
  <c r="V8" i="34"/>
  <c r="U8" i="34"/>
  <c r="Y7" i="34"/>
  <c r="V6" i="34"/>
  <c r="M14" i="34"/>
  <c r="L15" i="34" s="1"/>
  <c r="Y6" i="34"/>
  <c r="V5" i="34"/>
  <c r="Y10" i="30"/>
  <c r="U10" i="30"/>
  <c r="Y9" i="30"/>
  <c r="V5" i="30"/>
  <c r="U5" i="30"/>
  <c r="K17" i="37"/>
  <c r="F31" i="37"/>
  <c r="J17" i="37"/>
  <c r="L11" i="37"/>
  <c r="M24" i="37" s="1"/>
  <c r="L40" i="37"/>
  <c r="AD13" i="30"/>
  <c r="AD11" i="30"/>
  <c r="AE9" i="30"/>
  <c r="N14" i="30"/>
  <c r="Z14" i="30"/>
  <c r="AD6" i="30"/>
  <c r="U8" i="30"/>
  <c r="Y8" i="30"/>
  <c r="AE13" i="30"/>
  <c r="V6" i="30"/>
  <c r="X14" i="30"/>
  <c r="P14" i="30"/>
  <c r="Y6" i="30"/>
  <c r="O14" i="30"/>
  <c r="AE12" i="30"/>
  <c r="M14" i="30"/>
  <c r="AD5" i="30"/>
  <c r="AE10" i="30"/>
  <c r="S14" i="30"/>
  <c r="AE7" i="30"/>
  <c r="AB14" i="30"/>
  <c r="AD8" i="30"/>
  <c r="AC14" i="30"/>
  <c r="AA14" i="30"/>
  <c r="AD9" i="30"/>
  <c r="AE11" i="30"/>
  <c r="W14" i="30"/>
  <c r="U7" i="30"/>
  <c r="T14" i="30"/>
  <c r="Y7" i="30"/>
  <c r="AE6" i="30"/>
  <c r="AD7" i="30"/>
  <c r="AE8" i="30"/>
  <c r="AD12" i="30"/>
  <c r="AD10" i="30"/>
  <c r="AE5" i="30"/>
  <c r="AD14" i="30" l="1"/>
  <c r="AE14" i="30"/>
  <c r="P14" i="34"/>
  <c r="AC14" i="34"/>
  <c r="AB15" i="34" s="1"/>
  <c r="E48" i="37"/>
  <c r="P13" i="1"/>
  <c r="AA14" i="34"/>
  <c r="Z15" i="34" s="1"/>
  <c r="L43" i="37"/>
  <c r="I48" i="37"/>
  <c r="E15" i="39"/>
  <c r="C43" i="39" s="1"/>
  <c r="C34" i="39"/>
  <c r="G7" i="39"/>
  <c r="G12" i="39"/>
  <c r="G8" i="39"/>
  <c r="G6" i="39"/>
  <c r="G11" i="39"/>
  <c r="G13" i="39"/>
  <c r="G9" i="39"/>
  <c r="G14" i="39"/>
  <c r="G10" i="39"/>
  <c r="T15" i="41"/>
  <c r="M29" i="39"/>
  <c r="AC7" i="1"/>
  <c r="V14" i="34"/>
  <c r="Y14" i="34"/>
  <c r="W15" i="34" s="1"/>
  <c r="AC10" i="1"/>
  <c r="Q13" i="1"/>
  <c r="P14" i="1" s="1"/>
  <c r="AC6" i="1"/>
  <c r="W14" i="29"/>
  <c r="AE9" i="29"/>
  <c r="AE14" i="29" s="1"/>
  <c r="O14" i="34"/>
  <c r="AD7" i="34"/>
  <c r="AE8" i="34"/>
  <c r="AD12" i="34"/>
  <c r="AE13" i="34"/>
  <c r="AC9" i="1"/>
  <c r="AC5" i="1"/>
  <c r="AB13" i="9"/>
  <c r="X13" i="9"/>
  <c r="T14" i="34"/>
  <c r="S15" i="34" s="1"/>
  <c r="AD8" i="34"/>
  <c r="AE10" i="34"/>
  <c r="AD13" i="34"/>
  <c r="L47" i="37"/>
  <c r="L48" i="37" s="1"/>
  <c r="L29" i="39"/>
  <c r="P15" i="29"/>
  <c r="V14" i="29"/>
  <c r="AC14" i="1"/>
  <c r="AC12" i="1"/>
  <c r="AC8" i="1"/>
  <c r="O14" i="29"/>
  <c r="Z14" i="34"/>
  <c r="S15" i="41"/>
  <c r="AC11" i="1"/>
  <c r="Q14" i="9"/>
  <c r="Z13" i="9"/>
  <c r="V13" i="9"/>
  <c r="AF14" i="29"/>
  <c r="M48" i="37"/>
  <c r="J47" i="37"/>
  <c r="J48" i="37" s="1"/>
  <c r="H48" i="37"/>
  <c r="F15" i="39"/>
  <c r="O15" i="34"/>
  <c r="L17" i="37"/>
  <c r="M30" i="37" s="1"/>
  <c r="M22" i="37"/>
  <c r="AD14" i="34"/>
  <c r="AE14" i="34"/>
  <c r="L30" i="37"/>
  <c r="Z7" i="29"/>
  <c r="Z14" i="29" s="1"/>
  <c r="X15" i="29" s="1"/>
  <c r="AC4" i="1"/>
  <c r="AC13" i="1" s="1"/>
  <c r="G15" i="39" l="1"/>
</calcChain>
</file>

<file path=xl/sharedStrings.xml><?xml version="1.0" encoding="utf-8"?>
<sst xmlns="http://schemas.openxmlformats.org/spreadsheetml/2006/main" count="4239" uniqueCount="987">
  <si>
    <t>S.No</t>
  </si>
  <si>
    <t>Month</t>
  </si>
  <si>
    <t>Location</t>
  </si>
  <si>
    <t>Name</t>
  </si>
  <si>
    <t>Model</t>
  </si>
  <si>
    <t>Suffix</t>
  </si>
  <si>
    <t>Color</t>
  </si>
  <si>
    <t>Amount</t>
  </si>
  <si>
    <t>Total</t>
  </si>
  <si>
    <t>Feb</t>
  </si>
  <si>
    <t>VJA</t>
  </si>
  <si>
    <t>Fortuner</t>
  </si>
  <si>
    <t xml:space="preserve">Login done </t>
  </si>
  <si>
    <t>RKT</t>
  </si>
  <si>
    <t>YKT</t>
  </si>
  <si>
    <t>RJY</t>
  </si>
  <si>
    <t>K V R L G Kranthi</t>
  </si>
  <si>
    <t>YKT2</t>
  </si>
  <si>
    <t>B Naresh</t>
  </si>
  <si>
    <t>Innova</t>
  </si>
  <si>
    <t>XP</t>
  </si>
  <si>
    <t>White</t>
  </si>
  <si>
    <t>GNT</t>
  </si>
  <si>
    <t>UC</t>
  </si>
  <si>
    <t>Glanza</t>
  </si>
  <si>
    <t>VSP</t>
  </si>
  <si>
    <t>RED</t>
  </si>
  <si>
    <t>XJ</t>
  </si>
  <si>
    <t>Peral White</t>
  </si>
  <si>
    <t>Inthiyaz Kareem</t>
  </si>
  <si>
    <t>7X</t>
  </si>
  <si>
    <t>Blue</t>
  </si>
  <si>
    <t>K Gopala Krishna</t>
  </si>
  <si>
    <t>XI</t>
  </si>
  <si>
    <t>S White</t>
  </si>
  <si>
    <t>XO</t>
  </si>
  <si>
    <t>Mar</t>
  </si>
  <si>
    <t>O3</t>
  </si>
  <si>
    <t>Silver</t>
  </si>
  <si>
    <t>Manda Venkata Rao</t>
  </si>
  <si>
    <t>K Manish</t>
  </si>
  <si>
    <t>K monesh</t>
  </si>
  <si>
    <t>K Uppalayya</t>
  </si>
  <si>
    <t>Date</t>
  </si>
  <si>
    <t>Mohamad Rafi</t>
  </si>
  <si>
    <t>V S K Constructions</t>
  </si>
  <si>
    <t>Nagaraju</t>
  </si>
  <si>
    <t>Disbursed</t>
  </si>
  <si>
    <t>XL</t>
  </si>
  <si>
    <t>M SWAMY VIVEKANANDA</t>
  </si>
  <si>
    <t>XK</t>
  </si>
  <si>
    <t>Brown</t>
  </si>
  <si>
    <t>Aruna Associates</t>
  </si>
  <si>
    <t>Vehicle confirmation</t>
  </si>
  <si>
    <t>Anil Kumar</t>
  </si>
  <si>
    <t>M Dhrnendra</t>
  </si>
  <si>
    <t>Status</t>
  </si>
  <si>
    <t>8A</t>
  </si>
  <si>
    <t>7W</t>
  </si>
  <si>
    <t xml:space="preserve">XG </t>
  </si>
  <si>
    <t>Grey</t>
  </si>
  <si>
    <t>Sneha</t>
  </si>
  <si>
    <t>A Raju</t>
  </si>
  <si>
    <t>ONG</t>
  </si>
  <si>
    <t>S R Infra Constructions</t>
  </si>
  <si>
    <t>D Chiranjeevi Raju</t>
  </si>
  <si>
    <t>K Samuel</t>
  </si>
  <si>
    <t>Garallakanta Exports</t>
  </si>
  <si>
    <t>Nirmala</t>
  </si>
  <si>
    <t>Vara Lakshmi</t>
  </si>
  <si>
    <t>Pawan Kalyan</t>
  </si>
  <si>
    <t>Plan Today</t>
  </si>
  <si>
    <t>Harsha Vardhana Bopana</t>
  </si>
  <si>
    <t>Tejeswara Rao</t>
  </si>
  <si>
    <t>M Guravayya</t>
  </si>
  <si>
    <t xml:space="preserve"> </t>
  </si>
  <si>
    <t>Achanta Venkata Durga Prasad</t>
  </si>
  <si>
    <t>Usha Rani</t>
  </si>
  <si>
    <t>Viveka Nanda</t>
  </si>
  <si>
    <t>G Baburao</t>
  </si>
  <si>
    <t>Rama Raju</t>
  </si>
  <si>
    <t>MD Shafioola</t>
  </si>
  <si>
    <t>Kolla Rao</t>
  </si>
  <si>
    <t>Vja</t>
  </si>
  <si>
    <t>k  Srinivas</t>
  </si>
  <si>
    <t>Mallesh Yadav Dairy Firms</t>
  </si>
  <si>
    <t>Guduru Devaraj</t>
  </si>
  <si>
    <t>santhi Reddy</t>
  </si>
  <si>
    <t>Kmm</t>
  </si>
  <si>
    <t>Apparao</t>
  </si>
  <si>
    <t>G Chinna Appalanaidu</t>
  </si>
  <si>
    <t>V Samara Simha Reddy</t>
  </si>
  <si>
    <t>Akshya Agarwal</t>
  </si>
  <si>
    <t>Bandi sravan Kumar</t>
  </si>
  <si>
    <t>Lakshmi Narasimha Dairy Firm</t>
  </si>
  <si>
    <t>Rejected / cancelled</t>
  </si>
  <si>
    <t>Under Disbmnt.</t>
  </si>
  <si>
    <t>No Of Files</t>
  </si>
  <si>
    <r>
      <t>Yet to login (Under Document collection) (</t>
    </r>
    <r>
      <rPr>
        <b/>
        <i/>
        <sz val="11"/>
        <color indexed="8"/>
        <rFont val="Calibri"/>
        <family val="2"/>
      </rPr>
      <t>in lakhs</t>
    </r>
    <r>
      <rPr>
        <b/>
        <sz val="11"/>
        <color indexed="8"/>
        <rFont val="Calibri"/>
        <family val="2"/>
      </rPr>
      <t>)</t>
    </r>
  </si>
  <si>
    <t>T Subba Rao</t>
  </si>
  <si>
    <t>Aziz</t>
  </si>
  <si>
    <t>Medari Veeneth</t>
  </si>
  <si>
    <t>innova</t>
  </si>
  <si>
    <t>MD Rafoola</t>
  </si>
  <si>
    <t>Murthy</t>
  </si>
  <si>
    <t>B  Peter</t>
  </si>
  <si>
    <t>Kalimuddin</t>
  </si>
  <si>
    <t>New Visak Road Lines</t>
  </si>
  <si>
    <t>N rama Devi</t>
  </si>
  <si>
    <t>Rani Aqua Feeds</t>
  </si>
  <si>
    <t>G Prasad Rao</t>
  </si>
  <si>
    <t>Zafar Hussan</t>
  </si>
  <si>
    <t>Visaka engiri labs</t>
  </si>
  <si>
    <t>Gowtham Dani</t>
  </si>
  <si>
    <t>S S K Developers</t>
  </si>
  <si>
    <t>P White</t>
  </si>
  <si>
    <t>XM</t>
  </si>
  <si>
    <t>ZM</t>
  </si>
  <si>
    <t>P white</t>
  </si>
  <si>
    <t>ZP</t>
  </si>
  <si>
    <t xml:space="preserve">XL </t>
  </si>
  <si>
    <t>S Black</t>
  </si>
  <si>
    <t>G Devi Vara Prasad</t>
  </si>
  <si>
    <t>MOHAMMED ABDUL YASMIN</t>
  </si>
  <si>
    <t>P WhITE</t>
  </si>
  <si>
    <r>
      <t>Logins Live (</t>
    </r>
    <r>
      <rPr>
        <b/>
        <i/>
        <sz val="11"/>
        <color indexed="8"/>
        <rFont val="Calibri"/>
        <family val="2"/>
      </rPr>
      <t>in Lakhs</t>
    </r>
    <r>
      <rPr>
        <b/>
        <sz val="11"/>
        <color indexed="8"/>
        <rFont val="Calibri"/>
        <family val="2"/>
      </rPr>
      <t>)</t>
    </r>
  </si>
  <si>
    <r>
      <t xml:space="preserve">Total        </t>
    </r>
    <r>
      <rPr>
        <b/>
        <i/>
        <sz val="11"/>
        <color indexed="8"/>
        <rFont val="Calibri"/>
        <family val="2"/>
      </rPr>
      <t>(in Lakhs)</t>
    </r>
  </si>
  <si>
    <t>TFS Files - 01st April</t>
  </si>
  <si>
    <t>April Opening Files (CF)</t>
  </si>
  <si>
    <t>No Of Files given in April</t>
  </si>
  <si>
    <t>agreement on 05th</t>
  </si>
  <si>
    <t>hdfc done</t>
  </si>
  <si>
    <t>VX</t>
  </si>
  <si>
    <t>WHITE</t>
  </si>
  <si>
    <t>Apr</t>
  </si>
  <si>
    <t>Login Today</t>
  </si>
  <si>
    <t>Durga Engeneering Works</t>
  </si>
  <si>
    <t>Thota Venkateswara rao</t>
  </si>
  <si>
    <t xml:space="preserve">Aruna </t>
  </si>
  <si>
    <t>S Venkateswara Rao</t>
  </si>
  <si>
    <t>S Naga Lakshmi</t>
  </si>
  <si>
    <t>rejected</t>
  </si>
  <si>
    <t>cibil poblem</t>
  </si>
  <si>
    <t>SFL</t>
  </si>
  <si>
    <t>Cibil Issue</t>
  </si>
  <si>
    <t>dropped fund required more</t>
  </si>
  <si>
    <t>MLA no documents</t>
  </si>
  <si>
    <t>Uppala Venkata Satya Vara Prasad</t>
  </si>
  <si>
    <t>Yarallgadda Surendra</t>
  </si>
  <si>
    <t>Satish Agrawal</t>
  </si>
  <si>
    <t>M.Puspha</t>
  </si>
  <si>
    <t>S Arjun</t>
  </si>
  <si>
    <t>M Shankar</t>
  </si>
  <si>
    <t>N Chandra Shekar</t>
  </si>
  <si>
    <t>J Sai Tarun Reddy</t>
  </si>
  <si>
    <t>Karunakar reddy</t>
  </si>
  <si>
    <t>Narayana Reddy</t>
  </si>
  <si>
    <t>D Nagaraju</t>
  </si>
  <si>
    <t>RKt</t>
  </si>
  <si>
    <t>Pushpa Latha</t>
  </si>
  <si>
    <t>Vi01A</t>
  </si>
  <si>
    <t>Cancelled</t>
  </si>
  <si>
    <t>A Jayalakshmi</t>
  </si>
  <si>
    <t>TFS Files status as on 5th Apr</t>
  </si>
  <si>
    <t>Usharani</t>
  </si>
  <si>
    <t>NO response</t>
  </si>
  <si>
    <t>dropped</t>
  </si>
  <si>
    <t>Rejected</t>
  </si>
  <si>
    <t>Dropped</t>
  </si>
  <si>
    <t>Cancelled own Funds</t>
  </si>
  <si>
    <t>4 Days time taken</t>
  </si>
  <si>
    <t>Surasani RamaKrishna</t>
  </si>
  <si>
    <t>Tomorrow Disbursement</t>
  </si>
  <si>
    <t>not responding</t>
  </si>
  <si>
    <t>kotak</t>
  </si>
  <si>
    <t>duplicate</t>
  </si>
  <si>
    <t xml:space="preserve">mother name </t>
  </si>
  <si>
    <t>approved</t>
  </si>
  <si>
    <t>customer not yet cnfrmd</t>
  </si>
  <si>
    <t>next week</t>
  </si>
  <si>
    <t>icici</t>
  </si>
  <si>
    <t>Lakshmi Prasanna Boppana</t>
  </si>
  <si>
    <t>week end</t>
  </si>
  <si>
    <t>cancelled</t>
  </si>
  <si>
    <t>G Gangadhar</t>
  </si>
  <si>
    <t>Axis</t>
  </si>
  <si>
    <t>Funding problem</t>
  </si>
  <si>
    <t>Di</t>
  </si>
  <si>
    <t>Approval Not coming</t>
  </si>
  <si>
    <t>Loan Not approved</t>
  </si>
  <si>
    <t>he is thinkig on interst rate</t>
  </si>
  <si>
    <t>waiting for document</t>
  </si>
  <si>
    <t>Remarks</t>
  </si>
  <si>
    <t>Vara Lakshmi Bopanna</t>
  </si>
  <si>
    <t>APPROVED// WAITING FOR CUSTOMER</t>
  </si>
  <si>
    <t>DOCUMENTS PROVIDED TODAY</t>
  </si>
  <si>
    <t>HOLD//WAITING FOR CONTRACT LETTER</t>
  </si>
  <si>
    <t>Will disburse Today</t>
  </si>
  <si>
    <t>waiting for vehicle / dealer confirmation</t>
  </si>
  <si>
    <t>WAITING FOR CUSTOMER CONFIRMATION</t>
  </si>
  <si>
    <t>UNDER PROCESS</t>
  </si>
  <si>
    <t>UNDER DISBURSEMENT</t>
  </si>
  <si>
    <t>APPROVED</t>
  </si>
  <si>
    <t>WAITING FOR VEHICLE CONFIRMATION</t>
  </si>
  <si>
    <t>CUSTOMER NOT CONFIRMING</t>
  </si>
  <si>
    <t>NO RESPONSE FROM CUSTOMER</t>
  </si>
  <si>
    <t>Vara Lakshmi Boppana</t>
  </si>
  <si>
    <r>
      <t xml:space="preserve">Approved Files </t>
    </r>
    <r>
      <rPr>
        <b/>
        <i/>
        <sz val="11"/>
        <color indexed="8"/>
        <rFont val="Calibri"/>
        <family val="2"/>
      </rPr>
      <t>(In lakhs)</t>
    </r>
  </si>
  <si>
    <t>S NO</t>
  </si>
  <si>
    <t>CAS ID</t>
  </si>
  <si>
    <t>CUSTOMER NAME</t>
  </si>
  <si>
    <t>ASSET MODEL</t>
  </si>
  <si>
    <t>STATUS</t>
  </si>
  <si>
    <t>DISBURSEMENT STATUS</t>
  </si>
  <si>
    <t>LOAN AMOUNT</t>
  </si>
  <si>
    <t>LOGIN</t>
  </si>
  <si>
    <t>RAGHUBABU POTLURI</t>
  </si>
  <si>
    <t>INNOVA CRYSTA 2.4 GX 8 SEATER</t>
  </si>
  <si>
    <t>SOFT APPROVED</t>
  </si>
  <si>
    <t>WILL DISBURSE TOMORROW</t>
  </si>
  <si>
    <t>APRIL</t>
  </si>
  <si>
    <t>NALUMARU SWARNALATHA</t>
  </si>
  <si>
    <t>URBAN CRUISER PATO6</t>
  </si>
  <si>
    <t>HOLD</t>
  </si>
  <si>
    <t>CUS NOT CONFIRMED</t>
  </si>
  <si>
    <t>RANGARAO GOLLA</t>
  </si>
  <si>
    <t>WAITING FOR VEHICLE</t>
  </si>
  <si>
    <t>PEMMARAJU VENKATA RAMANA</t>
  </si>
  <si>
    <t>GLANZA G MT</t>
  </si>
  <si>
    <t>REJECTED</t>
  </si>
  <si>
    <t>P ANIL KUMAR REDDY</t>
  </si>
  <si>
    <t>ON PROCESS</t>
  </si>
  <si>
    <t>MAMIDI RAMARAO</t>
  </si>
  <si>
    <t>INNOVA CRYSTA 2.4 Z 7 SEATER</t>
  </si>
  <si>
    <t>VISWANADHUNI MANI PRASANTH</t>
  </si>
  <si>
    <t>URBAN CRUISER HMT O3</t>
  </si>
  <si>
    <t>WILL DISBURSE TODAY</t>
  </si>
  <si>
    <t>MARCH</t>
  </si>
  <si>
    <t>BURAGADDA SRI KUMAR</t>
  </si>
  <si>
    <t>INNOVA CRYSTA 2.4 VX 7 SEATER</t>
  </si>
  <si>
    <t>LOGIN DONE</t>
  </si>
  <si>
    <t>RANI AQUA FEEDS PVT LTD</t>
  </si>
  <si>
    <t>MINNE NAGENDRA</t>
  </si>
  <si>
    <t>WILL DISBURSE THIS MONTH</t>
  </si>
  <si>
    <t>VSK CONSTRUCTIONS</t>
  </si>
  <si>
    <t>PATHURI JAGADEESH</t>
  </si>
  <si>
    <t>MOHAMMED RAFI</t>
  </si>
  <si>
    <t>INNOVA CRYSTA 2.4 VX 8 SEATER</t>
  </si>
  <si>
    <t>AWAITING CUSTOMER CONFIRMATION</t>
  </si>
  <si>
    <t>NAGALLA RAMADEVI</t>
  </si>
  <si>
    <t>INNOVA CRYSTA 2.4 GX 7 SEATER</t>
  </si>
  <si>
    <t>POTHINA DURGA BHAVANI</t>
  </si>
  <si>
    <t>VALLABHANENI SATYANARAYANA</t>
  </si>
  <si>
    <t>MADINENI SIVARAMAKRISHNA MURTHI</t>
  </si>
  <si>
    <t>TFS Files - 09th April</t>
  </si>
  <si>
    <t>TFS Files - 14th April</t>
  </si>
  <si>
    <t>TFS Files status as on 20th Apr</t>
  </si>
  <si>
    <t>Week 1</t>
  </si>
  <si>
    <t>Week 2</t>
  </si>
  <si>
    <t>Week 3</t>
  </si>
  <si>
    <t>Week 4</t>
  </si>
  <si>
    <t>Reflection</t>
  </si>
  <si>
    <t>15th to 29th</t>
  </si>
  <si>
    <t>1st Apr</t>
  </si>
  <si>
    <t>3rd ~ 9th</t>
  </si>
  <si>
    <t>12th ~ 17th</t>
  </si>
  <si>
    <t>19th ~ 23rd</t>
  </si>
  <si>
    <t>26th ~ 29th</t>
  </si>
  <si>
    <t>3rd to 15th</t>
  </si>
  <si>
    <t>April'21</t>
  </si>
  <si>
    <t>April'21 Reflections</t>
  </si>
  <si>
    <t>May</t>
  </si>
  <si>
    <t>Bandi Anjaiah</t>
  </si>
  <si>
    <t>Ch Nageswara Rao</t>
  </si>
  <si>
    <t>AJ Associates</t>
  </si>
  <si>
    <t>Approved</t>
  </si>
  <si>
    <t>Vehicle Confiramtion</t>
  </si>
  <si>
    <t>Habbibuddin</t>
  </si>
  <si>
    <t>Vijayaa Distributors</t>
  </si>
  <si>
    <t>Mohini Arun Arura</t>
  </si>
  <si>
    <t>Durga Engineering</t>
  </si>
  <si>
    <t>Vittal Chelmela</t>
  </si>
  <si>
    <t>Eega Venu</t>
  </si>
  <si>
    <t>Juveriya Jabeen</t>
  </si>
  <si>
    <t>Yaris</t>
  </si>
  <si>
    <t>Donkeni Ashok</t>
  </si>
  <si>
    <t>Anand Babu</t>
  </si>
  <si>
    <t>Login Done</t>
  </si>
  <si>
    <t>MIR Munawar Ali Kiran</t>
  </si>
  <si>
    <t>YKT 2</t>
  </si>
  <si>
    <t>R Maheswar</t>
  </si>
  <si>
    <t>Chethan Bhavan Mahajan</t>
  </si>
  <si>
    <t>Nawin Vasi Reddy</t>
  </si>
  <si>
    <t>Syed Murtuza Quadri</t>
  </si>
  <si>
    <t>Mohan Rao Oruganti</t>
  </si>
  <si>
    <t>M Anil Kumar Reddy</t>
  </si>
  <si>
    <t>Guttala Madhavi</t>
  </si>
  <si>
    <t>Gaddamidi Anitha</t>
  </si>
  <si>
    <r>
      <t xml:space="preserve">Waiting for Payment advise </t>
    </r>
    <r>
      <rPr>
        <b/>
        <i/>
        <sz val="11"/>
        <color indexed="8"/>
        <rFont val="Calibri"/>
        <family val="2"/>
      </rPr>
      <t>(in Lakhs)</t>
    </r>
  </si>
  <si>
    <t>Jun</t>
  </si>
  <si>
    <t>Balusu Srinivas Rao</t>
  </si>
  <si>
    <t>G Bhuvanadhaltha</t>
  </si>
  <si>
    <t>Sudharshan Reddy</t>
  </si>
  <si>
    <t>N Naresh</t>
  </si>
  <si>
    <t>T P Vijay Kumar</t>
  </si>
  <si>
    <t>AL-0000567037-Lead</t>
  </si>
  <si>
    <t>TFS16321622696871639</t>
  </si>
  <si>
    <t>VENKATESWARLU KOTA</t>
  </si>
  <si>
    <t>RADHA TOYOTA - VIJAYWADA</t>
  </si>
  <si>
    <t>AL-0000567099-Lead</t>
  </si>
  <si>
    <t>TFS16321622784205992</t>
  </si>
  <si>
    <t>NIMMANAPUDI MADHURI</t>
  </si>
  <si>
    <t>AL-0000567053-Lead</t>
  </si>
  <si>
    <t>TFS16321622705549096</t>
  </si>
  <si>
    <t>KRISHNA PRIYA AUTOMOBILES INDIA PRIVATE LIMITED</t>
  </si>
  <si>
    <t>AL-0000567737-Lead</t>
  </si>
  <si>
    <t>TFS16321623823389358</t>
  </si>
  <si>
    <t>SATYALA NAGAMANI</t>
  </si>
  <si>
    <t>RADHAKRISHNA TOYOTA SANATH NAGAR</t>
  </si>
  <si>
    <t>AL-0000568194-Lead</t>
  </si>
  <si>
    <t>TFS16321624266915340</t>
  </si>
  <si>
    <t>G N VISWESWARI</t>
  </si>
  <si>
    <t>AL-0000567564-Lead</t>
  </si>
  <si>
    <t>TFS16321623651861979</t>
  </si>
  <si>
    <t>RAJYALAKSHMI OBILLANENI</t>
  </si>
  <si>
    <t>AL-0000567423-Lead</t>
  </si>
  <si>
    <t>TFS16321623390930686</t>
  </si>
  <si>
    <t>VUNDAVALLI BHARAT</t>
  </si>
  <si>
    <t>AL-0000568214-Lead</t>
  </si>
  <si>
    <t>TFS16321624270705601</t>
  </si>
  <si>
    <t>MOHAN RANGARAO OLUPALLI</t>
  </si>
  <si>
    <t>AL-0000568553-Lead</t>
  </si>
  <si>
    <t>TFS16321624448052813</t>
  </si>
  <si>
    <t>RAMESHNAIK MOODAVATH</t>
  </si>
  <si>
    <t>LEELA KRISHNA TOYOTA 1S-VISAKHAPATNAM</t>
  </si>
  <si>
    <t>AL-0000568513-Lead</t>
  </si>
  <si>
    <t>TFS16321624440959863</t>
  </si>
  <si>
    <t>PASUMARTHI NAGA MOUNIKA</t>
  </si>
  <si>
    <t>Syed Asim</t>
  </si>
  <si>
    <t>Sanjay kumar</t>
  </si>
  <si>
    <t>KMM</t>
  </si>
  <si>
    <t>Login done</t>
  </si>
  <si>
    <t>Nagineni Narendra babu</t>
  </si>
  <si>
    <t>Pothireddy Venkatrami reddy</t>
  </si>
  <si>
    <t>Pamidi Ramarao</t>
  </si>
  <si>
    <t>Sai Manikanta reddy</t>
  </si>
  <si>
    <t>HY03B</t>
  </si>
  <si>
    <t>HY03D</t>
  </si>
  <si>
    <t>VJ01A</t>
  </si>
  <si>
    <t>THOTA VENKATESWARARAO</t>
  </si>
  <si>
    <t>INTURI RAMAIAH</t>
  </si>
  <si>
    <t>PIDUGU MANIKANTA SAI KRISHNA REDDY</t>
  </si>
  <si>
    <t>MEKALA LAXMAREDDY</t>
  </si>
  <si>
    <t>GAGANAPALLY PAPI REDDY</t>
  </si>
  <si>
    <t>NAGOLLA SRINIVAS</t>
  </si>
  <si>
    <t>JOSEPH NARISETTY</t>
  </si>
  <si>
    <t>PASALA METHUSELAH</t>
  </si>
  <si>
    <t>THIGULLA HARISHA</t>
  </si>
  <si>
    <t>RD01A</t>
  </si>
  <si>
    <t>RAJASHEKAR M</t>
  </si>
  <si>
    <t>SYED ABDUL RAHEEM</t>
  </si>
  <si>
    <t>Waiting for vehicle</t>
  </si>
  <si>
    <t>Ong</t>
  </si>
  <si>
    <t>GN01A</t>
  </si>
  <si>
    <t>Bhanu</t>
  </si>
  <si>
    <t>Galnza</t>
  </si>
  <si>
    <t>Cibil Issue Relogin</t>
  </si>
  <si>
    <t>P Janga Reddy</t>
  </si>
  <si>
    <t>Wailting for approval</t>
  </si>
  <si>
    <t>Approved (in Lakhs)</t>
  </si>
  <si>
    <t>OS</t>
  </si>
  <si>
    <t>Khali</t>
  </si>
  <si>
    <t>Vaibhneni Vamsi</t>
  </si>
  <si>
    <t xml:space="preserve">ZN </t>
  </si>
  <si>
    <t>Black</t>
  </si>
  <si>
    <t>Ravj teja</t>
  </si>
  <si>
    <t>Durga Prasad</t>
  </si>
  <si>
    <t>XH</t>
  </si>
  <si>
    <t>Reddy</t>
  </si>
  <si>
    <t>P w</t>
  </si>
  <si>
    <t>By 30th</t>
  </si>
  <si>
    <t>SO</t>
  </si>
  <si>
    <t>XG</t>
  </si>
  <si>
    <t>R Munaiah</t>
  </si>
  <si>
    <t>Mallaiah</t>
  </si>
  <si>
    <t>ANAND KUMAR LANKALAPALLI</t>
  </si>
  <si>
    <t>Srinivas</t>
  </si>
  <si>
    <t>Red</t>
  </si>
  <si>
    <t>SN</t>
  </si>
  <si>
    <t>Bronze</t>
  </si>
  <si>
    <t>OF</t>
  </si>
  <si>
    <t>ON01A</t>
  </si>
  <si>
    <t>Approved Files</t>
  </si>
  <si>
    <t>Ready for Disbursement</t>
  </si>
  <si>
    <t>Disbursement Status</t>
  </si>
  <si>
    <t>Files Summary</t>
  </si>
  <si>
    <t>TFS Approved files - 28th Jun''21</t>
  </si>
  <si>
    <t>TFS yet to Login  files - 28th Jun'21</t>
  </si>
  <si>
    <t>Confirmed by GM's</t>
  </si>
  <si>
    <t>Vehicle confirmd from MDDP</t>
  </si>
  <si>
    <t>Vehicle arranged from MDDP</t>
  </si>
  <si>
    <t>suffix Not yet cnfrmd by customer</t>
  </si>
  <si>
    <t>Excepting High loan amount</t>
  </si>
  <si>
    <t>TFS  Files Under Login - 28th Jun'21</t>
  </si>
  <si>
    <t>D Venkateswarullu</t>
  </si>
  <si>
    <t>July</t>
  </si>
  <si>
    <r>
      <t xml:space="preserve">Disbursed     </t>
    </r>
    <r>
      <rPr>
        <b/>
        <i/>
        <sz val="11"/>
        <color indexed="8"/>
        <rFont val="Calibri"/>
        <family val="2"/>
      </rPr>
      <t>(in Lakhs)</t>
    </r>
  </si>
  <si>
    <t>Month TGT</t>
  </si>
  <si>
    <t>TFS 30%</t>
  </si>
  <si>
    <t>Target</t>
  </si>
  <si>
    <t>Total Files</t>
  </si>
  <si>
    <r>
      <t>TOT Value (</t>
    </r>
    <r>
      <rPr>
        <b/>
        <i/>
        <sz val="11"/>
        <color indexed="8"/>
        <rFont val="Calibri"/>
        <family val="2"/>
      </rPr>
      <t>in Lakhs</t>
    </r>
    <r>
      <rPr>
        <b/>
        <sz val="11"/>
        <color indexed="8"/>
        <rFont val="Calibri"/>
        <family val="2"/>
      </rPr>
      <t>)</t>
    </r>
  </si>
  <si>
    <t>Total  On Hand</t>
  </si>
  <si>
    <t>Krishna Murthy</t>
  </si>
  <si>
    <t>iNNOVA</t>
  </si>
  <si>
    <t>Today Login</t>
  </si>
  <si>
    <t>Parthima</t>
  </si>
  <si>
    <t>Seethamahalakshmi K</t>
  </si>
  <si>
    <t>Afroz</t>
  </si>
  <si>
    <t>B Srikanth Reddy</t>
  </si>
  <si>
    <t>Anand Siva ram Koudgin</t>
  </si>
  <si>
    <t>Eriksan Babu</t>
  </si>
  <si>
    <t>Deepali</t>
  </si>
  <si>
    <t>Padmanaba Rao</t>
  </si>
  <si>
    <t>Katta Ashok kumar</t>
  </si>
  <si>
    <t>Y Narayan Reddy</t>
  </si>
  <si>
    <t>P padma</t>
  </si>
  <si>
    <t>Aug Opening Files (CF)</t>
  </si>
  <si>
    <t>Aug</t>
  </si>
  <si>
    <t>B Chandra Shekar</t>
  </si>
  <si>
    <t>Haru renforce Pvt Ltd</t>
  </si>
  <si>
    <t>Sri Srinivasa Granites</t>
  </si>
  <si>
    <t>UMA Rani</t>
  </si>
  <si>
    <t xml:space="preserve">Current Logins </t>
  </si>
  <si>
    <t>Login Tgt</t>
  </si>
  <si>
    <t>MD Vazim</t>
  </si>
  <si>
    <t xml:space="preserve">L.ANIL KUMAR </t>
  </si>
  <si>
    <t>Kongari Anil</t>
  </si>
  <si>
    <t>SRI USHA EARTH MOOVERS AND SUPPLIERS</t>
  </si>
  <si>
    <t>ANANTAARAPU NAGAMANI</t>
  </si>
  <si>
    <t>FORTUNER</t>
  </si>
  <si>
    <t>J Shekar Goud</t>
  </si>
  <si>
    <t>waiting for vehicle</t>
  </si>
  <si>
    <t xml:space="preserve">month end planning </t>
  </si>
  <si>
    <t>Waiting For vehicle</t>
  </si>
  <si>
    <t>Top end saprkling black</t>
  </si>
  <si>
    <t>K Ramesh</t>
  </si>
  <si>
    <t>A Mallikarjun Reddy</t>
  </si>
  <si>
    <t>Teju</t>
  </si>
  <si>
    <t>A Vinay Kumar Goud</t>
  </si>
  <si>
    <t>N Chandrika Chowdary</t>
  </si>
  <si>
    <t>Sivakesh Yadhav</t>
  </si>
  <si>
    <t>S Nagendra</t>
  </si>
  <si>
    <t>Subramaneswar Enterprises</t>
  </si>
  <si>
    <t>Sri Devi</t>
  </si>
  <si>
    <t>MD Soyal</t>
  </si>
  <si>
    <t>Lakshmi Setti Harikrishna</t>
  </si>
  <si>
    <t>No Of Files given in Sep</t>
  </si>
  <si>
    <t>Sep</t>
  </si>
  <si>
    <t>Mohd ata Ur Rahman</t>
  </si>
  <si>
    <t>Uc</t>
  </si>
  <si>
    <t>S Venkata Guru Sandeep</t>
  </si>
  <si>
    <t>K Siva rama krishna</t>
  </si>
  <si>
    <t>S Jagadeesh Sai</t>
  </si>
  <si>
    <t>S P Logistics</t>
  </si>
  <si>
    <t>L Sankar rao</t>
  </si>
  <si>
    <t>Sunitha</t>
  </si>
  <si>
    <t>Venkata rami reddy</t>
  </si>
  <si>
    <t>Innova`</t>
  </si>
  <si>
    <t>Plan today</t>
  </si>
  <si>
    <t>Grace susheela</t>
  </si>
  <si>
    <t>TFS Login files - 11th Sep'21</t>
  </si>
  <si>
    <t>P nagamani</t>
  </si>
  <si>
    <t>B Venkateswara Rao</t>
  </si>
  <si>
    <t>Hemanth vijay Kumar</t>
  </si>
  <si>
    <t>Jamaluddin</t>
  </si>
  <si>
    <t>Syed Rizwan</t>
  </si>
  <si>
    <t>K Ramya Sri</t>
  </si>
  <si>
    <t>K eswara Rao</t>
  </si>
  <si>
    <t>Prabhakar</t>
  </si>
  <si>
    <t>Ramalingeswara rao</t>
  </si>
  <si>
    <t>L Krishna Kishore</t>
  </si>
  <si>
    <t>Srinivasa Reddy</t>
  </si>
  <si>
    <t>Rangamma</t>
  </si>
  <si>
    <t>Mopidevi ramesh</t>
  </si>
  <si>
    <t>P suseela</t>
  </si>
  <si>
    <t>Faruk</t>
  </si>
  <si>
    <t>Upallaiah</t>
  </si>
  <si>
    <t>Ravi Kiran</t>
  </si>
  <si>
    <t>Bhagya Sri</t>
  </si>
  <si>
    <t>R Srinvasa Rao</t>
  </si>
  <si>
    <t>CH Nageswara Rao</t>
  </si>
  <si>
    <t>Subramanya Sastry</t>
  </si>
  <si>
    <t>67 Files Breakup</t>
  </si>
  <si>
    <t>TFS Files status as on 28th Sep</t>
  </si>
  <si>
    <t>YESURATNAM CHEBROLU</t>
  </si>
  <si>
    <t>Vijaya Simha Alluri</t>
  </si>
  <si>
    <t>Gummadi Phani</t>
  </si>
  <si>
    <t>KALISETTI GOWRI NAIDU</t>
  </si>
  <si>
    <t>KETHEPALLY SIVARAMAKRISHNA</t>
  </si>
  <si>
    <t>A Satish</t>
  </si>
  <si>
    <t>Siva Sai Kiran</t>
  </si>
  <si>
    <t>Towfik Basha</t>
  </si>
  <si>
    <t>D Kishore Reddy</t>
  </si>
  <si>
    <t>Nova Auto Agency</t>
  </si>
  <si>
    <t>G Padmavathi</t>
  </si>
  <si>
    <t>Not responding</t>
  </si>
  <si>
    <t>vehicle</t>
  </si>
  <si>
    <t>M Ajay Shankar</t>
  </si>
  <si>
    <t>Akbar</t>
  </si>
  <si>
    <t>No Of Files given in Oct</t>
  </si>
  <si>
    <t>Oct</t>
  </si>
  <si>
    <t>Satti ram kumar reddy</t>
  </si>
  <si>
    <t>G Bhaskar Reddy</t>
  </si>
  <si>
    <t>Kothapalli Rja</t>
  </si>
  <si>
    <t>Polisetti Mahavir Anil kumar</t>
  </si>
  <si>
    <t>Pandu</t>
  </si>
  <si>
    <t>Babu Sagar</t>
  </si>
  <si>
    <t>R Narendra Reddy</t>
  </si>
  <si>
    <t>Yadagiri</t>
  </si>
  <si>
    <t>Lakshmi Kanth reddy</t>
  </si>
  <si>
    <t>S Venkat Reddy</t>
  </si>
  <si>
    <t>INNova</t>
  </si>
  <si>
    <t>Oct Opening Files (CF)</t>
  </si>
  <si>
    <t>HY03A</t>
  </si>
  <si>
    <t>Payment under Process</t>
  </si>
  <si>
    <t>PremLatha</t>
  </si>
  <si>
    <t>Raja Anil Kumar</t>
  </si>
  <si>
    <t>G Venkat Sai</t>
  </si>
  <si>
    <t>Immanuel</t>
  </si>
  <si>
    <t>V Veera Raju</t>
  </si>
  <si>
    <t>Abdul Shukur</t>
  </si>
  <si>
    <t>V M constructions</t>
  </si>
  <si>
    <t>Rajesh Singh</t>
  </si>
  <si>
    <t>Nookala</t>
  </si>
  <si>
    <t>M Sai Nagendra</t>
  </si>
  <si>
    <t>Kothapalli Rambabu</t>
  </si>
  <si>
    <t>Kishan Reddy</t>
  </si>
  <si>
    <t>Venkat reddy</t>
  </si>
  <si>
    <t>Raju Goud</t>
  </si>
  <si>
    <t>Hyderali</t>
  </si>
  <si>
    <t>Suresh Babu</t>
  </si>
  <si>
    <t>Glomatrix</t>
  </si>
  <si>
    <t>M Lova Raju</t>
  </si>
  <si>
    <t>Kishore Reddy</t>
  </si>
  <si>
    <t>Dariya Vali</t>
  </si>
  <si>
    <t>Eida Seshgiri Rao</t>
  </si>
  <si>
    <t>K Prakash</t>
  </si>
  <si>
    <t>G bharat</t>
  </si>
  <si>
    <t>OCT</t>
  </si>
  <si>
    <t>65 Files Breakup</t>
  </si>
  <si>
    <t>Venkata Bhupathi</t>
  </si>
  <si>
    <t>K Sai Kiran</t>
  </si>
  <si>
    <t>Crysta Crop Solutins Pvt Ltd</t>
  </si>
  <si>
    <t>Siva Sai Kumar</t>
  </si>
  <si>
    <t>Jagadeesh</t>
  </si>
  <si>
    <t>P Venkat rami reddy</t>
  </si>
  <si>
    <t>Siva Kumar</t>
  </si>
  <si>
    <t>Manik Reddy</t>
  </si>
  <si>
    <t>M Lakshmi</t>
  </si>
  <si>
    <t>D Priyanka</t>
  </si>
  <si>
    <t>D nageswara Rao</t>
  </si>
  <si>
    <t>VSp</t>
  </si>
  <si>
    <t>B Prasad</t>
  </si>
  <si>
    <t>G Aruna</t>
  </si>
  <si>
    <t>M Siva Kumar</t>
  </si>
  <si>
    <t>K V raman Murthy</t>
  </si>
  <si>
    <t>M Nani Babu</t>
  </si>
  <si>
    <t>Srinivas Rao Varada</t>
  </si>
  <si>
    <t>Nov</t>
  </si>
  <si>
    <t>Rohan Desei</t>
  </si>
  <si>
    <t>P V Satyanarayana</t>
  </si>
  <si>
    <t>Nov Opening Files (CF)</t>
  </si>
  <si>
    <t>TFS Files status as on 3rd Nov</t>
  </si>
  <si>
    <t>No Of Files given in Noc</t>
  </si>
  <si>
    <t>UMA Maheswar</t>
  </si>
  <si>
    <t>Ramesh</t>
  </si>
  <si>
    <t>NOV</t>
  </si>
  <si>
    <t>Ramana Murthy</t>
  </si>
  <si>
    <t>Padma</t>
  </si>
  <si>
    <t>N Mallikarjuna rao</t>
  </si>
  <si>
    <t>CH Seetha Rajya Lakshmi</t>
  </si>
  <si>
    <t>Kothapalli Srinivasullu</t>
  </si>
  <si>
    <t>Sri Rama Chandra Murthy</t>
  </si>
  <si>
    <t>Buddaraju Venkata Anil kumar</t>
  </si>
  <si>
    <t>G Ruthuneelam</t>
  </si>
  <si>
    <t>Prem Kumar Yadav</t>
  </si>
  <si>
    <t>TFS 35%</t>
  </si>
  <si>
    <t>Ranbow</t>
  </si>
  <si>
    <t>Jaya prakash</t>
  </si>
  <si>
    <t>Damodar Reddy</t>
  </si>
  <si>
    <t>Dara Praveen reddy</t>
  </si>
  <si>
    <t>Rajeswar</t>
  </si>
  <si>
    <t>Vijay Kumar Goud</t>
  </si>
  <si>
    <t>Sai Amma</t>
  </si>
  <si>
    <t>K Srikanth</t>
  </si>
  <si>
    <t>D Upender</t>
  </si>
  <si>
    <t>Vinod</t>
  </si>
  <si>
    <t>Ganesh Kumar</t>
  </si>
  <si>
    <t>Varada Srinivas</t>
  </si>
  <si>
    <t>S Thirupamma</t>
  </si>
  <si>
    <t xml:space="preserve">P Vinay Sri </t>
  </si>
  <si>
    <t>Uma Maheswara Rao</t>
  </si>
  <si>
    <t>Mary</t>
  </si>
  <si>
    <t>vanitha</t>
  </si>
  <si>
    <t>M Mallika</t>
  </si>
  <si>
    <t>100% funding</t>
  </si>
  <si>
    <t>Thota Sridevi</t>
  </si>
  <si>
    <t>Samuel</t>
  </si>
  <si>
    <t>Karunakr</t>
  </si>
  <si>
    <t>Veerapaayya</t>
  </si>
  <si>
    <t>Ajay Textiles</t>
  </si>
  <si>
    <t>Syam Pujari</t>
  </si>
  <si>
    <t>Akula Krishnam raju</t>
  </si>
  <si>
    <t>Malleswari</t>
  </si>
  <si>
    <t>ravi Sankar reddy</t>
  </si>
  <si>
    <t>V Sowmya</t>
  </si>
  <si>
    <t>Satyanarayana</t>
  </si>
  <si>
    <t>Ykt</t>
  </si>
  <si>
    <t>Sriram Kumar Nagireddy</t>
  </si>
  <si>
    <t>N Narsimha Rao</t>
  </si>
  <si>
    <t>S Trinadh</t>
  </si>
  <si>
    <t>ZX</t>
  </si>
  <si>
    <t>M Nani Kumar</t>
  </si>
  <si>
    <t>Abdul qureshi</t>
  </si>
  <si>
    <t>Pwhite</t>
  </si>
  <si>
    <t>G Mahesh yadhav</t>
  </si>
  <si>
    <t xml:space="preserve">Vikram Reddy </t>
  </si>
  <si>
    <t>8A silver</t>
  </si>
  <si>
    <t>Mani Kumar</t>
  </si>
  <si>
    <t>Lorry Transport</t>
  </si>
  <si>
    <t>TFS Files status as on 25th Nov</t>
  </si>
  <si>
    <t>TFS Files status as on 24th Nov</t>
  </si>
  <si>
    <t>Lead Number</t>
  </si>
  <si>
    <t>Customer Name</t>
  </si>
  <si>
    <t>Dealer</t>
  </si>
  <si>
    <t>Vehicle</t>
  </si>
  <si>
    <t>Loan</t>
  </si>
  <si>
    <t>AL-0000592376-Lead</t>
  </si>
  <si>
    <t>MURIKI MANI KUMAR</t>
  </si>
  <si>
    <t>RADHA KRISHNA TOYOTA-KHAMMAM INF PAY</t>
  </si>
  <si>
    <t>INNOVA CRYSTA BS VI</t>
  </si>
  <si>
    <t>Agreement to be done</t>
  </si>
  <si>
    <t>AL-0000591494-Lead</t>
  </si>
  <si>
    <t>MOHAMMAD A ULHAQQURESHI</t>
  </si>
  <si>
    <t>AL-0000591447-Lead</t>
  </si>
  <si>
    <t>MYNENI MALLIKA</t>
  </si>
  <si>
    <t>FORTUNER BS VI</t>
  </si>
  <si>
    <t>AL-0000589975-Lead</t>
  </si>
  <si>
    <t>GEDDAM RUTHNEELAM</t>
  </si>
  <si>
    <t>Co-Applicant Needed</t>
  </si>
  <si>
    <t>AL-0000589584-Lead</t>
  </si>
  <si>
    <t>KAKKERA RAMESH BABU</t>
  </si>
  <si>
    <t>Customer Planning Vehicle in Harsha, He will take vehicle with us if we arrange Sparking Black</t>
  </si>
  <si>
    <t>AL-0000589251-Lead</t>
  </si>
  <si>
    <t>MADDALA SIVAKUMAR</t>
  </si>
  <si>
    <t>Customer will take vehicle if vehicle is available</t>
  </si>
  <si>
    <t>AL-0000591238-Lead</t>
  </si>
  <si>
    <t>AJAY TEXTILES</t>
  </si>
  <si>
    <t>RADHA TOYOTA-GUNTUR</t>
  </si>
  <si>
    <t>Vehicle confirmation required</t>
  </si>
  <si>
    <t>AL-0000591449-Lead</t>
  </si>
  <si>
    <t>SRIRAM KUMAR NAGIREDDY</t>
  </si>
  <si>
    <t>LEELA KRISHNA TOYOTA-RAJAMUNDRY</t>
  </si>
  <si>
    <t>AL-0000590281-Lead</t>
  </si>
  <si>
    <t>MATTA GANESH KUMAR</t>
  </si>
  <si>
    <t xml:space="preserve">order </t>
  </si>
  <si>
    <t xml:space="preserve">XI </t>
  </si>
  <si>
    <t>SW/ZW</t>
  </si>
  <si>
    <t>Gruha Lakshmi</t>
  </si>
  <si>
    <t>Fabrics LTD</t>
  </si>
  <si>
    <t>Forutuner</t>
  </si>
  <si>
    <t>Login TGT</t>
  </si>
  <si>
    <t>Disb TGT</t>
  </si>
  <si>
    <t>Add Login TGT</t>
  </si>
  <si>
    <t xml:space="preserve">Total Login </t>
  </si>
  <si>
    <t>Uprocess</t>
  </si>
  <si>
    <t>AP</t>
  </si>
  <si>
    <t>drop 3</t>
  </si>
  <si>
    <t>process  4</t>
  </si>
  <si>
    <t>TS</t>
  </si>
  <si>
    <t>Disbu 1</t>
  </si>
  <si>
    <t>Approval Stage 3</t>
  </si>
  <si>
    <t>Query 3</t>
  </si>
  <si>
    <t>MTD Status - 26th Nov'21</t>
  </si>
  <si>
    <t>MTD Logins</t>
  </si>
  <si>
    <t>Ready for DISb</t>
  </si>
  <si>
    <t>Rejected Files</t>
  </si>
  <si>
    <t>Revised Disb TGT</t>
  </si>
  <si>
    <t>Total Disb TGT</t>
  </si>
  <si>
    <t>Additional TGT</t>
  </si>
  <si>
    <t>Bal required logins</t>
  </si>
  <si>
    <t>Bal required Disb</t>
  </si>
  <si>
    <t>Loc</t>
  </si>
  <si>
    <t>TFS Business Target - Nov'21</t>
  </si>
  <si>
    <t>Final Revised TGT</t>
  </si>
  <si>
    <t>Mon</t>
  </si>
  <si>
    <t>Tue</t>
  </si>
  <si>
    <t>KKD</t>
  </si>
  <si>
    <t>xp</t>
  </si>
  <si>
    <t>brone</t>
  </si>
  <si>
    <t>xn</t>
  </si>
  <si>
    <t>bronze</t>
  </si>
  <si>
    <t>ali Azgar</t>
  </si>
  <si>
    <t>MD Saber</t>
  </si>
  <si>
    <t>Ykt 2</t>
  </si>
  <si>
    <t>Approval Pending</t>
  </si>
  <si>
    <t>Pasula Ramesh</t>
  </si>
  <si>
    <t>Vipal Reddy</t>
  </si>
  <si>
    <t>Monday</t>
  </si>
  <si>
    <t>Nov'21</t>
  </si>
  <si>
    <t>Venkat Narayana reddy</t>
  </si>
  <si>
    <t>P Soumya</t>
  </si>
  <si>
    <t>Ravi sankar reddy</t>
  </si>
  <si>
    <t>J mahesh Yadhav</t>
  </si>
  <si>
    <t>Narasimha Goud Indraka</t>
  </si>
  <si>
    <t>Venkat ratnam</t>
  </si>
  <si>
    <t>Tuesday</t>
  </si>
  <si>
    <t>Manik Kumar</t>
  </si>
  <si>
    <t>INnova</t>
  </si>
  <si>
    <t>CH Srinivas</t>
  </si>
  <si>
    <t>Anjanyellu</t>
  </si>
  <si>
    <t>Teja</t>
  </si>
  <si>
    <t>T Nagaraju</t>
  </si>
  <si>
    <t>Vishal</t>
  </si>
  <si>
    <t>Login</t>
  </si>
  <si>
    <t>Disb</t>
  </si>
  <si>
    <t>G markin</t>
  </si>
  <si>
    <t>Taj Travels</t>
  </si>
  <si>
    <t>Tanuja</t>
  </si>
  <si>
    <t>TGT</t>
  </si>
  <si>
    <t xml:space="preserve">Plan </t>
  </si>
  <si>
    <t>Plan</t>
  </si>
  <si>
    <t>Total TGT</t>
  </si>
  <si>
    <t>Total Plan</t>
  </si>
  <si>
    <t>TG Total</t>
  </si>
  <si>
    <t>Coastal Total</t>
  </si>
  <si>
    <t>Collection Plan - 29th &amp; 30th Nov'21</t>
  </si>
  <si>
    <t>CF</t>
  </si>
  <si>
    <t xml:space="preserve">   </t>
  </si>
  <si>
    <t>RTGS</t>
  </si>
  <si>
    <t>P Sowmya</t>
  </si>
  <si>
    <t>Venkat narayana reddy</t>
  </si>
  <si>
    <t>Drutgati Yatayat Pvt Ltd</t>
  </si>
  <si>
    <t>Medhi Imam Rizvi</t>
  </si>
  <si>
    <t>Palamkula Yadaiah</t>
  </si>
  <si>
    <t>Narsimha Goud I</t>
  </si>
  <si>
    <t xml:space="preserve">Venkat tatnam </t>
  </si>
  <si>
    <t xml:space="preserve">SLNO </t>
  </si>
  <si>
    <t>LOCATION</t>
  </si>
  <si>
    <t>VEHICLE</t>
  </si>
  <si>
    <t>AGREEMENT DONE OR NOT</t>
  </si>
  <si>
    <t>VEHICLE STATUS</t>
  </si>
  <si>
    <t>AL-0000592579-Lead</t>
  </si>
  <si>
    <t>POKARNA FABRICS PRIVATE LIMITED</t>
  </si>
  <si>
    <t>NO</t>
  </si>
  <si>
    <t>4v8</t>
  </si>
  <si>
    <t>MDDP</t>
  </si>
  <si>
    <t>GLANZA</t>
  </si>
  <si>
    <t>YES</t>
  </si>
  <si>
    <t>AL-0000591434-Lead</t>
  </si>
  <si>
    <t>DRUTGATI YATAYAT PRIVATE LIMITED</t>
  </si>
  <si>
    <t>xh</t>
  </si>
  <si>
    <t>1d6</t>
  </si>
  <si>
    <t>AL-0000591657-Lead</t>
  </si>
  <si>
    <t>CHILUMULA RAVISHANKAR REDDY</t>
  </si>
  <si>
    <t>YASHODA TOYOTA - UPPAL</t>
  </si>
  <si>
    <t>070</t>
  </si>
  <si>
    <t>Dec MDDP</t>
  </si>
  <si>
    <t>AL-0000590407-Lead</t>
  </si>
  <si>
    <t>TALARI VINOD KUMAR</t>
  </si>
  <si>
    <t>xg</t>
  </si>
  <si>
    <t>URBAN CRUISER</t>
  </si>
  <si>
    <t>AL-0000590176-Lead</t>
  </si>
  <si>
    <t>CHILUMULA AJAY KUMAR REDDY</t>
  </si>
  <si>
    <t>AL-0000589199-Lead</t>
  </si>
  <si>
    <t>KONDA VENKAT RATNAM</t>
  </si>
  <si>
    <t>O5</t>
  </si>
  <si>
    <t>ZWE</t>
  </si>
  <si>
    <t>YASHODHA KRISHNA TOYOTA-HYDERGUDA</t>
  </si>
  <si>
    <t>AL-0000591578-Lead</t>
  </si>
  <si>
    <t>MOHAMMED SOHAIL AHMED</t>
  </si>
  <si>
    <t>8a</t>
  </si>
  <si>
    <t>zhj</t>
  </si>
  <si>
    <t>AL-0000592803-Lead</t>
  </si>
  <si>
    <t>JAKKULA MAHESH YADAV</t>
  </si>
  <si>
    <t>Z1Q</t>
  </si>
  <si>
    <t>AL-0000591012-Lead</t>
  </si>
  <si>
    <t>C LAVANYA GOUD</t>
  </si>
  <si>
    <t>040</t>
  </si>
  <si>
    <t>AL-0000592086-Lead</t>
  </si>
  <si>
    <t>CHANDSULTHANA MAHAMD</t>
  </si>
  <si>
    <t>zzp</t>
  </si>
  <si>
    <t>AL-0000592900-Lead</t>
  </si>
  <si>
    <t>NARSIMHA GOUD INDRAKANTI</t>
  </si>
  <si>
    <t>AL-0000592844-Lead</t>
  </si>
  <si>
    <t>PUSALA RAMESH</t>
  </si>
  <si>
    <t>YARIS BS VI</t>
  </si>
  <si>
    <t>rj</t>
  </si>
  <si>
    <t>4w9</t>
  </si>
  <si>
    <t>AL-0000592036-Lead</t>
  </si>
  <si>
    <t>MEHDI IMAM RIZVI</t>
  </si>
  <si>
    <t>AL-0000584251-Lead</t>
  </si>
  <si>
    <t>BONDADA PRASAD</t>
  </si>
  <si>
    <t>AL-0000592093-Lead</t>
  </si>
  <si>
    <t>SETTIVOLU THRINADH</t>
  </si>
  <si>
    <t>LEELA KRISHNA TOYOTA-VISAKHAPATNAM</t>
  </si>
  <si>
    <t xml:space="preserve">Fresh Cases for Logins </t>
  </si>
  <si>
    <t>29th Nov'21</t>
  </si>
  <si>
    <t>S.no</t>
  </si>
  <si>
    <t>Value</t>
  </si>
  <si>
    <t>Total Fresh Cases</t>
  </si>
  <si>
    <t>Rjy</t>
  </si>
  <si>
    <t>Nunna Venkat Suresh</t>
  </si>
  <si>
    <t>SX</t>
  </si>
  <si>
    <t>For Login</t>
  </si>
  <si>
    <t>with vehicle available</t>
  </si>
  <si>
    <t>No of files</t>
  </si>
  <si>
    <t>In lakhs</t>
  </si>
  <si>
    <t>G Markin , Dharnmateja Society</t>
  </si>
  <si>
    <t>Khalil</t>
  </si>
  <si>
    <t>Ravi kumar</t>
  </si>
  <si>
    <t>Satyanarayana A</t>
  </si>
  <si>
    <t>O6</t>
  </si>
  <si>
    <t>Orange</t>
  </si>
  <si>
    <t>G Durga srinivas</t>
  </si>
  <si>
    <t>subba reddy</t>
  </si>
  <si>
    <t>Ashwin Kumar</t>
  </si>
  <si>
    <t>XI/XJ</t>
  </si>
  <si>
    <t>Swarna Latha</t>
  </si>
  <si>
    <t>Bhadraiah</t>
  </si>
  <si>
    <t>Sukendar reddy</t>
  </si>
  <si>
    <t>Naresh</t>
  </si>
  <si>
    <t>V Narasimha Rao</t>
  </si>
  <si>
    <t>A Srnivas Rao</t>
  </si>
  <si>
    <t>Royal Hospital</t>
  </si>
  <si>
    <t>XG/ XH</t>
  </si>
  <si>
    <t>A Mani sankar</t>
  </si>
  <si>
    <t>ZY</t>
  </si>
  <si>
    <t>Prasad</t>
  </si>
  <si>
    <t>XN</t>
  </si>
  <si>
    <t>Millinium software</t>
  </si>
  <si>
    <t>Z2</t>
  </si>
  <si>
    <t>Srilakshmi</t>
  </si>
  <si>
    <t>P Kondala Rao</t>
  </si>
  <si>
    <t xml:space="preserve">Anil Kumar </t>
  </si>
  <si>
    <t>WHIte</t>
  </si>
  <si>
    <t>Warshi Mohmed</t>
  </si>
  <si>
    <t>Chandra Sekhar</t>
  </si>
  <si>
    <t>Praveen</t>
  </si>
  <si>
    <t>FAREENA SULTHANA</t>
  </si>
  <si>
    <t>DISBURSED</t>
  </si>
  <si>
    <t>DISBURSEMENT  STATUS</t>
  </si>
  <si>
    <t>NOT DISBURSED</t>
  </si>
  <si>
    <t>AL-0000591307-Lead</t>
  </si>
  <si>
    <t>VENKAT NARAYAN REDDY GOGU</t>
  </si>
  <si>
    <t>xk</t>
  </si>
  <si>
    <t>AVR</t>
  </si>
  <si>
    <t>NOT DISBURSED /DROPPED</t>
  </si>
  <si>
    <t>NOT DISBURSED / PROFILE ISSUE</t>
  </si>
  <si>
    <t>NOT DISBURSED / CIBIL ISSUE</t>
  </si>
  <si>
    <t>AL-0000590335-Lead</t>
  </si>
  <si>
    <t>RAMPRASAD TEEGALA</t>
  </si>
  <si>
    <t>NO BOOKING</t>
  </si>
  <si>
    <t>AL-0000589919-Lead</t>
  </si>
  <si>
    <t>CH SITARAJYALAKSHM</t>
  </si>
  <si>
    <t>AL-0000571544-Lead</t>
  </si>
  <si>
    <t>KAMMA SITA MAHALAKSHMI</t>
  </si>
  <si>
    <t>z2</t>
  </si>
  <si>
    <t>2qj</t>
  </si>
  <si>
    <t>AL-0000591486-Lead</t>
  </si>
  <si>
    <t>SHAIK KHASIMPEERA</t>
  </si>
  <si>
    <t>zw</t>
  </si>
  <si>
    <t>TAJ TOURS &amp; TRAVELS</t>
  </si>
  <si>
    <t>VUNDAVALLI VEER RAJU</t>
  </si>
  <si>
    <t>CHATTU VENKATA RAMANA</t>
  </si>
  <si>
    <t>SUBHAM GRANITE AND STONE</t>
  </si>
  <si>
    <t>Disb. TGT by 10th Dec</t>
  </si>
  <si>
    <t>Login TGT by 10th Dec</t>
  </si>
  <si>
    <t>TFS Business Plan- Dec'21</t>
  </si>
  <si>
    <t>No of Files</t>
  </si>
  <si>
    <t>Saber Bin Khali</t>
  </si>
  <si>
    <t>Total No Of Files</t>
  </si>
  <si>
    <t>TFS Target</t>
  </si>
  <si>
    <t>Retail Sales TGT</t>
  </si>
  <si>
    <t>DEC Disb. TGT</t>
  </si>
  <si>
    <t xml:space="preserve"> DEC  Login TGT</t>
  </si>
  <si>
    <t>TGT by 10th Dec</t>
  </si>
  <si>
    <t>Previous Approved Files</t>
  </si>
  <si>
    <t>Dec Opng. Files for login</t>
  </si>
  <si>
    <t xml:space="preserve">No of files Given </t>
  </si>
  <si>
    <t>Mamatha</t>
  </si>
  <si>
    <t>k Srilakshmi</t>
  </si>
  <si>
    <t>ONg</t>
  </si>
  <si>
    <t>N Srinivas</t>
  </si>
  <si>
    <t>K Nooka Raju</t>
  </si>
  <si>
    <t>Nov Carry Fwd Files</t>
  </si>
  <si>
    <r>
      <t xml:space="preserve">Value 
</t>
    </r>
    <r>
      <rPr>
        <b/>
        <i/>
        <sz val="9"/>
        <color theme="1"/>
        <rFont val="Calibri (Body)"/>
      </rPr>
      <t>(in Lakhs)</t>
    </r>
  </si>
  <si>
    <r>
      <t xml:space="preserve">Logins Live 
</t>
    </r>
    <r>
      <rPr>
        <b/>
        <i/>
        <sz val="10"/>
        <color theme="1"/>
        <rFont val="Calibri (Body)"/>
      </rPr>
      <t>(in Lakhs)</t>
    </r>
  </si>
  <si>
    <r>
      <t xml:space="preserve">TOT Value   
</t>
    </r>
    <r>
      <rPr>
        <b/>
        <i/>
        <sz val="11"/>
        <color theme="1"/>
        <rFont val="Calibri (Body)"/>
      </rPr>
      <t>(in Lakhs)</t>
    </r>
  </si>
  <si>
    <r>
      <t xml:space="preserve">Approved 
</t>
    </r>
    <r>
      <rPr>
        <b/>
        <i/>
        <sz val="11"/>
        <color theme="1"/>
        <rFont val="Calibri (Body)"/>
      </rPr>
      <t>(in Lakhs)</t>
    </r>
  </si>
  <si>
    <r>
      <t xml:space="preserve">Payment under Process 
</t>
    </r>
    <r>
      <rPr>
        <b/>
        <i/>
        <sz val="10"/>
        <color theme="1"/>
        <rFont val="Calibri (Body)"/>
      </rPr>
      <t>( In Lakhs )</t>
    </r>
  </si>
  <si>
    <t>Documents Collected</t>
  </si>
  <si>
    <t>Fresh Cases Under Process</t>
  </si>
  <si>
    <t>Files under Disb.</t>
  </si>
  <si>
    <t>Files Disbd.</t>
  </si>
  <si>
    <r>
      <t xml:space="preserve">Disbrsd.    </t>
    </r>
    <r>
      <rPr>
        <b/>
        <i/>
        <sz val="12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 (Body)"/>
      </rPr>
      <t>(in Lakhs)</t>
    </r>
  </si>
  <si>
    <t>Address proof</t>
  </si>
  <si>
    <t>OD 3 Lakhs</t>
  </si>
  <si>
    <t>Abdul Jappar</t>
  </si>
  <si>
    <t>O1</t>
  </si>
  <si>
    <t xml:space="preserve">XP </t>
  </si>
  <si>
    <t>SK  Wajid</t>
  </si>
  <si>
    <t>Maheswari/ V Venkanna</t>
  </si>
  <si>
    <t>P Brown</t>
  </si>
  <si>
    <t>Saber Bin</t>
  </si>
  <si>
    <t>Dealer Code</t>
  </si>
  <si>
    <t>Ykt2</t>
  </si>
  <si>
    <t>Documents</t>
  </si>
  <si>
    <t>Satish</t>
  </si>
  <si>
    <t>Suresh</t>
  </si>
  <si>
    <t xml:space="preserve">Disb.TGT </t>
  </si>
  <si>
    <t>Linga Reddy</t>
  </si>
  <si>
    <t xml:space="preserve"> D Krishna</t>
  </si>
  <si>
    <t>GX</t>
  </si>
  <si>
    <t>Deva</t>
  </si>
  <si>
    <t>Srinivas Rao</t>
  </si>
  <si>
    <t xml:space="preserve">8A </t>
  </si>
  <si>
    <t>TFS Login &amp; Disbursement - 04th Dec'21</t>
  </si>
  <si>
    <t>Sri sai oil feeds</t>
  </si>
  <si>
    <t>White/ Silver</t>
  </si>
  <si>
    <t>MTD Disb.</t>
  </si>
  <si>
    <t>Today's Plan</t>
  </si>
  <si>
    <t>Today's Actual</t>
  </si>
  <si>
    <t>Req per day</t>
  </si>
  <si>
    <t>Under Disb Process</t>
  </si>
  <si>
    <t>Disbed. Waiting for Reflection</t>
  </si>
  <si>
    <t>A Krishna Shankar</t>
  </si>
  <si>
    <t>Pending of last 3 days</t>
  </si>
  <si>
    <t>DR Ayyapa Naidu</t>
  </si>
  <si>
    <t>On road funding no sufficient documents</t>
  </si>
  <si>
    <t>HDFC Done</t>
  </si>
  <si>
    <t>Brown &amp; Black</t>
  </si>
  <si>
    <t>Planning Next month</t>
  </si>
  <si>
    <t>Srikanth/ Ramprasad</t>
  </si>
  <si>
    <t xml:space="preserve">23loan Santined </t>
  </si>
  <si>
    <t>Cibil issue</t>
  </si>
  <si>
    <t>Out of station 07-12-2021 Logn</t>
  </si>
  <si>
    <t>P Durga Rao</t>
  </si>
  <si>
    <t>white</t>
  </si>
  <si>
    <t>Waiting for approval   coapplicant</t>
  </si>
  <si>
    <t>04-12-2021Agr &amp; Disb.</t>
  </si>
  <si>
    <t>06-12-2021 Disb</t>
  </si>
  <si>
    <t>vehicle not available</t>
  </si>
  <si>
    <t>Customer not responding</t>
  </si>
  <si>
    <t>Prasad (Subramanyam)</t>
  </si>
  <si>
    <t>Black/P White</t>
  </si>
  <si>
    <t>LTV</t>
  </si>
  <si>
    <t>Seconds vehicle</t>
  </si>
  <si>
    <t xml:space="preserve">ICICI </t>
  </si>
  <si>
    <t>G Ramesh</t>
  </si>
  <si>
    <t>7Y</t>
  </si>
  <si>
    <t>06-12-2021 disb</t>
  </si>
  <si>
    <t>Co applicant pending 06-12-2021</t>
  </si>
  <si>
    <t>Vehicle not available</t>
  </si>
  <si>
    <t>credit card od proof req 06-12-2021 agr</t>
  </si>
  <si>
    <t>RED / S black</t>
  </si>
  <si>
    <t>For login</t>
  </si>
  <si>
    <t>B T naidu</t>
  </si>
  <si>
    <t>Phani</t>
  </si>
  <si>
    <t>Whit e</t>
  </si>
  <si>
    <t>Agr</t>
  </si>
  <si>
    <t>2022 Model</t>
  </si>
  <si>
    <t>Out of station</t>
  </si>
  <si>
    <t>IT Returns</t>
  </si>
  <si>
    <t>Blue / Grey</t>
  </si>
  <si>
    <t xml:space="preserve">Financial statement pending Disb </t>
  </si>
  <si>
    <t>No Booking</t>
  </si>
  <si>
    <t>Waiting for approval  06-12-2021</t>
  </si>
  <si>
    <t>Out of station 07-12-2021</t>
  </si>
  <si>
    <t>Vehicle Confirmation</t>
  </si>
  <si>
    <t>Waiting for approval</t>
  </si>
  <si>
    <t>Suleman</t>
  </si>
  <si>
    <t>Prasad Rao</t>
  </si>
  <si>
    <t>KX01A</t>
  </si>
  <si>
    <t>MTD Status as on 4th Dec'21</t>
  </si>
  <si>
    <t xml:space="preserve"> V Ganesh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</si>
</sst>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333333"/>
      <name val="Calibri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0"/>
      <color theme="1"/>
      <name val="Calibri (Body)"/>
    </font>
    <font>
      <b/>
      <i/>
      <sz val="9"/>
      <color theme="1"/>
      <name val="Calibri (Body)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 (Body)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lightGray">
        <fgColor indexed="2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1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>
      <left/>
      <right style="medium">
        <color rgb="FF333333"/>
      </right>
      <top/>
      <bottom style="medium">
        <color rgb="FF333333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9" fontId="4" fillId="0" borderId="0" applyFont="0" applyFill="0" applyBorder="0" applyAlignment="0" applyProtection="0"/>
  </cellStyleXfs>
  <cellXfs count="8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0" fontId="0" fillId="0" borderId="0" xfId="0" applyFill="1"/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0" fillId="0" borderId="3" xfId="0" applyBorder="1" applyAlignment="1"/>
    <xf numFmtId="0" fontId="0" fillId="0" borderId="3" xfId="0" applyFill="1" applyBorder="1" applyAlignment="1"/>
    <xf numFmtId="0" fontId="0" fillId="0" borderId="11" xfId="0" applyBorder="1" applyAlignment="1"/>
    <xf numFmtId="0" fontId="0" fillId="0" borderId="12" xfId="0" applyBorder="1" applyAlignment="1"/>
    <xf numFmtId="0" fontId="7" fillId="0" borderId="12" xfId="0" applyFont="1" applyBorder="1" applyAlignment="1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" fontId="0" fillId="6" borderId="14" xfId="0" applyNumberFormat="1" applyFill="1" applyBorder="1" applyAlignment="1">
      <alignment horizontal="center" vertical="center"/>
    </xf>
    <xf numFmtId="1" fontId="7" fillId="6" borderId="13" xfId="0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7" borderId="14" xfId="0" applyNumberFormat="1" applyFill="1" applyBorder="1" applyAlignment="1">
      <alignment horizontal="center" vertical="center"/>
    </xf>
    <xf numFmtId="1" fontId="7" fillId="7" borderId="13" xfId="0" applyNumberFormat="1" applyFont="1" applyFill="1" applyBorder="1" applyAlignment="1">
      <alignment horizontal="center" vertical="center"/>
    </xf>
    <xf numFmtId="1" fontId="0" fillId="3" borderId="14" xfId="0" applyNumberFormat="1" applyFill="1" applyBorder="1" applyAlignment="1">
      <alignment horizontal="center" vertical="center"/>
    </xf>
    <xf numFmtId="1" fontId="7" fillId="3" borderId="13" xfId="0" applyNumberFormat="1" applyFon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8" borderId="14" xfId="0" applyNumberFormat="1" applyFill="1" applyBorder="1" applyAlignment="1">
      <alignment horizontal="center" vertical="center"/>
    </xf>
    <xf numFmtId="1" fontId="7" fillId="8" borderId="13" xfId="0" applyNumberFormat="1" applyFont="1" applyFill="1" applyBorder="1" applyAlignment="1">
      <alignment horizontal="center" vertical="center"/>
    </xf>
    <xf numFmtId="0" fontId="0" fillId="0" borderId="15" xfId="0" applyBorder="1" applyAlignment="1"/>
    <xf numFmtId="0" fontId="0" fillId="5" borderId="16" xfId="0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" fontId="0" fillId="6" borderId="16" xfId="0" applyNumberFormat="1" applyFill="1" applyBorder="1" applyAlignment="1">
      <alignment horizontal="center" vertical="center"/>
    </xf>
    <xf numFmtId="1" fontId="0" fillId="7" borderId="16" xfId="0" applyNumberFormat="1" applyFill="1" applyBorder="1" applyAlignment="1">
      <alignment horizontal="center" vertical="center"/>
    </xf>
    <xf numFmtId="1" fontId="0" fillId="3" borderId="16" xfId="0" applyNumberFormat="1" applyFill="1" applyBorder="1" applyAlignment="1">
      <alignment horizontal="center" vertical="center"/>
    </xf>
    <xf numFmtId="1" fontId="0" fillId="8" borderId="16" xfId="0" applyNumberForma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/>
    </xf>
    <xf numFmtId="1" fontId="5" fillId="9" borderId="10" xfId="0" applyNumberFormat="1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 wrapText="1"/>
    </xf>
    <xf numFmtId="1" fontId="0" fillId="8" borderId="19" xfId="0" applyNumberFormat="1" applyFill="1" applyBorder="1" applyAlignment="1">
      <alignment horizontal="center" vertical="center"/>
    </xf>
    <xf numFmtId="1" fontId="7" fillId="8" borderId="18" xfId="0" applyNumberFormat="1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1" fillId="0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1" fillId="0" borderId="2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4" fontId="0" fillId="0" borderId="1" xfId="0" applyNumberFormat="1" applyBorder="1"/>
    <xf numFmtId="14" fontId="0" fillId="0" borderId="22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0" fontId="0" fillId="10" borderId="16" xfId="0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7" fillId="0" borderId="32" xfId="0" applyNumberFormat="1" applyFont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 wrapText="1"/>
    </xf>
    <xf numFmtId="1" fontId="0" fillId="13" borderId="16" xfId="0" applyNumberFormat="1" applyFill="1" applyBorder="1" applyAlignment="1">
      <alignment horizontal="center" vertical="center"/>
    </xf>
    <xf numFmtId="1" fontId="7" fillId="13" borderId="1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7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12" fillId="12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1" fillId="0" borderId="33" xfId="0" applyFont="1" applyBorder="1" applyAlignment="1">
      <alignment horizontal="left" vertical="center"/>
    </xf>
    <xf numFmtId="0" fontId="11" fillId="0" borderId="34" xfId="0" applyFont="1" applyBorder="1" applyAlignment="1">
      <alignment horizontal="center" vertical="center"/>
    </xf>
    <xf numFmtId="0" fontId="0" fillId="0" borderId="0" xfId="0" applyAlignment="1"/>
    <xf numFmtId="0" fontId="13" fillId="14" borderId="35" xfId="0" applyFont="1" applyFill="1" applyBorder="1" applyAlignment="1"/>
    <xf numFmtId="0" fontId="13" fillId="14" borderId="36" xfId="0" applyFont="1" applyFill="1" applyBorder="1" applyAlignment="1"/>
    <xf numFmtId="0" fontId="13" fillId="15" borderId="37" xfId="0" applyFont="1" applyFill="1" applyBorder="1" applyAlignment="1">
      <alignment horizontal="right"/>
    </xf>
    <xf numFmtId="0" fontId="13" fillId="15" borderId="26" xfId="0" applyFont="1" applyFill="1" applyBorder="1" applyAlignment="1">
      <alignment horizontal="right"/>
    </xf>
    <xf numFmtId="0" fontId="13" fillId="15" borderId="26" xfId="0" applyFont="1" applyFill="1" applyBorder="1" applyAlignment="1"/>
    <xf numFmtId="0" fontId="11" fillId="0" borderId="33" xfId="0" applyFont="1" applyBorder="1" applyAlignment="1">
      <alignment vertical="center"/>
    </xf>
    <xf numFmtId="0" fontId="11" fillId="0" borderId="34" xfId="0" applyFont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0" fillId="0" borderId="20" xfId="0" applyBorder="1" applyAlignment="1">
      <alignment horizontal="center"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32" xfId="0" applyBorder="1" applyAlignment="1">
      <alignment vertical="center"/>
    </xf>
    <xf numFmtId="14" fontId="0" fillId="0" borderId="22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8" xfId="0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3" fillId="15" borderId="94" xfId="0" applyFont="1" applyFill="1" applyBorder="1" applyAlignment="1">
      <alignment horizontal="right" vertical="top"/>
    </xf>
    <xf numFmtId="0" fontId="13" fillId="15" borderId="95" xfId="0" applyFont="1" applyFill="1" applyBorder="1" applyAlignment="1">
      <alignment vertical="top"/>
    </xf>
    <xf numFmtId="22" fontId="13" fillId="15" borderId="95" xfId="0" applyNumberFormat="1" applyFont="1" applyFill="1" applyBorder="1" applyAlignment="1">
      <alignment vertical="top"/>
    </xf>
    <xf numFmtId="0" fontId="13" fillId="16" borderId="94" xfId="0" applyFont="1" applyFill="1" applyBorder="1" applyAlignment="1">
      <alignment horizontal="right" vertical="top"/>
    </xf>
    <xf numFmtId="0" fontId="13" fillId="16" borderId="95" xfId="0" applyFont="1" applyFill="1" applyBorder="1" applyAlignment="1">
      <alignment vertical="top"/>
    </xf>
    <xf numFmtId="22" fontId="13" fillId="16" borderId="95" xfId="0" applyNumberFormat="1" applyFont="1" applyFill="1" applyBorder="1" applyAlignment="1">
      <alignment vertical="top"/>
    </xf>
    <xf numFmtId="0" fontId="0" fillId="0" borderId="21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2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29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0" borderId="39" xfId="0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7" fillId="0" borderId="1" xfId="0" applyFont="1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22" xfId="0" applyFont="1" applyBorder="1" applyAlignment="1">
      <alignment horizontal="center"/>
    </xf>
    <xf numFmtId="1" fontId="7" fillId="7" borderId="18" xfId="0" applyNumberFormat="1" applyFont="1" applyFill="1" applyBorder="1" applyAlignment="1">
      <alignment horizontal="center" vertical="center"/>
    </xf>
    <xf numFmtId="1" fontId="7" fillId="3" borderId="9" xfId="0" applyNumberFormat="1" applyFont="1" applyFill="1" applyBorder="1" applyAlignment="1">
      <alignment horizontal="center" vertical="center"/>
    </xf>
    <xf numFmtId="1" fontId="7" fillId="7" borderId="12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13" fillId="3" borderId="1" xfId="0" applyFont="1" applyFill="1" applyBorder="1" applyAlignment="1">
      <alignment horizontal="left" vertical="center"/>
    </xf>
    <xf numFmtId="0" fontId="0" fillId="0" borderId="40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12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/>
    </xf>
    <xf numFmtId="0" fontId="14" fillId="3" borderId="1" xfId="0" applyFont="1" applyFill="1" applyBorder="1" applyAlignment="1">
      <alignment horizontal="left" vertical="top"/>
    </xf>
    <xf numFmtId="0" fontId="0" fillId="12" borderId="1" xfId="0" applyFill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0" fillId="0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0" fontId="14" fillId="12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0" fontId="13" fillId="12" borderId="1" xfId="0" applyFont="1" applyFill="1" applyBorder="1" applyAlignment="1">
      <alignment horizontal="left" vertical="center"/>
    </xf>
    <xf numFmtId="0" fontId="7" fillId="0" borderId="39" xfId="0" applyFont="1" applyBorder="1" applyAlignment="1">
      <alignment horizontal="left"/>
    </xf>
    <xf numFmtId="0" fontId="0" fillId="0" borderId="41" xfId="0" applyFill="1" applyBorder="1" applyAlignment="1">
      <alignment horizontal="left" vertical="center"/>
    </xf>
    <xf numFmtId="0" fontId="11" fillId="3" borderId="0" xfId="0" applyFont="1" applyFill="1"/>
    <xf numFmtId="0" fontId="11" fillId="0" borderId="0" xfId="0" applyFont="1"/>
    <xf numFmtId="0" fontId="11" fillId="12" borderId="0" xfId="0" applyFont="1" applyFill="1"/>
    <xf numFmtId="0" fontId="15" fillId="12" borderId="0" xfId="0" applyFont="1" applyFill="1" applyAlignment="1">
      <alignment horizontal="left"/>
    </xf>
    <xf numFmtId="0" fontId="0" fillId="0" borderId="40" xfId="0" applyBorder="1" applyAlignment="1">
      <alignment horizontal="center"/>
    </xf>
    <xf numFmtId="0" fontId="10" fillId="0" borderId="22" xfId="0" applyFont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12" borderId="0" xfId="0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1" xfId="0" applyFont="1" applyBorder="1" applyAlignment="1">
      <alignment horizontal="left"/>
    </xf>
    <xf numFmtId="0" fontId="11" fillId="0" borderId="27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" fontId="5" fillId="0" borderId="26" xfId="0" applyNumberFormat="1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4" borderId="9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7" fillId="7" borderId="18" xfId="0" applyFont="1" applyFill="1" applyBorder="1" applyAlignment="1">
      <alignment horizontal="center" vertical="center" wrapText="1"/>
    </xf>
    <xf numFmtId="1" fontId="0" fillId="7" borderId="19" xfId="0" applyNumberFormat="1" applyFill="1" applyBorder="1" applyAlignment="1">
      <alignment horizontal="center" vertical="center"/>
    </xf>
    <xf numFmtId="1" fontId="0" fillId="7" borderId="41" xfId="0" applyNumberForma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 wrapText="1"/>
    </xf>
    <xf numFmtId="1" fontId="0" fillId="12" borderId="8" xfId="0" applyNumberFormat="1" applyFill="1" applyBorder="1" applyAlignment="1">
      <alignment horizontal="center" vertical="center"/>
    </xf>
    <xf numFmtId="1" fontId="0" fillId="12" borderId="42" xfId="0" applyNumberFormat="1" applyFill="1" applyBorder="1" applyAlignment="1">
      <alignment horizontal="center" vertical="center"/>
    </xf>
    <xf numFmtId="1" fontId="0" fillId="12" borderId="36" xfId="0" applyNumberForma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1" fontId="0" fillId="7" borderId="3" xfId="0" applyNumberFormat="1" applyFill="1" applyBorder="1" applyAlignment="1">
      <alignment horizontal="center" vertical="center"/>
    </xf>
    <xf numFmtId="1" fontId="0" fillId="7" borderId="17" xfId="0" applyNumberFormat="1" applyFill="1" applyBorder="1" applyAlignment="1">
      <alignment horizontal="center" vertical="center"/>
    </xf>
    <xf numFmtId="1" fontId="7" fillId="7" borderId="10" xfId="0" applyNumberFormat="1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1" fontId="0" fillId="0" borderId="21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39" xfId="0" applyFont="1" applyFill="1" applyBorder="1" applyAlignment="1">
      <alignment horizontal="center" vertical="center"/>
    </xf>
    <xf numFmtId="0" fontId="0" fillId="0" borderId="43" xfId="0" applyBorder="1" applyAlignment="1">
      <alignment horizontal="left"/>
    </xf>
    <xf numFmtId="0" fontId="0" fillId="0" borderId="25" xfId="0" applyBorder="1" applyAlignment="1">
      <alignment horizontal="center"/>
    </xf>
    <xf numFmtId="0" fontId="5" fillId="17" borderId="44" xfId="0" applyFont="1" applyFill="1" applyBorder="1" applyAlignment="1">
      <alignment horizontal="center" vertical="center"/>
    </xf>
    <xf numFmtId="1" fontId="5" fillId="17" borderId="45" xfId="0" applyNumberFormat="1" applyFont="1" applyFill="1" applyBorder="1" applyAlignment="1">
      <alignment horizontal="center" vertical="center"/>
    </xf>
    <xf numFmtId="1" fontId="5" fillId="17" borderId="44" xfId="0" applyNumberFormat="1" applyFont="1" applyFill="1" applyBorder="1" applyAlignment="1">
      <alignment horizontal="center" vertical="center"/>
    </xf>
    <xf numFmtId="0" fontId="7" fillId="0" borderId="46" xfId="0" applyFont="1" applyBorder="1" applyAlignment="1">
      <alignment horizontal="left"/>
    </xf>
    <xf numFmtId="0" fontId="7" fillId="0" borderId="47" xfId="0" applyFont="1" applyBorder="1" applyAlignment="1">
      <alignment horizontal="left"/>
    </xf>
    <xf numFmtId="0" fontId="7" fillId="0" borderId="47" xfId="0" applyFont="1" applyFill="1" applyBorder="1" applyAlignment="1">
      <alignment horizontal="left"/>
    </xf>
    <xf numFmtId="0" fontId="7" fillId="0" borderId="48" xfId="0" applyFont="1" applyBorder="1" applyAlignment="1">
      <alignment horizontal="left"/>
    </xf>
    <xf numFmtId="0" fontId="7" fillId="0" borderId="49" xfId="0" applyFont="1" applyBorder="1" applyAlignment="1">
      <alignment horizontal="left"/>
    </xf>
    <xf numFmtId="0" fontId="11" fillId="0" borderId="32" xfId="0" applyFont="1" applyFill="1" applyBorder="1" applyAlignment="1">
      <alignment horizontal="center" vertical="center" wrapText="1"/>
    </xf>
    <xf numFmtId="1" fontId="0" fillId="0" borderId="50" xfId="0" applyNumberFormat="1" applyBorder="1" applyAlignment="1">
      <alignment horizontal="center"/>
    </xf>
    <xf numFmtId="0" fontId="11" fillId="0" borderId="51" xfId="0" applyFont="1" applyBorder="1" applyAlignment="1">
      <alignment horizontal="center"/>
    </xf>
    <xf numFmtId="1" fontId="7" fillId="13" borderId="32" xfId="0" applyNumberFormat="1" applyFont="1" applyFill="1" applyBorder="1" applyAlignment="1">
      <alignment horizontal="center"/>
    </xf>
    <xf numFmtId="1" fontId="5" fillId="17" borderId="10" xfId="0" applyNumberFormat="1" applyFont="1" applyFill="1" applyBorder="1" applyAlignment="1">
      <alignment horizontal="center"/>
    </xf>
    <xf numFmtId="0" fontId="7" fillId="13" borderId="13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7" fillId="18" borderId="1" xfId="0" applyFont="1" applyFill="1" applyBorder="1" applyAlignment="1">
      <alignment horizontal="center" vertical="center" wrapText="1"/>
    </xf>
    <xf numFmtId="0" fontId="6" fillId="0" borderId="1" xfId="3" applyBorder="1" applyAlignment="1">
      <alignment horizontal="center" vertical="center"/>
    </xf>
    <xf numFmtId="0" fontId="6" fillId="0" borderId="1" xfId="4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7" fillId="0" borderId="54" xfId="0" applyNumberFormat="1" applyFont="1" applyBorder="1" applyAlignment="1">
      <alignment horizontal="center" vertical="center"/>
    </xf>
    <xf numFmtId="1" fontId="7" fillId="0" borderId="55" xfId="0" applyNumberFormat="1" applyFont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14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9" fillId="19" borderId="32" xfId="0" applyFont="1" applyFill="1" applyBorder="1" applyAlignment="1"/>
    <xf numFmtId="0" fontId="19" fillId="19" borderId="36" xfId="0" applyFont="1" applyFill="1" applyBorder="1" applyAlignment="1"/>
    <xf numFmtId="0" fontId="20" fillId="0" borderId="0" xfId="0" applyFont="1" applyFill="1" applyBorder="1" applyAlignment="1">
      <alignment vertical="center" textRotation="90"/>
    </xf>
    <xf numFmtId="0" fontId="7" fillId="0" borderId="0" xfId="0" applyFont="1" applyFill="1" applyBorder="1" applyAlignment="1">
      <alignment horizontal="left"/>
    </xf>
    <xf numFmtId="1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 wrapText="1"/>
    </xf>
    <xf numFmtId="1" fontId="0" fillId="6" borderId="3" xfId="0" applyNumberFormat="1" applyFill="1" applyBorder="1" applyAlignment="1">
      <alignment horizontal="center" vertical="center"/>
    </xf>
    <xf numFmtId="1" fontId="7" fillId="6" borderId="12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29" xfId="0" applyFont="1" applyBorder="1" applyAlignment="1">
      <alignment horizontal="center" vertical="center"/>
    </xf>
    <xf numFmtId="1" fontId="11" fillId="12" borderId="0" xfId="0" applyNumberFormat="1" applyFont="1" applyFill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7" fillId="0" borderId="54" xfId="0" applyNumberFormat="1" applyFont="1" applyBorder="1" applyAlignment="1">
      <alignment horizontal="center" vertical="center"/>
    </xf>
    <xf numFmtId="1" fontId="7" fillId="0" borderId="51" xfId="0" applyNumberFormat="1" applyFont="1" applyBorder="1" applyAlignment="1">
      <alignment horizontal="center" vertical="center"/>
    </xf>
    <xf numFmtId="0" fontId="19" fillId="19" borderId="34" xfId="0" applyFont="1" applyFill="1" applyBorder="1" applyAlignment="1"/>
    <xf numFmtId="0" fontId="19" fillId="19" borderId="24" xfId="0" applyFont="1" applyFill="1" applyBorder="1" applyAlignment="1"/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0" fillId="0" borderId="4" xfId="0" applyBorder="1"/>
    <xf numFmtId="0" fontId="0" fillId="0" borderId="7" xfId="0" applyBorder="1"/>
    <xf numFmtId="0" fontId="11" fillId="0" borderId="57" xfId="0" applyFont="1" applyBorder="1" applyAlignment="1">
      <alignment horizontal="center" vertical="center"/>
    </xf>
    <xf numFmtId="0" fontId="11" fillId="0" borderId="47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left"/>
    </xf>
    <xf numFmtId="0" fontId="7" fillId="0" borderId="39" xfId="0" applyFont="1" applyFill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/>
    </xf>
    <xf numFmtId="0" fontId="0" fillId="0" borderId="3" xfId="0" applyBorder="1"/>
    <xf numFmtId="0" fontId="0" fillId="0" borderId="11" xfId="0" applyBorder="1"/>
    <xf numFmtId="0" fontId="9" fillId="0" borderId="4" xfId="0" applyFon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1" fontId="0" fillId="7" borderId="5" xfId="0" applyNumberFormat="1" applyFill="1" applyBorder="1" applyAlignment="1">
      <alignment horizontal="center" vertical="center"/>
    </xf>
    <xf numFmtId="1" fontId="7" fillId="7" borderId="5" xfId="0" applyNumberFormat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1" fontId="0" fillId="6" borderId="4" xfId="0" applyNumberFormat="1" applyFill="1" applyBorder="1" applyAlignment="1">
      <alignment horizontal="center" vertical="center"/>
    </xf>
    <xf numFmtId="0" fontId="11" fillId="0" borderId="59" xfId="0" applyFont="1" applyBorder="1" applyAlignment="1">
      <alignment horizontal="center"/>
    </xf>
    <xf numFmtId="0" fontId="7" fillId="7" borderId="31" xfId="0" applyFont="1" applyFill="1" applyBorder="1" applyAlignment="1">
      <alignment horizontal="center" vertical="center" wrapText="1"/>
    </xf>
    <xf numFmtId="1" fontId="0" fillId="7" borderId="31" xfId="0" applyNumberFormat="1" applyFill="1" applyBorder="1" applyAlignment="1">
      <alignment horizontal="center" vertical="center"/>
    </xf>
    <xf numFmtId="1" fontId="7" fillId="7" borderId="31" xfId="0" applyNumberFormat="1" applyFont="1" applyFill="1" applyBorder="1" applyAlignment="1">
      <alignment horizontal="center" vertical="center"/>
    </xf>
    <xf numFmtId="0" fontId="0" fillId="0" borderId="31" xfId="0" applyBorder="1"/>
    <xf numFmtId="0" fontId="0" fillId="0" borderId="60" xfId="0" applyBorder="1"/>
    <xf numFmtId="0" fontId="7" fillId="7" borderId="3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1" fontId="0" fillId="7" borderId="4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1" fontId="0" fillId="12" borderId="3" xfId="0" applyNumberFormat="1" applyFill="1" applyBorder="1" applyAlignment="1">
      <alignment horizontal="center" vertical="center"/>
    </xf>
    <xf numFmtId="1" fontId="0" fillId="8" borderId="4" xfId="0" applyNumberForma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" fontId="11" fillId="0" borderId="13" xfId="0" applyNumberFormat="1" applyFont="1" applyBorder="1" applyAlignment="1">
      <alignment horizontal="center"/>
    </xf>
    <xf numFmtId="0" fontId="11" fillId="0" borderId="39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2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" fontId="18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13" fillId="15" borderId="35" xfId="0" applyFont="1" applyFill="1" applyBorder="1" applyAlignment="1">
      <alignment horizontal="center"/>
    </xf>
    <xf numFmtId="0" fontId="13" fillId="15" borderId="36" xfId="0" applyFont="1" applyFill="1" applyBorder="1" applyAlignment="1">
      <alignment horizontal="center"/>
    </xf>
    <xf numFmtId="0" fontId="13" fillId="15" borderId="37" xfId="0" applyFont="1" applyFill="1" applyBorder="1" applyAlignment="1">
      <alignment horizontal="center"/>
    </xf>
    <xf numFmtId="0" fontId="13" fillId="15" borderId="26" xfId="0" applyFont="1" applyFill="1" applyBorder="1" applyAlignment="1">
      <alignment horizontal="center" vertical="top"/>
    </xf>
    <xf numFmtId="0" fontId="13" fillId="15" borderId="26" xfId="0" applyFont="1" applyFill="1" applyBorder="1" applyAlignment="1">
      <alignment horizontal="center"/>
    </xf>
    <xf numFmtId="0" fontId="13" fillId="16" borderId="26" xfId="0" applyFont="1" applyFill="1" applyBorder="1" applyAlignment="1">
      <alignment horizontal="center" vertical="top"/>
    </xf>
    <xf numFmtId="0" fontId="11" fillId="0" borderId="39" xfId="0" applyFont="1" applyBorder="1" applyAlignment="1">
      <alignment horizontal="center" vertical="center"/>
    </xf>
    <xf numFmtId="0" fontId="13" fillId="15" borderId="26" xfId="0" applyFont="1" applyFill="1" applyBorder="1" applyAlignment="1">
      <alignment horizontal="center" vertical="top" wrapText="1"/>
    </xf>
    <xf numFmtId="0" fontId="13" fillId="15" borderId="26" xfId="0" applyFont="1" applyFill="1" applyBorder="1" applyAlignment="1">
      <alignment horizontal="center" wrapText="1"/>
    </xf>
    <xf numFmtId="0" fontId="13" fillId="12" borderId="26" xfId="0" applyFont="1" applyFill="1" applyBorder="1" applyAlignment="1">
      <alignment horizontal="center" vertical="top"/>
    </xf>
    <xf numFmtId="0" fontId="13" fillId="3" borderId="26" xfId="0" applyFont="1" applyFill="1" applyBorder="1" applyAlignment="1">
      <alignment horizontal="center" vertical="top"/>
    </xf>
    <xf numFmtId="0" fontId="13" fillId="0" borderId="26" xfId="0" applyFont="1" applyFill="1" applyBorder="1" applyAlignment="1">
      <alignment horizontal="center" vertical="top"/>
    </xf>
    <xf numFmtId="0" fontId="11" fillId="0" borderId="39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0" fontId="0" fillId="0" borderId="0" xfId="0" applyBorder="1"/>
    <xf numFmtId="0" fontId="7" fillId="0" borderId="1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9" fontId="4" fillId="0" borderId="0" xfId="5" applyFont="1" applyBorder="1"/>
    <xf numFmtId="9" fontId="4" fillId="0" borderId="0" xfId="5" applyFon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4" fillId="0" borderId="0" xfId="5" applyFont="1"/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" fontId="0" fillId="4" borderId="15" xfId="0" applyNumberFormat="1" applyFill="1" applyBorder="1" applyAlignment="1">
      <alignment horizontal="center" vertical="center"/>
    </xf>
    <xf numFmtId="1" fontId="0" fillId="4" borderId="19" xfId="0" applyNumberFormat="1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1" fontId="0" fillId="4" borderId="31" xfId="0" applyNumberFormat="1" applyFill="1" applyBorder="1" applyAlignment="1">
      <alignment horizontal="center" vertical="center"/>
    </xf>
    <xf numFmtId="1" fontId="0" fillId="4" borderId="11" xfId="0" applyNumberFormat="1" applyFill="1" applyBorder="1" applyAlignment="1">
      <alignment horizontal="center" vertical="center"/>
    </xf>
    <xf numFmtId="1" fontId="0" fillId="4" borderId="60" xfId="0" applyNumberFormat="1" applyFill="1" applyBorder="1" applyAlignment="1">
      <alignment horizontal="center" vertical="center"/>
    </xf>
    <xf numFmtId="1" fontId="11" fillId="4" borderId="12" xfId="0" applyNumberFormat="1" applyFont="1" applyFill="1" applyBorder="1" applyAlignment="1">
      <alignment horizontal="center" vertical="center"/>
    </xf>
    <xf numFmtId="1" fontId="11" fillId="4" borderId="18" xfId="0" applyNumberFormat="1" applyFont="1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1" fontId="0" fillId="20" borderId="19" xfId="0" applyNumberFormat="1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1" fontId="0" fillId="20" borderId="31" xfId="0" applyNumberForma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1" fontId="0" fillId="20" borderId="60" xfId="0" applyNumberFormat="1" applyFill="1" applyBorder="1" applyAlignment="1">
      <alignment horizontal="center" vertical="center"/>
    </xf>
    <xf numFmtId="1" fontId="11" fillId="20" borderId="12" xfId="0" applyNumberFormat="1" applyFont="1" applyFill="1" applyBorder="1" applyAlignment="1">
      <alignment horizontal="center" vertical="center"/>
    </xf>
    <xf numFmtId="1" fontId="11" fillId="20" borderId="18" xfId="0" applyNumberFormat="1" applyFont="1" applyFill="1" applyBorder="1" applyAlignment="1">
      <alignment horizontal="center" vertical="center"/>
    </xf>
    <xf numFmtId="1" fontId="0" fillId="11" borderId="15" xfId="0" applyNumberFormat="1" applyFill="1" applyBorder="1" applyAlignment="1">
      <alignment horizontal="center" vertical="center"/>
    </xf>
    <xf numFmtId="1" fontId="0" fillId="11" borderId="17" xfId="0" applyNumberFormat="1" applyFill="1" applyBorder="1" applyAlignment="1">
      <alignment horizontal="center" vertical="center"/>
    </xf>
    <xf numFmtId="1" fontId="0" fillId="11" borderId="3" xfId="0" applyNumberFormat="1" applyFill="1" applyBorder="1" applyAlignment="1">
      <alignment horizontal="center" vertical="center"/>
    </xf>
    <xf numFmtId="1" fontId="0" fillId="11" borderId="4" xfId="0" applyNumberFormat="1" applyFill="1" applyBorder="1" applyAlignment="1">
      <alignment horizontal="center" vertical="center"/>
    </xf>
    <xf numFmtId="1" fontId="0" fillId="11" borderId="11" xfId="0" applyNumberFormat="1" applyFill="1" applyBorder="1" applyAlignment="1">
      <alignment horizontal="center" vertical="center"/>
    </xf>
    <xf numFmtId="1" fontId="0" fillId="11" borderId="7" xfId="0" applyNumberFormat="1" applyFill="1" applyBorder="1" applyAlignment="1">
      <alignment horizontal="center" vertical="center"/>
    </xf>
    <xf numFmtId="1" fontId="11" fillId="11" borderId="12" xfId="0" applyNumberFormat="1" applyFont="1" applyFill="1" applyBorder="1" applyAlignment="1">
      <alignment horizontal="center" vertical="center"/>
    </xf>
    <xf numFmtId="1" fontId="11" fillId="11" borderId="10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11" fillId="12" borderId="13" xfId="0" applyFont="1" applyFill="1" applyBorder="1" applyAlignment="1">
      <alignment horizontal="center"/>
    </xf>
    <xf numFmtId="1" fontId="5" fillId="21" borderId="3" xfId="0" applyNumberFormat="1" applyFont="1" applyFill="1" applyBorder="1" applyAlignment="1">
      <alignment horizontal="center"/>
    </xf>
    <xf numFmtId="1" fontId="5" fillId="21" borderId="4" xfId="0" applyNumberFormat="1" applyFont="1" applyFill="1" applyBorder="1" applyAlignment="1">
      <alignment horizontal="center"/>
    </xf>
    <xf numFmtId="1" fontId="5" fillId="21" borderId="11" xfId="0" applyNumberFormat="1" applyFont="1" applyFill="1" applyBorder="1" applyAlignment="1">
      <alignment horizontal="center"/>
    </xf>
    <xf numFmtId="1" fontId="5" fillId="21" borderId="7" xfId="0" applyNumberFormat="1" applyFont="1" applyFill="1" applyBorder="1" applyAlignment="1">
      <alignment horizontal="center"/>
    </xf>
    <xf numFmtId="1" fontId="20" fillId="22" borderId="12" xfId="0" applyNumberFormat="1" applyFont="1" applyFill="1" applyBorder="1" applyAlignment="1">
      <alignment horizontal="center"/>
    </xf>
    <xf numFmtId="1" fontId="20" fillId="22" borderId="10" xfId="0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1" fontId="0" fillId="23" borderId="4" xfId="0" applyNumberForma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23" borderId="7" xfId="0" applyFill="1" applyBorder="1" applyAlignment="1">
      <alignment horizontal="center"/>
    </xf>
    <xf numFmtId="0" fontId="11" fillId="8" borderId="12" xfId="0" applyFont="1" applyFill="1" applyBorder="1" applyAlignment="1">
      <alignment horizontal="center"/>
    </xf>
    <xf numFmtId="0" fontId="11" fillId="23" borderId="10" xfId="0" applyFont="1" applyFill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23" borderId="17" xfId="0" applyFill="1" applyBorder="1" applyAlignment="1">
      <alignment horizontal="center"/>
    </xf>
    <xf numFmtId="1" fontId="5" fillId="21" borderId="15" xfId="0" applyNumberFormat="1" applyFont="1" applyFill="1" applyBorder="1" applyAlignment="1">
      <alignment horizontal="center"/>
    </xf>
    <xf numFmtId="1" fontId="5" fillId="21" borderId="17" xfId="0" applyNumberFormat="1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22" borderId="12" xfId="0" applyFont="1" applyFill="1" applyBorder="1" applyAlignment="1">
      <alignment horizontal="center"/>
    </xf>
    <xf numFmtId="0" fontId="5" fillId="22" borderId="1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35" xfId="0" applyBorder="1"/>
    <xf numFmtId="0" fontId="0" fillId="0" borderId="57" xfId="0" applyBorder="1" applyAlignment="1">
      <alignment horizontal="center"/>
    </xf>
    <xf numFmtId="0" fontId="0" fillId="0" borderId="47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8" xfId="0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39" xfId="0" applyFont="1" applyFill="1" applyBorder="1" applyAlignment="1">
      <alignment horizontal="center"/>
    </xf>
    <xf numFmtId="0" fontId="11" fillId="0" borderId="48" xfId="0" applyFont="1" applyBorder="1" applyAlignment="1">
      <alignment horizontal="center"/>
    </xf>
    <xf numFmtId="0" fontId="11" fillId="0" borderId="61" xfId="0" applyFont="1" applyBorder="1" applyAlignment="1">
      <alignment horizontal="center"/>
    </xf>
    <xf numFmtId="0" fontId="11" fillId="0" borderId="62" xfId="0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24" borderId="39" xfId="0" applyFill="1" applyBorder="1" applyAlignment="1">
      <alignment horizontal="center"/>
    </xf>
    <xf numFmtId="0" fontId="7" fillId="24" borderId="12" xfId="0" applyFont="1" applyFill="1" applyBorder="1" applyAlignment="1">
      <alignment horizontal="center"/>
    </xf>
    <xf numFmtId="0" fontId="0" fillId="23" borderId="39" xfId="0" applyFill="1" applyBorder="1" applyAlignment="1">
      <alignment horizontal="center"/>
    </xf>
    <xf numFmtId="0" fontId="7" fillId="23" borderId="12" xfId="0" applyFont="1" applyFill="1" applyBorder="1" applyAlignment="1">
      <alignment horizontal="center"/>
    </xf>
    <xf numFmtId="0" fontId="11" fillId="0" borderId="41" xfId="0" applyFont="1" applyFill="1" applyBorder="1" applyAlignment="1">
      <alignment horizontal="center"/>
    </xf>
    <xf numFmtId="0" fontId="7" fillId="23" borderId="39" xfId="0" applyFont="1" applyFill="1" applyBorder="1" applyAlignment="1">
      <alignment horizontal="center"/>
    </xf>
    <xf numFmtId="0" fontId="7" fillId="24" borderId="39" xfId="0" applyFont="1" applyFill="1" applyBorder="1" applyAlignment="1">
      <alignment horizontal="center"/>
    </xf>
    <xf numFmtId="0" fontId="11" fillId="0" borderId="63" xfId="0" applyFont="1" applyFill="1" applyBorder="1" applyAlignment="1">
      <alignment horizontal="center"/>
    </xf>
    <xf numFmtId="0" fontId="0" fillId="0" borderId="64" xfId="0" applyFill="1" applyBorder="1" applyAlignment="1">
      <alignment horizontal="center"/>
    </xf>
    <xf numFmtId="0" fontId="0" fillId="0" borderId="64" xfId="0" applyBorder="1" applyAlignment="1">
      <alignment horizontal="center"/>
    </xf>
    <xf numFmtId="0" fontId="7" fillId="23" borderId="64" xfId="0" applyFont="1" applyFill="1" applyBorder="1" applyAlignment="1">
      <alignment horizontal="center"/>
    </xf>
    <xf numFmtId="0" fontId="7" fillId="24" borderId="64" xfId="0" applyFont="1" applyFill="1" applyBorder="1" applyAlignment="1">
      <alignment horizontal="center"/>
    </xf>
    <xf numFmtId="0" fontId="11" fillId="0" borderId="65" xfId="0" applyFont="1" applyFill="1" applyBorder="1" applyAlignment="1">
      <alignment horizontal="center"/>
    </xf>
    <xf numFmtId="0" fontId="0" fillId="0" borderId="25" xfId="0" applyBorder="1"/>
    <xf numFmtId="0" fontId="0" fillId="0" borderId="34" xfId="0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1" fontId="0" fillId="4" borderId="50" xfId="0" applyNumberFormat="1" applyFill="1" applyBorder="1" applyAlignment="1">
      <alignment horizontal="center" vertical="center"/>
    </xf>
    <xf numFmtId="1" fontId="0" fillId="4" borderId="66" xfId="0" applyNumberFormat="1" applyFill="1" applyBorder="1" applyAlignment="1">
      <alignment horizontal="center" vertical="center"/>
    </xf>
    <xf numFmtId="1" fontId="0" fillId="4" borderId="67" xfId="0" applyNumberFormat="1" applyFill="1" applyBorder="1" applyAlignment="1">
      <alignment horizontal="center" vertical="center"/>
    </xf>
    <xf numFmtId="1" fontId="11" fillId="4" borderId="32" xfId="0" applyNumberFormat="1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1" fillId="8" borderId="9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0" fontId="7" fillId="0" borderId="59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6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23" borderId="9" xfId="0" applyFont="1" applyFill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11" fillId="0" borderId="3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23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0" xfId="0" applyFill="1" applyAlignment="1"/>
    <xf numFmtId="0" fontId="11" fillId="0" borderId="68" xfId="0" applyFon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11" fillId="0" borderId="75" xfId="0" applyFont="1" applyBorder="1" applyAlignment="1">
      <alignment horizontal="center" vertical="center"/>
    </xf>
    <xf numFmtId="0" fontId="20" fillId="21" borderId="74" xfId="0" applyFont="1" applyFill="1" applyBorder="1" applyAlignment="1">
      <alignment horizontal="center" vertical="center"/>
    </xf>
    <xf numFmtId="0" fontId="11" fillId="0" borderId="73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top"/>
    </xf>
    <xf numFmtId="0" fontId="16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0" fillId="0" borderId="31" xfId="0" applyNumberFormat="1" applyFont="1" applyBorder="1" applyAlignment="1">
      <alignment horizontal="center"/>
    </xf>
    <xf numFmtId="14" fontId="0" fillId="0" borderId="31" xfId="0" applyNumberForma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8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1" fillId="0" borderId="0" xfId="0" applyFont="1" applyBorder="1" applyAlignment="1"/>
    <xf numFmtId="0" fontId="0" fillId="0" borderId="1" xfId="0" applyBorder="1" applyAlignment="1">
      <alignment horizontal="center" vertical="center"/>
    </xf>
    <xf numFmtId="0" fontId="18" fillId="0" borderId="0" xfId="0" applyFont="1"/>
    <xf numFmtId="0" fontId="24" fillId="0" borderId="0" xfId="0" applyFont="1" applyBorder="1" applyAlignment="1">
      <alignment horizontal="center" vertical="center" wrapText="1"/>
    </xf>
    <xf numFmtId="0" fontId="18" fillId="0" borderId="0" xfId="0" applyFont="1" applyFill="1" applyBorder="1"/>
    <xf numFmtId="0" fontId="18" fillId="0" borderId="0" xfId="0" applyFont="1" applyBorder="1"/>
    <xf numFmtId="0" fontId="11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center" vertical="center"/>
    </xf>
    <xf numFmtId="0" fontId="15" fillId="0" borderId="39" xfId="0" applyFont="1" applyBorder="1" applyAlignment="1">
      <alignment horizontal="left"/>
    </xf>
    <xf numFmtId="0" fontId="11" fillId="0" borderId="98" xfId="0" applyFont="1" applyFill="1" applyBorder="1" applyAlignment="1">
      <alignment horizontal="center" vertical="center"/>
    </xf>
    <xf numFmtId="0" fontId="11" fillId="0" borderId="101" xfId="0" applyFont="1" applyBorder="1" applyAlignment="1">
      <alignment horizontal="left"/>
    </xf>
    <xf numFmtId="0" fontId="11" fillId="0" borderId="101" xfId="0" applyFont="1" applyFill="1" applyBorder="1" applyAlignment="1">
      <alignment horizontal="left"/>
    </xf>
    <xf numFmtId="0" fontId="15" fillId="0" borderId="98" xfId="0" applyFont="1" applyBorder="1" applyAlignment="1">
      <alignment horizontal="left"/>
    </xf>
    <xf numFmtId="0" fontId="18" fillId="0" borderId="39" xfId="0" applyFont="1" applyBorder="1"/>
    <xf numFmtId="0" fontId="11" fillId="0" borderId="103" xfId="0" applyFont="1" applyBorder="1" applyAlignment="1">
      <alignment horizontal="left"/>
    </xf>
    <xf numFmtId="0" fontId="11" fillId="0" borderId="104" xfId="0" applyFont="1" applyBorder="1" applyAlignment="1">
      <alignment horizontal="left"/>
    </xf>
    <xf numFmtId="0" fontId="11" fillId="0" borderId="104" xfId="0" applyFont="1" applyFill="1" applyBorder="1" applyAlignment="1">
      <alignment horizontal="left"/>
    </xf>
    <xf numFmtId="0" fontId="11" fillId="0" borderId="96" xfId="0" applyFont="1" applyBorder="1" applyAlignment="1">
      <alignment horizontal="left"/>
    </xf>
    <xf numFmtId="0" fontId="18" fillId="0" borderId="101" xfId="0" applyFont="1" applyBorder="1" applyAlignment="1">
      <alignment horizontal="center"/>
    </xf>
    <xf numFmtId="1" fontId="18" fillId="0" borderId="102" xfId="0" applyNumberFormat="1" applyFont="1" applyBorder="1" applyAlignment="1">
      <alignment horizontal="center"/>
    </xf>
    <xf numFmtId="0" fontId="18" fillId="0" borderId="101" xfId="0" applyFont="1" applyFill="1" applyBorder="1" applyAlignment="1">
      <alignment horizontal="center"/>
    </xf>
    <xf numFmtId="1" fontId="18" fillId="0" borderId="101" xfId="0" applyNumberFormat="1" applyFont="1" applyFill="1" applyBorder="1" applyAlignment="1">
      <alignment horizontal="center"/>
    </xf>
    <xf numFmtId="0" fontId="11" fillId="0" borderId="106" xfId="0" applyFont="1" applyBorder="1" applyAlignment="1">
      <alignment horizontal="center" vertical="center"/>
    </xf>
    <xf numFmtId="0" fontId="11" fillId="0" borderId="107" xfId="0" applyFont="1" applyBorder="1" applyAlignment="1">
      <alignment horizontal="center" vertical="center"/>
    </xf>
    <xf numFmtId="0" fontId="11" fillId="0" borderId="108" xfId="0" applyFont="1" applyBorder="1" applyAlignment="1">
      <alignment horizontal="left"/>
    </xf>
    <xf numFmtId="0" fontId="18" fillId="0" borderId="108" xfId="0" applyFont="1" applyBorder="1" applyAlignment="1">
      <alignment horizontal="center"/>
    </xf>
    <xf numFmtId="1" fontId="18" fillId="0" borderId="110" xfId="0" applyNumberFormat="1" applyFont="1" applyBorder="1" applyAlignment="1">
      <alignment horizontal="center"/>
    </xf>
    <xf numFmtId="1" fontId="18" fillId="0" borderId="108" xfId="0" applyNumberFormat="1" applyFont="1" applyFill="1" applyBorder="1" applyAlignment="1">
      <alignment horizontal="center"/>
    </xf>
    <xf numFmtId="0" fontId="11" fillId="0" borderId="97" xfId="0" applyFont="1" applyFill="1" applyBorder="1" applyAlignment="1">
      <alignment horizontal="center" vertical="center" wrapText="1"/>
    </xf>
    <xf numFmtId="0" fontId="11" fillId="0" borderId="98" xfId="0" applyFont="1" applyFill="1" applyBorder="1" applyAlignment="1">
      <alignment horizontal="center" vertical="center" wrapText="1"/>
    </xf>
    <xf numFmtId="0" fontId="11" fillId="0" borderId="100" xfId="0" applyFont="1" applyFill="1" applyBorder="1" applyAlignment="1">
      <alignment horizontal="center" vertical="center" wrapText="1"/>
    </xf>
    <xf numFmtId="0" fontId="11" fillId="13" borderId="98" xfId="0" applyFont="1" applyFill="1" applyBorder="1" applyAlignment="1">
      <alignment horizontal="center" vertical="center" wrapText="1"/>
    </xf>
    <xf numFmtId="0" fontId="11" fillId="0" borderId="111" xfId="0" applyFont="1" applyBorder="1" applyAlignment="1">
      <alignment horizontal="left"/>
    </xf>
    <xf numFmtId="0" fontId="18" fillId="0" borderId="111" xfId="0" applyFont="1" applyBorder="1" applyAlignment="1">
      <alignment horizontal="center"/>
    </xf>
    <xf numFmtId="1" fontId="18" fillId="0" borderId="113" xfId="0" applyNumberFormat="1" applyFont="1" applyBorder="1" applyAlignment="1">
      <alignment horizontal="center"/>
    </xf>
    <xf numFmtId="1" fontId="18" fillId="0" borderId="111" xfId="0" applyNumberFormat="1" applyFont="1" applyFill="1" applyBorder="1" applyAlignment="1">
      <alignment horizontal="center"/>
    </xf>
    <xf numFmtId="0" fontId="30" fillId="28" borderId="98" xfId="0" applyFont="1" applyFill="1" applyBorder="1" applyAlignment="1">
      <alignment horizontal="center"/>
    </xf>
    <xf numFmtId="1" fontId="30" fillId="28" borderId="100" xfId="0" applyNumberFormat="1" applyFont="1" applyFill="1" applyBorder="1" applyAlignment="1">
      <alignment horizontal="center"/>
    </xf>
    <xf numFmtId="1" fontId="15" fillId="13" borderId="98" xfId="0" applyNumberFormat="1" applyFont="1" applyFill="1" applyBorder="1" applyAlignment="1">
      <alignment horizontal="center"/>
    </xf>
    <xf numFmtId="0" fontId="11" fillId="12" borderId="97" xfId="0" applyFont="1" applyFill="1" applyBorder="1" applyAlignment="1">
      <alignment horizontal="center" vertical="center" wrapText="1"/>
    </xf>
    <xf numFmtId="1" fontId="18" fillId="0" borderId="109" xfId="0" applyNumberFormat="1" applyFont="1" applyFill="1" applyBorder="1" applyAlignment="1">
      <alignment horizontal="center" vertical="center"/>
    </xf>
    <xf numFmtId="1" fontId="18" fillId="0" borderId="105" xfId="0" applyNumberFormat="1" applyFont="1" applyFill="1" applyBorder="1" applyAlignment="1">
      <alignment horizontal="center" vertical="center"/>
    </xf>
    <xf numFmtId="1" fontId="18" fillId="0" borderId="112" xfId="0" applyNumberFormat="1" applyFont="1" applyFill="1" applyBorder="1" applyAlignment="1">
      <alignment horizontal="center" vertical="center"/>
    </xf>
    <xf numFmtId="1" fontId="15" fillId="12" borderId="97" xfId="0" applyNumberFormat="1" applyFont="1" applyFill="1" applyBorder="1" applyAlignment="1">
      <alignment horizontal="center" vertical="center"/>
    </xf>
    <xf numFmtId="0" fontId="25" fillId="0" borderId="101" xfId="0" applyFont="1" applyFill="1" applyBorder="1" applyAlignment="1">
      <alignment horizontal="center" vertical="center"/>
    </xf>
    <xf numFmtId="0" fontId="18" fillId="0" borderId="102" xfId="0" applyFont="1" applyFill="1" applyBorder="1" applyAlignment="1">
      <alignment horizontal="center" vertical="center"/>
    </xf>
    <xf numFmtId="0" fontId="25" fillId="0" borderId="108" xfId="0" applyFont="1" applyFill="1" applyBorder="1" applyAlignment="1">
      <alignment horizontal="center" vertical="center"/>
    </xf>
    <xf numFmtId="0" fontId="18" fillId="0" borderId="110" xfId="0" applyFont="1" applyFill="1" applyBorder="1" applyAlignment="1">
      <alignment horizontal="center" vertical="center"/>
    </xf>
    <xf numFmtId="0" fontId="11" fillId="4" borderId="100" xfId="0" applyFont="1" applyFill="1" applyBorder="1" applyAlignment="1">
      <alignment horizontal="center" vertical="center" wrapText="1"/>
    </xf>
    <xf numFmtId="0" fontId="25" fillId="0" borderId="111" xfId="0" applyFont="1" applyFill="1" applyBorder="1" applyAlignment="1">
      <alignment horizontal="center" vertical="center"/>
    </xf>
    <xf numFmtId="0" fontId="18" fillId="0" borderId="113" xfId="0" applyFont="1" applyFill="1" applyBorder="1" applyAlignment="1">
      <alignment horizontal="center" vertical="center"/>
    </xf>
    <xf numFmtId="0" fontId="15" fillId="4" borderId="100" xfId="0" applyFont="1" applyFill="1" applyBorder="1" applyAlignment="1">
      <alignment horizontal="center" vertical="center"/>
    </xf>
    <xf numFmtId="0" fontId="11" fillId="32" borderId="98" xfId="0" applyFont="1" applyFill="1" applyBorder="1" applyAlignment="1">
      <alignment horizontal="center" vertical="center" wrapText="1"/>
    </xf>
    <xf numFmtId="0" fontId="31" fillId="32" borderId="98" xfId="0" applyFont="1" applyFill="1" applyBorder="1" applyAlignment="1">
      <alignment horizontal="center" vertical="center"/>
    </xf>
    <xf numFmtId="0" fontId="11" fillId="25" borderId="39" xfId="0" applyFont="1" applyFill="1" applyBorder="1" applyAlignment="1"/>
    <xf numFmtId="0" fontId="11" fillId="6" borderId="106" xfId="0" applyFont="1" applyFill="1" applyBorder="1" applyAlignment="1">
      <alignment horizontal="center" vertical="center" wrapText="1"/>
    </xf>
    <xf numFmtId="0" fontId="11" fillId="6" borderId="114" xfId="0" applyFont="1" applyFill="1" applyBorder="1" applyAlignment="1">
      <alignment horizontal="center" vertical="center" wrapText="1"/>
    </xf>
    <xf numFmtId="1" fontId="15" fillId="12" borderId="115" xfId="0" applyNumberFormat="1" applyFont="1" applyFill="1" applyBorder="1" applyAlignment="1">
      <alignment horizontal="center" vertical="center"/>
    </xf>
    <xf numFmtId="1" fontId="30" fillId="21" borderId="116" xfId="0" applyNumberFormat="1" applyFont="1" applyFill="1" applyBorder="1" applyAlignment="1">
      <alignment horizontal="center" vertical="center"/>
    </xf>
    <xf numFmtId="0" fontId="11" fillId="7" borderId="106" xfId="0" applyFont="1" applyFill="1" applyBorder="1" applyAlignment="1">
      <alignment horizontal="center" vertical="center" wrapText="1"/>
    </xf>
    <xf numFmtId="0" fontId="11" fillId="7" borderId="117" xfId="0" applyFont="1" applyFill="1" applyBorder="1" applyAlignment="1">
      <alignment horizontal="center" vertical="center" wrapText="1"/>
    </xf>
    <xf numFmtId="1" fontId="15" fillId="31" borderId="115" xfId="0" applyNumberFormat="1" applyFont="1" applyFill="1" applyBorder="1" applyAlignment="1">
      <alignment horizontal="center" vertical="center"/>
    </xf>
    <xf numFmtId="1" fontId="30" fillId="21" borderId="118" xfId="0" applyNumberFormat="1" applyFont="1" applyFill="1" applyBorder="1" applyAlignment="1">
      <alignment horizontal="center" vertical="center"/>
    </xf>
    <xf numFmtId="1" fontId="18" fillId="6" borderId="119" xfId="0" applyNumberFormat="1" applyFont="1" applyFill="1" applyBorder="1" applyAlignment="1">
      <alignment horizontal="center" vertical="center"/>
    </xf>
    <xf numFmtId="0" fontId="11" fillId="0" borderId="106" xfId="0" applyFont="1" applyBorder="1" applyAlignment="1">
      <alignment horizontal="center" vertical="center" wrapText="1"/>
    </xf>
    <xf numFmtId="1" fontId="30" fillId="17" borderId="115" xfId="0" applyNumberFormat="1" applyFont="1" applyFill="1" applyBorder="1" applyAlignment="1">
      <alignment horizontal="center" vertical="center"/>
    </xf>
    <xf numFmtId="1" fontId="30" fillId="17" borderId="118" xfId="0" applyNumberFormat="1" applyFont="1" applyFill="1" applyBorder="1" applyAlignment="1">
      <alignment horizontal="center" vertical="center"/>
    </xf>
    <xf numFmtId="0" fontId="11" fillId="3" borderId="114" xfId="0" applyFont="1" applyFill="1" applyBorder="1" applyAlignment="1">
      <alignment horizontal="center" vertical="center" wrapText="1"/>
    </xf>
    <xf numFmtId="0" fontId="11" fillId="3" borderId="117" xfId="0" applyFont="1" applyFill="1" applyBorder="1" applyAlignment="1">
      <alignment horizontal="center" vertical="center" wrapText="1"/>
    </xf>
    <xf numFmtId="1" fontId="15" fillId="3" borderId="116" xfId="0" applyNumberFormat="1" applyFont="1" applyFill="1" applyBorder="1" applyAlignment="1">
      <alignment horizontal="center" vertical="center"/>
    </xf>
    <xf numFmtId="1" fontId="30" fillId="26" borderId="118" xfId="0" applyNumberFormat="1" applyFont="1" applyFill="1" applyBorder="1" applyAlignment="1">
      <alignment horizontal="center" vertical="center"/>
    </xf>
    <xf numFmtId="1" fontId="18" fillId="3" borderId="119" xfId="0" applyNumberFormat="1" applyFont="1" applyFill="1" applyBorder="1" applyAlignment="1">
      <alignment horizontal="center" vertical="center"/>
    </xf>
    <xf numFmtId="0" fontId="11" fillId="4" borderId="106" xfId="0" applyFont="1" applyFill="1" applyBorder="1" applyAlignment="1">
      <alignment horizontal="center" vertical="center" wrapText="1"/>
    </xf>
    <xf numFmtId="0" fontId="11" fillId="4" borderId="114" xfId="0" applyFont="1" applyFill="1" applyBorder="1" applyAlignment="1">
      <alignment horizontal="center" vertical="center" wrapText="1"/>
    </xf>
    <xf numFmtId="0" fontId="11" fillId="23" borderId="114" xfId="0" applyFont="1" applyFill="1" applyBorder="1" applyAlignment="1">
      <alignment horizontal="center" vertical="center" wrapText="1"/>
    </xf>
    <xf numFmtId="0" fontId="11" fillId="23" borderId="117" xfId="0" applyFont="1" applyFill="1" applyBorder="1" applyAlignment="1">
      <alignment horizontal="center" vertical="center" wrapText="1"/>
    </xf>
    <xf numFmtId="0" fontId="11" fillId="8" borderId="106" xfId="0" applyFont="1" applyFill="1" applyBorder="1" applyAlignment="1">
      <alignment horizontal="center" vertical="center" wrapText="1"/>
    </xf>
    <xf numFmtId="0" fontId="11" fillId="8" borderId="114" xfId="0" applyFont="1" applyFill="1" applyBorder="1" applyAlignment="1">
      <alignment horizontal="center" vertical="center" wrapText="1"/>
    </xf>
    <xf numFmtId="0" fontId="15" fillId="30" borderId="115" xfId="0" applyFont="1" applyFill="1" applyBorder="1" applyAlignment="1">
      <alignment horizontal="center" vertical="center"/>
    </xf>
    <xf numFmtId="0" fontId="30" fillId="21" borderId="116" xfId="0" applyFont="1" applyFill="1" applyBorder="1" applyAlignment="1">
      <alignment horizontal="center" vertical="center"/>
    </xf>
    <xf numFmtId="0" fontId="15" fillId="23" borderId="116" xfId="0" applyFont="1" applyFill="1" applyBorder="1" applyAlignment="1">
      <alignment horizontal="center" vertical="center"/>
    </xf>
    <xf numFmtId="0" fontId="15" fillId="29" borderId="118" xfId="0" applyFont="1" applyFill="1" applyBorder="1" applyAlignment="1">
      <alignment horizontal="center" vertical="center"/>
    </xf>
    <xf numFmtId="1" fontId="15" fillId="23" borderId="118" xfId="0" applyNumberFormat="1" applyFont="1" applyFill="1" applyBorder="1" applyAlignment="1">
      <alignment horizontal="center" vertical="center"/>
    </xf>
    <xf numFmtId="1" fontId="15" fillId="8" borderId="115" xfId="0" applyNumberFormat="1" applyFont="1" applyFill="1" applyBorder="1" applyAlignment="1">
      <alignment horizontal="center" vertical="center"/>
    </xf>
    <xf numFmtId="1" fontId="30" fillId="27" borderId="116" xfId="0" applyNumberFormat="1" applyFont="1" applyFill="1" applyBorder="1" applyAlignment="1">
      <alignment horizontal="center" vertical="center"/>
    </xf>
    <xf numFmtId="1" fontId="18" fillId="6" borderId="120" xfId="0" applyNumberFormat="1" applyFont="1" applyFill="1" applyBorder="1" applyAlignment="1">
      <alignment horizontal="center" vertical="center"/>
    </xf>
    <xf numFmtId="1" fontId="18" fillId="3" borderId="120" xfId="0" applyNumberFormat="1" applyFont="1" applyFill="1" applyBorder="1" applyAlignment="1">
      <alignment horizontal="center" vertical="center"/>
    </xf>
    <xf numFmtId="1" fontId="18" fillId="3" borderId="121" xfId="0" applyNumberFormat="1" applyFont="1" applyFill="1" applyBorder="1" applyAlignment="1">
      <alignment horizontal="center" vertical="center"/>
    </xf>
    <xf numFmtId="1" fontId="18" fillId="3" borderId="122" xfId="0" applyNumberFormat="1" applyFont="1" applyFill="1" applyBorder="1" applyAlignment="1">
      <alignment horizontal="center" vertical="center"/>
    </xf>
    <xf numFmtId="1" fontId="18" fillId="6" borderId="123" xfId="0" applyNumberFormat="1" applyFont="1" applyFill="1" applyBorder="1" applyAlignment="1">
      <alignment horizontal="center" vertical="center"/>
    </xf>
    <xf numFmtId="1" fontId="18" fillId="3" borderId="123" xfId="0" applyNumberFormat="1" applyFont="1" applyFill="1" applyBorder="1" applyAlignment="1">
      <alignment horizontal="center" vertical="center"/>
    </xf>
    <xf numFmtId="1" fontId="18" fillId="3" borderId="124" xfId="0" applyNumberFormat="1" applyFont="1" applyFill="1" applyBorder="1" applyAlignment="1">
      <alignment horizontal="center" vertical="center"/>
    </xf>
    <xf numFmtId="1" fontId="18" fillId="0" borderId="125" xfId="0" applyNumberFormat="1" applyFont="1" applyBorder="1" applyAlignment="1">
      <alignment horizontal="center" vertical="center"/>
    </xf>
    <xf numFmtId="1" fontId="18" fillId="0" borderId="126" xfId="0" applyNumberFormat="1" applyFont="1" applyBorder="1" applyAlignment="1">
      <alignment horizontal="center" vertical="center"/>
    </xf>
    <xf numFmtId="1" fontId="18" fillId="0" borderId="127" xfId="0" applyNumberFormat="1" applyFont="1" applyBorder="1" applyAlignment="1">
      <alignment horizontal="center" vertical="center"/>
    </xf>
    <xf numFmtId="1" fontId="18" fillId="7" borderId="121" xfId="0" applyNumberFormat="1" applyFont="1" applyFill="1" applyBorder="1" applyAlignment="1">
      <alignment horizontal="center" vertical="center"/>
    </xf>
    <xf numFmtId="1" fontId="18" fillId="7" borderId="122" xfId="0" applyNumberFormat="1" applyFont="1" applyFill="1" applyBorder="1" applyAlignment="1">
      <alignment horizontal="center" vertical="center"/>
    </xf>
    <xf numFmtId="1" fontId="18" fillId="7" borderId="124" xfId="0" applyNumberFormat="1" applyFont="1" applyFill="1" applyBorder="1" applyAlignment="1">
      <alignment horizontal="center" vertical="center"/>
    </xf>
    <xf numFmtId="0" fontId="11" fillId="29" borderId="107" xfId="0" applyFont="1" applyFill="1" applyBorder="1" applyAlignment="1">
      <alignment horizontal="center" vertical="center" wrapText="1"/>
    </xf>
    <xf numFmtId="1" fontId="18" fillId="7" borderId="128" xfId="0" applyNumberFormat="1" applyFont="1" applyFill="1" applyBorder="1" applyAlignment="1">
      <alignment horizontal="center" vertical="center"/>
    </xf>
    <xf numFmtId="1" fontId="18" fillId="7" borderId="129" xfId="0" applyNumberFormat="1" applyFont="1" applyFill="1" applyBorder="1" applyAlignment="1">
      <alignment horizontal="center" vertical="center"/>
    </xf>
    <xf numFmtId="1" fontId="18" fillId="7" borderId="130" xfId="0" applyNumberFormat="1" applyFont="1" applyFill="1" applyBorder="1" applyAlignment="1">
      <alignment horizontal="center" vertical="center"/>
    </xf>
    <xf numFmtId="1" fontId="18" fillId="23" borderId="121" xfId="0" applyNumberFormat="1" applyFont="1" applyFill="1" applyBorder="1" applyAlignment="1">
      <alignment horizontal="center" vertical="center"/>
    </xf>
    <xf numFmtId="1" fontId="18" fillId="23" borderId="122" xfId="0" applyNumberFormat="1" applyFont="1" applyFill="1" applyBorder="1" applyAlignment="1">
      <alignment horizontal="center" vertical="center"/>
    </xf>
    <xf numFmtId="1" fontId="18" fillId="23" borderId="124" xfId="0" applyNumberFormat="1" applyFont="1" applyFill="1" applyBorder="1" applyAlignment="1">
      <alignment horizontal="center" vertical="center"/>
    </xf>
    <xf numFmtId="1" fontId="11" fillId="4" borderId="119" xfId="0" applyNumberFormat="1" applyFont="1" applyFill="1" applyBorder="1" applyAlignment="1">
      <alignment horizontal="center" vertical="center"/>
    </xf>
    <xf numFmtId="0" fontId="11" fillId="23" borderId="119" xfId="0" applyFont="1" applyFill="1" applyBorder="1" applyAlignment="1">
      <alignment horizontal="center" vertical="center"/>
    </xf>
    <xf numFmtId="0" fontId="11" fillId="4" borderId="125" xfId="0" applyFont="1" applyFill="1" applyBorder="1" applyAlignment="1">
      <alignment horizontal="center" vertical="center"/>
    </xf>
    <xf numFmtId="1" fontId="11" fillId="4" borderId="120" xfId="0" applyNumberFormat="1" applyFont="1" applyFill="1" applyBorder="1" applyAlignment="1">
      <alignment horizontal="center" vertical="center"/>
    </xf>
    <xf numFmtId="0" fontId="11" fillId="23" borderId="120" xfId="0" applyFont="1" applyFill="1" applyBorder="1" applyAlignment="1">
      <alignment horizontal="center" vertical="center"/>
    </xf>
    <xf numFmtId="0" fontId="11" fillId="4" borderId="126" xfId="0" applyFont="1" applyFill="1" applyBorder="1" applyAlignment="1">
      <alignment horizontal="center" vertical="center"/>
    </xf>
    <xf numFmtId="0" fontId="11" fillId="4" borderId="127" xfId="0" applyFont="1" applyFill="1" applyBorder="1" applyAlignment="1">
      <alignment horizontal="center" vertical="center"/>
    </xf>
    <xf numFmtId="1" fontId="11" fillId="4" borderId="123" xfId="0" applyNumberFormat="1" applyFont="1" applyFill="1" applyBorder="1" applyAlignment="1">
      <alignment horizontal="center" vertical="center"/>
    </xf>
    <xf numFmtId="0" fontId="11" fillId="23" borderId="12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5" xfId="0" applyFill="1" applyBorder="1" applyAlignment="1">
      <alignment horizontal="center"/>
    </xf>
    <xf numFmtId="0" fontId="0" fillId="0" borderId="120" xfId="0" applyFill="1" applyBorder="1" applyAlignment="1">
      <alignment horizontal="center"/>
    </xf>
    <xf numFmtId="0" fontId="0" fillId="0" borderId="121" xfId="0" applyFill="1" applyBorder="1" applyAlignment="1">
      <alignment horizontal="center"/>
    </xf>
    <xf numFmtId="0" fontId="0" fillId="0" borderId="126" xfId="0" applyFill="1" applyBorder="1" applyAlignment="1">
      <alignment horizontal="center"/>
    </xf>
    <xf numFmtId="0" fontId="0" fillId="0" borderId="119" xfId="0" applyFill="1" applyBorder="1" applyAlignment="1">
      <alignment horizontal="center"/>
    </xf>
    <xf numFmtId="0" fontId="0" fillId="0" borderId="122" xfId="0" applyFill="1" applyBorder="1" applyAlignment="1">
      <alignment horizontal="center"/>
    </xf>
    <xf numFmtId="0" fontId="0" fillId="12" borderId="119" xfId="0" applyFill="1" applyBorder="1" applyAlignment="1">
      <alignment horizontal="center"/>
    </xf>
    <xf numFmtId="0" fontId="0" fillId="0" borderId="119" xfId="0" applyBorder="1" applyAlignment="1">
      <alignment horizontal="center"/>
    </xf>
    <xf numFmtId="0" fontId="0" fillId="0" borderId="122" xfId="0" applyBorder="1" applyAlignment="1">
      <alignment horizontal="center"/>
    </xf>
    <xf numFmtId="0" fontId="0" fillId="0" borderId="123" xfId="0" applyBorder="1" applyAlignment="1">
      <alignment horizontal="center"/>
    </xf>
    <xf numFmtId="0" fontId="0" fillId="0" borderId="124" xfId="0" applyBorder="1" applyAlignment="1">
      <alignment horizontal="center"/>
    </xf>
    <xf numFmtId="0" fontId="0" fillId="0" borderId="127" xfId="0" applyFill="1" applyBorder="1" applyAlignment="1">
      <alignment horizontal="center"/>
    </xf>
    <xf numFmtId="0" fontId="11" fillId="0" borderId="109" xfId="0" applyFont="1" applyBorder="1" applyAlignment="1">
      <alignment horizontal="center"/>
    </xf>
    <xf numFmtId="0" fontId="11" fillId="0" borderId="105" xfId="0" applyFont="1" applyBorder="1" applyAlignment="1">
      <alignment horizontal="center"/>
    </xf>
    <xf numFmtId="0" fontId="11" fillId="0" borderId="105" xfId="0" applyFont="1" applyFill="1" applyBorder="1" applyAlignment="1">
      <alignment horizontal="center"/>
    </xf>
    <xf numFmtId="0" fontId="11" fillId="0" borderId="112" xfId="0" applyFont="1" applyBorder="1" applyAlignment="1">
      <alignment horizontal="center"/>
    </xf>
    <xf numFmtId="0" fontId="15" fillId="0" borderId="97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18" fillId="0" borderId="132" xfId="0" applyNumberFormat="1" applyFont="1" applyBorder="1" applyAlignment="1">
      <alignment horizontal="center" vertical="center"/>
    </xf>
    <xf numFmtId="1" fontId="18" fillId="0" borderId="131" xfId="0" applyNumberFormat="1" applyFont="1" applyBorder="1" applyAlignment="1">
      <alignment horizontal="center" vertical="center"/>
    </xf>
    <xf numFmtId="1" fontId="18" fillId="0" borderId="133" xfId="0" applyNumberFormat="1" applyFont="1" applyBorder="1" applyAlignment="1">
      <alignment horizontal="center" vertical="center"/>
    </xf>
    <xf numFmtId="1" fontId="18" fillId="8" borderId="119" xfId="0" applyNumberFormat="1" applyFont="1" applyFill="1" applyBorder="1" applyAlignment="1">
      <alignment horizontal="center" vertical="center"/>
    </xf>
    <xf numFmtId="0" fontId="11" fillId="0" borderId="107" xfId="0" applyFont="1" applyBorder="1" applyAlignment="1">
      <alignment horizontal="center" vertical="center" wrapText="1"/>
    </xf>
    <xf numFmtId="1" fontId="18" fillId="8" borderId="126" xfId="0" applyNumberFormat="1" applyFont="1" applyFill="1" applyBorder="1" applyAlignment="1">
      <alignment horizontal="center" vertical="center"/>
    </xf>
    <xf numFmtId="1" fontId="18" fillId="8" borderId="127" xfId="0" applyNumberFormat="1" applyFont="1" applyFill="1" applyBorder="1" applyAlignment="1">
      <alignment horizontal="center" vertical="center"/>
    </xf>
    <xf numFmtId="1" fontId="18" fillId="8" borderId="123" xfId="0" applyNumberFormat="1" applyFont="1" applyFill="1" applyBorder="1" applyAlignment="1">
      <alignment horizontal="center" vertical="center"/>
    </xf>
    <xf numFmtId="0" fontId="11" fillId="29" borderId="132" xfId="0" applyFont="1" applyFill="1" applyBorder="1" applyAlignment="1">
      <alignment horizontal="center" vertical="center"/>
    </xf>
    <xf numFmtId="0" fontId="11" fillId="29" borderId="131" xfId="0" applyFont="1" applyFill="1" applyBorder="1" applyAlignment="1">
      <alignment horizontal="center" vertical="center"/>
    </xf>
    <xf numFmtId="0" fontId="11" fillId="29" borderId="133" xfId="0" applyFont="1" applyFill="1" applyBorder="1" applyAlignment="1">
      <alignment horizontal="center" vertical="center"/>
    </xf>
    <xf numFmtId="1" fontId="18" fillId="6" borderId="125" xfId="0" applyNumberFormat="1" applyFont="1" applyFill="1" applyBorder="1" applyAlignment="1">
      <alignment horizontal="center" vertical="center"/>
    </xf>
    <xf numFmtId="1" fontId="18" fillId="6" borderId="126" xfId="0" applyNumberFormat="1" applyFont="1" applyFill="1" applyBorder="1" applyAlignment="1">
      <alignment horizontal="center" vertical="center"/>
    </xf>
    <xf numFmtId="1" fontId="18" fillId="6" borderId="127" xfId="0" applyNumberFormat="1" applyFont="1" applyFill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69" xfId="0" applyFont="1" applyBorder="1" applyAlignment="1">
      <alignment horizontal="center"/>
    </xf>
    <xf numFmtId="0" fontId="11" fillId="0" borderId="70" xfId="0" applyFont="1" applyBorder="1" applyAlignment="1">
      <alignment horizontal="center"/>
    </xf>
    <xf numFmtId="0" fontId="18" fillId="0" borderId="134" xfId="0" applyFont="1" applyBorder="1" applyAlignment="1">
      <alignment horizontal="center" vertical="center"/>
    </xf>
    <xf numFmtId="0" fontId="18" fillId="0" borderId="135" xfId="0" applyFont="1" applyBorder="1" applyAlignment="1">
      <alignment horizontal="center" vertical="center"/>
    </xf>
    <xf numFmtId="0" fontId="18" fillId="0" borderId="135" xfId="0" applyFont="1" applyFill="1" applyBorder="1" applyAlignment="1">
      <alignment horizontal="center" vertical="center"/>
    </xf>
    <xf numFmtId="0" fontId="18" fillId="0" borderId="13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" fontId="18" fillId="4" borderId="3" xfId="0" applyNumberFormat="1" applyFont="1" applyFill="1" applyBorder="1" applyAlignment="1">
      <alignment horizontal="center" vertical="center"/>
    </xf>
    <xf numFmtId="1" fontId="18" fillId="4" borderId="15" xfId="0" applyNumberFormat="1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1" fontId="18" fillId="4" borderId="11" xfId="0" applyNumberFormat="1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1" fontId="11" fillId="0" borderId="13" xfId="0" applyNumberFormat="1" applyFont="1" applyBorder="1" applyAlignment="1">
      <alignment horizontal="center" vertical="center"/>
    </xf>
    <xf numFmtId="1" fontId="18" fillId="0" borderId="17" xfId="0" applyNumberFormat="1" applyFont="1" applyBorder="1" applyAlignment="1">
      <alignment horizontal="center" vertical="center"/>
    </xf>
    <xf numFmtId="1" fontId="11" fillId="0" borderId="10" xfId="0" applyNumberFormat="1" applyFont="1" applyBorder="1" applyAlignment="1">
      <alignment horizontal="center"/>
    </xf>
    <xf numFmtId="1" fontId="18" fillId="0" borderId="8" xfId="0" applyNumberFormat="1" applyFont="1" applyFill="1" applyBorder="1" applyAlignment="1">
      <alignment horizontal="center" vertical="center"/>
    </xf>
    <xf numFmtId="1" fontId="18" fillId="0" borderId="5" xfId="0" applyNumberFormat="1" applyFont="1" applyFill="1" applyBorder="1" applyAlignment="1">
      <alignment horizontal="center" vertical="center"/>
    </xf>
    <xf numFmtId="1" fontId="18" fillId="0" borderId="6" xfId="0" applyNumberFormat="1" applyFont="1" applyFill="1" applyBorder="1" applyAlignment="1">
      <alignment horizontal="center" vertical="center"/>
    </xf>
    <xf numFmtId="1" fontId="11" fillId="0" borderId="9" xfId="0" applyNumberFormat="1" applyFont="1" applyFill="1" applyBorder="1" applyAlignment="1">
      <alignment horizontal="center" vertical="center"/>
    </xf>
    <xf numFmtId="0" fontId="11" fillId="4" borderId="45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 wrapText="1"/>
    </xf>
    <xf numFmtId="0" fontId="11" fillId="0" borderId="137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5" fillId="9" borderId="1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1" fontId="7" fillId="0" borderId="18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0" fontId="11" fillId="0" borderId="39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11" fillId="0" borderId="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39" xfId="0" applyFont="1" applyBorder="1" applyAlignment="1">
      <alignment horizontal="center"/>
    </xf>
    <xf numFmtId="0" fontId="0" fillId="0" borderId="32" xfId="0" applyBorder="1"/>
    <xf numFmtId="0" fontId="0" fillId="0" borderId="36" xfId="0" applyBorder="1"/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22" fillId="19" borderId="39" xfId="0" applyFont="1" applyFill="1" applyBorder="1" applyAlignment="1">
      <alignment horizontal="center" vertical="center" wrapText="1"/>
    </xf>
    <xf numFmtId="0" fontId="22" fillId="19" borderId="32" xfId="0" applyFont="1" applyFill="1" applyBorder="1" applyAlignment="1">
      <alignment horizontal="center" vertical="center" wrapText="1"/>
    </xf>
    <xf numFmtId="0" fontId="20" fillId="17" borderId="33" xfId="0" applyFont="1" applyFill="1" applyBorder="1" applyAlignment="1">
      <alignment horizontal="center" vertical="center" textRotation="90"/>
    </xf>
    <xf numFmtId="0" fontId="20" fillId="17" borderId="43" xfId="0" applyFont="1" applyFill="1" applyBorder="1" applyAlignment="1">
      <alignment horizontal="center" vertical="center" textRotation="90"/>
    </xf>
    <xf numFmtId="0" fontId="20" fillId="17" borderId="49" xfId="0" applyFont="1" applyFill="1" applyBorder="1" applyAlignment="1">
      <alignment horizontal="center" vertical="center" textRotation="90"/>
    </xf>
    <xf numFmtId="1" fontId="11" fillId="0" borderId="49" xfId="0" applyNumberFormat="1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5" fillId="17" borderId="49" xfId="0" applyFont="1" applyFill="1" applyBorder="1" applyAlignment="1">
      <alignment horizontal="center" vertical="center"/>
    </xf>
    <xf numFmtId="0" fontId="5" fillId="17" borderId="55" xfId="0" applyFont="1" applyFill="1" applyBorder="1" applyAlignment="1">
      <alignment horizontal="center" vertical="center"/>
    </xf>
    <xf numFmtId="1" fontId="7" fillId="0" borderId="54" xfId="0" applyNumberFormat="1" applyFont="1" applyBorder="1" applyAlignment="1">
      <alignment horizontal="center" vertical="center"/>
    </xf>
    <xf numFmtId="1" fontId="7" fillId="0" borderId="55" xfId="0" applyNumberFormat="1" applyFont="1" applyBorder="1" applyAlignment="1">
      <alignment horizontal="center" vertical="center"/>
    </xf>
    <xf numFmtId="1" fontId="7" fillId="0" borderId="39" xfId="0" applyNumberFormat="1" applyFont="1" applyBorder="1" applyAlignment="1">
      <alignment horizontal="center" vertical="center"/>
    </xf>
    <xf numFmtId="1" fontId="7" fillId="0" borderId="32" xfId="0" applyNumberFormat="1" applyFont="1" applyBorder="1" applyAlignment="1">
      <alignment horizontal="center" vertical="center"/>
    </xf>
    <xf numFmtId="1" fontId="7" fillId="0" borderId="36" xfId="0" applyNumberFormat="1" applyFont="1" applyBorder="1" applyAlignment="1">
      <alignment horizontal="center" vertical="center"/>
    </xf>
    <xf numFmtId="0" fontId="11" fillId="0" borderId="21" xfId="0" applyFont="1" applyBorder="1" applyAlignment="1">
      <alignment horizontal="center"/>
    </xf>
    <xf numFmtId="0" fontId="0" fillId="0" borderId="22" xfId="0" applyBorder="1"/>
    <xf numFmtId="0" fontId="0" fillId="0" borderId="27" xfId="0" applyBorder="1"/>
    <xf numFmtId="0" fontId="11" fillId="0" borderId="21" xfId="0" applyFont="1" applyBorder="1" applyAlignment="1">
      <alignment horizontal="center" vertical="center"/>
    </xf>
    <xf numFmtId="0" fontId="20" fillId="17" borderId="90" xfId="0" applyFont="1" applyFill="1" applyBorder="1" applyAlignment="1">
      <alignment horizontal="center" vertical="center" textRotation="90"/>
    </xf>
    <xf numFmtId="0" fontId="20" fillId="17" borderId="91" xfId="0" applyFont="1" applyFill="1" applyBorder="1" applyAlignment="1">
      <alignment horizontal="center" vertical="center" textRotation="90"/>
    </xf>
    <xf numFmtId="0" fontId="20" fillId="17" borderId="37" xfId="0" applyFont="1" applyFill="1" applyBorder="1" applyAlignment="1">
      <alignment horizontal="center" vertical="center" textRotation="90"/>
    </xf>
    <xf numFmtId="0" fontId="22" fillId="19" borderId="33" xfId="0" applyFont="1" applyFill="1" applyBorder="1" applyAlignment="1">
      <alignment horizontal="center" vertical="center" wrapText="1"/>
    </xf>
    <xf numFmtId="0" fontId="22" fillId="19" borderId="34" xfId="0" applyFont="1" applyFill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9" fillId="19" borderId="32" xfId="0" applyFont="1" applyFill="1" applyBorder="1"/>
    <xf numFmtId="0" fontId="19" fillId="19" borderId="36" xfId="0" applyFont="1" applyFill="1" applyBorder="1"/>
    <xf numFmtId="1" fontId="7" fillId="0" borderId="51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1" fillId="0" borderId="45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45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23" fillId="17" borderId="39" xfId="0" applyFont="1" applyFill="1" applyBorder="1" applyAlignment="1">
      <alignment horizontal="center" vertical="center"/>
    </xf>
    <xf numFmtId="0" fontId="23" fillId="17" borderId="32" xfId="0" applyFont="1" applyFill="1" applyBorder="1" applyAlignment="1">
      <alignment horizontal="center" vertical="center"/>
    </xf>
    <xf numFmtId="0" fontId="23" fillId="17" borderId="36" xfId="0" applyFont="1" applyFill="1" applyBorder="1" applyAlignment="1">
      <alignment horizontal="center" vertical="center"/>
    </xf>
    <xf numFmtId="0" fontId="22" fillId="19" borderId="36" xfId="0" applyFont="1" applyFill="1" applyBorder="1" applyAlignment="1">
      <alignment horizontal="center" vertical="center" wrapText="1"/>
    </xf>
    <xf numFmtId="1" fontId="11" fillId="0" borderId="39" xfId="0" applyNumberFormat="1" applyFont="1" applyBorder="1" applyAlignment="1">
      <alignment horizontal="center"/>
    </xf>
    <xf numFmtId="1" fontId="11" fillId="0" borderId="36" xfId="0" applyNumberFormat="1" applyFont="1" applyBorder="1" applyAlignment="1">
      <alignment horizontal="center"/>
    </xf>
    <xf numFmtId="0" fontId="5" fillId="17" borderId="39" xfId="0" applyFont="1" applyFill="1" applyBorder="1" applyAlignment="1">
      <alignment horizontal="center" vertical="center"/>
    </xf>
    <xf numFmtId="0" fontId="5" fillId="17" borderId="9" xfId="0" applyFont="1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31" borderId="98" xfId="0" applyFont="1" applyFill="1" applyBorder="1" applyAlignment="1">
      <alignment horizontal="center"/>
    </xf>
    <xf numFmtId="0" fontId="11" fillId="31" borderId="100" xfId="0" applyFont="1" applyFill="1" applyBorder="1" applyAlignment="1">
      <alignment horizontal="center"/>
    </xf>
    <xf numFmtId="0" fontId="23" fillId="17" borderId="0" xfId="0" applyFont="1" applyFill="1" applyBorder="1" applyAlignment="1">
      <alignment horizontal="center" vertical="center"/>
    </xf>
    <xf numFmtId="0" fontId="23" fillId="17" borderId="25" xfId="0" applyFont="1" applyFill="1" applyBorder="1" applyAlignment="1">
      <alignment horizontal="center" vertical="center"/>
    </xf>
    <xf numFmtId="0" fontId="20" fillId="17" borderId="98" xfId="0" applyFont="1" applyFill="1" applyBorder="1" applyAlignment="1">
      <alignment horizontal="center" vertical="center"/>
    </xf>
    <xf numFmtId="0" fontId="20" fillId="17" borderId="97" xfId="0" applyFont="1" applyFill="1" applyBorder="1" applyAlignment="1">
      <alignment horizontal="center" vertical="center"/>
    </xf>
    <xf numFmtId="0" fontId="11" fillId="3" borderId="98" xfId="0" applyFont="1" applyFill="1" applyBorder="1" applyAlignment="1">
      <alignment horizontal="center"/>
    </xf>
    <xf numFmtId="0" fontId="11" fillId="3" borderId="99" xfId="0" applyFont="1" applyFill="1" applyBorder="1" applyAlignment="1">
      <alignment horizontal="center"/>
    </xf>
    <xf numFmtId="0" fontId="11" fillId="3" borderId="100" xfId="0" applyFont="1" applyFill="1" applyBorder="1" applyAlignment="1">
      <alignment horizontal="center"/>
    </xf>
    <xf numFmtId="0" fontId="11" fillId="12" borderId="12" xfId="0" applyFont="1" applyFill="1" applyBorder="1" applyAlignment="1">
      <alignment horizontal="center" vertical="center" wrapText="1"/>
    </xf>
    <xf numFmtId="0" fontId="11" fillId="12" borderId="13" xfId="0" applyFont="1" applyFill="1" applyBorder="1" applyAlignment="1">
      <alignment horizontal="center" vertical="center" wrapText="1"/>
    </xf>
    <xf numFmtId="0" fontId="11" fillId="12" borderId="10" xfId="0" applyFont="1" applyFill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1" fillId="3" borderId="39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0" borderId="98" xfId="0" applyFont="1" applyFill="1" applyBorder="1" applyAlignment="1">
      <alignment horizontal="center"/>
    </xf>
    <xf numFmtId="0" fontId="11" fillId="30" borderId="99" xfId="0" applyFont="1" applyFill="1" applyBorder="1" applyAlignment="1">
      <alignment horizontal="center"/>
    </xf>
    <xf numFmtId="0" fontId="11" fillId="30" borderId="100" xfId="0" applyFont="1" applyFill="1" applyBorder="1" applyAlignment="1">
      <alignment horizontal="center"/>
    </xf>
    <xf numFmtId="0" fontId="11" fillId="12" borderId="98" xfId="0" applyFont="1" applyFill="1" applyBorder="1" applyAlignment="1">
      <alignment horizontal="center"/>
    </xf>
    <xf numFmtId="0" fontId="11" fillId="12" borderId="99" xfId="0" applyFont="1" applyFill="1" applyBorder="1" applyAlignment="1">
      <alignment horizontal="center"/>
    </xf>
    <xf numFmtId="0" fontId="11" fillId="12" borderId="100" xfId="0" applyFont="1" applyFill="1" applyBorder="1" applyAlignment="1">
      <alignment horizontal="center"/>
    </xf>
    <xf numFmtId="0" fontId="11" fillId="25" borderId="39" xfId="0" applyFont="1" applyFill="1" applyBorder="1" applyAlignment="1">
      <alignment horizontal="center"/>
    </xf>
    <xf numFmtId="0" fontId="0" fillId="0" borderId="92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11" fillId="20" borderId="33" xfId="0" applyFont="1" applyFill="1" applyBorder="1" applyAlignment="1">
      <alignment horizontal="center"/>
    </xf>
    <xf numFmtId="0" fontId="11" fillId="20" borderId="24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 vertical="center"/>
    </xf>
    <xf numFmtId="0" fontId="11" fillId="10" borderId="34" xfId="0" applyFont="1" applyFill="1" applyBorder="1" applyAlignment="1">
      <alignment horizontal="center" vertical="center"/>
    </xf>
    <xf numFmtId="0" fontId="11" fillId="10" borderId="49" xfId="0" applyFont="1" applyFill="1" applyBorder="1" applyAlignment="1">
      <alignment horizontal="center" vertical="center"/>
    </xf>
    <xf numFmtId="0" fontId="11" fillId="10" borderId="51" xfId="0" applyFont="1" applyFill="1" applyBorder="1" applyAlignment="1">
      <alignment horizontal="center" vertical="center"/>
    </xf>
    <xf numFmtId="0" fontId="11" fillId="19" borderId="33" xfId="0" applyFont="1" applyFill="1" applyBorder="1" applyAlignment="1">
      <alignment horizontal="center" vertical="center"/>
    </xf>
    <xf numFmtId="0" fontId="11" fillId="19" borderId="24" xfId="0" applyFont="1" applyFill="1" applyBorder="1" applyAlignment="1">
      <alignment horizontal="center" vertical="center"/>
    </xf>
    <xf numFmtId="0" fontId="11" fillId="19" borderId="49" xfId="0" applyFont="1" applyFill="1" applyBorder="1" applyAlignment="1">
      <alignment horizontal="center" vertical="center"/>
    </xf>
    <xf numFmtId="0" fontId="11" fillId="19" borderId="26" xfId="0" applyFont="1" applyFill="1" applyBorder="1" applyAlignment="1">
      <alignment horizontal="center" vertical="center"/>
    </xf>
    <xf numFmtId="0" fontId="0" fillId="20" borderId="49" xfId="0" applyFill="1" applyBorder="1" applyAlignment="1">
      <alignment horizontal="center" vertical="center" wrapText="1"/>
    </xf>
    <xf numFmtId="0" fontId="0" fillId="20" borderId="26" xfId="0" applyFill="1" applyBorder="1" applyAlignment="1">
      <alignment horizontal="center" vertical="center" wrapText="1"/>
    </xf>
  </cellXfs>
  <cellStyles count="6">
    <cellStyle name="Comma 2" xfId="1"/>
    <cellStyle name="Excel Built-in Normal" xfId="2"/>
    <cellStyle name="Normal" xfId="0" builtinId="0"/>
    <cellStyle name="Normal 2" xfId="3"/>
    <cellStyle name="Normal 3" xfId="4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D24"/>
  <sheetViews>
    <sheetView showGridLines="0" workbookViewId="0">
      <selection activeCell="F27" sqref="F27"/>
    </sheetView>
  </sheetViews>
  <sheetFormatPr defaultColWidth="9.140625" defaultRowHeight="15"/>
  <cols>
    <col min="1" max="2" width="9.140625" style="120"/>
    <col min="3" max="3" width="11.42578125" style="120" bestFit="1" customWidth="1"/>
    <col min="4" max="4" width="9.140625" style="37"/>
    <col min="5" max="5" width="11.42578125" style="37" customWidth="1"/>
    <col min="6" max="6" width="30.28515625" style="37" customWidth="1"/>
    <col min="7" max="7" width="9.140625" style="37"/>
    <col min="8" max="9" width="11.42578125" style="37" hidden="1" customWidth="1"/>
    <col min="10" max="10" width="9" style="37" bestFit="1" customWidth="1"/>
    <col min="11" max="11" width="6.42578125" style="37" bestFit="1" customWidth="1"/>
    <col min="12" max="12" width="8.140625" style="37" bestFit="1" customWidth="1"/>
    <col min="13" max="13" width="38.7109375" style="121" bestFit="1" customWidth="1"/>
    <col min="14" max="14" width="11" style="120" bestFit="1" customWidth="1"/>
    <col min="15" max="15" width="10.7109375" style="120" bestFit="1" customWidth="1"/>
    <col min="16" max="16" width="9.140625" style="120"/>
    <col min="17" max="17" width="11.28515625" style="120" customWidth="1"/>
    <col min="18" max="18" width="10.42578125" style="120" customWidth="1"/>
    <col min="19" max="19" width="1" style="120" customWidth="1"/>
    <col min="20" max="20" width="12.28515625" style="120" customWidth="1"/>
    <col min="21" max="21" width="11.7109375" style="120" hidden="1" customWidth="1"/>
    <col min="22" max="22" width="14.42578125" style="120" customWidth="1"/>
    <col min="23" max="23" width="20" style="120" customWidth="1"/>
    <col min="24" max="24" width="10.7109375" style="120" hidden="1" customWidth="1"/>
    <col min="25" max="25" width="9.85546875" style="120" customWidth="1"/>
    <col min="26" max="26" width="10.7109375" style="120" hidden="1" customWidth="1"/>
    <col min="27" max="27" width="9.140625" style="120" customWidth="1"/>
    <col min="28" max="28" width="9.140625" style="120" hidden="1" customWidth="1"/>
    <col min="29" max="29" width="10.140625" style="120" customWidth="1"/>
    <col min="30" max="30" width="0.140625" style="120" customWidth="1"/>
    <col min="31" max="16384" width="9.140625" style="120"/>
  </cols>
  <sheetData>
    <row r="1" spans="2:30" ht="15.75" thickBot="1"/>
    <row r="2" spans="2:30" ht="16.5" thickBot="1">
      <c r="B2" s="138" t="s">
        <v>255</v>
      </c>
      <c r="C2" s="139"/>
      <c r="D2" s="139"/>
      <c r="E2" s="139"/>
      <c r="F2" s="131"/>
      <c r="G2" s="139"/>
      <c r="H2" s="139"/>
      <c r="I2" s="139"/>
      <c r="J2" s="139"/>
      <c r="K2" s="139"/>
      <c r="L2" s="139"/>
      <c r="M2" s="140"/>
      <c r="O2" s="770" t="s">
        <v>256</v>
      </c>
      <c r="P2" s="771"/>
      <c r="Q2" s="771"/>
      <c r="R2" s="771"/>
      <c r="S2" s="771"/>
      <c r="T2" s="771"/>
      <c r="U2" s="771"/>
      <c r="V2" s="771"/>
      <c r="W2" s="771"/>
      <c r="X2" s="771"/>
      <c r="Y2" s="771"/>
      <c r="Z2" s="771"/>
      <c r="AA2" s="771"/>
      <c r="AB2" s="771"/>
      <c r="AC2" s="772"/>
      <c r="AD2" s="122"/>
    </row>
    <row r="3" spans="2:30" s="37" customFormat="1" ht="51" customHeight="1" thickBot="1">
      <c r="B3" s="100" t="s">
        <v>0</v>
      </c>
      <c r="C3" s="101" t="s">
        <v>43</v>
      </c>
      <c r="D3" s="101" t="s">
        <v>1</v>
      </c>
      <c r="E3" s="101" t="s">
        <v>2</v>
      </c>
      <c r="F3" s="101" t="s">
        <v>3</v>
      </c>
      <c r="G3" s="101" t="s">
        <v>4</v>
      </c>
      <c r="H3" s="101" t="s">
        <v>5</v>
      </c>
      <c r="I3" s="101" t="s">
        <v>6</v>
      </c>
      <c r="J3" s="101" t="s">
        <v>7</v>
      </c>
      <c r="K3" s="101" t="s">
        <v>5</v>
      </c>
      <c r="L3" s="101" t="s">
        <v>6</v>
      </c>
      <c r="M3" s="141" t="s">
        <v>56</v>
      </c>
      <c r="O3" s="75" t="s">
        <v>2</v>
      </c>
      <c r="P3" s="61" t="s">
        <v>128</v>
      </c>
      <c r="Q3" s="62" t="s">
        <v>129</v>
      </c>
      <c r="R3" s="63" t="s">
        <v>95</v>
      </c>
      <c r="S3" s="23"/>
      <c r="T3" s="64" t="s">
        <v>125</v>
      </c>
      <c r="U3" s="64" t="s">
        <v>97</v>
      </c>
      <c r="V3" s="116" t="s">
        <v>207</v>
      </c>
      <c r="W3" s="65" t="s">
        <v>98</v>
      </c>
      <c r="X3" s="65" t="s">
        <v>97</v>
      </c>
      <c r="Y3" s="66" t="s">
        <v>47</v>
      </c>
      <c r="Z3" s="66" t="s">
        <v>97</v>
      </c>
      <c r="AA3" s="67" t="s">
        <v>96</v>
      </c>
      <c r="AB3" s="72" t="s">
        <v>97</v>
      </c>
      <c r="AC3" s="81" t="s">
        <v>126</v>
      </c>
      <c r="AD3" s="83"/>
    </row>
    <row r="4" spans="2:30">
      <c r="B4" s="78"/>
      <c r="C4" s="156">
        <v>44320</v>
      </c>
      <c r="D4" s="157" t="s">
        <v>271</v>
      </c>
      <c r="E4" s="157" t="s">
        <v>25</v>
      </c>
      <c r="F4" s="157" t="s">
        <v>273</v>
      </c>
      <c r="G4" s="157" t="s">
        <v>11</v>
      </c>
      <c r="H4" s="157"/>
      <c r="I4" s="157"/>
      <c r="J4" s="157"/>
      <c r="K4" s="157"/>
      <c r="L4" s="157"/>
      <c r="M4" s="158"/>
      <c r="O4" s="123" t="s">
        <v>13</v>
      </c>
      <c r="P4" s="99">
        <f t="shared" ref="P4:P12" si="0">COUNTIFS($E:$E,$O4,$D:$D,"Mar")+COUNTIFS($E:$E,$O4,$D:$D,"Feb")</f>
        <v>0</v>
      </c>
      <c r="Q4" s="55">
        <f t="shared" ref="Q4:Q12" si="1">COUNTIFS($E:$E,$O4,$D:$D,"Apr")</f>
        <v>0</v>
      </c>
      <c r="R4" s="56"/>
      <c r="S4" s="22"/>
      <c r="T4" s="57" t="e">
        <f>SUMIFS($J:$J,$E:$E,$O4,#REF!,"Login done ")</f>
        <v>#REF!</v>
      </c>
      <c r="U4" s="57" t="e">
        <f>COUNTIFS($E:$E,$O4,#REF!,"Login done ")</f>
        <v>#REF!</v>
      </c>
      <c r="V4" s="117" t="e">
        <f>SUMIFS($J:$J,$E:$E,$O4,#REF!,"Approved")</f>
        <v>#REF!</v>
      </c>
      <c r="W4" s="58" t="e">
        <f>SUMIFS($J:$J,$E:$E,$O4,#REF!,"Login Today")</f>
        <v>#REF!</v>
      </c>
      <c r="X4" s="58" t="e">
        <f>COUNTIFS($E:$E,$O4,#REF!,"Login Today")</f>
        <v>#REF!</v>
      </c>
      <c r="Y4" s="59" t="e">
        <f>SUMIFS($J:$J,$E:$E,$O4,#REF!,"Disbursed")</f>
        <v>#REF!</v>
      </c>
      <c r="Z4" s="59" t="e">
        <f>COUNTIFS($E:$E,$O4,#REF!,"Disbursed")</f>
        <v>#REF!</v>
      </c>
      <c r="AA4" s="60" t="e">
        <f>SUMIFS($J:$J,$E:$E,$O4,#REF!,"Plan Today")</f>
        <v>#REF!</v>
      </c>
      <c r="AB4" s="73" t="e">
        <f>COUNTIFS($E:$E,$O4,#REF!,"Plan Today")</f>
        <v>#REF!</v>
      </c>
      <c r="AC4" s="102" t="e">
        <f>T4+W4+AA4+Y4+V4</f>
        <v>#REF!</v>
      </c>
      <c r="AD4" s="83"/>
    </row>
    <row r="5" spans="2:30">
      <c r="B5" s="146"/>
      <c r="C5" s="159"/>
      <c r="D5" s="3"/>
      <c r="E5" s="3"/>
      <c r="F5" s="3"/>
      <c r="G5" s="3"/>
      <c r="H5" s="3"/>
      <c r="I5" s="3"/>
      <c r="J5" s="3"/>
      <c r="K5" s="3"/>
      <c r="L5" s="3"/>
      <c r="M5" s="160"/>
      <c r="O5" s="119" t="s">
        <v>14</v>
      </c>
      <c r="P5" s="99">
        <f t="shared" si="0"/>
        <v>0</v>
      </c>
      <c r="Q5" s="55">
        <f t="shared" si="1"/>
        <v>0</v>
      </c>
      <c r="R5" s="41"/>
      <c r="S5" s="19"/>
      <c r="T5" s="43" t="e">
        <f>SUMIFS($J:$J,$E:$E,$O5,#REF!,"Login done ")</f>
        <v>#REF!</v>
      </c>
      <c r="U5" s="57" t="e">
        <f>COUNTIFS($E:$E,$O5,#REF!,"Login done ")</f>
        <v>#REF!</v>
      </c>
      <c r="V5" s="117" t="e">
        <f>SUMIFS($J:$J,$E:$E,$O5,#REF!,"Approved")</f>
        <v>#REF!</v>
      </c>
      <c r="W5" s="46" t="e">
        <f>SUMIFS($J:$J,$E:$E,$O5,#REF!,"Login Today")</f>
        <v>#REF!</v>
      </c>
      <c r="X5" s="58" t="e">
        <f>COUNTIFS($E:$E,$O5,#REF!,"Login Today")</f>
        <v>#REF!</v>
      </c>
      <c r="Y5" s="27" t="e">
        <f>SUMIFS($J:$J,$E:$E,$O5,#REF!,"Disbursed")</f>
        <v>#REF!</v>
      </c>
      <c r="Z5" s="59" t="e">
        <f>COUNTIFS($E:$E,$O5,#REF!,"Disbursed")</f>
        <v>#REF!</v>
      </c>
      <c r="AA5" s="51" t="e">
        <f>SUMIFS($J:$J,$E:$E,$O5,#REF!,"Plan Today")</f>
        <v>#REF!</v>
      </c>
      <c r="AB5" s="73" t="e">
        <f>COUNTIFS($E:$E,$O5,#REF!,"Plan Today")</f>
        <v>#REF!</v>
      </c>
      <c r="AC5" s="102" t="e">
        <f t="shared" ref="AC5:AC12" si="2">T5+W5+AA5+Y5+V5</f>
        <v>#REF!</v>
      </c>
      <c r="AD5" s="83"/>
    </row>
    <row r="6" spans="2:30">
      <c r="B6" s="146"/>
      <c r="C6" s="159"/>
      <c r="D6" s="3"/>
      <c r="E6" s="3"/>
      <c r="F6" s="3"/>
      <c r="G6" s="3"/>
      <c r="H6" s="3"/>
      <c r="I6" s="3"/>
      <c r="J6" s="3"/>
      <c r="K6" s="3"/>
      <c r="L6" s="3"/>
      <c r="M6" s="160"/>
      <c r="O6" s="124" t="s">
        <v>17</v>
      </c>
      <c r="P6" s="99">
        <f t="shared" si="0"/>
        <v>0</v>
      </c>
      <c r="Q6" s="55">
        <f t="shared" si="1"/>
        <v>0</v>
      </c>
      <c r="R6" s="41">
        <v>1</v>
      </c>
      <c r="S6" s="19"/>
      <c r="T6" s="43" t="e">
        <f>SUMIFS($J:$J,$E:$E,$O6,#REF!,"Login done ")</f>
        <v>#REF!</v>
      </c>
      <c r="U6" s="57" t="e">
        <f>COUNTIFS($E:$E,$O6,#REF!,"Login done ")</f>
        <v>#REF!</v>
      </c>
      <c r="V6" s="117" t="e">
        <f>SUMIFS($J:$J,$E:$E,$O6,#REF!,"Approved")</f>
        <v>#REF!</v>
      </c>
      <c r="W6" s="46" t="e">
        <f>SUMIFS($J:$J,$E:$E,$O6,#REF!,"Login Today")</f>
        <v>#REF!</v>
      </c>
      <c r="X6" s="58" t="e">
        <f>COUNTIFS($E:$E,$O6,#REF!,"Login Today")</f>
        <v>#REF!</v>
      </c>
      <c r="Y6" s="27" t="e">
        <f>SUMIFS($J:$J,$E:$E,$O6,#REF!,"Disbursed")</f>
        <v>#REF!</v>
      </c>
      <c r="Z6" s="59" t="e">
        <f>COUNTIFS($E:$E,$O6,#REF!,"Disbursed")</f>
        <v>#REF!</v>
      </c>
      <c r="AA6" s="51" t="e">
        <f>SUMIFS($J:$J,$E:$E,$O6,#REF!,"Plan Today")</f>
        <v>#REF!</v>
      </c>
      <c r="AB6" s="73" t="e">
        <f>COUNTIFS($E:$E,$O6,#REF!,"Plan Today")</f>
        <v>#REF!</v>
      </c>
      <c r="AC6" s="102" t="e">
        <f t="shared" si="2"/>
        <v>#REF!</v>
      </c>
      <c r="AD6" s="83"/>
    </row>
    <row r="7" spans="2:30">
      <c r="B7" s="146"/>
      <c r="C7" s="159"/>
      <c r="D7" s="3"/>
      <c r="E7" s="3"/>
      <c r="F7" s="3"/>
      <c r="G7" s="3"/>
      <c r="H7" s="3"/>
      <c r="I7" s="3"/>
      <c r="J7" s="3"/>
      <c r="K7" s="3"/>
      <c r="L7" s="3"/>
      <c r="M7" s="160"/>
      <c r="O7" s="124" t="s">
        <v>88</v>
      </c>
      <c r="P7" s="99">
        <f t="shared" si="0"/>
        <v>0</v>
      </c>
      <c r="Q7" s="55">
        <f t="shared" si="1"/>
        <v>0</v>
      </c>
      <c r="R7" s="41"/>
      <c r="S7" s="19"/>
      <c r="T7" s="43" t="e">
        <f>SUMIFS($J:$J,$E:$E,$O7,#REF!,"Login done ")</f>
        <v>#REF!</v>
      </c>
      <c r="U7" s="57" t="e">
        <f>COUNTIFS($E:$E,$O7,#REF!,"Login done ")</f>
        <v>#REF!</v>
      </c>
      <c r="V7" s="117" t="e">
        <f>SUMIFS($J:$J,$E:$E,$O7,#REF!,"Approved")</f>
        <v>#REF!</v>
      </c>
      <c r="W7" s="46" t="e">
        <f>SUMIFS($J:$J,$E:$E,$O7,#REF!,"Login Today")</f>
        <v>#REF!</v>
      </c>
      <c r="X7" s="58" t="e">
        <f>COUNTIFS($E:$E,$O7,#REF!,"Login Today")</f>
        <v>#REF!</v>
      </c>
      <c r="Y7" s="27" t="e">
        <f>SUMIFS($J:$J,$E:$E,$O7,#REF!,"Disbursed")</f>
        <v>#REF!</v>
      </c>
      <c r="Z7" s="59" t="e">
        <f>COUNTIFS($E:$E,$O7,#REF!,"Disbursed")</f>
        <v>#REF!</v>
      </c>
      <c r="AA7" s="51" t="e">
        <f>SUMIFS($J:$J,$E:$E,$O7,#REF!,"Plan Today")</f>
        <v>#REF!</v>
      </c>
      <c r="AB7" s="73" t="e">
        <f>COUNTIFS($E:$E,$O7,#REF!,"Plan Today")</f>
        <v>#REF!</v>
      </c>
      <c r="AC7" s="102" t="e">
        <f t="shared" si="2"/>
        <v>#REF!</v>
      </c>
      <c r="AD7" s="83"/>
    </row>
    <row r="8" spans="2:30">
      <c r="B8" s="146"/>
      <c r="C8" s="3"/>
      <c r="D8" s="3"/>
      <c r="E8" s="3"/>
      <c r="F8" s="3"/>
      <c r="G8" s="3"/>
      <c r="H8" s="3"/>
      <c r="I8" s="3"/>
      <c r="J8" s="3"/>
      <c r="K8" s="3"/>
      <c r="L8" s="3"/>
      <c r="M8" s="160"/>
      <c r="O8" s="119" t="s">
        <v>10</v>
      </c>
      <c r="P8" s="99">
        <f t="shared" si="0"/>
        <v>0</v>
      </c>
      <c r="Q8" s="55">
        <f t="shared" si="1"/>
        <v>0</v>
      </c>
      <c r="R8" s="41">
        <v>1</v>
      </c>
      <c r="S8" s="19"/>
      <c r="T8" s="43" t="e">
        <f>SUMIFS($J:$J,$E:$E,$O8,#REF!,"Login done ")</f>
        <v>#REF!</v>
      </c>
      <c r="U8" s="57" t="e">
        <f>COUNTIFS($E:$E,$O8,#REF!,"Login done ")</f>
        <v>#REF!</v>
      </c>
      <c r="V8" s="117" t="e">
        <f>SUMIFS($J:$J,$E:$E,$O8,#REF!,"Approved")</f>
        <v>#REF!</v>
      </c>
      <c r="W8" s="46" t="e">
        <f>SUMIFS($J:$J,$E:$E,$O8,#REF!,"Login Today")</f>
        <v>#REF!</v>
      </c>
      <c r="X8" s="58" t="e">
        <f>COUNTIFS($E:$E,$O8,#REF!,"Login Today")</f>
        <v>#REF!</v>
      </c>
      <c r="Y8" s="27" t="e">
        <f>SUMIFS($J:$J,$E:$E,$O8,#REF!,"Disbursed")</f>
        <v>#REF!</v>
      </c>
      <c r="Z8" s="59" t="e">
        <f>COUNTIFS($E:$E,$O8,#REF!,"Disbursed")</f>
        <v>#REF!</v>
      </c>
      <c r="AA8" s="51" t="e">
        <f>SUMIFS($J:$J,$E:$E,$O8,#REF!,"Plan Today")</f>
        <v>#REF!</v>
      </c>
      <c r="AB8" s="73" t="e">
        <f>COUNTIFS($E:$E,$O8,#REF!,"Plan Today")</f>
        <v>#REF!</v>
      </c>
      <c r="AC8" s="102" t="e">
        <f t="shared" si="2"/>
        <v>#REF!</v>
      </c>
      <c r="AD8" s="83"/>
    </row>
    <row r="9" spans="2:30">
      <c r="B9" s="146"/>
      <c r="C9" s="3"/>
      <c r="D9" s="3"/>
      <c r="E9" s="3"/>
      <c r="F9" s="3"/>
      <c r="G9" s="3"/>
      <c r="H9" s="3"/>
      <c r="I9" s="3"/>
      <c r="J9" s="3"/>
      <c r="K9" s="3"/>
      <c r="L9" s="3"/>
      <c r="M9" s="160"/>
      <c r="O9" s="119" t="s">
        <v>22</v>
      </c>
      <c r="P9" s="99">
        <f t="shared" si="0"/>
        <v>0</v>
      </c>
      <c r="Q9" s="55">
        <f t="shared" si="1"/>
        <v>0</v>
      </c>
      <c r="R9" s="41">
        <v>1</v>
      </c>
      <c r="S9" s="19"/>
      <c r="T9" s="43" t="e">
        <f>SUMIFS($J:$J,$E:$E,$O9,#REF!,"Login done ")</f>
        <v>#REF!</v>
      </c>
      <c r="U9" s="57" t="e">
        <f>COUNTIFS($E:$E,$O9,#REF!,"Login done ")</f>
        <v>#REF!</v>
      </c>
      <c r="V9" s="117" t="e">
        <f>SUMIFS($J:$J,$E:$E,$O9,#REF!,"Approved")</f>
        <v>#REF!</v>
      </c>
      <c r="W9" s="46" t="e">
        <f>SUMIFS($J:$J,$E:$E,$O9,#REF!,"Login Today")</f>
        <v>#REF!</v>
      </c>
      <c r="X9" s="58" t="e">
        <f>COUNTIFS($E:$E,$O9,#REF!,"Login Today")</f>
        <v>#REF!</v>
      </c>
      <c r="Y9" s="27" t="e">
        <f>SUMIFS($J:$J,$E:$E,$O9,#REF!,"Disbursed")</f>
        <v>#REF!</v>
      </c>
      <c r="Z9" s="59" t="e">
        <f>COUNTIFS($E:$E,$O9,#REF!,"Disbursed")</f>
        <v>#REF!</v>
      </c>
      <c r="AA9" s="51" t="e">
        <f>SUMIFS($J:$J,$E:$E,$O9,#REF!,"Plan Today")</f>
        <v>#REF!</v>
      </c>
      <c r="AB9" s="73" t="e">
        <f>COUNTIFS($E:$E,$O9,#REF!,"Plan Today")</f>
        <v>#REF!</v>
      </c>
      <c r="AC9" s="102" t="e">
        <f t="shared" si="2"/>
        <v>#REF!</v>
      </c>
      <c r="AD9" s="83"/>
    </row>
    <row r="10" spans="2:30">
      <c r="B10" s="146"/>
      <c r="C10" s="159"/>
      <c r="D10" s="3"/>
      <c r="E10" s="3"/>
      <c r="F10" s="3"/>
      <c r="G10" s="3"/>
      <c r="H10" s="3"/>
      <c r="I10" s="3"/>
      <c r="J10" s="3"/>
      <c r="K10" s="3"/>
      <c r="L10" s="3"/>
      <c r="M10" s="160"/>
      <c r="O10" s="119" t="s">
        <v>63</v>
      </c>
      <c r="P10" s="99">
        <f t="shared" si="0"/>
        <v>0</v>
      </c>
      <c r="Q10" s="55">
        <f t="shared" si="1"/>
        <v>0</v>
      </c>
      <c r="R10" s="41">
        <v>1</v>
      </c>
      <c r="S10" s="19"/>
      <c r="T10" s="43" t="e">
        <f>SUMIFS($J:$J,$E:$E,$O10,#REF!,"Login done ")</f>
        <v>#REF!</v>
      </c>
      <c r="U10" s="57" t="e">
        <f>COUNTIFS($E:$E,$O10,#REF!,"Login done ")</f>
        <v>#REF!</v>
      </c>
      <c r="V10" s="117" t="e">
        <f>SUMIFS($J:$J,$E:$E,$O10,#REF!,"Approved")</f>
        <v>#REF!</v>
      </c>
      <c r="W10" s="46" t="e">
        <f>SUMIFS($J:$J,$E:$E,$O10,#REF!,"Login Today")</f>
        <v>#REF!</v>
      </c>
      <c r="X10" s="58" t="e">
        <f>COUNTIFS($E:$E,$O10,#REF!,"Login Today")</f>
        <v>#REF!</v>
      </c>
      <c r="Y10" s="27" t="e">
        <f>SUMIFS($J:$J,$E:$E,$O10,#REF!,"Disbursed")</f>
        <v>#REF!</v>
      </c>
      <c r="Z10" s="59" t="e">
        <f>COUNTIFS($E:$E,$O10,#REF!,"Disbursed")</f>
        <v>#REF!</v>
      </c>
      <c r="AA10" s="51" t="e">
        <f>SUMIFS($J:$J,$E:$E,$O10,#REF!,"Plan Today")</f>
        <v>#REF!</v>
      </c>
      <c r="AB10" s="73" t="e">
        <f>COUNTIFS($E:$E,$O10,#REF!,"Plan Today")</f>
        <v>#REF!</v>
      </c>
      <c r="AC10" s="102" t="e">
        <f t="shared" si="2"/>
        <v>#REF!</v>
      </c>
      <c r="AD10" s="83"/>
    </row>
    <row r="11" spans="2:30">
      <c r="B11" s="146"/>
      <c r="C11" s="159"/>
      <c r="D11" s="3"/>
      <c r="E11" s="3"/>
      <c r="F11" s="3"/>
      <c r="G11" s="3"/>
      <c r="H11" s="3"/>
      <c r="I11" s="3"/>
      <c r="J11" s="3"/>
      <c r="K11" s="3"/>
      <c r="L11" s="3"/>
      <c r="M11" s="160"/>
      <c r="O11" s="119" t="s">
        <v>15</v>
      </c>
      <c r="P11" s="99">
        <f t="shared" si="0"/>
        <v>0</v>
      </c>
      <c r="Q11" s="55">
        <f t="shared" si="1"/>
        <v>0</v>
      </c>
      <c r="R11" s="41"/>
      <c r="S11" s="19"/>
      <c r="T11" s="43" t="e">
        <f>SUMIFS($J:$J,$E:$E,$O11,#REF!,"Login done ")</f>
        <v>#REF!</v>
      </c>
      <c r="U11" s="57" t="e">
        <f>COUNTIFS($E:$E,$O11,#REF!,"Login done ")</f>
        <v>#REF!</v>
      </c>
      <c r="V11" s="117" t="e">
        <f>SUMIFS($J:$J,$E:$E,$O11,#REF!,"Approved")</f>
        <v>#REF!</v>
      </c>
      <c r="W11" s="46" t="e">
        <f>SUMIFS($J:$J,$E:$E,$O11,#REF!,"Login Today")</f>
        <v>#REF!</v>
      </c>
      <c r="X11" s="58" t="e">
        <f>COUNTIFS($E:$E,$O11,#REF!,"Login Today")</f>
        <v>#REF!</v>
      </c>
      <c r="Y11" s="27" t="e">
        <f>SUMIFS($J:$J,$E:$E,$O11,#REF!,"Disbursed")</f>
        <v>#REF!</v>
      </c>
      <c r="Z11" s="59" t="e">
        <f>COUNTIFS($E:$E,$O11,#REF!,"Disbursed")</f>
        <v>#REF!</v>
      </c>
      <c r="AA11" s="51" t="e">
        <f>SUMIFS($J:$J,$E:$E,$O11,#REF!,"Plan Today")</f>
        <v>#REF!</v>
      </c>
      <c r="AB11" s="73" t="e">
        <f>COUNTIFS($E:$E,$O11,#REF!,"Plan Today")</f>
        <v>#REF!</v>
      </c>
      <c r="AC11" s="102" t="e">
        <f t="shared" si="2"/>
        <v>#REF!</v>
      </c>
      <c r="AD11" s="83"/>
    </row>
    <row r="12" spans="2:30" ht="15.75" thickBot="1">
      <c r="B12" s="146"/>
      <c r="C12" s="159"/>
      <c r="D12" s="3"/>
      <c r="E12" s="3"/>
      <c r="F12" s="3"/>
      <c r="G12" s="3"/>
      <c r="H12" s="3"/>
      <c r="I12" s="3"/>
      <c r="J12" s="3"/>
      <c r="K12" s="3"/>
      <c r="L12" s="3"/>
      <c r="M12" s="160"/>
      <c r="O12" s="125" t="s">
        <v>25</v>
      </c>
      <c r="P12" s="99">
        <f t="shared" si="0"/>
        <v>0</v>
      </c>
      <c r="Q12" s="55">
        <f t="shared" si="1"/>
        <v>0</v>
      </c>
      <c r="R12" s="42"/>
      <c r="S12" s="20"/>
      <c r="T12" s="44" t="e">
        <f>SUMIFS($J:$J,$E:$E,$O12,#REF!,"Login done ")</f>
        <v>#REF!</v>
      </c>
      <c r="U12" s="57" t="e">
        <f>COUNTIFS($E:$E,$O12,#REF!,"Login done ")</f>
        <v>#REF!</v>
      </c>
      <c r="V12" s="117" t="e">
        <f>SUMIFS($J:$J,$E:$E,$O12,#REF!,"Approved")</f>
        <v>#REF!</v>
      </c>
      <c r="W12" s="47" t="e">
        <f>SUMIFS($J:$J,$E:$E,$O12,#REF!,"Login Today")</f>
        <v>#REF!</v>
      </c>
      <c r="X12" s="58" t="e">
        <f>COUNTIFS($E:$E,$O12,#REF!,"Login Today")</f>
        <v>#REF!</v>
      </c>
      <c r="Y12" s="49" t="e">
        <f>SUMIFS($J:$J,$E:$E,$O12,#REF!,"Disbursed")</f>
        <v>#REF!</v>
      </c>
      <c r="Z12" s="59" t="e">
        <f>COUNTIFS($E:$E,$O12,#REF!,"Disbursed")</f>
        <v>#REF!</v>
      </c>
      <c r="AA12" s="52" t="e">
        <f>SUMIFS($J:$J,$E:$E,$O12,#REF!,"Plan Today")</f>
        <v>#REF!</v>
      </c>
      <c r="AB12" s="73" t="e">
        <f>COUNTIFS($E:$E,$O12,#REF!,"Plan Today")</f>
        <v>#REF!</v>
      </c>
      <c r="AC12" s="102" t="e">
        <f t="shared" si="2"/>
        <v>#REF!</v>
      </c>
      <c r="AD12" s="83"/>
    </row>
    <row r="13" spans="2:30" ht="15.75" thickBot="1">
      <c r="B13" s="146"/>
      <c r="C13" s="159"/>
      <c r="D13" s="3"/>
      <c r="E13" s="3"/>
      <c r="F13" s="3"/>
      <c r="G13" s="3"/>
      <c r="H13" s="3"/>
      <c r="I13" s="3"/>
      <c r="J13" s="3"/>
      <c r="K13" s="3"/>
      <c r="L13" s="3"/>
      <c r="M13" s="160"/>
      <c r="O13" s="126" t="s">
        <v>8</v>
      </c>
      <c r="P13" s="39">
        <f>SUM(P4:P12)</f>
        <v>0</v>
      </c>
      <c r="Q13" s="40">
        <f>SUM(Q4:Q12)</f>
        <v>0</v>
      </c>
      <c r="R13" s="26">
        <f>SUM(R4:R12)</f>
        <v>4</v>
      </c>
      <c r="S13" s="23"/>
      <c r="T13" s="45" t="e">
        <f t="shared" ref="T13:AB13" si="3">SUM(T4:T12)</f>
        <v>#REF!</v>
      </c>
      <c r="U13" s="45" t="e">
        <f t="shared" si="3"/>
        <v>#REF!</v>
      </c>
      <c r="V13" s="118" t="e">
        <f>SUM(V4:V12)</f>
        <v>#REF!</v>
      </c>
      <c r="W13" s="48" t="e">
        <f t="shared" si="3"/>
        <v>#REF!</v>
      </c>
      <c r="X13" s="48" t="e">
        <f t="shared" si="3"/>
        <v>#REF!</v>
      </c>
      <c r="Y13" s="50" t="e">
        <f t="shared" si="3"/>
        <v>#REF!</v>
      </c>
      <c r="Z13" s="50" t="e">
        <f t="shared" si="3"/>
        <v>#REF!</v>
      </c>
      <c r="AA13" s="53" t="e">
        <f t="shared" si="3"/>
        <v>#REF!</v>
      </c>
      <c r="AB13" s="74" t="e">
        <f t="shared" si="3"/>
        <v>#REF!</v>
      </c>
      <c r="AC13" s="24" t="e">
        <f>SUM(AC4:AC12)</f>
        <v>#REF!</v>
      </c>
      <c r="AD13" s="83"/>
    </row>
    <row r="14" spans="2:30" ht="15.75" thickBot="1">
      <c r="B14" s="146"/>
      <c r="C14" s="159"/>
      <c r="D14" s="3"/>
      <c r="E14" s="3"/>
      <c r="F14" s="3"/>
      <c r="G14" s="3"/>
      <c r="H14" s="3"/>
      <c r="I14" s="3"/>
      <c r="J14" s="3"/>
      <c r="K14" s="3"/>
      <c r="L14" s="3"/>
      <c r="M14" s="160"/>
      <c r="O14" s="127" t="s">
        <v>97</v>
      </c>
      <c r="P14" s="768">
        <f>P13+Q13</f>
        <v>0</v>
      </c>
      <c r="Q14" s="769"/>
      <c r="R14" s="68">
        <v>4</v>
      </c>
      <c r="S14" s="38"/>
      <c r="T14" s="773" t="e">
        <f>COUNTIFS(#REF!,"Login done ")</f>
        <v>#REF!</v>
      </c>
      <c r="U14" s="774"/>
      <c r="V14" s="115" t="e">
        <f>COUNTIFS(#REF!,"Approved")</f>
        <v>#REF!</v>
      </c>
      <c r="W14" s="773" t="e">
        <f>COUNTIFS(#REF!,"Login Today")</f>
        <v>#REF!</v>
      </c>
      <c r="X14" s="774"/>
      <c r="Y14" s="773" t="e">
        <f>COUNTIFS(#REF!,"Disbursed")</f>
        <v>#REF!</v>
      </c>
      <c r="Z14" s="774"/>
      <c r="AA14" s="773" t="e">
        <f>COUNTIFS(#REF!,"Plan Today")</f>
        <v>#REF!</v>
      </c>
      <c r="AB14" s="774"/>
      <c r="AC14" s="69" t="e">
        <f>T14+W14+Y14+AA14+V14</f>
        <v>#REF!</v>
      </c>
      <c r="AD14" s="84"/>
    </row>
    <row r="15" spans="2:30">
      <c r="B15" s="146"/>
      <c r="C15" s="159"/>
      <c r="D15" s="3"/>
      <c r="E15" s="3"/>
      <c r="F15" s="3"/>
      <c r="G15" s="3"/>
      <c r="H15" s="3"/>
      <c r="I15" s="3"/>
      <c r="J15" s="3"/>
      <c r="K15" s="3"/>
      <c r="L15" s="3"/>
      <c r="M15" s="160"/>
    </row>
    <row r="16" spans="2:30">
      <c r="B16" s="146"/>
      <c r="C16" s="159"/>
      <c r="D16" s="3"/>
      <c r="E16" s="3"/>
      <c r="F16" s="3"/>
      <c r="G16" s="3"/>
      <c r="H16" s="3"/>
      <c r="I16" s="3"/>
      <c r="J16" s="3"/>
      <c r="K16" s="3"/>
      <c r="L16" s="3"/>
      <c r="M16" s="160"/>
    </row>
    <row r="17" spans="2:13">
      <c r="B17" s="146"/>
      <c r="C17" s="159"/>
      <c r="D17" s="3"/>
      <c r="E17" s="3"/>
      <c r="F17" s="3"/>
      <c r="G17" s="3"/>
      <c r="H17" s="3"/>
      <c r="I17" s="3"/>
      <c r="J17" s="3"/>
      <c r="K17" s="3"/>
      <c r="L17" s="3"/>
      <c r="M17" s="160"/>
    </row>
    <row r="18" spans="2:13">
      <c r="F18" s="120"/>
      <c r="I18" s="121"/>
      <c r="J18" s="128">
        <f>SUM(J4:J17)</f>
        <v>0</v>
      </c>
      <c r="K18" s="129"/>
      <c r="L18" s="129"/>
    </row>
    <row r="19" spans="2:13">
      <c r="C19" s="142"/>
      <c r="D19" s="143"/>
      <c r="E19" s="143"/>
      <c r="F19" s="120"/>
      <c r="G19" s="143"/>
      <c r="H19" s="143"/>
      <c r="I19" s="145"/>
      <c r="J19" s="129"/>
      <c r="K19" s="129"/>
      <c r="L19" s="129"/>
    </row>
    <row r="20" spans="2:13">
      <c r="C20" s="144"/>
      <c r="D20" s="143"/>
      <c r="E20" s="143"/>
      <c r="F20" s="143"/>
      <c r="G20" s="143"/>
      <c r="H20" s="143"/>
      <c r="I20" s="145"/>
      <c r="J20" s="129"/>
      <c r="K20" s="129"/>
      <c r="L20" s="129"/>
    </row>
    <row r="21" spans="2:13" ht="15.75" thickBot="1"/>
    <row r="22" spans="2:13" ht="16.5" thickBot="1">
      <c r="B22" s="130" t="s">
        <v>254</v>
      </c>
      <c r="C22" s="131"/>
      <c r="D22" s="131"/>
      <c r="E22" s="131"/>
      <c r="F22" s="131"/>
      <c r="G22" s="131"/>
      <c r="H22" s="131"/>
      <c r="I22" s="131"/>
      <c r="J22" s="131"/>
      <c r="K22" s="131"/>
      <c r="L22" s="131"/>
    </row>
    <row r="23" spans="2:13" ht="15.75">
      <c r="B23" s="100" t="s">
        <v>0</v>
      </c>
      <c r="C23" s="101" t="s">
        <v>43</v>
      </c>
      <c r="D23" s="101" t="s">
        <v>1</v>
      </c>
      <c r="E23" s="101" t="s">
        <v>2</v>
      </c>
      <c r="F23" s="101" t="s">
        <v>3</v>
      </c>
      <c r="G23" s="101" t="s">
        <v>4</v>
      </c>
      <c r="H23" s="101" t="s">
        <v>5</v>
      </c>
      <c r="I23" s="101" t="s">
        <v>6</v>
      </c>
      <c r="J23" s="101" t="s">
        <v>7</v>
      </c>
      <c r="K23" s="101" t="s">
        <v>5</v>
      </c>
      <c r="L23" s="101" t="s">
        <v>6</v>
      </c>
      <c r="M23" s="120"/>
    </row>
    <row r="24" spans="2:13">
      <c r="F24" s="37" t="s">
        <v>272</v>
      </c>
    </row>
  </sheetData>
  <mergeCells count="6">
    <mergeCell ref="P14:Q14"/>
    <mergeCell ref="O2:AC2"/>
    <mergeCell ref="T14:U14"/>
    <mergeCell ref="W14:X14"/>
    <mergeCell ref="Y14:Z14"/>
    <mergeCell ref="AA14:AB14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selection activeCell="E29" sqref="E29"/>
    </sheetView>
  </sheetViews>
  <sheetFormatPr defaultColWidth="11.42578125" defaultRowHeight="15"/>
  <cols>
    <col min="1" max="1" width="8.85546875" customWidth="1"/>
    <col min="2" max="2" width="5.140625" style="8" bestFit="1" customWidth="1"/>
    <col min="3" max="3" width="5.140625" bestFit="1" customWidth="1"/>
    <col min="4" max="4" width="8.7109375" bestFit="1" customWidth="1"/>
    <col min="5" max="5" width="38.140625" bestFit="1" customWidth="1"/>
    <col min="6" max="6" width="8.85546875" customWidth="1"/>
    <col min="7" max="7" width="9.140625" style="1" customWidth="1"/>
    <col min="8" max="8" width="13.28515625" style="1" bestFit="1" customWidth="1"/>
    <col min="9" max="9" width="9.140625" style="1" customWidth="1"/>
    <col min="10" max="10" width="9.7109375" style="1" bestFit="1" customWidth="1"/>
    <col min="11" max="11" width="32.140625" style="8" bestFit="1" customWidth="1"/>
    <col min="12" max="256" width="8.85546875" customWidth="1"/>
  </cols>
  <sheetData>
    <row r="2" spans="2:12" ht="15.75" thickBot="1"/>
    <row r="3" spans="2:12" ht="19.5" thickBot="1">
      <c r="B3" s="785" t="s">
        <v>396</v>
      </c>
      <c r="C3" s="786"/>
      <c r="D3" s="786"/>
      <c r="E3" s="786"/>
      <c r="F3" s="786"/>
      <c r="G3" s="786"/>
      <c r="H3" s="786"/>
      <c r="I3" s="786"/>
      <c r="J3" s="786"/>
      <c r="K3" s="787"/>
    </row>
    <row r="4" spans="2:12">
      <c r="B4" s="173" t="s">
        <v>0</v>
      </c>
      <c r="C4" s="174" t="s">
        <v>43</v>
      </c>
      <c r="D4" s="174" t="s">
        <v>1</v>
      </c>
      <c r="E4" s="174" t="s">
        <v>2</v>
      </c>
      <c r="F4" s="174" t="s">
        <v>3</v>
      </c>
      <c r="G4" s="206" t="s">
        <v>5</v>
      </c>
      <c r="H4" s="206" t="s">
        <v>6</v>
      </c>
      <c r="I4" s="174" t="s">
        <v>4</v>
      </c>
      <c r="J4" s="206" t="s">
        <v>56</v>
      </c>
      <c r="K4" s="183" t="s">
        <v>192</v>
      </c>
      <c r="L4" s="221"/>
    </row>
    <row r="5" spans="2:12">
      <c r="B5" s="182">
        <v>1</v>
      </c>
      <c r="C5" s="179" t="s">
        <v>134</v>
      </c>
      <c r="D5" s="16" t="s">
        <v>22</v>
      </c>
      <c r="E5" s="218" t="s">
        <v>349</v>
      </c>
      <c r="F5" s="16" t="s">
        <v>11</v>
      </c>
      <c r="G5" s="16" t="s">
        <v>381</v>
      </c>
      <c r="H5" s="16" t="s">
        <v>115</v>
      </c>
      <c r="I5" s="179">
        <v>26.1</v>
      </c>
      <c r="J5" s="164" t="s">
        <v>275</v>
      </c>
      <c r="K5" s="184" t="s">
        <v>361</v>
      </c>
      <c r="L5" s="202"/>
    </row>
    <row r="6" spans="2:12">
      <c r="B6" s="182">
        <v>2</v>
      </c>
      <c r="C6" s="179" t="s">
        <v>134</v>
      </c>
      <c r="D6" s="16" t="s">
        <v>362</v>
      </c>
      <c r="E6" s="208" t="s">
        <v>350</v>
      </c>
      <c r="F6" s="16" t="s">
        <v>19</v>
      </c>
      <c r="G6" s="16"/>
      <c r="H6" s="16"/>
      <c r="I6" s="179">
        <v>16</v>
      </c>
      <c r="J6" s="164" t="s">
        <v>275</v>
      </c>
      <c r="K6" s="184" t="s">
        <v>398</v>
      </c>
      <c r="L6" t="s">
        <v>380</v>
      </c>
    </row>
    <row r="7" spans="2:12">
      <c r="B7" s="182">
        <v>3</v>
      </c>
      <c r="C7" s="179" t="s">
        <v>271</v>
      </c>
      <c r="D7" s="16" t="s">
        <v>22</v>
      </c>
      <c r="E7" s="207" t="s">
        <v>351</v>
      </c>
      <c r="F7" s="16" t="s">
        <v>19</v>
      </c>
      <c r="G7" s="16"/>
      <c r="H7" s="16"/>
      <c r="I7" s="179">
        <v>19.7</v>
      </c>
      <c r="J7" s="164" t="s">
        <v>275</v>
      </c>
      <c r="K7" s="184" t="s">
        <v>401</v>
      </c>
    </row>
    <row r="8" spans="2:12">
      <c r="B8" s="182">
        <v>4</v>
      </c>
      <c r="C8" s="179" t="s">
        <v>134</v>
      </c>
      <c r="D8" s="16" t="s">
        <v>14</v>
      </c>
      <c r="E8" s="208" t="s">
        <v>353</v>
      </c>
      <c r="F8" s="16" t="s">
        <v>19</v>
      </c>
      <c r="G8" s="16"/>
      <c r="H8" s="16"/>
      <c r="I8" s="179">
        <v>15</v>
      </c>
      <c r="J8" s="164" t="s">
        <v>275</v>
      </c>
      <c r="K8" s="184" t="s">
        <v>398</v>
      </c>
      <c r="L8" t="s">
        <v>380</v>
      </c>
    </row>
    <row r="9" spans="2:12">
      <c r="B9" s="182">
        <v>5</v>
      </c>
      <c r="C9" s="179" t="s">
        <v>134</v>
      </c>
      <c r="D9" s="16" t="s">
        <v>14</v>
      </c>
      <c r="E9" s="209" t="s">
        <v>354</v>
      </c>
      <c r="F9" s="16" t="s">
        <v>19</v>
      </c>
      <c r="G9" s="16" t="s">
        <v>382</v>
      </c>
      <c r="H9" s="16" t="s">
        <v>115</v>
      </c>
      <c r="I9" s="179">
        <v>20</v>
      </c>
      <c r="J9" s="164" t="s">
        <v>275</v>
      </c>
      <c r="K9" s="184" t="s">
        <v>400</v>
      </c>
      <c r="L9" t="s">
        <v>380</v>
      </c>
    </row>
    <row r="10" spans="2:12">
      <c r="B10" s="182">
        <v>6</v>
      </c>
      <c r="C10" s="179" t="s">
        <v>134</v>
      </c>
      <c r="D10" s="16" t="s">
        <v>14</v>
      </c>
      <c r="E10" s="208" t="s">
        <v>355</v>
      </c>
      <c r="F10" s="16" t="s">
        <v>19</v>
      </c>
      <c r="G10" s="16"/>
      <c r="H10" s="16"/>
      <c r="I10" s="179">
        <v>20</v>
      </c>
      <c r="J10" s="164" t="s">
        <v>275</v>
      </c>
      <c r="K10" s="184" t="s">
        <v>398</v>
      </c>
      <c r="L10" t="s">
        <v>380</v>
      </c>
    </row>
    <row r="11" spans="2:12">
      <c r="B11" s="182">
        <v>7</v>
      </c>
      <c r="C11" s="179" t="s">
        <v>134</v>
      </c>
      <c r="D11" s="16" t="s">
        <v>14</v>
      </c>
      <c r="E11" s="209" t="s">
        <v>356</v>
      </c>
      <c r="F11" s="16" t="s">
        <v>19</v>
      </c>
      <c r="G11" s="16" t="s">
        <v>20</v>
      </c>
      <c r="H11" s="16" t="s">
        <v>21</v>
      </c>
      <c r="I11" s="179">
        <v>20</v>
      </c>
      <c r="J11" s="164" t="s">
        <v>275</v>
      </c>
      <c r="K11" s="184" t="s">
        <v>400</v>
      </c>
      <c r="L11" t="s">
        <v>380</v>
      </c>
    </row>
    <row r="12" spans="2:12">
      <c r="B12" s="182">
        <v>8</v>
      </c>
      <c r="C12" s="164" t="s">
        <v>299</v>
      </c>
      <c r="D12" s="164" t="s">
        <v>17</v>
      </c>
      <c r="E12" s="210" t="s">
        <v>294</v>
      </c>
      <c r="F12" s="164" t="s">
        <v>19</v>
      </c>
      <c r="G12" s="164"/>
      <c r="H12" s="164"/>
      <c r="I12" s="165">
        <v>4</v>
      </c>
      <c r="J12" s="164" t="s">
        <v>275</v>
      </c>
      <c r="K12" s="184" t="s">
        <v>398</v>
      </c>
      <c r="L12" t="s">
        <v>380</v>
      </c>
    </row>
    <row r="13" spans="2:12">
      <c r="B13" s="182">
        <v>9</v>
      </c>
      <c r="C13" s="164" t="s">
        <v>299</v>
      </c>
      <c r="D13" s="164" t="s">
        <v>17</v>
      </c>
      <c r="E13" s="210" t="s">
        <v>296</v>
      </c>
      <c r="F13" s="164" t="s">
        <v>24</v>
      </c>
      <c r="G13" s="164"/>
      <c r="H13" s="164"/>
      <c r="I13" s="165">
        <v>8.1</v>
      </c>
      <c r="J13" s="164" t="s">
        <v>275</v>
      </c>
      <c r="K13" s="184" t="s">
        <v>398</v>
      </c>
      <c r="L13" t="s">
        <v>380</v>
      </c>
    </row>
    <row r="14" spans="2:12">
      <c r="B14" s="182">
        <v>10</v>
      </c>
      <c r="C14" s="164" t="s">
        <v>299</v>
      </c>
      <c r="D14" s="175" t="s">
        <v>25</v>
      </c>
      <c r="E14" s="211" t="s">
        <v>333</v>
      </c>
      <c r="F14" s="175" t="s">
        <v>19</v>
      </c>
      <c r="G14" s="175"/>
      <c r="H14" s="175"/>
      <c r="I14" s="176">
        <v>20</v>
      </c>
      <c r="J14" s="164" t="s">
        <v>275</v>
      </c>
      <c r="K14" s="184" t="s">
        <v>398</v>
      </c>
      <c r="L14" t="s">
        <v>380</v>
      </c>
    </row>
    <row r="15" spans="2:12">
      <c r="B15" s="182">
        <v>11</v>
      </c>
      <c r="C15" s="164" t="s">
        <v>299</v>
      </c>
      <c r="D15" s="175" t="s">
        <v>10</v>
      </c>
      <c r="E15" s="217" t="s">
        <v>311</v>
      </c>
      <c r="F15" s="15" t="s">
        <v>24</v>
      </c>
      <c r="G15" s="15" t="s">
        <v>58</v>
      </c>
      <c r="H15" s="15" t="s">
        <v>38</v>
      </c>
      <c r="I15" s="176">
        <v>8</v>
      </c>
      <c r="J15" s="164" t="s">
        <v>275</v>
      </c>
      <c r="K15" s="184" t="s">
        <v>400</v>
      </c>
      <c r="L15" t="s">
        <v>380</v>
      </c>
    </row>
    <row r="16" spans="2:12">
      <c r="B16" s="182">
        <v>12</v>
      </c>
      <c r="C16" s="164" t="s">
        <v>299</v>
      </c>
      <c r="D16" s="175" t="s">
        <v>10</v>
      </c>
      <c r="E16" s="211" t="s">
        <v>337</v>
      </c>
      <c r="F16" s="15" t="s">
        <v>23</v>
      </c>
      <c r="G16" s="15"/>
      <c r="H16" s="15"/>
      <c r="I16" s="176">
        <v>9</v>
      </c>
      <c r="J16" s="164" t="s">
        <v>275</v>
      </c>
      <c r="K16" s="184" t="s">
        <v>398</v>
      </c>
      <c r="L16" t="s">
        <v>380</v>
      </c>
    </row>
    <row r="17" spans="2:12">
      <c r="B17" s="182">
        <v>13</v>
      </c>
      <c r="C17" s="164" t="s">
        <v>299</v>
      </c>
      <c r="D17" s="15" t="s">
        <v>22</v>
      </c>
      <c r="E17" s="203" t="s">
        <v>342</v>
      </c>
      <c r="F17" s="15" t="s">
        <v>19</v>
      </c>
      <c r="G17" s="15"/>
      <c r="H17" s="15"/>
      <c r="I17" s="180">
        <v>23</v>
      </c>
      <c r="J17" s="180" t="s">
        <v>275</v>
      </c>
      <c r="K17" s="184" t="s">
        <v>398</v>
      </c>
      <c r="L17" t="s">
        <v>380</v>
      </c>
    </row>
    <row r="18" spans="2:12">
      <c r="B18" s="182">
        <v>14</v>
      </c>
      <c r="C18" s="164" t="s">
        <v>299</v>
      </c>
      <c r="D18" s="15" t="s">
        <v>22</v>
      </c>
      <c r="E18" s="203" t="s">
        <v>343</v>
      </c>
      <c r="F18" s="15" t="s">
        <v>19</v>
      </c>
      <c r="G18" s="15"/>
      <c r="H18" s="15"/>
      <c r="I18" s="180">
        <v>21</v>
      </c>
      <c r="J18" s="180" t="s">
        <v>275</v>
      </c>
      <c r="K18" s="184" t="s">
        <v>398</v>
      </c>
      <c r="L18" t="s">
        <v>380</v>
      </c>
    </row>
    <row r="19" spans="2:12">
      <c r="B19" s="182">
        <v>15</v>
      </c>
      <c r="C19" s="164" t="s">
        <v>299</v>
      </c>
      <c r="D19" s="15" t="s">
        <v>22</v>
      </c>
      <c r="E19" s="212" t="s">
        <v>344</v>
      </c>
      <c r="F19" s="15" t="s">
        <v>19</v>
      </c>
      <c r="G19" s="15" t="s">
        <v>33</v>
      </c>
      <c r="H19" s="15" t="s">
        <v>115</v>
      </c>
      <c r="I19" s="180">
        <v>23</v>
      </c>
      <c r="J19" s="180" t="s">
        <v>275</v>
      </c>
      <c r="K19" s="184" t="s">
        <v>400</v>
      </c>
      <c r="L19" t="s">
        <v>380</v>
      </c>
    </row>
    <row r="20" spans="2:12">
      <c r="B20" s="182">
        <v>16</v>
      </c>
      <c r="C20" s="164" t="s">
        <v>299</v>
      </c>
      <c r="D20" s="15" t="s">
        <v>63</v>
      </c>
      <c r="E20" s="212" t="s">
        <v>345</v>
      </c>
      <c r="F20" s="15" t="s">
        <v>19</v>
      </c>
      <c r="G20" s="15" t="s">
        <v>27</v>
      </c>
      <c r="H20" s="15" t="s">
        <v>115</v>
      </c>
      <c r="I20" s="180">
        <v>15</v>
      </c>
      <c r="J20" s="180" t="s">
        <v>275</v>
      </c>
      <c r="K20" s="184" t="s">
        <v>400</v>
      </c>
      <c r="L20" t="s">
        <v>380</v>
      </c>
    </row>
    <row r="21" spans="2:12">
      <c r="B21" s="182">
        <v>17</v>
      </c>
      <c r="C21" s="164" t="s">
        <v>299</v>
      </c>
      <c r="D21" s="164" t="s">
        <v>13</v>
      </c>
      <c r="E21" s="219" t="s">
        <v>359</v>
      </c>
      <c r="F21" s="213" t="s">
        <v>19</v>
      </c>
      <c r="G21" s="213" t="s">
        <v>382</v>
      </c>
      <c r="H21" s="213" t="s">
        <v>21</v>
      </c>
      <c r="I21" s="180">
        <v>18</v>
      </c>
      <c r="J21" s="180" t="s">
        <v>275</v>
      </c>
      <c r="K21" s="184" t="s">
        <v>400</v>
      </c>
      <c r="L21" t="s">
        <v>380</v>
      </c>
    </row>
    <row r="22" spans="2:12">
      <c r="B22" s="182">
        <v>18</v>
      </c>
      <c r="C22" s="164" t="s">
        <v>299</v>
      </c>
      <c r="D22" s="164" t="s">
        <v>13</v>
      </c>
      <c r="E22" s="204" t="s">
        <v>360</v>
      </c>
      <c r="F22" s="213" t="s">
        <v>23</v>
      </c>
      <c r="G22" s="213"/>
      <c r="H22" s="213"/>
      <c r="I22" s="180">
        <v>8</v>
      </c>
      <c r="J22" s="180" t="s">
        <v>275</v>
      </c>
      <c r="K22" s="184" t="s">
        <v>398</v>
      </c>
      <c r="L22" t="s">
        <v>380</v>
      </c>
    </row>
    <row r="23" spans="2:12">
      <c r="B23" s="182">
        <v>19</v>
      </c>
      <c r="C23" s="175" t="s">
        <v>271</v>
      </c>
      <c r="D23" s="15" t="s">
        <v>17</v>
      </c>
      <c r="E23" s="215" t="s">
        <v>357</v>
      </c>
      <c r="F23" s="15" t="s">
        <v>19</v>
      </c>
      <c r="G23" s="15"/>
      <c r="H23" s="15"/>
      <c r="I23" s="175">
        <v>18</v>
      </c>
      <c r="J23" s="164" t="s">
        <v>341</v>
      </c>
      <c r="K23" s="184" t="s">
        <v>398</v>
      </c>
    </row>
    <row r="24" spans="2:12" ht="15.75" thickBot="1">
      <c r="B24" s="205">
        <v>20</v>
      </c>
      <c r="C24" s="166" t="s">
        <v>299</v>
      </c>
      <c r="D24" s="166" t="s">
        <v>17</v>
      </c>
      <c r="E24" s="216" t="s">
        <v>291</v>
      </c>
      <c r="F24" s="166" t="s">
        <v>19</v>
      </c>
      <c r="G24" s="189"/>
      <c r="H24" s="189"/>
      <c r="I24" s="214">
        <v>24</v>
      </c>
      <c r="J24" s="166" t="s">
        <v>341</v>
      </c>
      <c r="K24" s="185" t="s">
        <v>398</v>
      </c>
    </row>
    <row r="25" spans="2:12" ht="18.75">
      <c r="I25" s="225">
        <f>SUM(I5:I24)</f>
        <v>335.9</v>
      </c>
    </row>
    <row r="26" spans="2:12" ht="15.75">
      <c r="D26" s="222">
        <v>12</v>
      </c>
      <c r="E26" s="223" t="s">
        <v>398</v>
      </c>
    </row>
    <row r="27" spans="2:12" ht="15.75">
      <c r="D27" s="224">
        <v>6</v>
      </c>
      <c r="E27" s="223" t="s">
        <v>399</v>
      </c>
    </row>
  </sheetData>
  <mergeCells count="1">
    <mergeCell ref="B3:K3"/>
  </mergeCell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H30" sqref="H30"/>
    </sheetView>
  </sheetViews>
  <sheetFormatPr defaultColWidth="11.42578125" defaultRowHeight="15"/>
  <cols>
    <col min="1" max="2" width="8.85546875" customWidth="1"/>
    <col min="3" max="3" width="7.42578125" customWidth="1"/>
    <col min="4" max="4" width="8.85546875" customWidth="1"/>
    <col min="5" max="5" width="30.42578125" bestFit="1" customWidth="1"/>
    <col min="6" max="6" width="10.7109375" bestFit="1" customWidth="1"/>
    <col min="7" max="7" width="8.42578125" bestFit="1" customWidth="1"/>
    <col min="8" max="8" width="13" customWidth="1"/>
    <col min="9" max="9" width="26.42578125" customWidth="1"/>
    <col min="10" max="256" width="8.85546875" customWidth="1"/>
  </cols>
  <sheetData>
    <row r="1" spans="2:9" ht="15.75" thickBot="1"/>
    <row r="2" spans="2:9" ht="18.75">
      <c r="B2" s="788" t="s">
        <v>403</v>
      </c>
      <c r="C2" s="789"/>
      <c r="D2" s="789"/>
      <c r="E2" s="789"/>
      <c r="F2" s="789"/>
      <c r="G2" s="789"/>
      <c r="H2" s="789"/>
      <c r="I2" s="88"/>
    </row>
    <row r="3" spans="2:9" ht="15.75" thickBot="1">
      <c r="B3" s="191" t="s">
        <v>0</v>
      </c>
      <c r="C3" s="192" t="s">
        <v>1</v>
      </c>
      <c r="D3" s="192" t="s">
        <v>2</v>
      </c>
      <c r="E3" s="192" t="s">
        <v>3</v>
      </c>
      <c r="F3" s="192" t="s">
        <v>4</v>
      </c>
      <c r="G3" s="186" t="s">
        <v>192</v>
      </c>
      <c r="H3" s="186" t="s">
        <v>56</v>
      </c>
      <c r="I3" s="187" t="s">
        <v>192</v>
      </c>
    </row>
    <row r="4" spans="2:9">
      <c r="B4" s="199">
        <v>1</v>
      </c>
      <c r="C4" s="177" t="s">
        <v>134</v>
      </c>
      <c r="D4" s="87" t="s">
        <v>14</v>
      </c>
      <c r="E4" s="177" t="s">
        <v>352</v>
      </c>
      <c r="F4" s="87" t="s">
        <v>19</v>
      </c>
      <c r="G4" s="177">
        <v>13.5</v>
      </c>
      <c r="H4" s="227" t="s">
        <v>341</v>
      </c>
      <c r="I4" s="228" t="s">
        <v>366</v>
      </c>
    </row>
    <row r="5" spans="2:9">
      <c r="B5" s="17">
        <v>2</v>
      </c>
      <c r="C5" s="29" t="s">
        <v>299</v>
      </c>
      <c r="D5" s="29" t="s">
        <v>13</v>
      </c>
      <c r="E5" s="29" t="s">
        <v>274</v>
      </c>
      <c r="F5" s="29" t="s">
        <v>11</v>
      </c>
      <c r="G5" s="30">
        <v>19</v>
      </c>
      <c r="H5" s="29" t="s">
        <v>341</v>
      </c>
      <c r="I5" s="194" t="s">
        <v>361</v>
      </c>
    </row>
    <row r="6" spans="2:9">
      <c r="B6" s="17">
        <v>3</v>
      </c>
      <c r="C6" s="29" t="s">
        <v>299</v>
      </c>
      <c r="D6" s="29" t="s">
        <v>14</v>
      </c>
      <c r="E6" s="29" t="s">
        <v>286</v>
      </c>
      <c r="F6" s="29" t="s">
        <v>11</v>
      </c>
      <c r="G6" s="30">
        <v>24</v>
      </c>
      <c r="H6" s="29" t="s">
        <v>341</v>
      </c>
      <c r="I6" s="194" t="s">
        <v>402</v>
      </c>
    </row>
    <row r="7" spans="2:9">
      <c r="B7" s="17">
        <v>4</v>
      </c>
      <c r="C7" s="29" t="s">
        <v>299</v>
      </c>
      <c r="D7" s="229" t="s">
        <v>14</v>
      </c>
      <c r="E7" s="230" t="s">
        <v>367</v>
      </c>
      <c r="F7" s="193" t="s">
        <v>19</v>
      </c>
      <c r="G7" s="5">
        <v>20</v>
      </c>
      <c r="H7" s="5" t="s">
        <v>341</v>
      </c>
      <c r="I7" s="194" t="s">
        <v>368</v>
      </c>
    </row>
    <row r="8" spans="2:9">
      <c r="B8" s="17">
        <v>5</v>
      </c>
      <c r="C8" s="29" t="s">
        <v>299</v>
      </c>
      <c r="D8" s="5" t="s">
        <v>25</v>
      </c>
      <c r="E8" s="230" t="s">
        <v>385</v>
      </c>
      <c r="F8" s="193" t="s">
        <v>11</v>
      </c>
      <c r="G8" s="193">
        <v>30</v>
      </c>
      <c r="H8" s="5" t="s">
        <v>341</v>
      </c>
      <c r="I8" s="194" t="s">
        <v>368</v>
      </c>
    </row>
    <row r="9" spans="2:9" ht="15.75" thickBot="1">
      <c r="B9" s="200">
        <v>6</v>
      </c>
      <c r="C9" s="90" t="s">
        <v>299</v>
      </c>
      <c r="D9" s="231" t="s">
        <v>17</v>
      </c>
      <c r="E9" s="90" t="s">
        <v>338</v>
      </c>
      <c r="F9" s="90" t="s">
        <v>24</v>
      </c>
      <c r="G9" s="90">
        <v>6</v>
      </c>
      <c r="H9" s="231" t="s">
        <v>341</v>
      </c>
      <c r="I9" s="201" t="s">
        <v>368</v>
      </c>
    </row>
    <row r="10" spans="2:9" ht="15.75">
      <c r="G10" s="232">
        <f>SUM(G4:G9)</f>
        <v>112.5</v>
      </c>
    </row>
  </sheetData>
  <mergeCells count="1">
    <mergeCell ref="B2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A2" sqref="A2"/>
    </sheetView>
  </sheetViews>
  <sheetFormatPr defaultColWidth="11.42578125" defaultRowHeight="15"/>
  <cols>
    <col min="1" max="1" width="8.85546875" customWidth="1"/>
    <col min="2" max="2" width="9.28515625" customWidth="1"/>
    <col min="3" max="4" width="8.85546875" customWidth="1"/>
    <col min="5" max="5" width="18.140625" bestFit="1" customWidth="1"/>
    <col min="6" max="9" width="8.85546875" customWidth="1"/>
    <col min="10" max="10" width="17.140625" customWidth="1"/>
    <col min="11" max="256" width="8.85546875" customWidth="1"/>
  </cols>
  <sheetData>
    <row r="2" spans="2:10" ht="15.75" thickBot="1"/>
    <row r="3" spans="2:10" ht="15.75">
      <c r="B3" s="234" t="s">
        <v>397</v>
      </c>
      <c r="C3" s="195"/>
      <c r="D3" s="195"/>
      <c r="E3" s="195"/>
      <c r="F3" s="195"/>
      <c r="G3" s="195"/>
      <c r="H3" s="195"/>
      <c r="I3" s="195"/>
      <c r="J3" s="235"/>
    </row>
    <row r="4" spans="2:10" ht="15.75">
      <c r="B4" s="236" t="s">
        <v>0</v>
      </c>
      <c r="C4" s="233" t="s">
        <v>1</v>
      </c>
      <c r="D4" s="233" t="s">
        <v>2</v>
      </c>
      <c r="E4" s="233" t="s">
        <v>3</v>
      </c>
      <c r="F4" s="233" t="s">
        <v>4</v>
      </c>
      <c r="G4" s="233" t="s">
        <v>5</v>
      </c>
      <c r="H4" s="233" t="s">
        <v>6</v>
      </c>
      <c r="I4" s="233" t="s">
        <v>7</v>
      </c>
      <c r="J4" s="237" t="s">
        <v>192</v>
      </c>
    </row>
    <row r="5" spans="2:10">
      <c r="B5" s="146">
        <v>1</v>
      </c>
      <c r="C5" s="2" t="s">
        <v>299</v>
      </c>
      <c r="D5" s="2" t="s">
        <v>358</v>
      </c>
      <c r="E5" s="2" t="s">
        <v>300</v>
      </c>
      <c r="F5" s="2" t="s">
        <v>19</v>
      </c>
      <c r="G5" s="2" t="s">
        <v>33</v>
      </c>
      <c r="H5" s="2" t="s">
        <v>389</v>
      </c>
      <c r="I5" s="2">
        <v>22</v>
      </c>
      <c r="J5" s="162"/>
    </row>
    <row r="6" spans="2:10">
      <c r="B6" s="146">
        <v>2</v>
      </c>
      <c r="C6" s="2" t="s">
        <v>299</v>
      </c>
      <c r="D6" s="2" t="s">
        <v>358</v>
      </c>
      <c r="E6" s="2" t="s">
        <v>301</v>
      </c>
      <c r="F6" s="2" t="s">
        <v>24</v>
      </c>
      <c r="G6" s="2"/>
      <c r="H6" s="2" t="s">
        <v>387</v>
      </c>
      <c r="I6" s="2">
        <v>7</v>
      </c>
      <c r="J6" s="162"/>
    </row>
    <row r="7" spans="2:10">
      <c r="B7" s="146">
        <v>3</v>
      </c>
      <c r="C7" s="2" t="s">
        <v>299</v>
      </c>
      <c r="D7" s="2" t="s">
        <v>348</v>
      </c>
      <c r="E7" s="2" t="s">
        <v>302</v>
      </c>
      <c r="F7" s="2" t="s">
        <v>11</v>
      </c>
      <c r="G7" s="2" t="s">
        <v>388</v>
      </c>
      <c r="H7" s="2" t="s">
        <v>374</v>
      </c>
      <c r="I7" s="2">
        <v>25</v>
      </c>
      <c r="J7" s="162"/>
    </row>
    <row r="8" spans="2:10">
      <c r="B8" s="146">
        <v>4</v>
      </c>
      <c r="C8" s="2" t="s">
        <v>299</v>
      </c>
      <c r="D8" s="2" t="s">
        <v>346</v>
      </c>
      <c r="E8" s="2" t="s">
        <v>303</v>
      </c>
      <c r="F8" s="2" t="s">
        <v>24</v>
      </c>
      <c r="G8" s="2"/>
      <c r="H8" s="2"/>
      <c r="I8" s="2">
        <v>5</v>
      </c>
      <c r="J8" s="162"/>
    </row>
    <row r="9" spans="2:10">
      <c r="B9" s="146">
        <v>5</v>
      </c>
      <c r="C9" s="2" t="s">
        <v>299</v>
      </c>
      <c r="D9" s="2" t="s">
        <v>346</v>
      </c>
      <c r="E9" s="2" t="s">
        <v>304</v>
      </c>
      <c r="F9" s="2" t="s">
        <v>19</v>
      </c>
      <c r="G9" s="2"/>
      <c r="H9" s="2"/>
      <c r="I9" s="2">
        <v>2</v>
      </c>
      <c r="J9" s="162"/>
    </row>
    <row r="10" spans="2:10">
      <c r="B10" s="146">
        <v>6</v>
      </c>
      <c r="C10" s="2" t="s">
        <v>299</v>
      </c>
      <c r="D10" s="2" t="s">
        <v>347</v>
      </c>
      <c r="E10" s="2" t="s">
        <v>338</v>
      </c>
      <c r="F10" s="2" t="s">
        <v>24</v>
      </c>
      <c r="G10" s="2" t="s">
        <v>57</v>
      </c>
      <c r="H10" s="2" t="s">
        <v>60</v>
      </c>
      <c r="I10" s="2">
        <v>6</v>
      </c>
      <c r="J10" s="162"/>
    </row>
    <row r="11" spans="2:10">
      <c r="B11" s="146">
        <v>7</v>
      </c>
      <c r="C11" s="2" t="s">
        <v>299</v>
      </c>
      <c r="D11" s="2" t="s">
        <v>347</v>
      </c>
      <c r="E11" s="2" t="s">
        <v>339</v>
      </c>
      <c r="F11" s="2" t="s">
        <v>19</v>
      </c>
      <c r="G11" s="2"/>
      <c r="H11" s="2" t="s">
        <v>374</v>
      </c>
      <c r="I11" s="2">
        <v>23</v>
      </c>
      <c r="J11" s="162"/>
    </row>
    <row r="12" spans="2:10">
      <c r="B12" s="146">
        <v>8</v>
      </c>
      <c r="C12" s="2" t="s">
        <v>299</v>
      </c>
      <c r="D12" s="3" t="s">
        <v>363</v>
      </c>
      <c r="E12" s="3" t="s">
        <v>364</v>
      </c>
      <c r="F12" s="2" t="s">
        <v>365</v>
      </c>
      <c r="G12" s="2"/>
      <c r="H12" s="2"/>
      <c r="I12" s="2">
        <v>7</v>
      </c>
      <c r="J12" s="162"/>
    </row>
    <row r="13" spans="2:10">
      <c r="B13" s="146">
        <v>9</v>
      </c>
      <c r="C13" s="2" t="s">
        <v>299</v>
      </c>
      <c r="D13" s="3" t="s">
        <v>363</v>
      </c>
      <c r="E13" s="3" t="s">
        <v>386</v>
      </c>
      <c r="F13" s="2" t="s">
        <v>23</v>
      </c>
      <c r="G13" s="2" t="s">
        <v>370</v>
      </c>
      <c r="H13" s="2" t="s">
        <v>21</v>
      </c>
      <c r="I13" s="2">
        <v>8</v>
      </c>
      <c r="J13" s="162"/>
    </row>
    <row r="14" spans="2:10">
      <c r="B14" s="146">
        <v>10</v>
      </c>
      <c r="C14" s="2" t="s">
        <v>299</v>
      </c>
      <c r="D14" s="3" t="s">
        <v>363</v>
      </c>
      <c r="E14" s="3" t="s">
        <v>364</v>
      </c>
      <c r="F14" s="3" t="s">
        <v>24</v>
      </c>
      <c r="G14" s="2" t="s">
        <v>30</v>
      </c>
      <c r="H14" s="2" t="s">
        <v>31</v>
      </c>
      <c r="I14" s="2">
        <v>7</v>
      </c>
      <c r="J14" s="162"/>
    </row>
    <row r="15" spans="2:10">
      <c r="B15" s="146">
        <v>11</v>
      </c>
      <c r="C15" s="2" t="s">
        <v>299</v>
      </c>
      <c r="D15" s="3" t="s">
        <v>391</v>
      </c>
      <c r="E15" s="3" t="s">
        <v>371</v>
      </c>
      <c r="F15" s="3" t="s">
        <v>24</v>
      </c>
      <c r="G15" s="2" t="s">
        <v>30</v>
      </c>
      <c r="H15" s="2" t="s">
        <v>38</v>
      </c>
      <c r="I15" s="2">
        <v>7</v>
      </c>
      <c r="J15" s="162"/>
    </row>
    <row r="16" spans="2:10">
      <c r="B16" s="146">
        <v>12</v>
      </c>
      <c r="C16" s="2" t="s">
        <v>299</v>
      </c>
      <c r="D16" s="3" t="s">
        <v>348</v>
      </c>
      <c r="E16" s="3" t="s">
        <v>372</v>
      </c>
      <c r="F16" s="3" t="s">
        <v>11</v>
      </c>
      <c r="G16" s="2" t="s">
        <v>373</v>
      </c>
      <c r="H16" s="2" t="s">
        <v>374</v>
      </c>
      <c r="I16" s="2">
        <v>30</v>
      </c>
      <c r="J16" s="162"/>
    </row>
    <row r="17" spans="2:10">
      <c r="B17" s="146">
        <v>13</v>
      </c>
      <c r="C17" s="2" t="s">
        <v>299</v>
      </c>
      <c r="D17" s="3" t="s">
        <v>348</v>
      </c>
      <c r="E17" s="3" t="s">
        <v>375</v>
      </c>
      <c r="F17" s="3" t="s">
        <v>11</v>
      </c>
      <c r="G17" s="2" t="s">
        <v>373</v>
      </c>
      <c r="H17" s="3" t="s">
        <v>21</v>
      </c>
      <c r="I17" s="190">
        <v>30</v>
      </c>
      <c r="J17" s="162"/>
    </row>
    <row r="18" spans="2:10">
      <c r="B18" s="146">
        <v>14</v>
      </c>
      <c r="C18" s="2" t="s">
        <v>299</v>
      </c>
      <c r="D18" s="3" t="s">
        <v>347</v>
      </c>
      <c r="E18" s="3" t="s">
        <v>376</v>
      </c>
      <c r="F18" s="3" t="s">
        <v>19</v>
      </c>
      <c r="G18" s="3" t="s">
        <v>377</v>
      </c>
      <c r="H18" s="3" t="s">
        <v>21</v>
      </c>
      <c r="I18" s="2">
        <v>20</v>
      </c>
      <c r="J18" s="162"/>
    </row>
    <row r="19" spans="2:10">
      <c r="B19" s="146">
        <v>15</v>
      </c>
      <c r="C19" s="2" t="s">
        <v>299</v>
      </c>
      <c r="D19" s="3" t="s">
        <v>347</v>
      </c>
      <c r="E19" s="3" t="s">
        <v>378</v>
      </c>
      <c r="F19" s="3" t="s">
        <v>19</v>
      </c>
      <c r="G19" s="3" t="s">
        <v>48</v>
      </c>
      <c r="H19" s="3" t="s">
        <v>379</v>
      </c>
      <c r="I19" s="2">
        <v>18</v>
      </c>
      <c r="J19" s="162"/>
    </row>
    <row r="20" spans="2:10">
      <c r="B20" s="146">
        <v>16</v>
      </c>
      <c r="C20" s="2" t="s">
        <v>299</v>
      </c>
      <c r="D20" s="2" t="s">
        <v>346</v>
      </c>
      <c r="E20" s="2" t="s">
        <v>384</v>
      </c>
      <c r="F20" s="3" t="s">
        <v>24</v>
      </c>
      <c r="G20" s="2"/>
      <c r="H20" s="2"/>
      <c r="I20" s="2">
        <v>7</v>
      </c>
      <c r="J20" s="162"/>
    </row>
    <row r="21" spans="2:10" ht="15.75" thickBot="1">
      <c r="B21" s="226">
        <v>17</v>
      </c>
      <c r="C21" s="12" t="s">
        <v>299</v>
      </c>
      <c r="D21" s="12" t="s">
        <v>358</v>
      </c>
      <c r="E21" s="12" t="s">
        <v>383</v>
      </c>
      <c r="F21" s="178" t="s">
        <v>284</v>
      </c>
      <c r="G21" s="12" t="s">
        <v>390</v>
      </c>
      <c r="H21" s="12" t="s">
        <v>387</v>
      </c>
      <c r="I21" s="12">
        <v>9</v>
      </c>
      <c r="J21" s="163"/>
    </row>
    <row r="22" spans="2:10" ht="15.75">
      <c r="I22" s="232">
        <f>SUM(I5:I21)</f>
        <v>233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97"/>
  <sheetViews>
    <sheetView workbookViewId="0">
      <selection activeCell="F29" sqref="F29"/>
    </sheetView>
  </sheetViews>
  <sheetFormatPr defaultColWidth="11.42578125" defaultRowHeight="15"/>
  <cols>
    <col min="1" max="1" width="8.85546875" customWidth="1"/>
    <col min="2" max="2" width="5.140625" customWidth="1"/>
    <col min="3" max="4" width="10.42578125" bestFit="1" customWidth="1"/>
    <col min="5" max="5" width="8.42578125" bestFit="1" customWidth="1"/>
    <col min="6" max="6" width="39.42578125" bestFit="1" customWidth="1"/>
    <col min="7" max="7" width="10.42578125" bestFit="1" customWidth="1"/>
    <col min="8" max="8" width="8.140625" bestFit="1" customWidth="1"/>
    <col min="9" max="9" width="12.140625" customWidth="1"/>
    <col min="10" max="10" width="8.85546875" customWidth="1"/>
    <col min="11" max="11" width="10.7109375" bestFit="1" customWidth="1"/>
    <col min="12" max="13" width="8.85546875" customWidth="1"/>
    <col min="14" max="14" width="7.140625" customWidth="1"/>
    <col min="15" max="15" width="8.85546875" customWidth="1"/>
    <col min="16" max="16" width="11.28515625" customWidth="1"/>
    <col min="17" max="17" width="10.42578125" customWidth="1"/>
    <col min="18" max="18" width="8.85546875" customWidth="1"/>
    <col min="19" max="19" width="10.28515625" customWidth="1"/>
    <col min="20" max="20" width="8.85546875" customWidth="1"/>
    <col min="21" max="22" width="0" hidden="1" customWidth="1"/>
    <col min="23" max="23" width="10.42578125" customWidth="1"/>
    <col min="24" max="24" width="9.42578125" customWidth="1"/>
    <col min="25" max="25" width="0" hidden="1" customWidth="1"/>
    <col min="26" max="26" width="11.140625" customWidth="1"/>
    <col min="27" max="29" width="8.85546875" customWidth="1"/>
    <col min="30" max="30" width="9.85546875" customWidth="1"/>
    <col min="31" max="256" width="8.85546875" customWidth="1"/>
  </cols>
  <sheetData>
    <row r="1" spans="2:31" ht="15.75" thickBot="1"/>
    <row r="2" spans="2:31" ht="21.75" customHeight="1" thickBot="1">
      <c r="K2" s="790" t="s">
        <v>573</v>
      </c>
      <c r="L2" s="791"/>
      <c r="M2" s="791"/>
      <c r="N2" s="791"/>
      <c r="O2" s="791"/>
      <c r="P2" s="791"/>
      <c r="Q2" s="791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4"/>
    </row>
    <row r="3" spans="2:31" ht="16.5" customHeight="1" thickBot="1">
      <c r="B3" s="188" t="s">
        <v>471</v>
      </c>
      <c r="C3" s="328"/>
      <c r="D3" s="327"/>
      <c r="E3" s="328"/>
      <c r="F3" s="328"/>
      <c r="G3" s="328"/>
      <c r="H3" s="328"/>
      <c r="I3" s="329"/>
      <c r="K3" s="327"/>
      <c r="L3" s="770" t="s">
        <v>409</v>
      </c>
      <c r="M3" s="772"/>
      <c r="N3" s="775" t="s">
        <v>395</v>
      </c>
      <c r="O3" s="776"/>
      <c r="P3" s="776"/>
      <c r="Q3" s="777"/>
      <c r="R3" s="792" t="s">
        <v>550</v>
      </c>
      <c r="S3" s="775" t="s">
        <v>433</v>
      </c>
      <c r="T3" s="787"/>
      <c r="U3" s="330"/>
      <c r="V3" s="330"/>
      <c r="W3" s="775" t="s">
        <v>392</v>
      </c>
      <c r="X3" s="787"/>
      <c r="Y3" s="775" t="s">
        <v>394</v>
      </c>
      <c r="Z3" s="786"/>
      <c r="AA3" s="786"/>
      <c r="AB3" s="786"/>
      <c r="AC3" s="787"/>
      <c r="AD3" s="770" t="s">
        <v>412</v>
      </c>
      <c r="AE3" s="787"/>
    </row>
    <row r="4" spans="2:31" ht="48.75" customHeight="1" thickBot="1">
      <c r="B4" s="272"/>
      <c r="C4" s="251"/>
      <c r="D4" s="251"/>
      <c r="E4" s="251"/>
      <c r="F4" s="251"/>
      <c r="G4" s="251"/>
      <c r="H4" s="251"/>
      <c r="I4" s="273"/>
      <c r="K4" s="271" t="s">
        <v>2</v>
      </c>
      <c r="L4" s="246" t="s">
        <v>407</v>
      </c>
      <c r="M4" s="247" t="s">
        <v>408</v>
      </c>
      <c r="N4" s="282" t="s">
        <v>434</v>
      </c>
      <c r="O4" s="243" t="s">
        <v>523</v>
      </c>
      <c r="P4" s="62" t="s">
        <v>574</v>
      </c>
      <c r="Q4" s="63" t="s">
        <v>95</v>
      </c>
      <c r="R4" s="793"/>
      <c r="S4" s="64" t="s">
        <v>125</v>
      </c>
      <c r="T4" s="64" t="s">
        <v>97</v>
      </c>
      <c r="U4" s="65" t="s">
        <v>98</v>
      </c>
      <c r="V4" s="252" t="s">
        <v>97</v>
      </c>
      <c r="W4" s="259" t="s">
        <v>369</v>
      </c>
      <c r="X4" s="260" t="s">
        <v>392</v>
      </c>
      <c r="Y4" s="255" t="s">
        <v>393</v>
      </c>
      <c r="Z4" s="161" t="s">
        <v>406</v>
      </c>
      <c r="AA4" s="161" t="s">
        <v>97</v>
      </c>
      <c r="AB4" s="67" t="s">
        <v>525</v>
      </c>
      <c r="AC4" s="72" t="s">
        <v>97</v>
      </c>
      <c r="AD4" s="264" t="s">
        <v>411</v>
      </c>
      <c r="AE4" s="265" t="s">
        <v>410</v>
      </c>
    </row>
    <row r="5" spans="2:31" ht="15.75" thickBot="1">
      <c r="B5" s="324" t="s">
        <v>0</v>
      </c>
      <c r="C5" s="249" t="s">
        <v>43</v>
      </c>
      <c r="D5" s="249" t="s">
        <v>1</v>
      </c>
      <c r="E5" s="331" t="s">
        <v>2</v>
      </c>
      <c r="F5" s="331" t="s">
        <v>3</v>
      </c>
      <c r="G5" s="249" t="s">
        <v>4</v>
      </c>
      <c r="H5" s="249" t="s">
        <v>7</v>
      </c>
      <c r="I5" s="250" t="s">
        <v>56</v>
      </c>
      <c r="K5" s="277" t="s">
        <v>13</v>
      </c>
      <c r="L5" s="244">
        <v>75</v>
      </c>
      <c r="M5" s="245">
        <f>L5*30%</f>
        <v>22.5</v>
      </c>
      <c r="N5" s="283">
        <f>L5*43%</f>
        <v>32.25</v>
      </c>
      <c r="O5" s="239">
        <f t="shared" ref="O5:O13" si="0">COUNTIFS($E:$E,$K5,$D:$D,"Aug")+COUNTIFS($E:$E,$K5,$D:$D,"July")+COUNTIFS($E:$E,$K5,$D:$D,"Jun")+COUNTIFS($E:$E,$K5,$D:$D,"Sep")</f>
        <v>4</v>
      </c>
      <c r="P5" s="55">
        <f t="shared" ref="P5:P13" si="1">COUNTIFS($E:$E,K5,$D:$D,"Oct")</f>
        <v>7</v>
      </c>
      <c r="Q5" s="56">
        <v>1</v>
      </c>
      <c r="R5" s="793"/>
      <c r="S5" s="43">
        <f t="shared" ref="S5:S13" si="2">SUMIFS($H:$H,$E:$E,$K5,$I:$I,"Login Done")</f>
        <v>33</v>
      </c>
      <c r="T5" s="57">
        <f t="shared" ref="T5:T13" si="3">COUNTIFS($E:$E,$K5,$I:$I,"Login Done")</f>
        <v>2</v>
      </c>
      <c r="U5" s="58" t="e">
        <f>SUMIFS(#REF!,$E:$E,$M5,$J:$J,"Login Today")</f>
        <v>#REF!</v>
      </c>
      <c r="V5" s="253">
        <f t="shared" ref="V5:V13" si="4">COUNTIFS($E:$E,$M5,$J:$J,"Login Today")</f>
        <v>0</v>
      </c>
      <c r="W5" s="261">
        <f t="shared" ref="W5:W13" si="5">SUMIFS($H:$H,$E:$E,$K5,$I:$I,"Approved")</f>
        <v>36</v>
      </c>
      <c r="X5" s="262">
        <f t="shared" ref="X5:X13" si="6">COUNTIFS($E:$E,$K5,$I:$I,"Approved")</f>
        <v>2</v>
      </c>
      <c r="Y5" s="256">
        <f t="shared" ref="Y5:Y13" si="7">COUNTIFS($E:$E,$M5,$J:$J,"By 30th ")</f>
        <v>0</v>
      </c>
      <c r="Z5" s="59">
        <f t="shared" ref="Z5:Z13" si="8">SUMIFS($H:$H,$E:$E,$K5,$I:$I,"Disbursed")</f>
        <v>104.48</v>
      </c>
      <c r="AA5" s="59">
        <f t="shared" ref="AA5:AA13" si="9">COUNTIFS($E:$E,$K5,$I:$I,"Disbursed")</f>
        <v>7</v>
      </c>
      <c r="AB5" s="60">
        <f t="shared" ref="AB5:AB13" si="10">SUMIFS($H:$H,$E:$E,$K5,$I:$I,"Plan Today")</f>
        <v>0</v>
      </c>
      <c r="AC5" s="73">
        <f t="shared" ref="AC5:AC13" si="11">COUNTIFS($E:$E,$K5,$I:$I,"Plan Today")</f>
        <v>0</v>
      </c>
      <c r="AD5" s="266">
        <f t="shared" ref="AD5:AE13" si="12">S5+W5+Z5+AB5</f>
        <v>173.48000000000002</v>
      </c>
      <c r="AE5" s="267">
        <f t="shared" si="12"/>
        <v>11</v>
      </c>
    </row>
    <row r="6" spans="2:31">
      <c r="B6" s="199">
        <v>1</v>
      </c>
      <c r="C6" s="86">
        <v>44382</v>
      </c>
      <c r="D6" s="227" t="s">
        <v>405</v>
      </c>
      <c r="E6" s="87" t="s">
        <v>13</v>
      </c>
      <c r="F6" s="87" t="s">
        <v>413</v>
      </c>
      <c r="G6" s="87" t="s">
        <v>414</v>
      </c>
      <c r="H6" s="87">
        <v>24</v>
      </c>
      <c r="I6" s="88" t="s">
        <v>275</v>
      </c>
      <c r="K6" s="278" t="s">
        <v>14</v>
      </c>
      <c r="L6" s="146">
        <v>31</v>
      </c>
      <c r="M6" s="245">
        <f t="shared" ref="M6:M13" si="13">L6*30%</f>
        <v>9.2999999999999989</v>
      </c>
      <c r="N6" s="283">
        <f t="shared" ref="N6:N13" si="14">L6*43%</f>
        <v>13.33</v>
      </c>
      <c r="O6" s="239">
        <f t="shared" si="0"/>
        <v>12</v>
      </c>
      <c r="P6" s="55">
        <f t="shared" si="1"/>
        <v>6</v>
      </c>
      <c r="Q6" s="41"/>
      <c r="R6" s="793"/>
      <c r="S6" s="43">
        <f t="shared" si="2"/>
        <v>73</v>
      </c>
      <c r="T6" s="57">
        <f t="shared" si="3"/>
        <v>3</v>
      </c>
      <c r="U6" s="46" t="e">
        <f>SUMIFS(#REF!,$E:$E,$M6,$J:$J,"Login Today")</f>
        <v>#REF!</v>
      </c>
      <c r="V6" s="253">
        <f t="shared" si="4"/>
        <v>0</v>
      </c>
      <c r="W6" s="261">
        <f t="shared" si="5"/>
        <v>48</v>
      </c>
      <c r="X6" s="262">
        <f t="shared" si="6"/>
        <v>2</v>
      </c>
      <c r="Y6" s="256">
        <f t="shared" si="7"/>
        <v>0</v>
      </c>
      <c r="Z6" s="59">
        <f t="shared" si="8"/>
        <v>151.4</v>
      </c>
      <c r="AA6" s="59">
        <f t="shared" si="9"/>
        <v>12</v>
      </c>
      <c r="AB6" s="60">
        <f t="shared" si="10"/>
        <v>21</v>
      </c>
      <c r="AC6" s="73">
        <f t="shared" si="11"/>
        <v>1</v>
      </c>
      <c r="AD6" s="248">
        <f t="shared" si="12"/>
        <v>293.39999999999998</v>
      </c>
      <c r="AE6" s="103">
        <f t="shared" si="12"/>
        <v>18</v>
      </c>
    </row>
    <row r="7" spans="2:31">
      <c r="B7" s="17">
        <v>2</v>
      </c>
      <c r="C7" s="70">
        <v>44391</v>
      </c>
      <c r="D7" s="332" t="s">
        <v>405</v>
      </c>
      <c r="E7" s="332" t="s">
        <v>22</v>
      </c>
      <c r="F7" s="332" t="s">
        <v>416</v>
      </c>
      <c r="G7" s="332" t="s">
        <v>19</v>
      </c>
      <c r="H7" s="332">
        <v>20</v>
      </c>
      <c r="I7" s="333" t="s">
        <v>47</v>
      </c>
      <c r="K7" s="279" t="s">
        <v>17</v>
      </c>
      <c r="L7" s="114">
        <v>17</v>
      </c>
      <c r="M7" s="245">
        <f t="shared" si="13"/>
        <v>5.0999999999999996</v>
      </c>
      <c r="N7" s="283">
        <f t="shared" si="14"/>
        <v>7.31</v>
      </c>
      <c r="O7" s="239">
        <f t="shared" si="0"/>
        <v>4</v>
      </c>
      <c r="P7" s="55">
        <f t="shared" si="1"/>
        <v>2</v>
      </c>
      <c r="Q7" s="41"/>
      <c r="R7" s="793"/>
      <c r="S7" s="43">
        <f t="shared" si="2"/>
        <v>8</v>
      </c>
      <c r="T7" s="57">
        <f t="shared" si="3"/>
        <v>1</v>
      </c>
      <c r="U7" s="46" t="e">
        <f>SUMIFS(#REF!,$E:$E,$M7,$J:$J,"Login Today")</f>
        <v>#REF!</v>
      </c>
      <c r="V7" s="253">
        <f t="shared" si="4"/>
        <v>0</v>
      </c>
      <c r="W7" s="261">
        <f t="shared" si="5"/>
        <v>23</v>
      </c>
      <c r="X7" s="262">
        <f t="shared" si="6"/>
        <v>2</v>
      </c>
      <c r="Y7" s="256">
        <f t="shared" si="7"/>
        <v>0</v>
      </c>
      <c r="Z7" s="59">
        <f t="shared" si="8"/>
        <v>12</v>
      </c>
      <c r="AA7" s="59">
        <f t="shared" si="9"/>
        <v>1</v>
      </c>
      <c r="AB7" s="60">
        <f t="shared" si="10"/>
        <v>0</v>
      </c>
      <c r="AC7" s="73">
        <f t="shared" si="11"/>
        <v>0</v>
      </c>
      <c r="AD7" s="248">
        <f t="shared" si="12"/>
        <v>43</v>
      </c>
      <c r="AE7" s="103">
        <f t="shared" si="12"/>
        <v>4</v>
      </c>
    </row>
    <row r="8" spans="2:31">
      <c r="B8" s="17">
        <v>3</v>
      </c>
      <c r="C8" s="70">
        <v>44391</v>
      </c>
      <c r="D8" s="332" t="s">
        <v>405</v>
      </c>
      <c r="E8" s="332" t="s">
        <v>22</v>
      </c>
      <c r="F8" s="332" t="s">
        <v>417</v>
      </c>
      <c r="G8" s="332" t="s">
        <v>11</v>
      </c>
      <c r="H8" s="332">
        <v>27</v>
      </c>
      <c r="I8" s="333" t="s">
        <v>275</v>
      </c>
      <c r="K8" s="279" t="s">
        <v>340</v>
      </c>
      <c r="L8" s="114">
        <v>13</v>
      </c>
      <c r="M8" s="245">
        <f t="shared" si="13"/>
        <v>3.9</v>
      </c>
      <c r="N8" s="283">
        <f t="shared" si="14"/>
        <v>5.59</v>
      </c>
      <c r="O8" s="239">
        <f t="shared" si="0"/>
        <v>2</v>
      </c>
      <c r="P8" s="55">
        <f t="shared" si="1"/>
        <v>1</v>
      </c>
      <c r="Q8" s="41"/>
      <c r="R8" s="793"/>
      <c r="S8" s="43">
        <f t="shared" si="2"/>
        <v>0</v>
      </c>
      <c r="T8" s="57">
        <f t="shared" si="3"/>
        <v>0</v>
      </c>
      <c r="U8" s="46" t="e">
        <f>SUMIFS(#REF!,$E:$E,$M8,$J:$J,"Login Today")</f>
        <v>#REF!</v>
      </c>
      <c r="V8" s="253">
        <f t="shared" si="4"/>
        <v>0</v>
      </c>
      <c r="W8" s="261">
        <f t="shared" si="5"/>
        <v>0</v>
      </c>
      <c r="X8" s="262">
        <f t="shared" si="6"/>
        <v>0</v>
      </c>
      <c r="Y8" s="256">
        <f t="shared" si="7"/>
        <v>0</v>
      </c>
      <c r="Z8" s="59">
        <f t="shared" si="8"/>
        <v>38</v>
      </c>
      <c r="AA8" s="59">
        <f t="shared" si="9"/>
        <v>3</v>
      </c>
      <c r="AB8" s="60">
        <f t="shared" si="10"/>
        <v>0</v>
      </c>
      <c r="AC8" s="73">
        <f t="shared" si="11"/>
        <v>0</v>
      </c>
      <c r="AD8" s="248">
        <f t="shared" si="12"/>
        <v>38</v>
      </c>
      <c r="AE8" s="103">
        <f t="shared" si="12"/>
        <v>3</v>
      </c>
    </row>
    <row r="9" spans="2:31">
      <c r="B9" s="17">
        <v>4</v>
      </c>
      <c r="C9" s="70">
        <v>44399</v>
      </c>
      <c r="D9" s="332" t="s">
        <v>405</v>
      </c>
      <c r="E9" s="332" t="s">
        <v>17</v>
      </c>
      <c r="F9" s="332" t="s">
        <v>420</v>
      </c>
      <c r="G9" s="332" t="s">
        <v>19</v>
      </c>
      <c r="H9" s="332">
        <v>24</v>
      </c>
      <c r="I9" s="333" t="s">
        <v>168</v>
      </c>
      <c r="K9" s="278" t="s">
        <v>10</v>
      </c>
      <c r="L9" s="146">
        <v>74</v>
      </c>
      <c r="M9" s="245">
        <f t="shared" si="13"/>
        <v>22.2</v>
      </c>
      <c r="N9" s="283">
        <f t="shared" si="14"/>
        <v>31.82</v>
      </c>
      <c r="O9" s="239">
        <f t="shared" si="0"/>
        <v>4</v>
      </c>
      <c r="P9" s="55">
        <f t="shared" si="1"/>
        <v>5</v>
      </c>
      <c r="Q9" s="41"/>
      <c r="R9" s="793"/>
      <c r="S9" s="43">
        <f t="shared" si="2"/>
        <v>37.799999999999997</v>
      </c>
      <c r="T9" s="57">
        <f t="shared" si="3"/>
        <v>2</v>
      </c>
      <c r="U9" s="46" t="e">
        <f>SUMIFS(#REF!,$E:$E,$M9,$J:$J,"Login Today")</f>
        <v>#REF!</v>
      </c>
      <c r="V9" s="253">
        <f t="shared" si="4"/>
        <v>0</v>
      </c>
      <c r="W9" s="261">
        <f t="shared" si="5"/>
        <v>49.5</v>
      </c>
      <c r="X9" s="262">
        <f t="shared" si="6"/>
        <v>4</v>
      </c>
      <c r="Y9" s="256">
        <f t="shared" si="7"/>
        <v>0</v>
      </c>
      <c r="Z9" s="59">
        <f t="shared" si="8"/>
        <v>71.599999999999994</v>
      </c>
      <c r="AA9" s="59">
        <f t="shared" si="9"/>
        <v>5</v>
      </c>
      <c r="AB9" s="60">
        <f t="shared" si="10"/>
        <v>0</v>
      </c>
      <c r="AC9" s="73">
        <f t="shared" si="11"/>
        <v>0</v>
      </c>
      <c r="AD9" s="248">
        <f t="shared" si="12"/>
        <v>158.89999999999998</v>
      </c>
      <c r="AE9" s="103">
        <f t="shared" si="12"/>
        <v>11</v>
      </c>
    </row>
    <row r="10" spans="2:31">
      <c r="B10" s="17">
        <v>5</v>
      </c>
      <c r="C10" s="70">
        <v>44403</v>
      </c>
      <c r="D10" s="332" t="s">
        <v>405</v>
      </c>
      <c r="E10" s="5" t="s">
        <v>63</v>
      </c>
      <c r="F10" s="332" t="s">
        <v>421</v>
      </c>
      <c r="G10" s="332" t="s">
        <v>11</v>
      </c>
      <c r="H10" s="332">
        <v>30</v>
      </c>
      <c r="I10" s="333" t="s">
        <v>168</v>
      </c>
      <c r="K10" s="278" t="s">
        <v>22</v>
      </c>
      <c r="L10" s="146">
        <v>19</v>
      </c>
      <c r="M10" s="245">
        <f t="shared" si="13"/>
        <v>5.7</v>
      </c>
      <c r="N10" s="283">
        <f t="shared" si="14"/>
        <v>8.17</v>
      </c>
      <c r="O10" s="239">
        <f t="shared" si="0"/>
        <v>2</v>
      </c>
      <c r="P10" s="55">
        <f t="shared" si="1"/>
        <v>3</v>
      </c>
      <c r="Q10" s="41">
        <v>2</v>
      </c>
      <c r="R10" s="793"/>
      <c r="S10" s="43">
        <f t="shared" si="2"/>
        <v>0</v>
      </c>
      <c r="T10" s="57">
        <f t="shared" si="3"/>
        <v>0</v>
      </c>
      <c r="U10" s="46" t="e">
        <f>SUMIFS(#REF!,$E:$E,$M10,$J:$J,"Login Today")</f>
        <v>#REF!</v>
      </c>
      <c r="V10" s="253">
        <f t="shared" si="4"/>
        <v>0</v>
      </c>
      <c r="W10" s="261">
        <f t="shared" si="5"/>
        <v>27</v>
      </c>
      <c r="X10" s="262">
        <f t="shared" si="6"/>
        <v>1</v>
      </c>
      <c r="Y10" s="256">
        <f t="shared" si="7"/>
        <v>0</v>
      </c>
      <c r="Z10" s="59">
        <f t="shared" si="8"/>
        <v>51</v>
      </c>
      <c r="AA10" s="59">
        <f t="shared" si="9"/>
        <v>3</v>
      </c>
      <c r="AB10" s="60">
        <f t="shared" si="10"/>
        <v>0</v>
      </c>
      <c r="AC10" s="73">
        <f t="shared" si="11"/>
        <v>0</v>
      </c>
      <c r="AD10" s="248">
        <f t="shared" si="12"/>
        <v>78</v>
      </c>
      <c r="AE10" s="103">
        <f t="shared" si="12"/>
        <v>4</v>
      </c>
    </row>
    <row r="11" spans="2:31">
      <c r="B11" s="17">
        <v>6</v>
      </c>
      <c r="C11" s="10">
        <v>44411</v>
      </c>
      <c r="D11" s="332" t="s">
        <v>428</v>
      </c>
      <c r="E11" s="332" t="s">
        <v>14</v>
      </c>
      <c r="F11" s="332" t="s">
        <v>424</v>
      </c>
      <c r="G11" s="332" t="s">
        <v>19</v>
      </c>
      <c r="H11" s="332">
        <v>17</v>
      </c>
      <c r="I11" s="333" t="s">
        <v>47</v>
      </c>
      <c r="K11" s="278" t="s">
        <v>63</v>
      </c>
      <c r="L11" s="146">
        <v>16</v>
      </c>
      <c r="M11" s="245">
        <f t="shared" si="13"/>
        <v>4.8</v>
      </c>
      <c r="N11" s="283">
        <f t="shared" si="14"/>
        <v>6.88</v>
      </c>
      <c r="O11" s="239">
        <f t="shared" si="0"/>
        <v>6</v>
      </c>
      <c r="P11" s="55">
        <f t="shared" si="1"/>
        <v>2</v>
      </c>
      <c r="Q11" s="41"/>
      <c r="R11" s="793"/>
      <c r="S11" s="43">
        <f t="shared" si="2"/>
        <v>0</v>
      </c>
      <c r="T11" s="57">
        <f t="shared" si="3"/>
        <v>0</v>
      </c>
      <c r="U11" s="46" t="e">
        <f>SUMIFS(#REF!,$E:$E,$M11,$J:$J,"Login Today")</f>
        <v>#REF!</v>
      </c>
      <c r="V11" s="253">
        <f t="shared" si="4"/>
        <v>0</v>
      </c>
      <c r="W11" s="261">
        <f t="shared" si="5"/>
        <v>26.74</v>
      </c>
      <c r="X11" s="262">
        <f t="shared" si="6"/>
        <v>3</v>
      </c>
      <c r="Y11" s="256">
        <f t="shared" si="7"/>
        <v>0</v>
      </c>
      <c r="Z11" s="59">
        <f t="shared" si="8"/>
        <v>41.85</v>
      </c>
      <c r="AA11" s="59">
        <f t="shared" si="9"/>
        <v>3</v>
      </c>
      <c r="AB11" s="60">
        <f t="shared" si="10"/>
        <v>0</v>
      </c>
      <c r="AC11" s="73">
        <f t="shared" si="11"/>
        <v>0</v>
      </c>
      <c r="AD11" s="248">
        <f t="shared" si="12"/>
        <v>68.59</v>
      </c>
      <c r="AE11" s="103">
        <f t="shared" si="12"/>
        <v>6</v>
      </c>
    </row>
    <row r="12" spans="2:31">
      <c r="B12" s="17">
        <v>7</v>
      </c>
      <c r="C12" s="10">
        <v>44320</v>
      </c>
      <c r="D12" s="332" t="s">
        <v>428</v>
      </c>
      <c r="E12" s="332" t="s">
        <v>14</v>
      </c>
      <c r="F12" s="332" t="s">
        <v>429</v>
      </c>
      <c r="G12" s="332" t="s">
        <v>11</v>
      </c>
      <c r="H12" s="332">
        <v>30</v>
      </c>
      <c r="I12" s="333" t="s">
        <v>275</v>
      </c>
      <c r="K12" s="278" t="s">
        <v>15</v>
      </c>
      <c r="L12" s="146">
        <v>43</v>
      </c>
      <c r="M12" s="245">
        <f t="shared" si="13"/>
        <v>12.9</v>
      </c>
      <c r="N12" s="283">
        <f t="shared" si="14"/>
        <v>18.489999999999998</v>
      </c>
      <c r="O12" s="239">
        <f t="shared" si="0"/>
        <v>2</v>
      </c>
      <c r="P12" s="55">
        <f t="shared" si="1"/>
        <v>9</v>
      </c>
      <c r="Q12" s="41">
        <v>3</v>
      </c>
      <c r="R12" s="793"/>
      <c r="S12" s="43">
        <f t="shared" si="2"/>
        <v>6</v>
      </c>
      <c r="T12" s="57">
        <f t="shared" si="3"/>
        <v>1</v>
      </c>
      <c r="U12" s="46" t="e">
        <f>SUMIFS(#REF!,$E:$E,$M12,$J:$J,"Login Today")</f>
        <v>#REF!</v>
      </c>
      <c r="V12" s="253">
        <f t="shared" si="4"/>
        <v>0</v>
      </c>
      <c r="W12" s="261">
        <f t="shared" si="5"/>
        <v>15</v>
      </c>
      <c r="X12" s="262">
        <f t="shared" si="6"/>
        <v>2</v>
      </c>
      <c r="Y12" s="256">
        <f t="shared" si="7"/>
        <v>0</v>
      </c>
      <c r="Z12" s="59">
        <f t="shared" si="8"/>
        <v>68</v>
      </c>
      <c r="AA12" s="59">
        <f t="shared" si="9"/>
        <v>7</v>
      </c>
      <c r="AB12" s="60">
        <f t="shared" si="10"/>
        <v>0</v>
      </c>
      <c r="AC12" s="73">
        <f t="shared" si="11"/>
        <v>0</v>
      </c>
      <c r="AD12" s="248">
        <f t="shared" si="12"/>
        <v>89</v>
      </c>
      <c r="AE12" s="103">
        <f t="shared" si="12"/>
        <v>10</v>
      </c>
    </row>
    <row r="13" spans="2:31" ht="15.75" thickBot="1">
      <c r="B13" s="17">
        <v>8</v>
      </c>
      <c r="C13" s="10">
        <v>44414</v>
      </c>
      <c r="D13" s="332" t="s">
        <v>428</v>
      </c>
      <c r="E13" s="332" t="s">
        <v>63</v>
      </c>
      <c r="F13" s="332" t="s">
        <v>431</v>
      </c>
      <c r="G13" s="332" t="s">
        <v>11</v>
      </c>
      <c r="H13" s="5">
        <v>30</v>
      </c>
      <c r="I13" s="333" t="s">
        <v>168</v>
      </c>
      <c r="K13" s="280" t="s">
        <v>25</v>
      </c>
      <c r="L13" s="241">
        <v>51</v>
      </c>
      <c r="M13" s="245">
        <f t="shared" si="13"/>
        <v>15.299999999999999</v>
      </c>
      <c r="N13" s="283">
        <f t="shared" si="14"/>
        <v>21.93</v>
      </c>
      <c r="O13" s="239">
        <f t="shared" si="0"/>
        <v>0</v>
      </c>
      <c r="P13" s="55">
        <f t="shared" si="1"/>
        <v>4</v>
      </c>
      <c r="Q13" s="42"/>
      <c r="R13" s="793"/>
      <c r="S13" s="43">
        <f t="shared" si="2"/>
        <v>50</v>
      </c>
      <c r="T13" s="57">
        <f t="shared" si="3"/>
        <v>2</v>
      </c>
      <c r="U13" s="47" t="e">
        <f>SUMIFS(#REF!,$E:$E,$M13,$J:$J,"Login Today")</f>
        <v>#REF!</v>
      </c>
      <c r="V13" s="254">
        <f t="shared" si="4"/>
        <v>0</v>
      </c>
      <c r="W13" s="261">
        <f t="shared" si="5"/>
        <v>10</v>
      </c>
      <c r="X13" s="262">
        <f t="shared" si="6"/>
        <v>1</v>
      </c>
      <c r="Y13" s="257">
        <f t="shared" si="7"/>
        <v>0</v>
      </c>
      <c r="Z13" s="59">
        <f t="shared" si="8"/>
        <v>13</v>
      </c>
      <c r="AA13" s="59">
        <f t="shared" si="9"/>
        <v>2</v>
      </c>
      <c r="AB13" s="60">
        <f t="shared" si="10"/>
        <v>0</v>
      </c>
      <c r="AC13" s="73">
        <f t="shared" si="11"/>
        <v>0</v>
      </c>
      <c r="AD13" s="268">
        <f t="shared" si="12"/>
        <v>73</v>
      </c>
      <c r="AE13" s="269">
        <f t="shared" si="12"/>
        <v>5</v>
      </c>
    </row>
    <row r="14" spans="2:31" ht="15.75" thickBot="1">
      <c r="B14" s="17">
        <v>9</v>
      </c>
      <c r="C14" s="10">
        <v>44425</v>
      </c>
      <c r="D14" s="332" t="s">
        <v>428</v>
      </c>
      <c r="E14" s="332" t="s">
        <v>14</v>
      </c>
      <c r="F14" s="332" t="s">
        <v>446</v>
      </c>
      <c r="G14" s="332" t="s">
        <v>19</v>
      </c>
      <c r="H14" s="332">
        <v>21</v>
      </c>
      <c r="I14" s="333" t="s">
        <v>71</v>
      </c>
      <c r="K14" s="220" t="s">
        <v>8</v>
      </c>
      <c r="L14" s="242">
        <f t="shared" ref="L14:Q14" si="15">SUM(L5:L13)</f>
        <v>339</v>
      </c>
      <c r="M14" s="286">
        <f t="shared" si="15"/>
        <v>101.7</v>
      </c>
      <c r="N14" s="285">
        <f t="shared" si="15"/>
        <v>145.77000000000001</v>
      </c>
      <c r="O14" s="240">
        <f t="shared" si="15"/>
        <v>36</v>
      </c>
      <c r="P14" s="287">
        <f t="shared" si="15"/>
        <v>39</v>
      </c>
      <c r="Q14" s="26">
        <f t="shared" si="15"/>
        <v>6</v>
      </c>
      <c r="R14" s="793"/>
      <c r="S14" s="45">
        <f t="shared" ref="S14:AC14" si="16">SUM(S5:S13)</f>
        <v>207.8</v>
      </c>
      <c r="T14" s="45">
        <f t="shared" si="16"/>
        <v>11</v>
      </c>
      <c r="U14" s="48" t="e">
        <f t="shared" si="16"/>
        <v>#REF!</v>
      </c>
      <c r="V14" s="196">
        <f t="shared" si="16"/>
        <v>0</v>
      </c>
      <c r="W14" s="198">
        <f>SUM(W5:W13)</f>
        <v>235.24</v>
      </c>
      <c r="X14" s="263">
        <f>SUM(X5:X13)</f>
        <v>17</v>
      </c>
      <c r="Y14" s="258">
        <f>SUM(Y5:Y13)</f>
        <v>0</v>
      </c>
      <c r="Z14" s="197">
        <f t="shared" si="16"/>
        <v>551.33000000000004</v>
      </c>
      <c r="AA14" s="197">
        <f t="shared" si="16"/>
        <v>43</v>
      </c>
      <c r="AB14" s="53">
        <f t="shared" si="16"/>
        <v>21</v>
      </c>
      <c r="AC14" s="74">
        <f t="shared" si="16"/>
        <v>1</v>
      </c>
      <c r="AD14" s="275">
        <f>SUM(AD5:AD13)</f>
        <v>1015.37</v>
      </c>
      <c r="AE14" s="276">
        <f>SUM(AE5:AE13)</f>
        <v>72</v>
      </c>
    </row>
    <row r="15" spans="2:31" ht="16.5" thickBot="1">
      <c r="B15" s="17">
        <v>10</v>
      </c>
      <c r="C15" s="10">
        <v>44425</v>
      </c>
      <c r="D15" s="332" t="s">
        <v>428</v>
      </c>
      <c r="E15" s="332" t="s">
        <v>14</v>
      </c>
      <c r="F15" s="332" t="s">
        <v>447</v>
      </c>
      <c r="G15" s="332" t="s">
        <v>19</v>
      </c>
      <c r="H15" s="332">
        <v>18</v>
      </c>
      <c r="I15" s="333" t="s">
        <v>275</v>
      </c>
      <c r="K15" s="281" t="s">
        <v>97</v>
      </c>
      <c r="L15" s="795">
        <f>M14</f>
        <v>101.7</v>
      </c>
      <c r="M15" s="796"/>
      <c r="N15" s="284"/>
      <c r="O15" s="797">
        <f>O14+P14</f>
        <v>75</v>
      </c>
      <c r="P15" s="798"/>
      <c r="Q15" s="274">
        <f>Q14</f>
        <v>6</v>
      </c>
      <c r="R15" s="794"/>
      <c r="S15" s="799">
        <f>T14</f>
        <v>11</v>
      </c>
      <c r="T15" s="800"/>
      <c r="U15" s="334">
        <f>COUNTIFS($J:$J,"Login Today")</f>
        <v>0</v>
      </c>
      <c r="V15" s="335"/>
      <c r="W15" s="801">
        <f>X14+Y14</f>
        <v>17</v>
      </c>
      <c r="X15" s="802"/>
      <c r="Y15" s="803"/>
      <c r="Z15" s="801">
        <f>AA14</f>
        <v>43</v>
      </c>
      <c r="AA15" s="803"/>
      <c r="AB15" s="801">
        <f>AC14</f>
        <v>1</v>
      </c>
      <c r="AC15" s="803"/>
      <c r="AD15" s="238"/>
      <c r="AE15" s="238"/>
    </row>
    <row r="16" spans="2:31">
      <c r="B16" s="17">
        <v>11</v>
      </c>
      <c r="C16" s="10">
        <v>44422</v>
      </c>
      <c r="D16" s="332" t="s">
        <v>428</v>
      </c>
      <c r="E16" s="332" t="s">
        <v>14</v>
      </c>
      <c r="F16" s="332" t="s">
        <v>441</v>
      </c>
      <c r="G16" s="332" t="s">
        <v>11</v>
      </c>
      <c r="H16" s="332">
        <v>30</v>
      </c>
      <c r="I16" s="333" t="s">
        <v>341</v>
      </c>
    </row>
    <row r="17" spans="2:10">
      <c r="B17" s="17">
        <v>12</v>
      </c>
      <c r="C17" s="10">
        <v>44428</v>
      </c>
      <c r="D17" s="332" t="s">
        <v>428</v>
      </c>
      <c r="E17" s="332" t="s">
        <v>17</v>
      </c>
      <c r="F17" s="5" t="s">
        <v>449</v>
      </c>
      <c r="G17" s="332" t="s">
        <v>23</v>
      </c>
      <c r="H17" s="71">
        <v>8</v>
      </c>
      <c r="I17" s="333" t="s">
        <v>168</v>
      </c>
    </row>
    <row r="18" spans="2:10">
      <c r="B18" s="17">
        <v>13</v>
      </c>
      <c r="C18" s="10">
        <v>44443</v>
      </c>
      <c r="D18" s="5" t="s">
        <v>458</v>
      </c>
      <c r="E18" s="5" t="s">
        <v>15</v>
      </c>
      <c r="F18" s="5" t="s">
        <v>463</v>
      </c>
      <c r="G18" s="5" t="s">
        <v>19</v>
      </c>
      <c r="H18" s="229">
        <v>21.5</v>
      </c>
      <c r="I18" s="295" t="s">
        <v>168</v>
      </c>
    </row>
    <row r="19" spans="2:10">
      <c r="B19" s="17">
        <v>14</v>
      </c>
      <c r="C19" s="10">
        <v>44445</v>
      </c>
      <c r="D19" s="5" t="s">
        <v>458</v>
      </c>
      <c r="E19" s="332" t="s">
        <v>158</v>
      </c>
      <c r="F19" s="332" t="s">
        <v>467</v>
      </c>
      <c r="G19" s="332" t="s">
        <v>468</v>
      </c>
      <c r="H19" s="332">
        <v>12</v>
      </c>
      <c r="I19" s="295" t="s">
        <v>275</v>
      </c>
    </row>
    <row r="20" spans="2:10">
      <c r="B20" s="17">
        <v>15</v>
      </c>
      <c r="C20" s="10">
        <v>44447</v>
      </c>
      <c r="D20" s="5" t="s">
        <v>458</v>
      </c>
      <c r="E20" s="332" t="s">
        <v>15</v>
      </c>
      <c r="F20" s="332" t="s">
        <v>470</v>
      </c>
      <c r="G20" s="332" t="s">
        <v>24</v>
      </c>
      <c r="H20" s="332">
        <v>6</v>
      </c>
      <c r="I20" s="295" t="s">
        <v>47</v>
      </c>
    </row>
    <row r="21" spans="2:10">
      <c r="B21" s="17">
        <v>16</v>
      </c>
      <c r="C21" s="10">
        <v>44447</v>
      </c>
      <c r="D21" s="5" t="s">
        <v>458</v>
      </c>
      <c r="E21" s="332" t="s">
        <v>340</v>
      </c>
      <c r="F21" s="332" t="s">
        <v>472</v>
      </c>
      <c r="G21" s="332" t="s">
        <v>19</v>
      </c>
      <c r="H21" s="332">
        <v>18</v>
      </c>
      <c r="I21" s="295" t="s">
        <v>47</v>
      </c>
    </row>
    <row r="22" spans="2:10">
      <c r="B22" s="17">
        <v>17</v>
      </c>
      <c r="C22" s="10">
        <v>44456</v>
      </c>
      <c r="D22" s="5" t="s">
        <v>458</v>
      </c>
      <c r="E22" s="332" t="s">
        <v>17</v>
      </c>
      <c r="F22" s="332" t="s">
        <v>477</v>
      </c>
      <c r="G22" s="332" t="s">
        <v>24</v>
      </c>
      <c r="H22" s="332">
        <v>7</v>
      </c>
      <c r="I22" s="295" t="s">
        <v>168</v>
      </c>
    </row>
    <row r="23" spans="2:10">
      <c r="B23" s="17">
        <v>18</v>
      </c>
      <c r="C23" s="10">
        <v>44457</v>
      </c>
      <c r="D23" s="5" t="s">
        <v>458</v>
      </c>
      <c r="E23" s="332" t="s">
        <v>10</v>
      </c>
      <c r="F23" s="332" t="s">
        <v>480</v>
      </c>
      <c r="G23" s="332" t="s">
        <v>19</v>
      </c>
      <c r="H23" s="332">
        <v>20</v>
      </c>
      <c r="I23" s="295" t="s">
        <v>275</v>
      </c>
    </row>
    <row r="24" spans="2:10">
      <c r="B24" s="17">
        <v>19</v>
      </c>
      <c r="C24" s="10">
        <v>44459</v>
      </c>
      <c r="D24" s="5" t="s">
        <v>458</v>
      </c>
      <c r="E24" s="332" t="s">
        <v>63</v>
      </c>
      <c r="F24" s="332" t="s">
        <v>483</v>
      </c>
      <c r="G24" s="332" t="s">
        <v>19</v>
      </c>
      <c r="H24" s="332">
        <v>15</v>
      </c>
      <c r="I24" s="295" t="s">
        <v>47</v>
      </c>
    </row>
    <row r="25" spans="2:10">
      <c r="B25" s="17">
        <v>20</v>
      </c>
      <c r="C25" s="10">
        <v>44459</v>
      </c>
      <c r="D25" s="5" t="s">
        <v>458</v>
      </c>
      <c r="E25" s="332" t="s">
        <v>10</v>
      </c>
      <c r="F25" s="332" t="s">
        <v>484</v>
      </c>
      <c r="G25" s="332" t="s">
        <v>11</v>
      </c>
      <c r="H25" s="332">
        <v>25</v>
      </c>
      <c r="I25" s="295" t="s">
        <v>47</v>
      </c>
      <c r="J25" s="202"/>
    </row>
    <row r="26" spans="2:10">
      <c r="B26" s="17">
        <v>21</v>
      </c>
      <c r="C26" s="10">
        <v>44462</v>
      </c>
      <c r="D26" s="5" t="s">
        <v>458</v>
      </c>
      <c r="E26" s="332" t="s">
        <v>14</v>
      </c>
      <c r="F26" s="332" t="s">
        <v>486</v>
      </c>
      <c r="G26" s="332" t="s">
        <v>23</v>
      </c>
      <c r="H26" s="332">
        <v>8</v>
      </c>
      <c r="I26" s="295" t="s">
        <v>47</v>
      </c>
    </row>
    <row r="27" spans="2:10">
      <c r="B27" s="17">
        <v>22</v>
      </c>
      <c r="C27" s="10">
        <v>44462</v>
      </c>
      <c r="D27" s="5" t="s">
        <v>458</v>
      </c>
      <c r="E27" s="332" t="s">
        <v>14</v>
      </c>
      <c r="F27" s="332" t="s">
        <v>487</v>
      </c>
      <c r="G27" s="332" t="s">
        <v>11</v>
      </c>
      <c r="H27" s="332">
        <v>28</v>
      </c>
      <c r="I27" s="295" t="s">
        <v>341</v>
      </c>
    </row>
    <row r="28" spans="2:10">
      <c r="B28" s="17">
        <v>23</v>
      </c>
      <c r="C28" s="10">
        <v>44462</v>
      </c>
      <c r="D28" s="5" t="s">
        <v>458</v>
      </c>
      <c r="E28" s="332" t="s">
        <v>63</v>
      </c>
      <c r="F28" s="332" t="s">
        <v>500</v>
      </c>
      <c r="G28" s="332" t="s">
        <v>23</v>
      </c>
      <c r="H28" s="332">
        <v>9.3699999999999992</v>
      </c>
      <c r="I28" s="295" t="s">
        <v>275</v>
      </c>
    </row>
    <row r="29" spans="2:10">
      <c r="B29" s="17">
        <v>24</v>
      </c>
      <c r="C29" s="10">
        <v>44462</v>
      </c>
      <c r="D29" s="5" t="s">
        <v>458</v>
      </c>
      <c r="E29" s="332" t="s">
        <v>63</v>
      </c>
      <c r="F29" s="332" t="s">
        <v>488</v>
      </c>
      <c r="G29" s="332" t="s">
        <v>23</v>
      </c>
      <c r="H29" s="332">
        <v>9.3699999999999992</v>
      </c>
      <c r="I29" s="295" t="s">
        <v>275</v>
      </c>
    </row>
    <row r="30" spans="2:10">
      <c r="B30" s="17">
        <v>25</v>
      </c>
      <c r="C30" s="10">
        <v>44463</v>
      </c>
      <c r="D30" s="5" t="s">
        <v>458</v>
      </c>
      <c r="E30" s="332" t="s">
        <v>10</v>
      </c>
      <c r="F30" s="332" t="s">
        <v>490</v>
      </c>
      <c r="G30" s="332" t="s">
        <v>24</v>
      </c>
      <c r="H30" s="332">
        <v>6</v>
      </c>
      <c r="I30" s="295" t="s">
        <v>275</v>
      </c>
    </row>
    <row r="31" spans="2:10">
      <c r="B31" s="17">
        <v>26</v>
      </c>
      <c r="C31" s="10">
        <v>44463</v>
      </c>
      <c r="D31" s="5" t="s">
        <v>458</v>
      </c>
      <c r="E31" s="332" t="s">
        <v>340</v>
      </c>
      <c r="F31" s="332" t="s">
        <v>491</v>
      </c>
      <c r="G31" s="332" t="s">
        <v>19</v>
      </c>
      <c r="H31" s="332">
        <v>15</v>
      </c>
      <c r="I31" s="295" t="s">
        <v>47</v>
      </c>
    </row>
    <row r="32" spans="2:10">
      <c r="B32" s="17">
        <v>27</v>
      </c>
      <c r="C32" s="10">
        <v>44463</v>
      </c>
      <c r="D32" s="5" t="s">
        <v>458</v>
      </c>
      <c r="E32" s="332" t="s">
        <v>10</v>
      </c>
      <c r="F32" s="332" t="s">
        <v>492</v>
      </c>
      <c r="G32" s="332" t="s">
        <v>284</v>
      </c>
      <c r="H32" s="332">
        <v>8.6</v>
      </c>
      <c r="I32" s="333" t="s">
        <v>47</v>
      </c>
    </row>
    <row r="33" spans="2:9">
      <c r="B33" s="17">
        <v>28</v>
      </c>
      <c r="C33" s="10">
        <v>44461</v>
      </c>
      <c r="D33" s="5" t="s">
        <v>458</v>
      </c>
      <c r="E33" s="332" t="s">
        <v>63</v>
      </c>
      <c r="F33" s="230" t="s">
        <v>554</v>
      </c>
      <c r="G33" s="332" t="s">
        <v>23</v>
      </c>
      <c r="H33" s="5">
        <v>7.85</v>
      </c>
      <c r="I33" s="295" t="s">
        <v>47</v>
      </c>
    </row>
    <row r="34" spans="2:9">
      <c r="B34" s="17">
        <v>29</v>
      </c>
      <c r="C34" s="10">
        <v>44461</v>
      </c>
      <c r="D34" s="5" t="s">
        <v>458</v>
      </c>
      <c r="E34" s="332" t="s">
        <v>17</v>
      </c>
      <c r="F34" s="5" t="s">
        <v>509</v>
      </c>
      <c r="G34" s="5" t="s">
        <v>23</v>
      </c>
      <c r="H34" s="5">
        <v>7</v>
      </c>
      <c r="I34" s="295" t="s">
        <v>275</v>
      </c>
    </row>
    <row r="35" spans="2:9">
      <c r="B35" s="17">
        <v>30</v>
      </c>
      <c r="C35" s="10">
        <v>44462</v>
      </c>
      <c r="D35" s="5" t="s">
        <v>458</v>
      </c>
      <c r="E35" s="332" t="s">
        <v>14</v>
      </c>
      <c r="F35" s="113" t="s">
        <v>519</v>
      </c>
      <c r="G35" s="5" t="s">
        <v>19</v>
      </c>
      <c r="H35" s="229">
        <v>18.2</v>
      </c>
      <c r="I35" s="295" t="s">
        <v>47</v>
      </c>
    </row>
    <row r="36" spans="2:9">
      <c r="B36" s="17">
        <v>31</v>
      </c>
      <c r="C36" s="10">
        <v>44462</v>
      </c>
      <c r="D36" s="5" t="s">
        <v>458</v>
      </c>
      <c r="E36" s="332" t="s">
        <v>14</v>
      </c>
      <c r="F36" s="113" t="s">
        <v>520</v>
      </c>
      <c r="G36" s="5" t="s">
        <v>24</v>
      </c>
      <c r="H36" s="229">
        <v>5</v>
      </c>
      <c r="I36" s="295" t="s">
        <v>47</v>
      </c>
    </row>
    <row r="37" spans="2:9">
      <c r="B37" s="17">
        <v>32</v>
      </c>
      <c r="C37" s="10">
        <v>44462</v>
      </c>
      <c r="D37" s="5" t="s">
        <v>458</v>
      </c>
      <c r="E37" s="332" t="s">
        <v>14</v>
      </c>
      <c r="F37" s="113" t="s">
        <v>521</v>
      </c>
      <c r="G37" s="5" t="s">
        <v>522</v>
      </c>
      <c r="H37" s="229">
        <v>12</v>
      </c>
      <c r="I37" s="295" t="s">
        <v>47</v>
      </c>
    </row>
    <row r="38" spans="2:9">
      <c r="B38" s="17">
        <v>33</v>
      </c>
      <c r="C38" s="10">
        <v>44463</v>
      </c>
      <c r="D38" s="5" t="s">
        <v>458</v>
      </c>
      <c r="E38" s="332" t="s">
        <v>13</v>
      </c>
      <c r="F38" s="5" t="s">
        <v>517</v>
      </c>
      <c r="G38" s="5" t="s">
        <v>19</v>
      </c>
      <c r="H38" s="5">
        <v>13</v>
      </c>
      <c r="I38" s="295" t="s">
        <v>47</v>
      </c>
    </row>
    <row r="39" spans="2:9">
      <c r="B39" s="17">
        <v>34</v>
      </c>
      <c r="C39" s="10">
        <v>44463</v>
      </c>
      <c r="D39" s="5" t="s">
        <v>458</v>
      </c>
      <c r="E39" s="332" t="s">
        <v>13</v>
      </c>
      <c r="F39" s="230" t="s">
        <v>496</v>
      </c>
      <c r="G39" s="332" t="s">
        <v>19</v>
      </c>
      <c r="H39" s="332">
        <v>18.78</v>
      </c>
      <c r="I39" s="295" t="s">
        <v>47</v>
      </c>
    </row>
    <row r="40" spans="2:9">
      <c r="B40" s="17">
        <v>35</v>
      </c>
      <c r="C40" s="332"/>
      <c r="D40" s="332" t="s">
        <v>511</v>
      </c>
      <c r="E40" s="5" t="s">
        <v>22</v>
      </c>
      <c r="F40" s="5" t="s">
        <v>503</v>
      </c>
      <c r="G40" s="5" t="s">
        <v>23</v>
      </c>
      <c r="H40" s="332">
        <v>9</v>
      </c>
      <c r="I40" s="295" t="s">
        <v>161</v>
      </c>
    </row>
    <row r="41" spans="2:9">
      <c r="B41" s="17">
        <v>36</v>
      </c>
      <c r="C41" s="332"/>
      <c r="D41" s="332" t="s">
        <v>511</v>
      </c>
      <c r="E41" s="5" t="s">
        <v>10</v>
      </c>
      <c r="F41" s="5" t="s">
        <v>505</v>
      </c>
      <c r="G41" s="5" t="s">
        <v>19</v>
      </c>
      <c r="H41" s="332">
        <v>24</v>
      </c>
      <c r="I41" s="295" t="s">
        <v>47</v>
      </c>
    </row>
    <row r="42" spans="2:9">
      <c r="B42" s="17">
        <v>37</v>
      </c>
      <c r="C42" s="10"/>
      <c r="D42" s="332" t="s">
        <v>511</v>
      </c>
      <c r="E42" s="5" t="s">
        <v>25</v>
      </c>
      <c r="F42" s="5" t="s">
        <v>508</v>
      </c>
      <c r="G42" s="5" t="s">
        <v>24</v>
      </c>
      <c r="H42" s="332">
        <v>7</v>
      </c>
      <c r="I42" s="295" t="s">
        <v>47</v>
      </c>
    </row>
    <row r="43" spans="2:9">
      <c r="B43" s="17">
        <v>38</v>
      </c>
      <c r="C43" s="332"/>
      <c r="D43" s="332" t="s">
        <v>511</v>
      </c>
      <c r="E43" s="5" t="s">
        <v>15</v>
      </c>
      <c r="F43" s="5" t="s">
        <v>512</v>
      </c>
      <c r="G43" s="5" t="s">
        <v>23</v>
      </c>
      <c r="H43" s="332">
        <v>7</v>
      </c>
      <c r="I43" s="295" t="s">
        <v>47</v>
      </c>
    </row>
    <row r="44" spans="2:9">
      <c r="B44" s="17">
        <v>39</v>
      </c>
      <c r="C44" s="332"/>
      <c r="D44" s="332" t="s">
        <v>511</v>
      </c>
      <c r="E44" s="5" t="s">
        <v>15</v>
      </c>
      <c r="F44" s="5" t="s">
        <v>513</v>
      </c>
      <c r="G44" s="5" t="s">
        <v>24</v>
      </c>
      <c r="H44" s="332">
        <v>6</v>
      </c>
      <c r="I44" s="295" t="s">
        <v>47</v>
      </c>
    </row>
    <row r="45" spans="2:9">
      <c r="B45" s="17">
        <v>40</v>
      </c>
      <c r="C45" s="332"/>
      <c r="D45" s="332" t="s">
        <v>511</v>
      </c>
      <c r="E45" s="5" t="s">
        <v>358</v>
      </c>
      <c r="F45" s="5" t="s">
        <v>514</v>
      </c>
      <c r="G45" s="5" t="s">
        <v>23</v>
      </c>
      <c r="H45" s="332">
        <v>7</v>
      </c>
      <c r="I45" s="295" t="s">
        <v>167</v>
      </c>
    </row>
    <row r="46" spans="2:9">
      <c r="B46" s="17">
        <v>41</v>
      </c>
      <c r="C46" s="332"/>
      <c r="D46" s="332" t="s">
        <v>511</v>
      </c>
      <c r="E46" s="5" t="s">
        <v>15</v>
      </c>
      <c r="F46" s="5" t="s">
        <v>515</v>
      </c>
      <c r="G46" s="5" t="s">
        <v>19</v>
      </c>
      <c r="H46" s="332">
        <v>15</v>
      </c>
      <c r="I46" s="295" t="s">
        <v>47</v>
      </c>
    </row>
    <row r="47" spans="2:9">
      <c r="B47" s="17">
        <v>42</v>
      </c>
      <c r="C47" s="332"/>
      <c r="D47" s="332" t="s">
        <v>511</v>
      </c>
      <c r="E47" s="5" t="s">
        <v>15</v>
      </c>
      <c r="F47" s="5" t="s">
        <v>563</v>
      </c>
      <c r="G47" s="5" t="s">
        <v>284</v>
      </c>
      <c r="H47" s="332">
        <v>7.5</v>
      </c>
      <c r="I47" s="295" t="s">
        <v>275</v>
      </c>
    </row>
    <row r="48" spans="2:9">
      <c r="B48" s="17">
        <v>43</v>
      </c>
      <c r="C48" s="332"/>
      <c r="D48" s="332" t="s">
        <v>511</v>
      </c>
      <c r="E48" s="5" t="s">
        <v>13</v>
      </c>
      <c r="F48" s="5" t="s">
        <v>413</v>
      </c>
      <c r="G48" s="5" t="s">
        <v>19</v>
      </c>
      <c r="H48" s="332">
        <v>22</v>
      </c>
      <c r="I48" s="295" t="s">
        <v>47</v>
      </c>
    </row>
    <row r="49" spans="2:13">
      <c r="B49" s="17">
        <v>44</v>
      </c>
      <c r="C49" s="332"/>
      <c r="D49" s="332" t="s">
        <v>511</v>
      </c>
      <c r="E49" s="5" t="s">
        <v>524</v>
      </c>
      <c r="F49" s="5" t="s">
        <v>516</v>
      </c>
      <c r="G49" s="5" t="s">
        <v>24</v>
      </c>
      <c r="H49" s="332">
        <v>6</v>
      </c>
      <c r="I49" s="295" t="s">
        <v>167</v>
      </c>
    </row>
    <row r="50" spans="2:13">
      <c r="B50" s="17">
        <v>45</v>
      </c>
      <c r="C50" s="332"/>
      <c r="D50" s="332" t="s">
        <v>511</v>
      </c>
      <c r="E50" s="332" t="s">
        <v>14</v>
      </c>
      <c r="F50" s="113" t="s">
        <v>518</v>
      </c>
      <c r="G50" s="5" t="s">
        <v>23</v>
      </c>
      <c r="H50" s="332">
        <v>6.5</v>
      </c>
      <c r="I50" s="295" t="s">
        <v>47</v>
      </c>
    </row>
    <row r="51" spans="2:13">
      <c r="B51" s="17">
        <v>46</v>
      </c>
      <c r="C51" s="10">
        <v>44476</v>
      </c>
      <c r="D51" s="332" t="s">
        <v>511</v>
      </c>
      <c r="E51" s="5" t="s">
        <v>340</v>
      </c>
      <c r="F51" s="5" t="s">
        <v>526</v>
      </c>
      <c r="G51" s="5" t="s">
        <v>23</v>
      </c>
      <c r="H51" s="332">
        <v>5</v>
      </c>
      <c r="I51" s="295" t="s">
        <v>47</v>
      </c>
    </row>
    <row r="52" spans="2:13">
      <c r="B52" s="17">
        <v>47</v>
      </c>
      <c r="C52" s="10">
        <v>44462</v>
      </c>
      <c r="D52" s="5" t="s">
        <v>458</v>
      </c>
      <c r="E52" s="332" t="s">
        <v>14</v>
      </c>
      <c r="F52" s="5" t="s">
        <v>528</v>
      </c>
      <c r="G52" s="5" t="s">
        <v>23</v>
      </c>
      <c r="H52" s="332">
        <v>8.1999999999999993</v>
      </c>
      <c r="I52" s="295" t="s">
        <v>47</v>
      </c>
    </row>
    <row r="53" spans="2:13">
      <c r="B53" s="17">
        <v>48</v>
      </c>
      <c r="C53" s="10">
        <v>44475</v>
      </c>
      <c r="D53" s="332" t="s">
        <v>511</v>
      </c>
      <c r="E53" s="5" t="s">
        <v>10</v>
      </c>
      <c r="F53" s="5" t="s">
        <v>527</v>
      </c>
      <c r="G53" s="5" t="s">
        <v>23</v>
      </c>
      <c r="H53" s="5">
        <v>8</v>
      </c>
      <c r="I53" s="295" t="s">
        <v>47</v>
      </c>
      <c r="M53">
        <v>18</v>
      </c>
    </row>
    <row r="54" spans="2:13">
      <c r="B54" s="17">
        <v>49</v>
      </c>
      <c r="C54" s="10">
        <v>44478</v>
      </c>
      <c r="D54" s="332" t="s">
        <v>511</v>
      </c>
      <c r="E54" s="5" t="s">
        <v>10</v>
      </c>
      <c r="F54" s="5" t="s">
        <v>529</v>
      </c>
      <c r="G54" s="5" t="s">
        <v>24</v>
      </c>
      <c r="H54" s="5">
        <v>6</v>
      </c>
      <c r="I54" s="295" t="s">
        <v>47</v>
      </c>
    </row>
    <row r="55" spans="2:13">
      <c r="B55" s="17">
        <v>50</v>
      </c>
      <c r="C55" s="10">
        <v>44478</v>
      </c>
      <c r="D55" s="332" t="s">
        <v>511</v>
      </c>
      <c r="E55" s="5" t="s">
        <v>15</v>
      </c>
      <c r="F55" s="5" t="s">
        <v>54</v>
      </c>
      <c r="G55" s="5" t="s">
        <v>19</v>
      </c>
      <c r="H55" s="5">
        <v>20</v>
      </c>
      <c r="I55" s="295" t="s">
        <v>47</v>
      </c>
    </row>
    <row r="56" spans="2:13">
      <c r="B56" s="17">
        <v>51</v>
      </c>
      <c r="C56" s="10">
        <v>44477</v>
      </c>
      <c r="D56" s="332" t="s">
        <v>511</v>
      </c>
      <c r="E56" s="5" t="s">
        <v>25</v>
      </c>
      <c r="F56" s="5" t="s">
        <v>559</v>
      </c>
      <c r="G56" s="5" t="s">
        <v>23</v>
      </c>
      <c r="H56" s="5">
        <v>10</v>
      </c>
      <c r="I56" s="295" t="s">
        <v>275</v>
      </c>
    </row>
    <row r="57" spans="2:13" ht="15.75">
      <c r="B57" s="17">
        <v>52</v>
      </c>
      <c r="C57" s="10">
        <v>44477</v>
      </c>
      <c r="D57" s="332" t="s">
        <v>511</v>
      </c>
      <c r="E57" s="5" t="s">
        <v>13</v>
      </c>
      <c r="F57" s="5" t="s">
        <v>533</v>
      </c>
      <c r="G57" s="5" t="s">
        <v>19</v>
      </c>
      <c r="H57" s="326">
        <v>19.899999999999999</v>
      </c>
      <c r="I57" s="295" t="s">
        <v>47</v>
      </c>
      <c r="M57" s="323"/>
    </row>
    <row r="58" spans="2:13">
      <c r="B58" s="17">
        <v>53</v>
      </c>
      <c r="C58" s="10">
        <v>44480</v>
      </c>
      <c r="D58" s="332" t="s">
        <v>511</v>
      </c>
      <c r="E58" s="332" t="s">
        <v>358</v>
      </c>
      <c r="F58" s="332" t="s">
        <v>530</v>
      </c>
      <c r="G58" s="332" t="s">
        <v>24</v>
      </c>
      <c r="H58" s="332">
        <v>6</v>
      </c>
      <c r="I58" s="295" t="s">
        <v>167</v>
      </c>
    </row>
    <row r="59" spans="2:13">
      <c r="B59" s="17">
        <v>54</v>
      </c>
      <c r="C59" s="10">
        <v>44480</v>
      </c>
      <c r="D59" s="332" t="s">
        <v>511</v>
      </c>
      <c r="E59" s="332" t="s">
        <v>358</v>
      </c>
      <c r="F59" s="5" t="s">
        <v>531</v>
      </c>
      <c r="G59" s="229" t="s">
        <v>23</v>
      </c>
      <c r="H59" s="229">
        <v>9</v>
      </c>
      <c r="I59" s="295" t="s">
        <v>167</v>
      </c>
    </row>
    <row r="60" spans="2:13">
      <c r="B60" s="17">
        <v>55</v>
      </c>
      <c r="C60" s="10">
        <v>44480</v>
      </c>
      <c r="D60" s="332" t="s">
        <v>511</v>
      </c>
      <c r="E60" s="332" t="s">
        <v>14</v>
      </c>
      <c r="F60" s="113" t="s">
        <v>532</v>
      </c>
      <c r="G60" s="332" t="s">
        <v>11</v>
      </c>
      <c r="H60" s="332">
        <v>25</v>
      </c>
      <c r="I60" s="295" t="s">
        <v>47</v>
      </c>
    </row>
    <row r="61" spans="2:13">
      <c r="B61" s="17">
        <v>56</v>
      </c>
      <c r="C61" s="10">
        <v>44480</v>
      </c>
      <c r="D61" s="332" t="s">
        <v>511</v>
      </c>
      <c r="E61" s="332" t="s">
        <v>25</v>
      </c>
      <c r="F61" s="5" t="s">
        <v>534</v>
      </c>
      <c r="G61" s="229" t="s">
        <v>24</v>
      </c>
      <c r="H61" s="332">
        <v>8</v>
      </c>
      <c r="I61" s="333" t="s">
        <v>168</v>
      </c>
    </row>
    <row r="62" spans="2:13">
      <c r="B62" s="17">
        <v>57</v>
      </c>
      <c r="C62" s="10">
        <v>44481</v>
      </c>
      <c r="D62" s="332" t="s">
        <v>511</v>
      </c>
      <c r="E62" s="332" t="s">
        <v>14</v>
      </c>
      <c r="F62" s="5" t="s">
        <v>537</v>
      </c>
      <c r="G62" s="5" t="s">
        <v>23</v>
      </c>
      <c r="H62" s="5">
        <v>7</v>
      </c>
      <c r="I62" s="295" t="s">
        <v>47</v>
      </c>
      <c r="M62" s="323"/>
    </row>
    <row r="63" spans="2:13">
      <c r="B63" s="17">
        <v>58</v>
      </c>
      <c r="C63" s="10">
        <v>44480</v>
      </c>
      <c r="D63" s="332" t="s">
        <v>511</v>
      </c>
      <c r="E63" s="332" t="s">
        <v>13</v>
      </c>
      <c r="F63" s="332" t="s">
        <v>538</v>
      </c>
      <c r="G63" s="332" t="s">
        <v>19</v>
      </c>
      <c r="H63" s="332">
        <v>15</v>
      </c>
      <c r="I63" s="295" t="s">
        <v>341</v>
      </c>
    </row>
    <row r="64" spans="2:13">
      <c r="B64" s="17">
        <v>59</v>
      </c>
      <c r="C64" s="10">
        <v>44482</v>
      </c>
      <c r="D64" s="332" t="s">
        <v>511</v>
      </c>
      <c r="E64" s="5" t="s">
        <v>22</v>
      </c>
      <c r="F64" s="5" t="s">
        <v>540</v>
      </c>
      <c r="G64" s="5" t="s">
        <v>19</v>
      </c>
      <c r="H64" s="229">
        <v>14</v>
      </c>
      <c r="I64" s="295" t="s">
        <v>47</v>
      </c>
      <c r="M64" s="323"/>
    </row>
    <row r="65" spans="2:13">
      <c r="B65" s="17">
        <v>60</v>
      </c>
      <c r="C65" s="10">
        <v>44482</v>
      </c>
      <c r="D65" s="332" t="s">
        <v>511</v>
      </c>
      <c r="E65" s="5" t="s">
        <v>22</v>
      </c>
      <c r="F65" s="5" t="s">
        <v>541</v>
      </c>
      <c r="G65" s="5" t="s">
        <v>19</v>
      </c>
      <c r="H65" s="229">
        <v>17</v>
      </c>
      <c r="I65" s="295" t="s">
        <v>47</v>
      </c>
      <c r="M65" s="323"/>
    </row>
    <row r="66" spans="2:13">
      <c r="B66" s="17">
        <v>61</v>
      </c>
      <c r="C66" s="10">
        <v>44482</v>
      </c>
      <c r="D66" s="332" t="s">
        <v>511</v>
      </c>
      <c r="E66" s="332" t="s">
        <v>15</v>
      </c>
      <c r="F66" s="332" t="s">
        <v>535</v>
      </c>
      <c r="G66" s="332" t="s">
        <v>19</v>
      </c>
      <c r="H66" s="5">
        <v>18</v>
      </c>
      <c r="I66" s="295" t="s">
        <v>183</v>
      </c>
    </row>
    <row r="67" spans="2:13">
      <c r="B67" s="17">
        <v>62</v>
      </c>
      <c r="C67" s="10">
        <v>44482</v>
      </c>
      <c r="D67" s="332" t="s">
        <v>511</v>
      </c>
      <c r="E67" s="332" t="s">
        <v>15</v>
      </c>
      <c r="F67" s="332" t="s">
        <v>536</v>
      </c>
      <c r="G67" s="332" t="s">
        <v>24</v>
      </c>
      <c r="H67" s="332">
        <v>8</v>
      </c>
      <c r="I67" s="295" t="s">
        <v>47</v>
      </c>
    </row>
    <row r="68" spans="2:13">
      <c r="B68" s="17">
        <v>63</v>
      </c>
      <c r="C68" s="10">
        <v>44482</v>
      </c>
      <c r="D68" s="332" t="s">
        <v>511</v>
      </c>
      <c r="E68" s="332" t="s">
        <v>14</v>
      </c>
      <c r="F68" s="332" t="s">
        <v>539</v>
      </c>
      <c r="G68" s="332" t="s">
        <v>19</v>
      </c>
      <c r="H68" s="332">
        <v>15</v>
      </c>
      <c r="I68" s="295" t="s">
        <v>341</v>
      </c>
    </row>
    <row r="69" spans="2:13">
      <c r="B69" s="17">
        <v>64</v>
      </c>
      <c r="C69" s="10">
        <v>44482</v>
      </c>
      <c r="D69" s="332" t="s">
        <v>511</v>
      </c>
      <c r="E69" s="332" t="s">
        <v>13</v>
      </c>
      <c r="F69" s="332" t="s">
        <v>516</v>
      </c>
      <c r="G69" s="5" t="s">
        <v>24</v>
      </c>
      <c r="H69" s="5">
        <v>6</v>
      </c>
      <c r="I69" s="295" t="s">
        <v>47</v>
      </c>
    </row>
    <row r="70" spans="2:13">
      <c r="B70" s="17">
        <v>65</v>
      </c>
      <c r="C70" s="10">
        <v>44482</v>
      </c>
      <c r="D70" s="332" t="s">
        <v>511</v>
      </c>
      <c r="E70" s="332" t="s">
        <v>15</v>
      </c>
      <c r="F70" s="332" t="s">
        <v>543</v>
      </c>
      <c r="G70" s="332" t="s">
        <v>24</v>
      </c>
      <c r="H70" s="332">
        <v>6</v>
      </c>
      <c r="I70" s="295" t="s">
        <v>47</v>
      </c>
    </row>
    <row r="71" spans="2:13">
      <c r="B71" s="17">
        <v>66</v>
      </c>
      <c r="C71" s="10">
        <v>44482</v>
      </c>
      <c r="D71" s="332" t="s">
        <v>511</v>
      </c>
      <c r="E71" s="332" t="s">
        <v>363</v>
      </c>
      <c r="F71" s="332" t="s">
        <v>544</v>
      </c>
      <c r="G71" s="332" t="s">
        <v>23</v>
      </c>
      <c r="H71" s="332">
        <v>10</v>
      </c>
      <c r="I71" s="333" t="s">
        <v>167</v>
      </c>
    </row>
    <row r="72" spans="2:13">
      <c r="B72" s="17">
        <v>67</v>
      </c>
      <c r="C72" s="10">
        <v>44482</v>
      </c>
      <c r="D72" s="332" t="s">
        <v>511</v>
      </c>
      <c r="E72" s="332" t="s">
        <v>363</v>
      </c>
      <c r="F72" s="332" t="s">
        <v>545</v>
      </c>
      <c r="G72" s="332" t="s">
        <v>24</v>
      </c>
      <c r="H72" s="332">
        <v>3</v>
      </c>
      <c r="I72" s="333" t="s">
        <v>167</v>
      </c>
    </row>
    <row r="73" spans="2:13">
      <c r="B73" s="17">
        <v>68</v>
      </c>
      <c r="C73" s="10">
        <v>44482</v>
      </c>
      <c r="D73" s="332" t="s">
        <v>511</v>
      </c>
      <c r="E73" s="332" t="s">
        <v>17</v>
      </c>
      <c r="F73" s="332" t="s">
        <v>546</v>
      </c>
      <c r="G73" s="332" t="s">
        <v>19</v>
      </c>
      <c r="H73" s="332">
        <v>16</v>
      </c>
      <c r="I73" s="333" t="s">
        <v>275</v>
      </c>
    </row>
    <row r="74" spans="2:13">
      <c r="B74" s="17">
        <v>69</v>
      </c>
      <c r="C74" s="10">
        <v>44482</v>
      </c>
      <c r="D74" s="332" t="s">
        <v>511</v>
      </c>
      <c r="E74" s="332" t="s">
        <v>14</v>
      </c>
      <c r="F74" s="332" t="s">
        <v>547</v>
      </c>
      <c r="G74" s="332" t="s">
        <v>19</v>
      </c>
      <c r="H74" s="332">
        <v>15</v>
      </c>
      <c r="I74" s="295" t="s">
        <v>47</v>
      </c>
    </row>
    <row r="75" spans="2:13">
      <c r="B75" s="17">
        <v>70</v>
      </c>
      <c r="C75" s="10">
        <v>44482</v>
      </c>
      <c r="D75" s="332" t="s">
        <v>458</v>
      </c>
      <c r="E75" s="332" t="s">
        <v>14</v>
      </c>
      <c r="F75" s="332" t="s">
        <v>548</v>
      </c>
      <c r="G75" s="332" t="s">
        <v>19</v>
      </c>
      <c r="H75" s="332">
        <v>22</v>
      </c>
      <c r="I75" s="333" t="s">
        <v>47</v>
      </c>
    </row>
    <row r="76" spans="2:13">
      <c r="B76" s="17">
        <v>71</v>
      </c>
      <c r="C76" s="10">
        <v>44482</v>
      </c>
      <c r="D76" s="332" t="s">
        <v>549</v>
      </c>
      <c r="E76" s="332" t="s">
        <v>25</v>
      </c>
      <c r="F76" s="332" t="s">
        <v>542</v>
      </c>
      <c r="G76" s="332" t="s">
        <v>24</v>
      </c>
      <c r="H76" s="332">
        <v>6</v>
      </c>
      <c r="I76" s="333" t="s">
        <v>47</v>
      </c>
    </row>
    <row r="77" spans="2:13">
      <c r="B77" s="17">
        <v>72</v>
      </c>
      <c r="C77" s="10">
        <v>44490</v>
      </c>
      <c r="D77" s="332" t="s">
        <v>549</v>
      </c>
      <c r="E77" s="5" t="s">
        <v>15</v>
      </c>
      <c r="F77" s="5" t="s">
        <v>551</v>
      </c>
      <c r="G77" s="229" t="s">
        <v>24</v>
      </c>
      <c r="H77" s="229">
        <v>6</v>
      </c>
      <c r="I77" s="295" t="s">
        <v>341</v>
      </c>
    </row>
    <row r="78" spans="2:13">
      <c r="B78" s="17">
        <v>73</v>
      </c>
      <c r="C78" s="10">
        <v>44490</v>
      </c>
      <c r="D78" s="332" t="s">
        <v>549</v>
      </c>
      <c r="E78" s="332" t="s">
        <v>17</v>
      </c>
      <c r="F78" s="5" t="s">
        <v>552</v>
      </c>
      <c r="G78" s="229" t="s">
        <v>19</v>
      </c>
      <c r="H78" s="229">
        <v>12</v>
      </c>
      <c r="I78" s="295" t="s">
        <v>47</v>
      </c>
    </row>
    <row r="79" spans="2:13">
      <c r="B79" s="17">
        <v>74</v>
      </c>
      <c r="C79" s="10">
        <v>44490</v>
      </c>
      <c r="D79" s="332" t="s">
        <v>511</v>
      </c>
      <c r="E79" s="332" t="s">
        <v>63</v>
      </c>
      <c r="F79" s="332" t="s">
        <v>553</v>
      </c>
      <c r="G79" s="332" t="s">
        <v>19</v>
      </c>
      <c r="H79" s="332">
        <v>19</v>
      </c>
      <c r="I79" s="333" t="s">
        <v>47</v>
      </c>
    </row>
    <row r="80" spans="2:13">
      <c r="B80" s="17">
        <v>75</v>
      </c>
      <c r="C80" s="10">
        <v>44482</v>
      </c>
      <c r="D80" s="332" t="s">
        <v>511</v>
      </c>
      <c r="E80" s="5" t="s">
        <v>14</v>
      </c>
      <c r="F80" s="332" t="s">
        <v>555</v>
      </c>
      <c r="G80" s="332" t="s">
        <v>23</v>
      </c>
      <c r="H80" s="332">
        <v>7.5</v>
      </c>
      <c r="I80" s="333" t="s">
        <v>47</v>
      </c>
    </row>
    <row r="81" spans="2:13">
      <c r="B81" s="17">
        <v>76</v>
      </c>
      <c r="C81" s="10">
        <v>44492</v>
      </c>
      <c r="D81" s="332" t="s">
        <v>511</v>
      </c>
      <c r="E81" s="5" t="s">
        <v>13</v>
      </c>
      <c r="F81" s="5" t="s">
        <v>556</v>
      </c>
      <c r="G81" s="5" t="s">
        <v>19</v>
      </c>
      <c r="H81" s="332">
        <v>12</v>
      </c>
      <c r="I81" s="295" t="s">
        <v>47</v>
      </c>
    </row>
    <row r="82" spans="2:13">
      <c r="B82" s="17">
        <v>77</v>
      </c>
      <c r="C82" s="10">
        <v>44492</v>
      </c>
      <c r="D82" s="332" t="s">
        <v>511</v>
      </c>
      <c r="E82" s="5" t="s">
        <v>13</v>
      </c>
      <c r="F82" s="5" t="s">
        <v>557</v>
      </c>
      <c r="G82" s="332" t="s">
        <v>19</v>
      </c>
      <c r="H82" s="5">
        <v>18</v>
      </c>
      <c r="I82" s="295" t="s">
        <v>341</v>
      </c>
    </row>
    <row r="83" spans="2:13" ht="15.75" thickBot="1">
      <c r="B83" s="200">
        <v>78</v>
      </c>
      <c r="C83" s="89">
        <v>44492</v>
      </c>
      <c r="D83" s="90" t="s">
        <v>511</v>
      </c>
      <c r="E83" s="296" t="s">
        <v>13</v>
      </c>
      <c r="F83" s="296" t="s">
        <v>558</v>
      </c>
      <c r="G83" s="90" t="s">
        <v>19</v>
      </c>
      <c r="H83" s="90">
        <v>12.8</v>
      </c>
      <c r="I83" s="201" t="s">
        <v>47</v>
      </c>
    </row>
    <row r="84" spans="2:13" ht="15.75">
      <c r="H84" s="325">
        <f>SUM(H6:H80)</f>
        <v>1034.27</v>
      </c>
      <c r="M84" s="323">
        <v>4.8</v>
      </c>
    </row>
    <row r="85" spans="2:13" ht="15.75" thickBot="1"/>
    <row r="86" spans="2:13">
      <c r="B86" s="181" t="s">
        <v>0</v>
      </c>
      <c r="C86" s="249" t="s">
        <v>43</v>
      </c>
      <c r="D86" s="249" t="s">
        <v>1</v>
      </c>
      <c r="E86" s="331" t="s">
        <v>2</v>
      </c>
      <c r="F86" s="331" t="s">
        <v>3</v>
      </c>
      <c r="G86" s="249" t="s">
        <v>4</v>
      </c>
      <c r="H86" s="249" t="s">
        <v>7</v>
      </c>
      <c r="I86" s="250" t="s">
        <v>56</v>
      </c>
    </row>
    <row r="88" spans="2:13">
      <c r="D88" s="202" t="s">
        <v>569</v>
      </c>
      <c r="E88" s="25" t="s">
        <v>562</v>
      </c>
      <c r="F88" s="25" t="s">
        <v>560</v>
      </c>
      <c r="G88" s="202" t="s">
        <v>11</v>
      </c>
      <c r="H88">
        <v>30</v>
      </c>
      <c r="I88" s="25" t="s">
        <v>287</v>
      </c>
    </row>
    <row r="89" spans="2:13">
      <c r="D89" s="202" t="s">
        <v>569</v>
      </c>
      <c r="E89" s="25" t="s">
        <v>562</v>
      </c>
      <c r="F89" t="s">
        <v>561</v>
      </c>
      <c r="G89" t="s">
        <v>19</v>
      </c>
      <c r="H89">
        <v>20</v>
      </c>
      <c r="I89" s="25" t="s">
        <v>287</v>
      </c>
    </row>
    <row r="90" spans="2:13">
      <c r="D90" s="202" t="s">
        <v>569</v>
      </c>
      <c r="E90" s="25" t="s">
        <v>15</v>
      </c>
      <c r="F90" s="25" t="s">
        <v>564</v>
      </c>
      <c r="G90" s="202" t="s">
        <v>23</v>
      </c>
      <c r="H90">
        <v>7.5</v>
      </c>
      <c r="I90" s="25" t="s">
        <v>275</v>
      </c>
    </row>
    <row r="91" spans="2:13">
      <c r="D91" s="202" t="s">
        <v>569</v>
      </c>
      <c r="E91" s="25" t="s">
        <v>10</v>
      </c>
      <c r="F91" t="s">
        <v>565</v>
      </c>
      <c r="G91" t="s">
        <v>19</v>
      </c>
      <c r="H91">
        <v>29</v>
      </c>
      <c r="I91" s="25" t="s">
        <v>287</v>
      </c>
    </row>
    <row r="92" spans="2:13">
      <c r="D92" s="202" t="s">
        <v>569</v>
      </c>
      <c r="E92" s="25" t="s">
        <v>10</v>
      </c>
      <c r="F92" s="25" t="s">
        <v>566</v>
      </c>
      <c r="G92" s="202" t="s">
        <v>24</v>
      </c>
      <c r="H92">
        <v>8.8000000000000007</v>
      </c>
      <c r="I92" s="25" t="s">
        <v>287</v>
      </c>
    </row>
    <row r="93" spans="2:13">
      <c r="D93" t="s">
        <v>549</v>
      </c>
      <c r="E93" s="25" t="s">
        <v>10</v>
      </c>
      <c r="F93" t="s">
        <v>567</v>
      </c>
      <c r="G93" t="s">
        <v>19</v>
      </c>
      <c r="H93">
        <v>5</v>
      </c>
      <c r="I93" s="25" t="s">
        <v>275</v>
      </c>
    </row>
    <row r="94" spans="2:13">
      <c r="D94" t="s">
        <v>549</v>
      </c>
      <c r="E94" s="25" t="s">
        <v>10</v>
      </c>
      <c r="F94" s="25" t="s">
        <v>568</v>
      </c>
      <c r="G94" t="s">
        <v>19</v>
      </c>
      <c r="H94">
        <v>18.5</v>
      </c>
      <c r="I94" s="25" t="s">
        <v>275</v>
      </c>
    </row>
    <row r="95" spans="2:13">
      <c r="D95" s="202" t="s">
        <v>569</v>
      </c>
      <c r="E95" s="25" t="s">
        <v>17</v>
      </c>
      <c r="F95" t="s">
        <v>570</v>
      </c>
      <c r="G95" t="s">
        <v>24</v>
      </c>
      <c r="H95">
        <v>8</v>
      </c>
      <c r="I95" s="25" t="s">
        <v>287</v>
      </c>
    </row>
    <row r="96" spans="2:13">
      <c r="D96" s="202" t="s">
        <v>549</v>
      </c>
      <c r="E96" s="25" t="s">
        <v>63</v>
      </c>
      <c r="F96" s="25" t="s">
        <v>571</v>
      </c>
      <c r="G96" t="s">
        <v>23</v>
      </c>
      <c r="H96">
        <v>8</v>
      </c>
      <c r="I96" s="25" t="s">
        <v>275</v>
      </c>
    </row>
    <row r="97" spans="4:4">
      <c r="D97" s="202" t="s">
        <v>569</v>
      </c>
    </row>
  </sheetData>
  <mergeCells count="14">
    <mergeCell ref="Y3:AC3"/>
    <mergeCell ref="AD3:AE3"/>
    <mergeCell ref="L15:M15"/>
    <mergeCell ref="O15:P15"/>
    <mergeCell ref="S15:T15"/>
    <mergeCell ref="W15:Y15"/>
    <mergeCell ref="Z15:AA15"/>
    <mergeCell ref="AB15:AC15"/>
    <mergeCell ref="W3:X3"/>
    <mergeCell ref="K2:Q2"/>
    <mergeCell ref="L3:M3"/>
    <mergeCell ref="N3:Q3"/>
    <mergeCell ref="R3:R15"/>
    <mergeCell ref="S3:T3"/>
  </mergeCells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94"/>
  <sheetViews>
    <sheetView topLeftCell="H1" workbookViewId="0">
      <selection activeCell="T22" sqref="T22"/>
    </sheetView>
  </sheetViews>
  <sheetFormatPr defaultColWidth="11.42578125" defaultRowHeight="15"/>
  <cols>
    <col min="1" max="1" width="8.85546875" customWidth="1"/>
    <col min="2" max="2" width="5.140625" customWidth="1"/>
    <col min="3" max="4" width="10.42578125" style="37" bestFit="1" customWidth="1"/>
    <col min="5" max="5" width="8.42578125" style="37" bestFit="1" customWidth="1"/>
    <col min="6" max="6" width="39.42578125" style="37" bestFit="1" customWidth="1"/>
    <col min="7" max="7" width="10.42578125" style="37" bestFit="1" customWidth="1"/>
    <col min="8" max="8" width="8.140625" style="37" bestFit="1" customWidth="1"/>
    <col min="9" max="9" width="12.140625" style="37" customWidth="1"/>
    <col min="10" max="10" width="8.85546875" customWidth="1"/>
    <col min="11" max="11" width="10.7109375" bestFit="1" customWidth="1"/>
    <col min="12" max="13" width="8.85546875" customWidth="1"/>
    <col min="14" max="14" width="7.140625" customWidth="1"/>
    <col min="15" max="15" width="8.85546875" customWidth="1"/>
    <col min="16" max="16" width="11.28515625" customWidth="1"/>
    <col min="17" max="17" width="10.42578125" customWidth="1"/>
    <col min="18" max="18" width="8.85546875" customWidth="1"/>
    <col min="19" max="19" width="10.28515625" customWidth="1"/>
    <col min="20" max="20" width="8.85546875" customWidth="1"/>
    <col min="21" max="22" width="0" hidden="1" customWidth="1"/>
    <col min="23" max="23" width="10.42578125" customWidth="1"/>
    <col min="24" max="24" width="9.42578125" customWidth="1"/>
    <col min="25" max="25" width="0" hidden="1" customWidth="1"/>
    <col min="26" max="26" width="11.140625" customWidth="1"/>
    <col min="27" max="29" width="8.85546875" customWidth="1"/>
    <col min="30" max="30" width="9.85546875" customWidth="1"/>
    <col min="31" max="256" width="8.85546875" customWidth="1"/>
  </cols>
  <sheetData>
    <row r="1" spans="2:31" ht="15.75" thickBot="1"/>
    <row r="2" spans="2:31" ht="21.75" customHeight="1" thickBot="1">
      <c r="K2" s="811" t="s">
        <v>631</v>
      </c>
      <c r="L2" s="812"/>
      <c r="M2" s="812"/>
      <c r="N2" s="812"/>
      <c r="O2" s="812"/>
      <c r="P2" s="812"/>
      <c r="Q2" s="812"/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6"/>
      <c r="AE2" s="337"/>
    </row>
    <row r="3" spans="2:31" ht="16.5" customHeight="1" thickBot="1">
      <c r="B3" s="188" t="s">
        <v>471</v>
      </c>
      <c r="C3" s="390"/>
      <c r="D3" s="389"/>
      <c r="E3" s="390"/>
      <c r="F3" s="390"/>
      <c r="G3" s="390"/>
      <c r="H3" s="390"/>
      <c r="I3" s="391"/>
      <c r="K3" s="347"/>
      <c r="L3" s="807" t="s">
        <v>409</v>
      </c>
      <c r="M3" s="813"/>
      <c r="N3" s="804" t="s">
        <v>395</v>
      </c>
      <c r="O3" s="814"/>
      <c r="P3" s="814"/>
      <c r="Q3" s="815"/>
      <c r="R3" s="808" t="s">
        <v>550</v>
      </c>
      <c r="S3" s="804" t="s">
        <v>433</v>
      </c>
      <c r="T3" s="806"/>
      <c r="U3" s="361"/>
      <c r="V3" s="368"/>
      <c r="W3" s="804" t="s">
        <v>392</v>
      </c>
      <c r="X3" s="806"/>
      <c r="Y3" s="804" t="s">
        <v>394</v>
      </c>
      <c r="Z3" s="805"/>
      <c r="AA3" s="805"/>
      <c r="AB3" s="805"/>
      <c r="AC3" s="806"/>
      <c r="AD3" s="807" t="s">
        <v>412</v>
      </c>
      <c r="AE3" s="806"/>
    </row>
    <row r="4" spans="2:31" ht="48.75" customHeight="1" thickBot="1">
      <c r="B4" s="272"/>
      <c r="C4" s="310"/>
      <c r="D4" s="310"/>
      <c r="E4" s="310"/>
      <c r="F4" s="310"/>
      <c r="G4" s="310"/>
      <c r="H4" s="310"/>
      <c r="I4" s="83"/>
      <c r="K4" s="348" t="s">
        <v>2</v>
      </c>
      <c r="L4" s="353" t="s">
        <v>407</v>
      </c>
      <c r="M4" s="354" t="s">
        <v>587</v>
      </c>
      <c r="N4" s="353" t="s">
        <v>434</v>
      </c>
      <c r="O4" s="338" t="s">
        <v>572</v>
      </c>
      <c r="P4" s="339" t="s">
        <v>510</v>
      </c>
      <c r="Q4" s="358" t="s">
        <v>95</v>
      </c>
      <c r="R4" s="809"/>
      <c r="S4" s="365" t="s">
        <v>125</v>
      </c>
      <c r="T4" s="366" t="s">
        <v>97</v>
      </c>
      <c r="U4" s="362" t="s">
        <v>98</v>
      </c>
      <c r="V4" s="369" t="s">
        <v>97</v>
      </c>
      <c r="W4" s="374" t="s">
        <v>369</v>
      </c>
      <c r="X4" s="375" t="s">
        <v>392</v>
      </c>
      <c r="Y4" s="377" t="s">
        <v>393</v>
      </c>
      <c r="Z4" s="340" t="s">
        <v>406</v>
      </c>
      <c r="AA4" s="340" t="s">
        <v>97</v>
      </c>
      <c r="AB4" s="341" t="s">
        <v>525</v>
      </c>
      <c r="AC4" s="378" t="s">
        <v>97</v>
      </c>
      <c r="AD4" s="381" t="s">
        <v>411</v>
      </c>
      <c r="AE4" s="344" t="s">
        <v>410</v>
      </c>
    </row>
    <row r="5" spans="2:31" ht="15.75" thickBot="1">
      <c r="B5" s="400" t="s">
        <v>0</v>
      </c>
      <c r="C5" s="401" t="s">
        <v>43</v>
      </c>
      <c r="D5" s="587" t="s">
        <v>1</v>
      </c>
      <c r="E5" s="588" t="s">
        <v>2</v>
      </c>
      <c r="F5" s="588" t="s">
        <v>3</v>
      </c>
      <c r="G5" s="587" t="s">
        <v>4</v>
      </c>
      <c r="H5" s="588" t="s">
        <v>7</v>
      </c>
      <c r="I5" s="589" t="s">
        <v>56</v>
      </c>
      <c r="K5" s="278" t="s">
        <v>13</v>
      </c>
      <c r="L5" s="146">
        <v>43</v>
      </c>
      <c r="M5" s="355">
        <f>L5*30%</f>
        <v>12.9</v>
      </c>
      <c r="N5" s="359">
        <f>L5*43%</f>
        <v>18.489999999999998</v>
      </c>
      <c r="O5" s="342">
        <f>COUNTIFS($E:$E,$K5,$D:$D,"Aug")+COUNTIFS($E:$E,$K5,$D:$D,"July")+COUNTIFS($E:$E,$K5,$D:$D,"Oct")+COUNTIFS($E:$E,$K5,$D:$D,"Sep")</f>
        <v>0</v>
      </c>
      <c r="P5" s="343">
        <f t="shared" ref="P5:P13" si="0">COUNTIFS($E:$E,K5,$D:$D,"Nov")</f>
        <v>13</v>
      </c>
      <c r="Q5" s="41">
        <v>2</v>
      </c>
      <c r="R5" s="809"/>
      <c r="S5" s="321">
        <f t="shared" ref="S5:S13" si="1">SUMIFS($H:$H,$E:$E,$K5,$I:$I,"Login Done")</f>
        <v>0</v>
      </c>
      <c r="T5" s="367">
        <f t="shared" ref="T5:T13" si="2">COUNTIFS($E:$E,$K5,$I:$I,"Login Done")</f>
        <v>0</v>
      </c>
      <c r="U5" s="363" t="e">
        <f>SUMIFS(#REF!,$E:$E,$M5,$J:$J,"Login Today")</f>
        <v>#REF!</v>
      </c>
      <c r="V5" s="370">
        <f t="shared" ref="V5:V10" si="3">COUNTIFS($E:$E,$M5,$J:$J,"Login Today")</f>
        <v>0</v>
      </c>
      <c r="W5" s="261">
        <f>SUMIFS($H:$H,$E:$E,$K5,$I:$I,"Approved")</f>
        <v>34.9</v>
      </c>
      <c r="X5" s="376">
        <f t="shared" ref="X5:X13" si="4">COUNTIFS($E:$E,$K5,$I:$I,"Approved")</f>
        <v>2</v>
      </c>
      <c r="Y5" s="379">
        <f t="shared" ref="Y5:Y10" si="5">COUNTIFS($E:$E,$M5,$J:$J,"By 30th ")</f>
        <v>0</v>
      </c>
      <c r="Z5" s="27">
        <f t="shared" ref="Z5:Z13" si="6">SUMIFS($H:$H,$E:$E,$K5,$I:$I,"Disbursed")</f>
        <v>144</v>
      </c>
      <c r="AA5" s="27">
        <f t="shared" ref="AA5:AA13" si="7">COUNTIFS($E:$E,$K5,$I:$I,"Disbursed")</f>
        <v>10</v>
      </c>
      <c r="AB5" s="51">
        <f t="shared" ref="AB5:AB13" si="8">SUMIFS($H:$H,$E:$E,$K5,$I:$I,"Plan Today")</f>
        <v>20</v>
      </c>
      <c r="AC5" s="380">
        <f t="shared" ref="AC5:AC13" si="9">COUNTIFS($E:$E,$K5,$I:$I,"Plan Today")</f>
        <v>1</v>
      </c>
      <c r="AD5" s="248">
        <f t="shared" ref="AD5:AD10" si="10">S5+W5+Z5+AB5</f>
        <v>198.9</v>
      </c>
      <c r="AE5" s="103">
        <f t="shared" ref="AE5:AE10" si="11">T5+X5+AA5+AC5</f>
        <v>13</v>
      </c>
    </row>
    <row r="6" spans="2:31">
      <c r="B6" s="146">
        <v>1</v>
      </c>
      <c r="C6" s="583">
        <v>44391</v>
      </c>
      <c r="D6" s="78" t="s">
        <v>405</v>
      </c>
      <c r="E6" s="79" t="s">
        <v>22</v>
      </c>
      <c r="F6" s="79" t="s">
        <v>417</v>
      </c>
      <c r="G6" s="79" t="s">
        <v>11</v>
      </c>
      <c r="H6" s="79">
        <v>27</v>
      </c>
      <c r="I6" s="492" t="s">
        <v>275</v>
      </c>
      <c r="K6" s="278" t="s">
        <v>14</v>
      </c>
      <c r="L6" s="146">
        <v>25</v>
      </c>
      <c r="M6" s="355">
        <f>L6*30%</f>
        <v>7.5</v>
      </c>
      <c r="N6" s="359">
        <f t="shared" ref="N6:N13" si="12">L6*43%</f>
        <v>10.75</v>
      </c>
      <c r="O6" s="342">
        <f t="shared" ref="O6:O13" si="13">COUNTIFS($E:$E,$K6,$D:$D,"Aug")+COUNTIFS($E:$E,$K6,$D:$D,"July")+COUNTIFS($E:$E,$K6,$D:$D,"Oct")+COUNTIFS($E:$E,$K6,$D:$D,"Sep")</f>
        <v>5</v>
      </c>
      <c r="P6" s="343">
        <f t="shared" si="0"/>
        <v>12</v>
      </c>
      <c r="Q6" s="41">
        <v>2</v>
      </c>
      <c r="R6" s="809"/>
      <c r="S6" s="321">
        <f t="shared" si="1"/>
        <v>0</v>
      </c>
      <c r="T6" s="367">
        <f t="shared" si="2"/>
        <v>0</v>
      </c>
      <c r="U6" s="363" t="e">
        <f>SUMIFS(#REF!,$E:$E,$M6,$J:$J,"Login Today")</f>
        <v>#REF!</v>
      </c>
      <c r="V6" s="370">
        <f t="shared" si="3"/>
        <v>0</v>
      </c>
      <c r="W6" s="261">
        <f t="shared" ref="W6:W13" si="14">SUMIFS($H:$H,$E:$E,$K6,$I:$I,"Approved")</f>
        <v>78</v>
      </c>
      <c r="X6" s="376">
        <f t="shared" si="4"/>
        <v>3</v>
      </c>
      <c r="Y6" s="379">
        <f t="shared" si="5"/>
        <v>0</v>
      </c>
      <c r="Z6" s="27">
        <f t="shared" si="6"/>
        <v>98.75</v>
      </c>
      <c r="AA6" s="27">
        <f t="shared" si="7"/>
        <v>8</v>
      </c>
      <c r="AB6" s="51">
        <f t="shared" si="8"/>
        <v>63</v>
      </c>
      <c r="AC6" s="380">
        <f t="shared" si="9"/>
        <v>5</v>
      </c>
      <c r="AD6" s="248">
        <f t="shared" si="10"/>
        <v>239.75</v>
      </c>
      <c r="AE6" s="103">
        <f t="shared" si="11"/>
        <v>16</v>
      </c>
    </row>
    <row r="7" spans="2:31">
      <c r="B7" s="146">
        <v>2</v>
      </c>
      <c r="C7" s="584">
        <v>44320</v>
      </c>
      <c r="D7" s="146" t="s">
        <v>428</v>
      </c>
      <c r="E7" s="2" t="s">
        <v>14</v>
      </c>
      <c r="F7" s="2" t="s">
        <v>429</v>
      </c>
      <c r="G7" s="2" t="s">
        <v>11</v>
      </c>
      <c r="H7" s="2">
        <v>27.4</v>
      </c>
      <c r="I7" s="162" t="s">
        <v>47</v>
      </c>
      <c r="K7" s="279" t="s">
        <v>17</v>
      </c>
      <c r="L7" s="114">
        <v>16</v>
      </c>
      <c r="M7" s="355">
        <f>L7*30%</f>
        <v>4.8</v>
      </c>
      <c r="N7" s="359">
        <f t="shared" si="12"/>
        <v>6.88</v>
      </c>
      <c r="O7" s="342">
        <f t="shared" si="13"/>
        <v>2</v>
      </c>
      <c r="P7" s="343">
        <f t="shared" si="0"/>
        <v>5</v>
      </c>
      <c r="Q7" s="41"/>
      <c r="R7" s="809"/>
      <c r="S7" s="321">
        <f t="shared" si="1"/>
        <v>0</v>
      </c>
      <c r="T7" s="367">
        <f t="shared" si="2"/>
        <v>0</v>
      </c>
      <c r="U7" s="363" t="e">
        <f>SUMIFS(#REF!,$E:$E,$M7,$J:$J,"Login Today")</f>
        <v>#REF!</v>
      </c>
      <c r="V7" s="370">
        <f t="shared" si="3"/>
        <v>0</v>
      </c>
      <c r="W7" s="261">
        <f t="shared" si="14"/>
        <v>0</v>
      </c>
      <c r="X7" s="376">
        <f t="shared" si="4"/>
        <v>0</v>
      </c>
      <c r="Y7" s="379">
        <f t="shared" si="5"/>
        <v>0</v>
      </c>
      <c r="Z7" s="27">
        <f t="shared" si="6"/>
        <v>29</v>
      </c>
      <c r="AA7" s="27">
        <f t="shared" si="7"/>
        <v>3</v>
      </c>
      <c r="AB7" s="51">
        <f t="shared" si="8"/>
        <v>25.86</v>
      </c>
      <c r="AC7" s="380">
        <f t="shared" si="9"/>
        <v>2</v>
      </c>
      <c r="AD7" s="248">
        <f t="shared" si="10"/>
        <v>54.86</v>
      </c>
      <c r="AE7" s="103">
        <f t="shared" si="11"/>
        <v>5</v>
      </c>
    </row>
    <row r="8" spans="2:31">
      <c r="B8" s="146">
        <v>3</v>
      </c>
      <c r="C8" s="584">
        <v>44425</v>
      </c>
      <c r="D8" s="146" t="s">
        <v>428</v>
      </c>
      <c r="E8" s="2" t="s">
        <v>14</v>
      </c>
      <c r="F8" s="2" t="s">
        <v>446</v>
      </c>
      <c r="G8" s="2" t="s">
        <v>19</v>
      </c>
      <c r="H8" s="2">
        <v>21</v>
      </c>
      <c r="I8" s="162" t="s">
        <v>168</v>
      </c>
      <c r="K8" s="278" t="s">
        <v>340</v>
      </c>
      <c r="L8" s="146">
        <v>8</v>
      </c>
      <c r="M8" s="355">
        <f>L8*30%</f>
        <v>2.4</v>
      </c>
      <c r="N8" s="359">
        <f t="shared" si="12"/>
        <v>3.44</v>
      </c>
      <c r="O8" s="342">
        <f t="shared" si="13"/>
        <v>0</v>
      </c>
      <c r="P8" s="343">
        <f t="shared" si="0"/>
        <v>4</v>
      </c>
      <c r="Q8" s="41"/>
      <c r="R8" s="809"/>
      <c r="S8" s="321">
        <f t="shared" si="1"/>
        <v>0</v>
      </c>
      <c r="T8" s="367">
        <f t="shared" si="2"/>
        <v>0</v>
      </c>
      <c r="U8" s="363" t="e">
        <f>SUMIFS(#REF!,$E:$E,$M8,$J:$J,"Login Today")</f>
        <v>#REF!</v>
      </c>
      <c r="V8" s="370">
        <f t="shared" si="3"/>
        <v>0</v>
      </c>
      <c r="W8" s="261">
        <f t="shared" si="14"/>
        <v>13</v>
      </c>
      <c r="X8" s="376">
        <f t="shared" si="4"/>
        <v>1</v>
      </c>
      <c r="Y8" s="379">
        <f t="shared" si="5"/>
        <v>0</v>
      </c>
      <c r="Z8" s="27">
        <f t="shared" si="6"/>
        <v>41</v>
      </c>
      <c r="AA8" s="27">
        <f t="shared" si="7"/>
        <v>3</v>
      </c>
      <c r="AB8" s="51">
        <f t="shared" si="8"/>
        <v>0</v>
      </c>
      <c r="AC8" s="380">
        <f t="shared" si="9"/>
        <v>0</v>
      </c>
      <c r="AD8" s="248">
        <f t="shared" si="10"/>
        <v>54</v>
      </c>
      <c r="AE8" s="103">
        <f t="shared" si="11"/>
        <v>4</v>
      </c>
    </row>
    <row r="9" spans="2:31">
      <c r="B9" s="146">
        <v>4</v>
      </c>
      <c r="C9" s="584">
        <v>44425</v>
      </c>
      <c r="D9" s="146" t="s">
        <v>428</v>
      </c>
      <c r="E9" s="2" t="s">
        <v>14</v>
      </c>
      <c r="F9" s="2" t="s">
        <v>447</v>
      </c>
      <c r="G9" s="2" t="s">
        <v>19</v>
      </c>
      <c r="H9" s="2">
        <v>18</v>
      </c>
      <c r="I9" s="162" t="s">
        <v>47</v>
      </c>
      <c r="K9" s="278" t="s">
        <v>10</v>
      </c>
      <c r="L9" s="146">
        <v>37</v>
      </c>
      <c r="M9" s="355">
        <f>L9*35%</f>
        <v>12.95</v>
      </c>
      <c r="N9" s="359">
        <f t="shared" si="12"/>
        <v>15.91</v>
      </c>
      <c r="O9" s="342">
        <f t="shared" si="13"/>
        <v>4</v>
      </c>
      <c r="P9" s="343">
        <f t="shared" si="0"/>
        <v>8</v>
      </c>
      <c r="Q9" s="41">
        <v>4</v>
      </c>
      <c r="R9" s="809"/>
      <c r="S9" s="321">
        <f t="shared" si="1"/>
        <v>57</v>
      </c>
      <c r="T9" s="367">
        <f t="shared" si="2"/>
        <v>3</v>
      </c>
      <c r="U9" s="363" t="e">
        <f>SUMIFS(#REF!,$E:$E,$M9,$J:$J,"Login Today")</f>
        <v>#REF!</v>
      </c>
      <c r="V9" s="370">
        <f t="shared" si="3"/>
        <v>0</v>
      </c>
      <c r="W9" s="261">
        <f t="shared" si="14"/>
        <v>45.9</v>
      </c>
      <c r="X9" s="376">
        <f t="shared" si="4"/>
        <v>3</v>
      </c>
      <c r="Y9" s="379">
        <f t="shared" si="5"/>
        <v>0</v>
      </c>
      <c r="Z9" s="27">
        <f t="shared" si="6"/>
        <v>86.98</v>
      </c>
      <c r="AA9" s="27">
        <f t="shared" si="7"/>
        <v>5</v>
      </c>
      <c r="AB9" s="51">
        <f t="shared" si="8"/>
        <v>30</v>
      </c>
      <c r="AC9" s="380">
        <f t="shared" si="9"/>
        <v>1</v>
      </c>
      <c r="AD9" s="248">
        <f t="shared" si="10"/>
        <v>219.88</v>
      </c>
      <c r="AE9" s="103">
        <f t="shared" si="11"/>
        <v>12</v>
      </c>
    </row>
    <row r="10" spans="2:31">
      <c r="B10" s="146">
        <v>5</v>
      </c>
      <c r="C10" s="584">
        <v>44422</v>
      </c>
      <c r="D10" s="146" t="s">
        <v>428</v>
      </c>
      <c r="E10" s="2" t="s">
        <v>14</v>
      </c>
      <c r="F10" s="2" t="s">
        <v>441</v>
      </c>
      <c r="G10" s="2" t="s">
        <v>11</v>
      </c>
      <c r="H10" s="2">
        <v>30</v>
      </c>
      <c r="I10" s="162" t="s">
        <v>275</v>
      </c>
      <c r="K10" s="278" t="s">
        <v>22</v>
      </c>
      <c r="L10" s="146">
        <v>12</v>
      </c>
      <c r="M10" s="355">
        <f>L10*35%</f>
        <v>4.1999999999999993</v>
      </c>
      <c r="N10" s="359">
        <f t="shared" si="12"/>
        <v>5.16</v>
      </c>
      <c r="O10" s="342">
        <f t="shared" si="13"/>
        <v>1</v>
      </c>
      <c r="P10" s="343">
        <f t="shared" si="0"/>
        <v>2</v>
      </c>
      <c r="Q10" s="41">
        <v>1</v>
      </c>
      <c r="R10" s="809"/>
      <c r="S10" s="321">
        <f t="shared" si="1"/>
        <v>0</v>
      </c>
      <c r="T10" s="367">
        <f t="shared" si="2"/>
        <v>0</v>
      </c>
      <c r="U10" s="363" t="e">
        <f>SUMIFS(#REF!,$E:$E,$M10,$J:$J,"Login Today")</f>
        <v>#REF!</v>
      </c>
      <c r="V10" s="370">
        <f t="shared" si="3"/>
        <v>0</v>
      </c>
      <c r="W10" s="261">
        <f t="shared" si="14"/>
        <v>47</v>
      </c>
      <c r="X10" s="376">
        <f t="shared" si="4"/>
        <v>2</v>
      </c>
      <c r="Y10" s="379">
        <f t="shared" si="5"/>
        <v>0</v>
      </c>
      <c r="Z10" s="27">
        <f t="shared" si="6"/>
        <v>3</v>
      </c>
      <c r="AA10" s="27">
        <f t="shared" si="7"/>
        <v>1</v>
      </c>
      <c r="AB10" s="51">
        <f t="shared" si="8"/>
        <v>0</v>
      </c>
      <c r="AC10" s="380">
        <f t="shared" si="9"/>
        <v>0</v>
      </c>
      <c r="AD10" s="248">
        <f t="shared" si="10"/>
        <v>50</v>
      </c>
      <c r="AE10" s="103">
        <f t="shared" si="11"/>
        <v>3</v>
      </c>
    </row>
    <row r="11" spans="2:31">
      <c r="B11" s="146">
        <v>6</v>
      </c>
      <c r="C11" s="584">
        <v>44457</v>
      </c>
      <c r="D11" s="114" t="s">
        <v>458</v>
      </c>
      <c r="E11" s="2" t="s">
        <v>10</v>
      </c>
      <c r="F11" s="2" t="s">
        <v>480</v>
      </c>
      <c r="G11" s="2" t="s">
        <v>19</v>
      </c>
      <c r="H11" s="2">
        <v>20</v>
      </c>
      <c r="I11" s="160" t="s">
        <v>47</v>
      </c>
      <c r="K11" s="278" t="s">
        <v>63</v>
      </c>
      <c r="L11" s="146">
        <v>5</v>
      </c>
      <c r="M11" s="355">
        <f>L11*35%</f>
        <v>1.75</v>
      </c>
      <c r="N11" s="359">
        <f t="shared" si="12"/>
        <v>2.15</v>
      </c>
      <c r="O11" s="342">
        <f t="shared" si="13"/>
        <v>3</v>
      </c>
      <c r="P11" s="343">
        <f t="shared" si="0"/>
        <v>5</v>
      </c>
      <c r="Q11" s="360"/>
      <c r="R11" s="809"/>
      <c r="S11" s="321">
        <f t="shared" si="1"/>
        <v>18</v>
      </c>
      <c r="T11" s="367">
        <f t="shared" si="2"/>
        <v>1</v>
      </c>
      <c r="U11" s="364"/>
      <c r="V11" s="371"/>
      <c r="W11" s="261">
        <f t="shared" si="14"/>
        <v>43</v>
      </c>
      <c r="X11" s="376">
        <f t="shared" si="4"/>
        <v>2</v>
      </c>
      <c r="Y11" s="379"/>
      <c r="Z11" s="27">
        <f t="shared" si="6"/>
        <v>69.44</v>
      </c>
      <c r="AA11" s="27">
        <f t="shared" si="7"/>
        <v>5</v>
      </c>
      <c r="AB11" s="51">
        <f t="shared" si="8"/>
        <v>0</v>
      </c>
      <c r="AC11" s="380">
        <f t="shared" si="9"/>
        <v>0</v>
      </c>
      <c r="AD11" s="248">
        <f t="shared" ref="AD11:AE13" si="15">S11+W11+Z11+AB11</f>
        <v>130.44</v>
      </c>
      <c r="AE11" s="103">
        <f t="shared" si="15"/>
        <v>8</v>
      </c>
    </row>
    <row r="12" spans="2:31">
      <c r="B12" s="146">
        <v>7</v>
      </c>
      <c r="C12" s="584">
        <v>44462</v>
      </c>
      <c r="D12" s="114" t="s">
        <v>458</v>
      </c>
      <c r="E12" s="2" t="s">
        <v>14</v>
      </c>
      <c r="F12" s="2" t="s">
        <v>487</v>
      </c>
      <c r="G12" s="2" t="s">
        <v>11</v>
      </c>
      <c r="H12" s="2">
        <v>28</v>
      </c>
      <c r="I12" s="160" t="s">
        <v>275</v>
      </c>
      <c r="J12" s="25" t="s">
        <v>507</v>
      </c>
      <c r="K12" s="279" t="s">
        <v>15</v>
      </c>
      <c r="L12" s="146">
        <v>17</v>
      </c>
      <c r="M12" s="355">
        <f>L12*35%</f>
        <v>5.9499999999999993</v>
      </c>
      <c r="N12" s="359">
        <f t="shared" si="12"/>
        <v>7.31</v>
      </c>
      <c r="O12" s="342">
        <f t="shared" si="13"/>
        <v>2</v>
      </c>
      <c r="P12" s="343">
        <f t="shared" si="0"/>
        <v>5</v>
      </c>
      <c r="Q12" s="345"/>
      <c r="R12" s="809"/>
      <c r="S12" s="321">
        <f t="shared" si="1"/>
        <v>6</v>
      </c>
      <c r="T12" s="367">
        <f t="shared" si="2"/>
        <v>1</v>
      </c>
      <c r="U12" s="351"/>
      <c r="V12" s="372"/>
      <c r="W12" s="261">
        <f t="shared" si="14"/>
        <v>7.5</v>
      </c>
      <c r="X12" s="376">
        <f t="shared" si="4"/>
        <v>1</v>
      </c>
      <c r="Y12" s="356"/>
      <c r="Z12" s="27">
        <f t="shared" si="6"/>
        <v>20.8</v>
      </c>
      <c r="AA12" s="27">
        <f t="shared" si="7"/>
        <v>3</v>
      </c>
      <c r="AB12" s="51">
        <f t="shared" si="8"/>
        <v>32</v>
      </c>
      <c r="AC12" s="380">
        <f t="shared" si="9"/>
        <v>2</v>
      </c>
      <c r="AD12" s="248">
        <f t="shared" si="15"/>
        <v>66.3</v>
      </c>
      <c r="AE12" s="103">
        <f t="shared" si="15"/>
        <v>7</v>
      </c>
    </row>
    <row r="13" spans="2:31" ht="15.75" thickBot="1">
      <c r="B13" s="146">
        <v>8</v>
      </c>
      <c r="C13" s="584">
        <v>44462</v>
      </c>
      <c r="D13" s="114" t="s">
        <v>458</v>
      </c>
      <c r="E13" s="2" t="s">
        <v>63</v>
      </c>
      <c r="F13" s="2" t="s">
        <v>500</v>
      </c>
      <c r="G13" s="2" t="s">
        <v>23</v>
      </c>
      <c r="H13" s="2">
        <v>9.3699999999999992</v>
      </c>
      <c r="I13" s="160" t="s">
        <v>47</v>
      </c>
      <c r="K13" s="349" t="s">
        <v>25</v>
      </c>
      <c r="L13" s="146">
        <v>27</v>
      </c>
      <c r="M13" s="355">
        <f>L13*35%</f>
        <v>9.4499999999999993</v>
      </c>
      <c r="N13" s="359">
        <f t="shared" si="12"/>
        <v>11.61</v>
      </c>
      <c r="O13" s="342">
        <f t="shared" si="13"/>
        <v>1</v>
      </c>
      <c r="P13" s="343">
        <f t="shared" si="0"/>
        <v>7</v>
      </c>
      <c r="Q13" s="346"/>
      <c r="R13" s="809"/>
      <c r="S13" s="321">
        <f t="shared" si="1"/>
        <v>101</v>
      </c>
      <c r="T13" s="367">
        <f t="shared" si="2"/>
        <v>5</v>
      </c>
      <c r="U13" s="352"/>
      <c r="V13" s="373"/>
      <c r="W13" s="261">
        <f t="shared" si="14"/>
        <v>0</v>
      </c>
      <c r="X13" s="376">
        <f t="shared" si="4"/>
        <v>0</v>
      </c>
      <c r="Y13" s="357"/>
      <c r="Z13" s="27">
        <f t="shared" si="6"/>
        <v>36.369999999999997</v>
      </c>
      <c r="AA13" s="27">
        <f t="shared" si="7"/>
        <v>3</v>
      </c>
      <c r="AB13" s="51">
        <f t="shared" si="8"/>
        <v>0</v>
      </c>
      <c r="AC13" s="380">
        <f t="shared" si="9"/>
        <v>0</v>
      </c>
      <c r="AD13" s="248">
        <f t="shared" si="15"/>
        <v>137.37</v>
      </c>
      <c r="AE13" s="103">
        <f t="shared" si="15"/>
        <v>8</v>
      </c>
    </row>
    <row r="14" spans="2:31" ht="16.5" thickBot="1">
      <c r="B14" s="146">
        <v>9</v>
      </c>
      <c r="C14" s="584">
        <v>44462</v>
      </c>
      <c r="D14" s="114" t="s">
        <v>458</v>
      </c>
      <c r="E14" s="2" t="s">
        <v>63</v>
      </c>
      <c r="F14" s="2" t="s">
        <v>488</v>
      </c>
      <c r="G14" s="2" t="s">
        <v>23</v>
      </c>
      <c r="H14" s="2">
        <v>9.3699999999999992</v>
      </c>
      <c r="I14" s="160" t="s">
        <v>47</v>
      </c>
      <c r="J14" s="202"/>
      <c r="K14" s="350" t="s">
        <v>8</v>
      </c>
      <c r="L14" s="382">
        <f t="shared" ref="L14:Q14" si="16">SUM(L5:L13)</f>
        <v>190</v>
      </c>
      <c r="M14" s="383">
        <f t="shared" si="16"/>
        <v>61.900000000000006</v>
      </c>
      <c r="N14" s="383">
        <f t="shared" si="16"/>
        <v>81.699999999999989</v>
      </c>
      <c r="O14" s="383">
        <f t="shared" si="16"/>
        <v>18</v>
      </c>
      <c r="P14" s="383">
        <f>SUM(P5:P13)</f>
        <v>61</v>
      </c>
      <c r="Q14" s="383">
        <f t="shared" si="16"/>
        <v>9</v>
      </c>
      <c r="R14" s="810"/>
      <c r="S14" s="384">
        <f>SUM(S5:S13)</f>
        <v>182</v>
      </c>
      <c r="T14" s="384">
        <f>SUM(T5:T13)</f>
        <v>10</v>
      </c>
      <c r="U14" s="385"/>
      <c r="V14" s="386"/>
      <c r="W14" s="384">
        <f>SUM(W5:W13)</f>
        <v>269.3</v>
      </c>
      <c r="X14" s="384">
        <f>SUM(X5:X13)</f>
        <v>14</v>
      </c>
      <c r="Y14" s="387"/>
      <c r="Z14" s="388">
        <f t="shared" ref="Z14:AE14" si="17">SUM(Z5:Z13)</f>
        <v>529.34</v>
      </c>
      <c r="AA14" s="388">
        <f t="shared" si="17"/>
        <v>41</v>
      </c>
      <c r="AB14" s="388">
        <f t="shared" si="17"/>
        <v>170.86</v>
      </c>
      <c r="AC14" s="388">
        <f t="shared" si="17"/>
        <v>11</v>
      </c>
      <c r="AD14" s="384">
        <f t="shared" si="17"/>
        <v>1151.5</v>
      </c>
      <c r="AE14" s="384">
        <f t="shared" si="17"/>
        <v>76</v>
      </c>
    </row>
    <row r="15" spans="2:31">
      <c r="B15" s="146">
        <v>10</v>
      </c>
      <c r="C15" s="584">
        <v>44463</v>
      </c>
      <c r="D15" s="114" t="s">
        <v>458</v>
      </c>
      <c r="E15" s="2" t="s">
        <v>10</v>
      </c>
      <c r="F15" s="2" t="s">
        <v>490</v>
      </c>
      <c r="G15" s="2" t="s">
        <v>24</v>
      </c>
      <c r="H15" s="2">
        <v>6</v>
      </c>
      <c r="I15" s="160" t="s">
        <v>275</v>
      </c>
    </row>
    <row r="16" spans="2:31">
      <c r="B16" s="146">
        <v>11</v>
      </c>
      <c r="C16" s="584">
        <v>44461</v>
      </c>
      <c r="D16" s="114" t="s">
        <v>458</v>
      </c>
      <c r="E16" s="2" t="s">
        <v>17</v>
      </c>
      <c r="F16" s="3" t="s">
        <v>509</v>
      </c>
      <c r="G16" s="3" t="s">
        <v>23</v>
      </c>
      <c r="H16" s="3">
        <v>7</v>
      </c>
      <c r="I16" s="160" t="s">
        <v>168</v>
      </c>
    </row>
    <row r="17" spans="2:16">
      <c r="B17" s="146">
        <v>12</v>
      </c>
      <c r="C17" s="461"/>
      <c r="D17" s="146" t="s">
        <v>511</v>
      </c>
      <c r="E17" s="3" t="s">
        <v>15</v>
      </c>
      <c r="F17" s="3" t="s">
        <v>563</v>
      </c>
      <c r="G17" s="3" t="s">
        <v>284</v>
      </c>
      <c r="H17" s="2">
        <v>7.5</v>
      </c>
      <c r="I17" s="160" t="s">
        <v>275</v>
      </c>
      <c r="P17" s="421"/>
    </row>
    <row r="18" spans="2:16">
      <c r="B18" s="146">
        <v>13</v>
      </c>
      <c r="C18" s="584">
        <v>44477</v>
      </c>
      <c r="D18" s="146" t="s">
        <v>511</v>
      </c>
      <c r="E18" s="3" t="s">
        <v>25</v>
      </c>
      <c r="F18" s="3" t="s">
        <v>559</v>
      </c>
      <c r="G18" s="3" t="s">
        <v>23</v>
      </c>
      <c r="H18" s="3">
        <v>8.3699999999999992</v>
      </c>
      <c r="I18" s="160" t="s">
        <v>47</v>
      </c>
      <c r="P18" s="421"/>
    </row>
    <row r="19" spans="2:16">
      <c r="B19" s="146">
        <v>14</v>
      </c>
      <c r="C19" s="584">
        <v>44482</v>
      </c>
      <c r="D19" s="146" t="s">
        <v>511</v>
      </c>
      <c r="E19" s="2" t="s">
        <v>346</v>
      </c>
      <c r="F19" s="2" t="s">
        <v>539</v>
      </c>
      <c r="G19" s="2" t="s">
        <v>19</v>
      </c>
      <c r="H19" s="2">
        <v>15</v>
      </c>
      <c r="I19" s="160" t="s">
        <v>168</v>
      </c>
      <c r="P19" s="421"/>
    </row>
    <row r="20" spans="2:16">
      <c r="B20" s="146">
        <v>15</v>
      </c>
      <c r="C20" s="584">
        <v>44482</v>
      </c>
      <c r="D20" s="146" t="s">
        <v>511</v>
      </c>
      <c r="E20" s="2" t="s">
        <v>17</v>
      </c>
      <c r="F20" s="2" t="s">
        <v>546</v>
      </c>
      <c r="G20" s="2" t="s">
        <v>19</v>
      </c>
      <c r="H20" s="2">
        <v>16</v>
      </c>
      <c r="I20" s="162" t="s">
        <v>168</v>
      </c>
      <c r="P20" s="421"/>
    </row>
    <row r="21" spans="2:16">
      <c r="B21" s="146">
        <v>16</v>
      </c>
      <c r="C21" s="584">
        <v>44490</v>
      </c>
      <c r="D21" s="146" t="s">
        <v>549</v>
      </c>
      <c r="E21" s="3" t="s">
        <v>15</v>
      </c>
      <c r="F21" s="3" t="s">
        <v>551</v>
      </c>
      <c r="G21" s="402" t="s">
        <v>24</v>
      </c>
      <c r="H21" s="402">
        <v>6</v>
      </c>
      <c r="I21" s="160" t="s">
        <v>341</v>
      </c>
      <c r="P21" s="421"/>
    </row>
    <row r="22" spans="2:16">
      <c r="B22" s="146">
        <v>17</v>
      </c>
      <c r="C22" s="461"/>
      <c r="D22" s="590" t="s">
        <v>569</v>
      </c>
      <c r="E22" s="3" t="s">
        <v>562</v>
      </c>
      <c r="F22" s="3" t="s">
        <v>560</v>
      </c>
      <c r="G22" s="402" t="s">
        <v>11</v>
      </c>
      <c r="H22" s="2">
        <v>30</v>
      </c>
      <c r="I22" s="160" t="s">
        <v>287</v>
      </c>
      <c r="P22" s="421"/>
    </row>
    <row r="23" spans="2:16">
      <c r="B23" s="146">
        <v>18</v>
      </c>
      <c r="C23" s="461"/>
      <c r="D23" s="590" t="s">
        <v>569</v>
      </c>
      <c r="E23" s="3" t="s">
        <v>562</v>
      </c>
      <c r="F23" s="2" t="s">
        <v>561</v>
      </c>
      <c r="G23" s="2" t="s">
        <v>19</v>
      </c>
      <c r="H23" s="2">
        <v>20</v>
      </c>
      <c r="I23" s="160" t="s">
        <v>287</v>
      </c>
      <c r="P23" s="421"/>
    </row>
    <row r="24" spans="2:16">
      <c r="B24" s="146">
        <v>19</v>
      </c>
      <c r="C24" s="461"/>
      <c r="D24" s="590" t="s">
        <v>569</v>
      </c>
      <c r="E24" s="3" t="s">
        <v>15</v>
      </c>
      <c r="F24" s="3" t="s">
        <v>564</v>
      </c>
      <c r="G24" s="402" t="s">
        <v>23</v>
      </c>
      <c r="H24" s="2">
        <v>7.5</v>
      </c>
      <c r="I24" s="160" t="s">
        <v>47</v>
      </c>
      <c r="P24" s="421"/>
    </row>
    <row r="25" spans="2:16">
      <c r="B25" s="146">
        <v>20</v>
      </c>
      <c r="C25" s="461"/>
      <c r="D25" s="590" t="s">
        <v>569</v>
      </c>
      <c r="E25" s="3" t="s">
        <v>10</v>
      </c>
      <c r="F25" s="2" t="s">
        <v>565</v>
      </c>
      <c r="G25" s="2" t="s">
        <v>19</v>
      </c>
      <c r="H25" s="2">
        <v>29</v>
      </c>
      <c r="I25" s="160" t="s">
        <v>287</v>
      </c>
      <c r="P25" s="421"/>
    </row>
    <row r="26" spans="2:16">
      <c r="B26" s="146">
        <v>21</v>
      </c>
      <c r="C26" s="461"/>
      <c r="D26" s="590" t="s">
        <v>569</v>
      </c>
      <c r="E26" s="3" t="s">
        <v>348</v>
      </c>
      <c r="F26" s="3" t="s">
        <v>566</v>
      </c>
      <c r="G26" s="402" t="s">
        <v>24</v>
      </c>
      <c r="H26" s="2">
        <v>8.8000000000000007</v>
      </c>
      <c r="I26" s="160" t="s">
        <v>167</v>
      </c>
      <c r="P26" s="421"/>
    </row>
    <row r="27" spans="2:16">
      <c r="B27" s="146">
        <v>22</v>
      </c>
      <c r="C27" s="461"/>
      <c r="D27" s="146" t="s">
        <v>549</v>
      </c>
      <c r="E27" s="3" t="s">
        <v>10</v>
      </c>
      <c r="F27" s="2" t="s">
        <v>567</v>
      </c>
      <c r="G27" s="2" t="s">
        <v>19</v>
      </c>
      <c r="H27" s="2">
        <v>5</v>
      </c>
      <c r="I27" s="160" t="s">
        <v>47</v>
      </c>
      <c r="P27" s="421"/>
    </row>
    <row r="28" spans="2:16">
      <c r="B28" s="146">
        <v>23</v>
      </c>
      <c r="C28" s="461"/>
      <c r="D28" s="146" t="s">
        <v>549</v>
      </c>
      <c r="E28" s="3" t="s">
        <v>10</v>
      </c>
      <c r="F28" s="3" t="s">
        <v>568</v>
      </c>
      <c r="G28" s="2" t="s">
        <v>19</v>
      </c>
      <c r="H28" s="2">
        <v>18.5</v>
      </c>
      <c r="I28" s="160" t="s">
        <v>47</v>
      </c>
    </row>
    <row r="29" spans="2:16">
      <c r="B29" s="146">
        <v>24</v>
      </c>
      <c r="C29" s="461"/>
      <c r="D29" s="590" t="s">
        <v>569</v>
      </c>
      <c r="E29" s="3" t="s">
        <v>17</v>
      </c>
      <c r="F29" s="2" t="s">
        <v>570</v>
      </c>
      <c r="G29" s="2" t="s">
        <v>24</v>
      </c>
      <c r="H29" s="2">
        <v>8</v>
      </c>
      <c r="I29" s="160" t="s">
        <v>47</v>
      </c>
    </row>
    <row r="30" spans="2:16">
      <c r="B30" s="146">
        <v>25</v>
      </c>
      <c r="C30" s="461"/>
      <c r="D30" s="590" t="s">
        <v>549</v>
      </c>
      <c r="E30" s="3" t="s">
        <v>63</v>
      </c>
      <c r="F30" s="3" t="s">
        <v>571</v>
      </c>
      <c r="G30" s="2" t="s">
        <v>23</v>
      </c>
      <c r="H30" s="2">
        <v>8.6999999999999993</v>
      </c>
      <c r="I30" s="160" t="s">
        <v>47</v>
      </c>
    </row>
    <row r="31" spans="2:16">
      <c r="B31" s="146">
        <v>26</v>
      </c>
      <c r="C31" s="461"/>
      <c r="D31" s="146" t="s">
        <v>577</v>
      </c>
      <c r="E31" s="3" t="s">
        <v>10</v>
      </c>
      <c r="F31" s="3" t="s">
        <v>576</v>
      </c>
      <c r="G31" s="3" t="s">
        <v>19</v>
      </c>
      <c r="H31" s="3">
        <v>24.9</v>
      </c>
      <c r="I31" s="160" t="s">
        <v>275</v>
      </c>
    </row>
    <row r="32" spans="2:16">
      <c r="B32" s="146">
        <v>27</v>
      </c>
      <c r="C32" s="461"/>
      <c r="D32" s="146" t="s">
        <v>577</v>
      </c>
      <c r="E32" s="3" t="s">
        <v>348</v>
      </c>
      <c r="F32" s="3" t="s">
        <v>578</v>
      </c>
      <c r="G32" s="3" t="s">
        <v>24</v>
      </c>
      <c r="H32" s="3">
        <v>6</v>
      </c>
      <c r="I32" s="160" t="s">
        <v>167</v>
      </c>
    </row>
    <row r="33" spans="2:10">
      <c r="B33" s="146">
        <v>28</v>
      </c>
      <c r="C33" s="461"/>
      <c r="D33" s="146" t="s">
        <v>577</v>
      </c>
      <c r="E33" s="3" t="s">
        <v>10</v>
      </c>
      <c r="F33" s="3" t="s">
        <v>579</v>
      </c>
      <c r="G33" s="3" t="s">
        <v>11</v>
      </c>
      <c r="H33" s="3">
        <v>25</v>
      </c>
      <c r="I33" s="160" t="s">
        <v>47</v>
      </c>
    </row>
    <row r="34" spans="2:10" ht="15.75">
      <c r="B34" s="146">
        <v>29</v>
      </c>
      <c r="C34" s="461"/>
      <c r="D34" s="590" t="s">
        <v>577</v>
      </c>
      <c r="E34" s="3" t="s">
        <v>63</v>
      </c>
      <c r="F34" s="3" t="s">
        <v>582</v>
      </c>
      <c r="G34" s="3" t="s">
        <v>23</v>
      </c>
      <c r="H34" s="403">
        <v>9</v>
      </c>
      <c r="I34" s="160" t="s">
        <v>168</v>
      </c>
    </row>
    <row r="35" spans="2:10">
      <c r="B35" s="146">
        <v>30</v>
      </c>
      <c r="C35" s="461"/>
      <c r="D35" s="590" t="s">
        <v>577</v>
      </c>
      <c r="E35" s="3" t="s">
        <v>524</v>
      </c>
      <c r="F35" s="3" t="s">
        <v>575</v>
      </c>
      <c r="G35" s="3" t="s">
        <v>23</v>
      </c>
      <c r="H35" s="3">
        <v>10</v>
      </c>
      <c r="I35" s="160" t="s">
        <v>167</v>
      </c>
    </row>
    <row r="36" spans="2:10">
      <c r="B36" s="146">
        <v>31</v>
      </c>
      <c r="C36" s="461"/>
      <c r="D36" s="590" t="s">
        <v>577</v>
      </c>
      <c r="E36" s="3" t="s">
        <v>15</v>
      </c>
      <c r="F36" s="3" t="s">
        <v>583</v>
      </c>
      <c r="G36" s="3" t="s">
        <v>24</v>
      </c>
      <c r="H36" s="3">
        <v>5.9</v>
      </c>
      <c r="I36" s="160" t="s">
        <v>47</v>
      </c>
    </row>
    <row r="37" spans="2:10">
      <c r="B37" s="146">
        <v>32</v>
      </c>
      <c r="C37" s="461"/>
      <c r="D37" s="590" t="s">
        <v>577</v>
      </c>
      <c r="E37" s="3" t="s">
        <v>15</v>
      </c>
      <c r="F37" s="3" t="s">
        <v>584</v>
      </c>
      <c r="G37" s="3" t="s">
        <v>24</v>
      </c>
      <c r="H37" s="3">
        <v>7.4</v>
      </c>
      <c r="I37" s="160" t="s">
        <v>47</v>
      </c>
    </row>
    <row r="38" spans="2:10">
      <c r="B38" s="146">
        <v>33</v>
      </c>
      <c r="C38" s="584">
        <v>44508</v>
      </c>
      <c r="D38" s="146" t="s">
        <v>569</v>
      </c>
      <c r="E38" s="2" t="s">
        <v>348</v>
      </c>
      <c r="F38" s="2" t="s">
        <v>580</v>
      </c>
      <c r="G38" s="2" t="s">
        <v>19</v>
      </c>
      <c r="H38" s="2">
        <v>22</v>
      </c>
      <c r="I38" s="162" t="s">
        <v>144</v>
      </c>
    </row>
    <row r="39" spans="2:10">
      <c r="B39" s="146">
        <v>34</v>
      </c>
      <c r="C39" s="584">
        <v>44508</v>
      </c>
      <c r="D39" s="146" t="s">
        <v>569</v>
      </c>
      <c r="E39" s="2" t="s">
        <v>348</v>
      </c>
      <c r="F39" s="2" t="s">
        <v>581</v>
      </c>
      <c r="G39" s="2" t="s">
        <v>19</v>
      </c>
      <c r="H39" s="2">
        <v>22</v>
      </c>
      <c r="I39" s="162" t="s">
        <v>168</v>
      </c>
      <c r="J39" s="392" t="s">
        <v>606</v>
      </c>
    </row>
    <row r="40" spans="2:10">
      <c r="B40" s="146">
        <v>35</v>
      </c>
      <c r="C40" s="584">
        <v>44508</v>
      </c>
      <c r="D40" s="146" t="s">
        <v>569</v>
      </c>
      <c r="E40" s="2" t="s">
        <v>14</v>
      </c>
      <c r="F40" s="3" t="s">
        <v>586</v>
      </c>
      <c r="G40" s="3" t="s">
        <v>23</v>
      </c>
      <c r="H40" s="3">
        <v>7</v>
      </c>
      <c r="I40" s="160" t="s">
        <v>47</v>
      </c>
    </row>
    <row r="41" spans="2:10">
      <c r="B41" s="146">
        <v>36</v>
      </c>
      <c r="C41" s="584">
        <v>44508</v>
      </c>
      <c r="D41" s="146" t="s">
        <v>569</v>
      </c>
      <c r="E41" s="3" t="s">
        <v>13</v>
      </c>
      <c r="F41" s="3" t="s">
        <v>588</v>
      </c>
      <c r="G41" s="3" t="s">
        <v>19</v>
      </c>
      <c r="H41" s="3">
        <v>24</v>
      </c>
      <c r="I41" s="160" t="s">
        <v>47</v>
      </c>
    </row>
    <row r="42" spans="2:10">
      <c r="B42" s="146">
        <v>37</v>
      </c>
      <c r="C42" s="584">
        <v>44508</v>
      </c>
      <c r="D42" s="146" t="s">
        <v>569</v>
      </c>
      <c r="E42" s="3" t="s">
        <v>13</v>
      </c>
      <c r="F42" s="3" t="s">
        <v>589</v>
      </c>
      <c r="G42" s="3"/>
      <c r="H42" s="3">
        <v>6</v>
      </c>
      <c r="I42" s="160" t="s">
        <v>47</v>
      </c>
    </row>
    <row r="43" spans="2:10">
      <c r="B43" s="146">
        <v>38</v>
      </c>
      <c r="C43" s="584">
        <v>44513</v>
      </c>
      <c r="D43" s="146" t="s">
        <v>569</v>
      </c>
      <c r="E43" s="3" t="s">
        <v>13</v>
      </c>
      <c r="F43" s="3" t="s">
        <v>590</v>
      </c>
      <c r="G43" s="3" t="s">
        <v>19</v>
      </c>
      <c r="H43" s="3">
        <v>20</v>
      </c>
      <c r="I43" s="160" t="s">
        <v>47</v>
      </c>
    </row>
    <row r="44" spans="2:10">
      <c r="B44" s="146">
        <v>39</v>
      </c>
      <c r="C44" s="584">
        <v>44513</v>
      </c>
      <c r="D44" s="146" t="s">
        <v>569</v>
      </c>
      <c r="E44" s="3" t="s">
        <v>17</v>
      </c>
      <c r="F44" s="3" t="s">
        <v>591</v>
      </c>
      <c r="G44" s="3" t="s">
        <v>19</v>
      </c>
      <c r="H44" s="3">
        <v>14</v>
      </c>
      <c r="I44" s="160" t="s">
        <v>47</v>
      </c>
    </row>
    <row r="45" spans="2:10">
      <c r="B45" s="146">
        <v>40</v>
      </c>
      <c r="C45" s="584"/>
      <c r="D45" s="146" t="s">
        <v>569</v>
      </c>
      <c r="E45" s="3" t="s">
        <v>346</v>
      </c>
      <c r="F45" s="3" t="s">
        <v>592</v>
      </c>
      <c r="G45" s="3" t="s">
        <v>24</v>
      </c>
      <c r="H45" s="3">
        <v>6</v>
      </c>
      <c r="I45" s="160" t="s">
        <v>167</v>
      </c>
    </row>
    <row r="46" spans="2:10" ht="15.75">
      <c r="B46" s="146">
        <v>41</v>
      </c>
      <c r="C46" s="461"/>
      <c r="D46" s="146" t="s">
        <v>569</v>
      </c>
      <c r="E46" s="2" t="s">
        <v>14</v>
      </c>
      <c r="F46" s="2" t="s">
        <v>593</v>
      </c>
      <c r="G46" s="2" t="s">
        <v>19</v>
      </c>
      <c r="H46" s="403">
        <v>21.85</v>
      </c>
      <c r="I46" s="162" t="s">
        <v>47</v>
      </c>
    </row>
    <row r="47" spans="2:10" ht="15.75">
      <c r="B47" s="146">
        <v>42</v>
      </c>
      <c r="C47" s="461"/>
      <c r="D47" s="146" t="s">
        <v>569</v>
      </c>
      <c r="E47" s="2" t="s">
        <v>14</v>
      </c>
      <c r="F47" s="2" t="s">
        <v>594</v>
      </c>
      <c r="G47" s="2" t="s">
        <v>24</v>
      </c>
      <c r="H47" s="403">
        <v>2</v>
      </c>
      <c r="I47" s="162" t="s">
        <v>47</v>
      </c>
    </row>
    <row r="48" spans="2:10" ht="15.75">
      <c r="B48" s="146">
        <v>43</v>
      </c>
      <c r="C48" s="461"/>
      <c r="D48" s="146" t="s">
        <v>569</v>
      </c>
      <c r="E48" s="2" t="s">
        <v>14</v>
      </c>
      <c r="F48" s="2" t="s">
        <v>595</v>
      </c>
      <c r="G48" s="2" t="s">
        <v>24</v>
      </c>
      <c r="H48" s="403">
        <v>7.5</v>
      </c>
      <c r="I48" s="162" t="s">
        <v>47</v>
      </c>
    </row>
    <row r="49" spans="2:9" ht="15.75">
      <c r="B49" s="146">
        <v>44</v>
      </c>
      <c r="C49" s="461"/>
      <c r="D49" s="146" t="s">
        <v>569</v>
      </c>
      <c r="E49" s="2" t="s">
        <v>14</v>
      </c>
      <c r="F49" s="2" t="s">
        <v>596</v>
      </c>
      <c r="G49" s="2" t="s">
        <v>23</v>
      </c>
      <c r="H49" s="403">
        <v>8</v>
      </c>
      <c r="I49" s="162" t="s">
        <v>47</v>
      </c>
    </row>
    <row r="50" spans="2:9" ht="15.75">
      <c r="B50" s="146">
        <v>45</v>
      </c>
      <c r="C50" s="461"/>
      <c r="D50" s="146" t="s">
        <v>569</v>
      </c>
      <c r="E50" s="2" t="s">
        <v>14</v>
      </c>
      <c r="F50" s="2" t="s">
        <v>597</v>
      </c>
      <c r="G50" s="2" t="s">
        <v>19</v>
      </c>
      <c r="H50" s="403">
        <v>20</v>
      </c>
      <c r="I50" s="160" t="s">
        <v>275</v>
      </c>
    </row>
    <row r="51" spans="2:9">
      <c r="B51" s="146">
        <v>46</v>
      </c>
      <c r="C51" s="584">
        <v>44515</v>
      </c>
      <c r="D51" s="146" t="s">
        <v>569</v>
      </c>
      <c r="E51" s="3" t="s">
        <v>15</v>
      </c>
      <c r="F51" s="3" t="s">
        <v>598</v>
      </c>
      <c r="G51" s="3" t="s">
        <v>19</v>
      </c>
      <c r="H51" s="402">
        <v>17</v>
      </c>
      <c r="I51" s="160" t="s">
        <v>71</v>
      </c>
    </row>
    <row r="52" spans="2:9">
      <c r="B52" s="146">
        <v>47</v>
      </c>
      <c r="C52" s="584"/>
      <c r="D52" s="146" t="s">
        <v>569</v>
      </c>
      <c r="E52" s="2" t="s">
        <v>10</v>
      </c>
      <c r="F52" s="3" t="s">
        <v>599</v>
      </c>
      <c r="G52" s="2" t="s">
        <v>19</v>
      </c>
      <c r="H52" s="3">
        <v>18.48</v>
      </c>
      <c r="I52" s="160" t="s">
        <v>47</v>
      </c>
    </row>
    <row r="53" spans="2:9">
      <c r="B53" s="146">
        <v>48</v>
      </c>
      <c r="C53" s="584">
        <v>44513</v>
      </c>
      <c r="D53" s="146" t="s">
        <v>569</v>
      </c>
      <c r="E53" s="2" t="s">
        <v>340</v>
      </c>
      <c r="F53" s="3" t="s">
        <v>600</v>
      </c>
      <c r="G53" s="2" t="s">
        <v>19</v>
      </c>
      <c r="H53" s="3">
        <v>14</v>
      </c>
      <c r="I53" s="160" t="s">
        <v>47</v>
      </c>
    </row>
    <row r="54" spans="2:9">
      <c r="B54" s="146">
        <v>49</v>
      </c>
      <c r="C54" s="584">
        <v>44513</v>
      </c>
      <c r="D54" s="146" t="s">
        <v>569</v>
      </c>
      <c r="E54" s="2" t="s">
        <v>340</v>
      </c>
      <c r="F54" s="3" t="s">
        <v>601</v>
      </c>
      <c r="G54" s="2" t="s">
        <v>24</v>
      </c>
      <c r="H54" s="3">
        <v>7</v>
      </c>
      <c r="I54" s="160" t="s">
        <v>47</v>
      </c>
    </row>
    <row r="55" spans="2:9">
      <c r="B55" s="146">
        <v>50</v>
      </c>
      <c r="C55" s="584">
        <v>44517</v>
      </c>
      <c r="D55" s="146" t="s">
        <v>569</v>
      </c>
      <c r="E55" s="2" t="s">
        <v>13</v>
      </c>
      <c r="F55" s="2" t="s">
        <v>576</v>
      </c>
      <c r="G55" s="2" t="s">
        <v>19</v>
      </c>
      <c r="H55" s="404">
        <v>21</v>
      </c>
      <c r="I55" s="162" t="s">
        <v>47</v>
      </c>
    </row>
    <row r="56" spans="2:9">
      <c r="B56" s="146">
        <v>51</v>
      </c>
      <c r="C56" s="584">
        <v>44517</v>
      </c>
      <c r="D56" s="146" t="s">
        <v>569</v>
      </c>
      <c r="E56" s="2" t="s">
        <v>13</v>
      </c>
      <c r="F56" s="2" t="s">
        <v>602</v>
      </c>
      <c r="G56" s="2" t="s">
        <v>23</v>
      </c>
      <c r="H56" s="404">
        <v>8</v>
      </c>
      <c r="I56" s="162" t="s">
        <v>47</v>
      </c>
    </row>
    <row r="57" spans="2:9">
      <c r="B57" s="146">
        <v>52</v>
      </c>
      <c r="C57" s="584">
        <v>44517</v>
      </c>
      <c r="D57" s="146" t="s">
        <v>569</v>
      </c>
      <c r="E57" s="2" t="s">
        <v>524</v>
      </c>
      <c r="F57" s="2" t="s">
        <v>603</v>
      </c>
      <c r="G57" s="2" t="s">
        <v>23</v>
      </c>
      <c r="H57" s="404">
        <v>7</v>
      </c>
      <c r="I57" s="162" t="s">
        <v>183</v>
      </c>
    </row>
    <row r="58" spans="2:9">
      <c r="B58" s="146">
        <v>53</v>
      </c>
      <c r="C58" s="584">
        <v>44517</v>
      </c>
      <c r="D58" s="146" t="s">
        <v>569</v>
      </c>
      <c r="E58" s="2" t="s">
        <v>13</v>
      </c>
      <c r="F58" s="2" t="s">
        <v>604</v>
      </c>
      <c r="G58" s="2" t="s">
        <v>23</v>
      </c>
      <c r="H58" s="404">
        <v>7</v>
      </c>
      <c r="I58" s="162" t="s">
        <v>47</v>
      </c>
    </row>
    <row r="59" spans="2:9">
      <c r="B59" s="146">
        <v>54</v>
      </c>
      <c r="C59" s="584">
        <v>44517</v>
      </c>
      <c r="D59" s="146" t="s">
        <v>569</v>
      </c>
      <c r="E59" s="3" t="s">
        <v>63</v>
      </c>
      <c r="F59" s="2" t="s">
        <v>607</v>
      </c>
      <c r="G59" s="2" t="s">
        <v>19</v>
      </c>
      <c r="H59" s="404">
        <v>17</v>
      </c>
      <c r="I59" s="162" t="s">
        <v>47</v>
      </c>
    </row>
    <row r="60" spans="2:9">
      <c r="B60" s="146">
        <v>55</v>
      </c>
      <c r="C60" s="584">
        <v>44517</v>
      </c>
      <c r="D60" s="146" t="s">
        <v>569</v>
      </c>
      <c r="E60" s="3" t="s">
        <v>63</v>
      </c>
      <c r="F60" s="2" t="s">
        <v>608</v>
      </c>
      <c r="G60" s="2" t="s">
        <v>11</v>
      </c>
      <c r="H60" s="404">
        <v>25</v>
      </c>
      <c r="I60" s="162" t="s">
        <v>47</v>
      </c>
    </row>
    <row r="61" spans="2:9">
      <c r="B61" s="146">
        <v>56</v>
      </c>
      <c r="C61" s="584">
        <v>44517</v>
      </c>
      <c r="D61" s="146" t="s">
        <v>569</v>
      </c>
      <c r="E61" s="2" t="s">
        <v>363</v>
      </c>
      <c r="F61" s="2" t="s">
        <v>609</v>
      </c>
      <c r="G61" s="2" t="s">
        <v>24</v>
      </c>
      <c r="H61" s="404">
        <v>7</v>
      </c>
      <c r="I61" s="162" t="s">
        <v>167</v>
      </c>
    </row>
    <row r="62" spans="2:9">
      <c r="B62" s="146">
        <v>57</v>
      </c>
      <c r="C62" s="584">
        <v>44517</v>
      </c>
      <c r="D62" s="146" t="s">
        <v>569</v>
      </c>
      <c r="E62" s="2" t="s">
        <v>22</v>
      </c>
      <c r="F62" s="2" t="s">
        <v>610</v>
      </c>
      <c r="G62" s="2" t="s">
        <v>24</v>
      </c>
      <c r="H62" s="404">
        <v>3</v>
      </c>
      <c r="I62" s="162" t="s">
        <v>47</v>
      </c>
    </row>
    <row r="63" spans="2:9">
      <c r="B63" s="146">
        <v>58</v>
      </c>
      <c r="C63" s="584">
        <v>44517</v>
      </c>
      <c r="D63" s="146" t="s">
        <v>569</v>
      </c>
      <c r="E63" s="2" t="s">
        <v>22</v>
      </c>
      <c r="F63" s="2" t="s">
        <v>611</v>
      </c>
      <c r="G63" s="2" t="s">
        <v>19</v>
      </c>
      <c r="H63" s="404">
        <v>20</v>
      </c>
      <c r="I63" s="162" t="s">
        <v>275</v>
      </c>
    </row>
    <row r="64" spans="2:9">
      <c r="B64" s="146">
        <v>59</v>
      </c>
      <c r="C64" s="584">
        <v>44517</v>
      </c>
      <c r="D64" s="146" t="s">
        <v>569</v>
      </c>
      <c r="E64" s="3" t="s">
        <v>562</v>
      </c>
      <c r="F64" s="2" t="s">
        <v>613</v>
      </c>
      <c r="G64" s="2" t="s">
        <v>24</v>
      </c>
      <c r="H64" s="404">
        <v>6</v>
      </c>
      <c r="I64" s="162" t="s">
        <v>47</v>
      </c>
    </row>
    <row r="65" spans="2:15">
      <c r="B65" s="146">
        <v>60</v>
      </c>
      <c r="C65" s="584">
        <v>44517</v>
      </c>
      <c r="D65" s="146" t="s">
        <v>569</v>
      </c>
      <c r="E65" s="3" t="s">
        <v>562</v>
      </c>
      <c r="F65" s="2" t="s">
        <v>612</v>
      </c>
      <c r="G65" s="2" t="s">
        <v>24</v>
      </c>
      <c r="H65" s="404">
        <v>8</v>
      </c>
      <c r="I65" s="160" t="s">
        <v>287</v>
      </c>
    </row>
    <row r="66" spans="2:15">
      <c r="B66" s="146">
        <v>61</v>
      </c>
      <c r="C66" s="584">
        <v>44509</v>
      </c>
      <c r="D66" s="146" t="s">
        <v>569</v>
      </c>
      <c r="E66" s="2" t="s">
        <v>10</v>
      </c>
      <c r="F66" s="3" t="s">
        <v>585</v>
      </c>
      <c r="G66" s="2" t="s">
        <v>19</v>
      </c>
      <c r="H66" s="2">
        <v>15</v>
      </c>
      <c r="I66" s="162" t="s">
        <v>275</v>
      </c>
    </row>
    <row r="67" spans="2:15">
      <c r="B67" s="146">
        <v>62</v>
      </c>
      <c r="C67" s="584">
        <v>44509</v>
      </c>
      <c r="D67" s="146" t="s">
        <v>569</v>
      </c>
      <c r="E67" s="2" t="s">
        <v>10</v>
      </c>
      <c r="F67" s="3" t="s">
        <v>605</v>
      </c>
      <c r="G67" s="2" t="s">
        <v>11</v>
      </c>
      <c r="H67" s="2">
        <v>30</v>
      </c>
      <c r="I67" s="162" t="s">
        <v>71</v>
      </c>
    </row>
    <row r="68" spans="2:15">
      <c r="B68" s="146">
        <v>63</v>
      </c>
      <c r="C68" s="584"/>
      <c r="D68" s="146" t="s">
        <v>569</v>
      </c>
      <c r="E68" s="2" t="s">
        <v>10</v>
      </c>
      <c r="F68" s="3" t="s">
        <v>614</v>
      </c>
      <c r="G68" s="2" t="s">
        <v>23</v>
      </c>
      <c r="H68" s="2">
        <v>8</v>
      </c>
      <c r="I68" s="162" t="s">
        <v>341</v>
      </c>
    </row>
    <row r="69" spans="2:15">
      <c r="B69" s="146">
        <v>64</v>
      </c>
      <c r="C69" s="584"/>
      <c r="D69" s="146" t="s">
        <v>569</v>
      </c>
      <c r="E69" s="2" t="s">
        <v>14</v>
      </c>
      <c r="F69" s="3" t="s">
        <v>615</v>
      </c>
      <c r="G69" s="2" t="s">
        <v>19</v>
      </c>
      <c r="H69" s="2">
        <v>20</v>
      </c>
      <c r="I69" s="162" t="s">
        <v>71</v>
      </c>
    </row>
    <row r="70" spans="2:15">
      <c r="B70" s="146">
        <v>65</v>
      </c>
      <c r="C70" s="584"/>
      <c r="D70" s="146" t="s">
        <v>569</v>
      </c>
      <c r="E70" s="2" t="s">
        <v>14</v>
      </c>
      <c r="F70" s="3" t="s">
        <v>741</v>
      </c>
      <c r="G70" s="2" t="s">
        <v>23</v>
      </c>
      <c r="H70" s="2">
        <v>7</v>
      </c>
      <c r="I70" s="162" t="s">
        <v>47</v>
      </c>
    </row>
    <row r="71" spans="2:15">
      <c r="B71" s="146">
        <v>66</v>
      </c>
      <c r="C71" s="584">
        <v>44517</v>
      </c>
      <c r="D71" s="146" t="s">
        <v>569</v>
      </c>
      <c r="E71" s="2" t="s">
        <v>13</v>
      </c>
      <c r="F71" s="3" t="s">
        <v>617</v>
      </c>
      <c r="G71" s="2" t="s">
        <v>23</v>
      </c>
      <c r="H71" s="2">
        <v>10</v>
      </c>
      <c r="I71" s="162" t="s">
        <v>47</v>
      </c>
    </row>
    <row r="72" spans="2:15">
      <c r="B72" s="146">
        <v>67</v>
      </c>
      <c r="C72" s="585"/>
      <c r="D72" s="146" t="s">
        <v>569</v>
      </c>
      <c r="E72" s="2" t="s">
        <v>15</v>
      </c>
      <c r="F72" s="3" t="s">
        <v>619</v>
      </c>
      <c r="G72" s="2" t="s">
        <v>19</v>
      </c>
      <c r="H72" s="405">
        <v>15</v>
      </c>
      <c r="I72" s="160" t="s">
        <v>71</v>
      </c>
    </row>
    <row r="73" spans="2:15">
      <c r="B73" s="146">
        <v>68</v>
      </c>
      <c r="C73" s="585"/>
      <c r="D73" s="146" t="s">
        <v>569</v>
      </c>
      <c r="E73" s="2" t="s">
        <v>13</v>
      </c>
      <c r="F73" s="3" t="s">
        <v>603</v>
      </c>
      <c r="G73" s="2" t="s">
        <v>24</v>
      </c>
      <c r="H73" s="405">
        <v>7</v>
      </c>
      <c r="I73" s="162" t="s">
        <v>47</v>
      </c>
    </row>
    <row r="74" spans="2:15">
      <c r="B74" s="146">
        <v>69</v>
      </c>
      <c r="C74" s="585"/>
      <c r="D74" s="146" t="s">
        <v>569</v>
      </c>
      <c r="E74" s="2" t="s">
        <v>25</v>
      </c>
      <c r="F74" s="3" t="s">
        <v>620</v>
      </c>
      <c r="G74" s="2" t="s">
        <v>19</v>
      </c>
      <c r="H74" s="405">
        <v>22</v>
      </c>
      <c r="I74" s="160" t="s">
        <v>47</v>
      </c>
    </row>
    <row r="75" spans="2:15">
      <c r="B75" s="146">
        <v>70</v>
      </c>
      <c r="C75" s="585"/>
      <c r="D75" s="146" t="s">
        <v>569</v>
      </c>
      <c r="E75" s="2" t="s">
        <v>25</v>
      </c>
      <c r="F75" s="3" t="s">
        <v>621</v>
      </c>
      <c r="G75" s="2" t="s">
        <v>19</v>
      </c>
      <c r="H75" s="405">
        <v>18</v>
      </c>
      <c r="I75" s="160" t="s">
        <v>341</v>
      </c>
      <c r="J75" s="25" t="s">
        <v>622</v>
      </c>
      <c r="K75" s="25" t="s">
        <v>21</v>
      </c>
    </row>
    <row r="76" spans="2:15">
      <c r="B76" s="146">
        <v>71</v>
      </c>
      <c r="C76" s="585"/>
      <c r="D76" s="146" t="s">
        <v>569</v>
      </c>
      <c r="E76" s="2" t="s">
        <v>10</v>
      </c>
      <c r="F76" s="3" t="s">
        <v>623</v>
      </c>
      <c r="G76" s="2" t="s">
        <v>19</v>
      </c>
      <c r="H76" s="405">
        <v>20</v>
      </c>
      <c r="I76" s="162" t="s">
        <v>341</v>
      </c>
      <c r="J76" s="25"/>
      <c r="K76" s="25"/>
    </row>
    <row r="77" spans="2:15">
      <c r="B77" s="146">
        <v>72</v>
      </c>
      <c r="C77" s="585"/>
      <c r="D77" s="146" t="s">
        <v>569</v>
      </c>
      <c r="E77" s="2" t="s">
        <v>340</v>
      </c>
      <c r="F77" s="3" t="s">
        <v>624</v>
      </c>
      <c r="G77" s="2" t="s">
        <v>19</v>
      </c>
      <c r="H77" s="405">
        <v>13</v>
      </c>
      <c r="I77" s="160" t="s">
        <v>275</v>
      </c>
      <c r="J77" s="25" t="s">
        <v>48</v>
      </c>
      <c r="K77" s="25" t="s">
        <v>625</v>
      </c>
    </row>
    <row r="78" spans="2:15">
      <c r="B78" s="146">
        <v>73</v>
      </c>
      <c r="C78" s="585"/>
      <c r="D78" s="146" t="s">
        <v>569</v>
      </c>
      <c r="E78" s="3" t="s">
        <v>17</v>
      </c>
      <c r="F78" s="3" t="s">
        <v>627</v>
      </c>
      <c r="G78" s="2" t="s">
        <v>24</v>
      </c>
      <c r="H78" s="405">
        <v>7</v>
      </c>
      <c r="I78" s="160" t="s">
        <v>47</v>
      </c>
      <c r="J78" s="25" t="s">
        <v>628</v>
      </c>
      <c r="K78" s="25"/>
    </row>
    <row r="79" spans="2:15" ht="15.75" thickBot="1">
      <c r="B79" s="146">
        <v>74</v>
      </c>
      <c r="C79" s="586"/>
      <c r="D79" s="146" t="s">
        <v>569</v>
      </c>
      <c r="E79" s="3" t="s">
        <v>88</v>
      </c>
      <c r="F79" s="3" t="s">
        <v>629</v>
      </c>
      <c r="G79" s="2" t="s">
        <v>19</v>
      </c>
      <c r="H79" s="405">
        <v>20</v>
      </c>
      <c r="I79" s="160" t="s">
        <v>47</v>
      </c>
      <c r="J79" s="25"/>
      <c r="K79" s="25"/>
      <c r="O79">
        <v>1</v>
      </c>
    </row>
    <row r="80" spans="2:15">
      <c r="B80" s="146">
        <v>75</v>
      </c>
      <c r="D80" s="146" t="s">
        <v>569</v>
      </c>
      <c r="E80" s="552" t="s">
        <v>14</v>
      </c>
      <c r="F80" s="5" t="s">
        <v>626</v>
      </c>
      <c r="G80" s="552" t="s">
        <v>23</v>
      </c>
      <c r="H80" s="552">
        <v>4</v>
      </c>
      <c r="I80" s="553" t="s">
        <v>71</v>
      </c>
      <c r="O80">
        <v>1</v>
      </c>
    </row>
    <row r="81" spans="2:15">
      <c r="B81" s="146">
        <v>76</v>
      </c>
      <c r="D81" s="146" t="s">
        <v>569</v>
      </c>
      <c r="E81" s="552" t="s">
        <v>25</v>
      </c>
      <c r="F81" s="5" t="s">
        <v>630</v>
      </c>
      <c r="G81" s="552" t="s">
        <v>19</v>
      </c>
      <c r="H81" s="552">
        <v>25</v>
      </c>
      <c r="I81" s="553" t="s">
        <v>341</v>
      </c>
      <c r="O81">
        <v>1</v>
      </c>
    </row>
    <row r="82" spans="2:15">
      <c r="B82" s="146">
        <v>77</v>
      </c>
      <c r="D82" s="146" t="s">
        <v>569</v>
      </c>
      <c r="E82" s="552" t="s">
        <v>13</v>
      </c>
      <c r="F82" s="5" t="s">
        <v>669</v>
      </c>
      <c r="G82" s="552" t="s">
        <v>671</v>
      </c>
      <c r="H82" s="552">
        <v>38</v>
      </c>
      <c r="I82" s="162" t="s">
        <v>47</v>
      </c>
    </row>
    <row r="83" spans="2:15">
      <c r="B83" s="146">
        <v>78</v>
      </c>
      <c r="D83" s="146" t="s">
        <v>569</v>
      </c>
      <c r="E83" s="552" t="s">
        <v>13</v>
      </c>
      <c r="F83" s="5" t="s">
        <v>670</v>
      </c>
      <c r="G83" s="552" t="s">
        <v>19</v>
      </c>
      <c r="H83" s="552">
        <v>20</v>
      </c>
      <c r="I83" s="553" t="s">
        <v>71</v>
      </c>
    </row>
    <row r="84" spans="2:15">
      <c r="B84" s="146"/>
      <c r="D84" s="146" t="s">
        <v>569</v>
      </c>
      <c r="E84" s="552" t="s">
        <v>14</v>
      </c>
      <c r="F84" s="5" t="s">
        <v>742</v>
      </c>
      <c r="G84" s="552" t="s">
        <v>719</v>
      </c>
      <c r="H84" s="552">
        <v>18</v>
      </c>
      <c r="I84" s="553" t="s">
        <v>71</v>
      </c>
    </row>
    <row r="85" spans="2:15">
      <c r="B85" s="146"/>
      <c r="D85" s="146" t="s">
        <v>569</v>
      </c>
      <c r="E85" s="552" t="s">
        <v>13</v>
      </c>
      <c r="F85" s="5" t="s">
        <v>743</v>
      </c>
      <c r="G85" s="552" t="s">
        <v>19</v>
      </c>
      <c r="H85" s="552">
        <v>26</v>
      </c>
      <c r="I85" s="553" t="s">
        <v>275</v>
      </c>
    </row>
    <row r="86" spans="2:15">
      <c r="B86" s="146"/>
      <c r="D86" s="146" t="s">
        <v>569</v>
      </c>
      <c r="E86" s="552" t="s">
        <v>13</v>
      </c>
      <c r="F86" s="5" t="s">
        <v>744</v>
      </c>
      <c r="G86" s="552" t="s">
        <v>23</v>
      </c>
      <c r="H86" s="552">
        <v>8.9</v>
      </c>
      <c r="I86" s="553" t="s">
        <v>275</v>
      </c>
    </row>
    <row r="87" spans="2:15">
      <c r="B87" s="146"/>
      <c r="D87" s="146" t="s">
        <v>569</v>
      </c>
      <c r="E87" s="552" t="s">
        <v>13</v>
      </c>
      <c r="F87" s="5" t="s">
        <v>745</v>
      </c>
      <c r="G87" s="552" t="s">
        <v>24</v>
      </c>
      <c r="H87" s="552">
        <v>3</v>
      </c>
      <c r="I87" s="553" t="s">
        <v>47</v>
      </c>
    </row>
    <row r="88" spans="2:15">
      <c r="B88" s="146"/>
      <c r="D88" s="146" t="s">
        <v>569</v>
      </c>
      <c r="E88" s="552" t="s">
        <v>14</v>
      </c>
      <c r="F88" s="5" t="s">
        <v>746</v>
      </c>
      <c r="G88" s="552" t="s">
        <v>19</v>
      </c>
      <c r="H88" s="552">
        <v>14</v>
      </c>
      <c r="I88" s="553" t="s">
        <v>71</v>
      </c>
    </row>
    <row r="89" spans="2:15">
      <c r="B89" s="146"/>
      <c r="D89" s="146" t="s">
        <v>569</v>
      </c>
      <c r="E89" s="552" t="s">
        <v>14</v>
      </c>
      <c r="F89" s="5" t="s">
        <v>747</v>
      </c>
      <c r="G89" s="552" t="s">
        <v>460</v>
      </c>
      <c r="H89" s="552">
        <v>7</v>
      </c>
      <c r="I89" s="553" t="s">
        <v>71</v>
      </c>
    </row>
    <row r="90" spans="2:15" ht="15.75" thickBot="1">
      <c r="D90" s="226" t="s">
        <v>569</v>
      </c>
      <c r="E90" s="178" t="s">
        <v>63</v>
      </c>
      <c r="F90" s="90" t="s">
        <v>891</v>
      </c>
      <c r="G90" s="90" t="s">
        <v>11</v>
      </c>
      <c r="H90" s="90">
        <v>25</v>
      </c>
      <c r="I90" s="201" t="s">
        <v>275</v>
      </c>
    </row>
    <row r="91" spans="2:15">
      <c r="D91" s="146" t="s">
        <v>569</v>
      </c>
      <c r="E91" s="3" t="s">
        <v>17</v>
      </c>
      <c r="F91" s="230" t="s">
        <v>796</v>
      </c>
      <c r="G91" s="37" t="s">
        <v>284</v>
      </c>
      <c r="H91" s="37">
        <v>9.06</v>
      </c>
      <c r="I91" s="37" t="s">
        <v>71</v>
      </c>
    </row>
    <row r="92" spans="2:15">
      <c r="D92" s="146" t="s">
        <v>569</v>
      </c>
      <c r="E92" s="3" t="s">
        <v>17</v>
      </c>
      <c r="F92" s="37" t="s">
        <v>881</v>
      </c>
      <c r="G92" s="37" t="s">
        <v>19</v>
      </c>
      <c r="H92" s="37">
        <v>16.8</v>
      </c>
      <c r="I92" s="37" t="s">
        <v>71</v>
      </c>
    </row>
    <row r="93" spans="2:15">
      <c r="D93" s="37" t="s">
        <v>577</v>
      </c>
      <c r="E93" s="37" t="s">
        <v>893</v>
      </c>
      <c r="F93" s="37" t="s">
        <v>892</v>
      </c>
      <c r="G93" s="37" t="s">
        <v>19</v>
      </c>
      <c r="H93" s="37">
        <v>18</v>
      </c>
      <c r="I93" s="37" t="s">
        <v>275</v>
      </c>
    </row>
    <row r="94" spans="2:15">
      <c r="D94" s="37" t="s">
        <v>22</v>
      </c>
      <c r="E94" s="37" t="s">
        <v>893</v>
      </c>
      <c r="F94" s="37" t="s">
        <v>894</v>
      </c>
      <c r="G94" s="37" t="s">
        <v>19</v>
      </c>
      <c r="H94" s="37">
        <v>18</v>
      </c>
      <c r="I94" s="37" t="s">
        <v>341</v>
      </c>
    </row>
  </sheetData>
  <mergeCells count="8">
    <mergeCell ref="Y3:AC3"/>
    <mergeCell ref="AD3:AE3"/>
    <mergeCell ref="R3:R14"/>
    <mergeCell ref="K2:Q2"/>
    <mergeCell ref="L3:M3"/>
    <mergeCell ref="N3:Q3"/>
    <mergeCell ref="S3:T3"/>
    <mergeCell ref="W3:X3"/>
  </mergeCells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89"/>
  <sheetViews>
    <sheetView topLeftCell="K1" workbookViewId="0">
      <selection activeCell="AC4" sqref="AC4"/>
    </sheetView>
  </sheetViews>
  <sheetFormatPr defaultColWidth="11.42578125" defaultRowHeight="15"/>
  <cols>
    <col min="1" max="1" width="8.85546875" customWidth="1"/>
    <col min="2" max="2" width="5.140625" customWidth="1"/>
    <col min="3" max="3" width="10.42578125" bestFit="1" customWidth="1"/>
    <col min="4" max="4" width="6.85546875" bestFit="1" customWidth="1"/>
    <col min="5" max="5" width="8.42578125" bestFit="1" customWidth="1"/>
    <col min="6" max="6" width="39.42578125" bestFit="1" customWidth="1"/>
    <col min="7" max="7" width="10.42578125" bestFit="1" customWidth="1"/>
    <col min="8" max="8" width="8.140625" bestFit="1" customWidth="1"/>
    <col min="9" max="9" width="12.140625" customWidth="1"/>
    <col min="10" max="10" width="23.140625" bestFit="1" customWidth="1"/>
    <col min="11" max="11" width="8.85546875" customWidth="1"/>
    <col min="12" max="12" width="10.7109375" bestFit="1" customWidth="1"/>
    <col min="13" max="14" width="8.85546875" customWidth="1"/>
    <col min="15" max="15" width="7.140625" customWidth="1"/>
    <col min="16" max="16" width="8.85546875" customWidth="1"/>
    <col min="17" max="17" width="11.28515625" customWidth="1"/>
    <col min="18" max="18" width="10.42578125" customWidth="1"/>
    <col min="19" max="21" width="8.85546875" customWidth="1"/>
    <col min="22" max="23" width="0" hidden="1" customWidth="1"/>
    <col min="24" max="24" width="10.42578125" customWidth="1"/>
    <col min="25" max="25" width="8.85546875" customWidth="1"/>
    <col min="26" max="26" width="0" hidden="1" customWidth="1"/>
    <col min="27" max="27" width="11.140625" customWidth="1"/>
    <col min="28" max="256" width="8.85546875" customWidth="1"/>
  </cols>
  <sheetData>
    <row r="1" spans="2:32" ht="15.75" thickBot="1"/>
    <row r="2" spans="2:32" ht="21.75" thickBot="1">
      <c r="L2" s="790" t="s">
        <v>494</v>
      </c>
      <c r="M2" s="816"/>
      <c r="N2" s="816"/>
      <c r="O2" s="816"/>
      <c r="P2" s="816"/>
      <c r="Q2" s="816"/>
      <c r="R2" s="816"/>
      <c r="S2" s="816"/>
      <c r="T2" s="816"/>
      <c r="U2" s="816"/>
      <c r="V2" s="816"/>
      <c r="W2" s="816"/>
      <c r="X2" s="816"/>
      <c r="Y2" s="816"/>
      <c r="Z2" s="816"/>
      <c r="AA2" s="816"/>
      <c r="AB2" s="816"/>
      <c r="AC2" s="816"/>
      <c r="AD2" s="816"/>
      <c r="AE2" s="816"/>
      <c r="AF2" s="817"/>
    </row>
    <row r="3" spans="2:32" ht="16.5" thickBot="1">
      <c r="B3" s="188" t="s">
        <v>471</v>
      </c>
      <c r="C3" s="298"/>
      <c r="D3" s="297"/>
      <c r="E3" s="298"/>
      <c r="F3" s="298"/>
      <c r="G3" s="298"/>
      <c r="H3" s="298"/>
      <c r="I3" s="299"/>
      <c r="L3" s="297"/>
      <c r="M3" s="770" t="s">
        <v>409</v>
      </c>
      <c r="N3" s="772"/>
      <c r="O3" s="775" t="s">
        <v>395</v>
      </c>
      <c r="P3" s="776"/>
      <c r="Q3" s="776"/>
      <c r="R3" s="777"/>
      <c r="S3" s="792" t="s">
        <v>493</v>
      </c>
      <c r="T3" s="775" t="s">
        <v>433</v>
      </c>
      <c r="U3" s="787"/>
      <c r="V3" s="300"/>
      <c r="W3" s="300"/>
      <c r="X3" s="775" t="s">
        <v>392</v>
      </c>
      <c r="Y3" s="787"/>
      <c r="Z3" s="775" t="s">
        <v>394</v>
      </c>
      <c r="AA3" s="786"/>
      <c r="AB3" s="786"/>
      <c r="AC3" s="786"/>
      <c r="AD3" s="787"/>
      <c r="AE3" s="770" t="s">
        <v>412</v>
      </c>
      <c r="AF3" s="787"/>
    </row>
    <row r="4" spans="2:32" ht="48.75" customHeight="1" thickBot="1">
      <c r="B4" s="272"/>
      <c r="C4" s="251"/>
      <c r="D4" s="251"/>
      <c r="E4" s="251"/>
      <c r="F4" s="251"/>
      <c r="G4" s="251"/>
      <c r="H4" s="251"/>
      <c r="I4" s="273"/>
      <c r="L4" s="271" t="s">
        <v>2</v>
      </c>
      <c r="M4" s="246" t="s">
        <v>407</v>
      </c>
      <c r="N4" s="247" t="s">
        <v>408</v>
      </c>
      <c r="O4" s="282" t="s">
        <v>434</v>
      </c>
      <c r="P4" s="243" t="s">
        <v>427</v>
      </c>
      <c r="Q4" s="62" t="s">
        <v>457</v>
      </c>
      <c r="R4" s="63" t="s">
        <v>95</v>
      </c>
      <c r="S4" s="793"/>
      <c r="T4" s="64" t="s">
        <v>125</v>
      </c>
      <c r="U4" s="64" t="s">
        <v>97</v>
      </c>
      <c r="V4" s="65" t="s">
        <v>98</v>
      </c>
      <c r="W4" s="252" t="s">
        <v>97</v>
      </c>
      <c r="X4" s="259" t="s">
        <v>369</v>
      </c>
      <c r="Y4" s="260" t="s">
        <v>392</v>
      </c>
      <c r="Z4" s="255" t="s">
        <v>393</v>
      </c>
      <c r="AA4" s="161" t="s">
        <v>406</v>
      </c>
      <c r="AB4" s="161" t="s">
        <v>97</v>
      </c>
      <c r="AC4" s="67" t="s">
        <v>298</v>
      </c>
      <c r="AD4" s="72" t="s">
        <v>97</v>
      </c>
      <c r="AE4" s="264" t="s">
        <v>411</v>
      </c>
      <c r="AF4" s="265" t="s">
        <v>410</v>
      </c>
    </row>
    <row r="5" spans="2:32" ht="15.75" thickBot="1">
      <c r="B5" s="181" t="s">
        <v>0</v>
      </c>
      <c r="C5" s="249" t="s">
        <v>43</v>
      </c>
      <c r="D5" s="249" t="s">
        <v>1</v>
      </c>
      <c r="E5" s="301" t="s">
        <v>2</v>
      </c>
      <c r="F5" s="301" t="s">
        <v>3</v>
      </c>
      <c r="G5" s="249" t="s">
        <v>4</v>
      </c>
      <c r="H5" s="249" t="s">
        <v>7</v>
      </c>
      <c r="I5" s="250" t="s">
        <v>56</v>
      </c>
      <c r="J5" s="82"/>
      <c r="L5" s="277" t="s">
        <v>13</v>
      </c>
      <c r="M5" s="244">
        <v>67</v>
      </c>
      <c r="N5" s="245">
        <f>M5*30%</f>
        <v>20.099999999999998</v>
      </c>
      <c r="O5" s="283">
        <f>M5*43%</f>
        <v>28.81</v>
      </c>
      <c r="P5" s="239">
        <f t="shared" ref="P5:P13" si="0">COUNTIFS($E:$E,$L5,$D:$D,"Aug")+COUNTIFS($E:$E,$L5,$D:$D,"July")+COUNTIFS($E:$E,$L5,$D:$D,"Jun")</f>
        <v>10</v>
      </c>
      <c r="Q5" s="55">
        <f t="shared" ref="Q5:Q13" si="1">COUNTIFS($E:$E,L5,$D:$D,"Sep")</f>
        <v>4</v>
      </c>
      <c r="R5" s="56"/>
      <c r="S5" s="793"/>
      <c r="T5" s="43">
        <f t="shared" ref="T5:T13" si="2">SUMIFS($H:$H,$E:$E,$L5,$I:$I,"Login Done")</f>
        <v>0</v>
      </c>
      <c r="U5" s="57">
        <f t="shared" ref="U5:U13" si="3">COUNTIFS($E:$E,$L5,$I:$I,"Login Done")</f>
        <v>0</v>
      </c>
      <c r="V5" s="58">
        <f t="shared" ref="V5:V13" si="4">SUMIFS($J:$J,$E:$E,$N5,$K:$K,"Login Today")</f>
        <v>0</v>
      </c>
      <c r="W5" s="253">
        <f t="shared" ref="W5:W13" si="5">COUNTIFS($E:$E,$N5,$K:$K,"Login Today")</f>
        <v>0</v>
      </c>
      <c r="X5" s="261">
        <f>SUMIFS($H:$H,$E:$E,$L5,$I:$I,"Approved")</f>
        <v>54.78</v>
      </c>
      <c r="Y5" s="262">
        <f t="shared" ref="Y5:Y13" si="6">COUNTIFS($E:$E,$L5,$I:$I,"Approved")</f>
        <v>3</v>
      </c>
      <c r="Z5" s="256">
        <f t="shared" ref="Z5:Z13" si="7">COUNTIFS($E:$E,$N5,$K:$K,"By 30th ")</f>
        <v>0</v>
      </c>
      <c r="AA5" s="59">
        <f t="shared" ref="AA5:AA13" si="8">SUMIFS($H:$H,$E:$E,$L5,$I:$I,"Disbursed")</f>
        <v>45.76</v>
      </c>
      <c r="AB5" s="59">
        <f t="shared" ref="AB5:AB13" si="9">COUNTIFS($E:$E,$L5,$I:$I,"Disbursed")</f>
        <v>4</v>
      </c>
      <c r="AC5" s="60">
        <f t="shared" ref="AC5:AC13" si="10">SUMIFS($H:$H,$E:$E,$L5,$I:$I,"Plan Today")</f>
        <v>0</v>
      </c>
      <c r="AD5" s="73">
        <f t="shared" ref="AD5:AD13" si="11">COUNTIFS($E:$E,$L5,$I:$I,"Plan Today")</f>
        <v>0</v>
      </c>
      <c r="AE5" s="266">
        <f>T5+X5+AA5+AC5</f>
        <v>100.53999999999999</v>
      </c>
      <c r="AF5" s="267">
        <f>U5+Y5+AB5+AD5</f>
        <v>7</v>
      </c>
    </row>
    <row r="6" spans="2:32">
      <c r="B6" s="199">
        <v>1</v>
      </c>
      <c r="C6" s="87"/>
      <c r="D6" s="227" t="s">
        <v>299</v>
      </c>
      <c r="E6" s="227" t="s">
        <v>13</v>
      </c>
      <c r="F6" s="227" t="s">
        <v>274</v>
      </c>
      <c r="G6" s="227" t="s">
        <v>11</v>
      </c>
      <c r="H6" s="87">
        <v>19</v>
      </c>
      <c r="I6" s="88" t="s">
        <v>168</v>
      </c>
      <c r="J6" s="293" t="s">
        <v>444</v>
      </c>
      <c r="L6" s="278" t="s">
        <v>14</v>
      </c>
      <c r="M6" s="146">
        <v>38</v>
      </c>
      <c r="N6" s="245">
        <f t="shared" ref="N6:N13" si="12">M6*30%</f>
        <v>11.4</v>
      </c>
      <c r="O6" s="283">
        <f t="shared" ref="O6:O13" si="13">M6*43%</f>
        <v>16.34</v>
      </c>
      <c r="P6" s="239">
        <f t="shared" si="0"/>
        <v>8</v>
      </c>
      <c r="Q6" s="55">
        <f t="shared" si="1"/>
        <v>2</v>
      </c>
      <c r="R6" s="41">
        <v>2</v>
      </c>
      <c r="S6" s="793"/>
      <c r="T6" s="43">
        <f t="shared" si="2"/>
        <v>66</v>
      </c>
      <c r="U6" s="57">
        <f t="shared" si="3"/>
        <v>3</v>
      </c>
      <c r="V6" s="46">
        <f t="shared" si="4"/>
        <v>0</v>
      </c>
      <c r="W6" s="253">
        <f t="shared" si="5"/>
        <v>0</v>
      </c>
      <c r="X6" s="261">
        <f t="shared" ref="X6:X13" si="14">SUMIFS($H:$H,$E:$E,$L6,$I:$I,"Login Done")</f>
        <v>66</v>
      </c>
      <c r="Y6" s="262">
        <f t="shared" si="6"/>
        <v>7</v>
      </c>
      <c r="Z6" s="256">
        <f t="shared" si="7"/>
        <v>0</v>
      </c>
      <c r="AA6" s="59">
        <f t="shared" si="8"/>
        <v>0</v>
      </c>
      <c r="AB6" s="59">
        <f t="shared" si="9"/>
        <v>0</v>
      </c>
      <c r="AC6" s="60">
        <f t="shared" si="10"/>
        <v>0</v>
      </c>
      <c r="AD6" s="73">
        <f t="shared" si="11"/>
        <v>0</v>
      </c>
      <c r="AE6" s="248">
        <f t="shared" ref="AE6:AF13" si="15">T6+X6+AA6+AC6</f>
        <v>132</v>
      </c>
      <c r="AF6" s="103">
        <f t="shared" si="15"/>
        <v>10</v>
      </c>
    </row>
    <row r="7" spans="2:32">
      <c r="B7" s="17">
        <v>2</v>
      </c>
      <c r="C7" s="302"/>
      <c r="D7" s="29" t="s">
        <v>299</v>
      </c>
      <c r="E7" s="29" t="s">
        <v>13</v>
      </c>
      <c r="F7" s="270" t="s">
        <v>359</v>
      </c>
      <c r="G7" s="270" t="s">
        <v>19</v>
      </c>
      <c r="H7" s="302">
        <v>18</v>
      </c>
      <c r="I7" s="303" t="s">
        <v>47</v>
      </c>
      <c r="J7" s="294" t="s">
        <v>444</v>
      </c>
      <c r="L7" s="279" t="s">
        <v>17</v>
      </c>
      <c r="M7" s="114">
        <v>23</v>
      </c>
      <c r="N7" s="245">
        <f t="shared" si="12"/>
        <v>6.8999999999999995</v>
      </c>
      <c r="O7" s="283">
        <f t="shared" si="13"/>
        <v>9.89</v>
      </c>
      <c r="P7" s="239">
        <f t="shared" si="0"/>
        <v>6</v>
      </c>
      <c r="Q7" s="55">
        <f t="shared" si="1"/>
        <v>4</v>
      </c>
      <c r="R7" s="41"/>
      <c r="S7" s="793"/>
      <c r="T7" s="43">
        <f t="shared" si="2"/>
        <v>15</v>
      </c>
      <c r="U7" s="57">
        <f t="shared" si="3"/>
        <v>2</v>
      </c>
      <c r="V7" s="46">
        <f t="shared" si="4"/>
        <v>0</v>
      </c>
      <c r="W7" s="253">
        <f t="shared" si="5"/>
        <v>0</v>
      </c>
      <c r="X7" s="261">
        <f t="shared" si="14"/>
        <v>15</v>
      </c>
      <c r="Y7" s="262">
        <f t="shared" si="6"/>
        <v>2</v>
      </c>
      <c r="Z7" s="256">
        <f t="shared" si="7"/>
        <v>0</v>
      </c>
      <c r="AA7" s="59">
        <f t="shared" si="8"/>
        <v>6</v>
      </c>
      <c r="AB7" s="59">
        <f t="shared" si="9"/>
        <v>1</v>
      </c>
      <c r="AC7" s="60">
        <f t="shared" si="10"/>
        <v>0</v>
      </c>
      <c r="AD7" s="73">
        <f t="shared" si="11"/>
        <v>0</v>
      </c>
      <c r="AE7" s="248">
        <f t="shared" si="15"/>
        <v>36</v>
      </c>
      <c r="AF7" s="103">
        <f t="shared" si="15"/>
        <v>5</v>
      </c>
    </row>
    <row r="8" spans="2:32">
      <c r="B8" s="17">
        <v>3</v>
      </c>
      <c r="C8" s="10">
        <v>44379</v>
      </c>
      <c r="D8" s="302" t="s">
        <v>405</v>
      </c>
      <c r="E8" s="302" t="s">
        <v>17</v>
      </c>
      <c r="F8" s="302" t="s">
        <v>404</v>
      </c>
      <c r="G8" s="302" t="s">
        <v>19</v>
      </c>
      <c r="H8" s="302">
        <v>24</v>
      </c>
      <c r="I8" s="303" t="s">
        <v>168</v>
      </c>
      <c r="J8" s="294" t="s">
        <v>444</v>
      </c>
      <c r="L8" s="279" t="s">
        <v>340</v>
      </c>
      <c r="M8" s="114">
        <v>14</v>
      </c>
      <c r="N8" s="245">
        <f t="shared" si="12"/>
        <v>4.2</v>
      </c>
      <c r="O8" s="283">
        <f t="shared" si="13"/>
        <v>6.02</v>
      </c>
      <c r="P8" s="239">
        <f t="shared" si="0"/>
        <v>0</v>
      </c>
      <c r="Q8" s="55">
        <f t="shared" si="1"/>
        <v>3</v>
      </c>
      <c r="R8" s="41">
        <v>1</v>
      </c>
      <c r="S8" s="793"/>
      <c r="T8" s="43">
        <f t="shared" si="2"/>
        <v>0</v>
      </c>
      <c r="U8" s="57">
        <f t="shared" si="3"/>
        <v>0</v>
      </c>
      <c r="V8" s="46">
        <f t="shared" si="4"/>
        <v>0</v>
      </c>
      <c r="W8" s="253">
        <f t="shared" si="5"/>
        <v>0</v>
      </c>
      <c r="X8" s="261">
        <f t="shared" si="14"/>
        <v>0</v>
      </c>
      <c r="Y8" s="262">
        <f t="shared" si="6"/>
        <v>2</v>
      </c>
      <c r="Z8" s="256">
        <f t="shared" si="7"/>
        <v>0</v>
      </c>
      <c r="AA8" s="59">
        <f t="shared" si="8"/>
        <v>6</v>
      </c>
      <c r="AB8" s="59">
        <f t="shared" si="9"/>
        <v>1</v>
      </c>
      <c r="AC8" s="60">
        <f t="shared" si="10"/>
        <v>0</v>
      </c>
      <c r="AD8" s="73">
        <f t="shared" si="11"/>
        <v>0</v>
      </c>
      <c r="AE8" s="248">
        <f t="shared" si="15"/>
        <v>6</v>
      </c>
      <c r="AF8" s="103">
        <f t="shared" si="15"/>
        <v>3</v>
      </c>
    </row>
    <row r="9" spans="2:32">
      <c r="B9" s="17">
        <v>4</v>
      </c>
      <c r="C9" s="10">
        <v>44382</v>
      </c>
      <c r="D9" s="29" t="s">
        <v>405</v>
      </c>
      <c r="E9" s="302" t="s">
        <v>13</v>
      </c>
      <c r="F9" s="302" t="s">
        <v>413</v>
      </c>
      <c r="G9" s="302" t="s">
        <v>414</v>
      </c>
      <c r="H9" s="302">
        <v>24</v>
      </c>
      <c r="I9" s="303" t="s">
        <v>275</v>
      </c>
      <c r="J9" s="294" t="s">
        <v>444</v>
      </c>
      <c r="L9" s="278" t="s">
        <v>10</v>
      </c>
      <c r="M9" s="146">
        <v>56</v>
      </c>
      <c r="N9" s="245">
        <f t="shared" si="12"/>
        <v>16.8</v>
      </c>
      <c r="O9" s="283">
        <f t="shared" si="13"/>
        <v>24.08</v>
      </c>
      <c r="P9" s="239">
        <f t="shared" si="0"/>
        <v>2</v>
      </c>
      <c r="Q9" s="55">
        <f t="shared" si="1"/>
        <v>9</v>
      </c>
      <c r="R9" s="41"/>
      <c r="S9" s="793"/>
      <c r="T9" s="43">
        <f t="shared" si="2"/>
        <v>24</v>
      </c>
      <c r="U9" s="57">
        <f t="shared" si="3"/>
        <v>1</v>
      </c>
      <c r="V9" s="46">
        <f t="shared" si="4"/>
        <v>0</v>
      </c>
      <c r="W9" s="253">
        <f t="shared" si="5"/>
        <v>0</v>
      </c>
      <c r="X9" s="261">
        <f t="shared" si="14"/>
        <v>24</v>
      </c>
      <c r="Y9" s="262">
        <f t="shared" si="6"/>
        <v>4</v>
      </c>
      <c r="Z9" s="256">
        <f t="shared" si="7"/>
        <v>0</v>
      </c>
      <c r="AA9" s="59">
        <f t="shared" si="8"/>
        <v>37.129999999999995</v>
      </c>
      <c r="AB9" s="59">
        <f t="shared" si="9"/>
        <v>4</v>
      </c>
      <c r="AC9" s="60">
        <f t="shared" si="10"/>
        <v>0</v>
      </c>
      <c r="AD9" s="73">
        <f t="shared" si="11"/>
        <v>0</v>
      </c>
      <c r="AE9" s="248">
        <f t="shared" si="15"/>
        <v>85.13</v>
      </c>
      <c r="AF9" s="103">
        <f t="shared" si="15"/>
        <v>9</v>
      </c>
    </row>
    <row r="10" spans="2:32">
      <c r="B10" s="17">
        <v>5</v>
      </c>
      <c r="C10" s="10">
        <v>44386</v>
      </c>
      <c r="D10" s="302" t="s">
        <v>405</v>
      </c>
      <c r="E10" s="302" t="s">
        <v>22</v>
      </c>
      <c r="F10" s="302" t="s">
        <v>425</v>
      </c>
      <c r="G10" s="302" t="s">
        <v>19</v>
      </c>
      <c r="H10" s="302">
        <v>20</v>
      </c>
      <c r="I10" s="303" t="s">
        <v>161</v>
      </c>
      <c r="J10" s="294" t="s">
        <v>445</v>
      </c>
      <c r="L10" s="278" t="s">
        <v>22</v>
      </c>
      <c r="M10" s="146">
        <v>18</v>
      </c>
      <c r="N10" s="245">
        <f t="shared" si="12"/>
        <v>5.3999999999999995</v>
      </c>
      <c r="O10" s="283">
        <f t="shared" si="13"/>
        <v>7.74</v>
      </c>
      <c r="P10" s="239">
        <f t="shared" si="0"/>
        <v>3</v>
      </c>
      <c r="Q10" s="55">
        <f t="shared" si="1"/>
        <v>3</v>
      </c>
      <c r="R10" s="41">
        <v>1</v>
      </c>
      <c r="S10" s="793"/>
      <c r="T10" s="43">
        <f t="shared" si="2"/>
        <v>0</v>
      </c>
      <c r="U10" s="57">
        <f t="shared" si="3"/>
        <v>0</v>
      </c>
      <c r="V10" s="46">
        <f t="shared" si="4"/>
        <v>0</v>
      </c>
      <c r="W10" s="253">
        <f t="shared" si="5"/>
        <v>0</v>
      </c>
      <c r="X10" s="261">
        <f t="shared" si="14"/>
        <v>0</v>
      </c>
      <c r="Y10" s="262">
        <f t="shared" si="6"/>
        <v>2</v>
      </c>
      <c r="Z10" s="256">
        <f t="shared" si="7"/>
        <v>0</v>
      </c>
      <c r="AA10" s="59">
        <f t="shared" si="8"/>
        <v>8</v>
      </c>
      <c r="AB10" s="59">
        <f t="shared" si="9"/>
        <v>1</v>
      </c>
      <c r="AC10" s="60">
        <f t="shared" si="10"/>
        <v>0</v>
      </c>
      <c r="AD10" s="73">
        <f t="shared" si="11"/>
        <v>0</v>
      </c>
      <c r="AE10" s="248">
        <f t="shared" si="15"/>
        <v>8</v>
      </c>
      <c r="AF10" s="103">
        <f t="shared" si="15"/>
        <v>3</v>
      </c>
    </row>
    <row r="11" spans="2:32">
      <c r="B11" s="17">
        <v>6</v>
      </c>
      <c r="C11" s="70">
        <v>44391</v>
      </c>
      <c r="D11" s="302" t="s">
        <v>405</v>
      </c>
      <c r="E11" s="302" t="s">
        <v>22</v>
      </c>
      <c r="F11" s="302" t="s">
        <v>416</v>
      </c>
      <c r="G11" s="302" t="s">
        <v>11</v>
      </c>
      <c r="H11" s="302">
        <v>37</v>
      </c>
      <c r="I11" s="303" t="s">
        <v>275</v>
      </c>
      <c r="J11" s="294"/>
      <c r="L11" s="278" t="s">
        <v>63</v>
      </c>
      <c r="M11" s="146">
        <v>11</v>
      </c>
      <c r="N11" s="245">
        <f t="shared" si="12"/>
        <v>3.3</v>
      </c>
      <c r="O11" s="283">
        <f t="shared" si="13"/>
        <v>4.7299999999999995</v>
      </c>
      <c r="P11" s="239">
        <f t="shared" si="0"/>
        <v>2</v>
      </c>
      <c r="Q11" s="55">
        <f t="shared" si="1"/>
        <v>5</v>
      </c>
      <c r="R11" s="41"/>
      <c r="S11" s="793"/>
      <c r="T11" s="43">
        <f t="shared" si="2"/>
        <v>30</v>
      </c>
      <c r="U11" s="57">
        <f t="shared" si="3"/>
        <v>1</v>
      </c>
      <c r="V11" s="46">
        <f t="shared" si="4"/>
        <v>0</v>
      </c>
      <c r="W11" s="253">
        <f t="shared" si="5"/>
        <v>0</v>
      </c>
      <c r="X11" s="261">
        <f t="shared" si="14"/>
        <v>30</v>
      </c>
      <c r="Y11" s="262">
        <f t="shared" si="6"/>
        <v>5</v>
      </c>
      <c r="Z11" s="256">
        <f t="shared" si="7"/>
        <v>0</v>
      </c>
      <c r="AA11" s="59">
        <f t="shared" si="8"/>
        <v>7</v>
      </c>
      <c r="AB11" s="59">
        <f t="shared" si="9"/>
        <v>1</v>
      </c>
      <c r="AC11" s="60">
        <f t="shared" si="10"/>
        <v>0</v>
      </c>
      <c r="AD11" s="73">
        <f t="shared" si="11"/>
        <v>0</v>
      </c>
      <c r="AE11" s="248">
        <f t="shared" si="15"/>
        <v>67</v>
      </c>
      <c r="AF11" s="103">
        <f t="shared" si="15"/>
        <v>7</v>
      </c>
    </row>
    <row r="12" spans="2:32">
      <c r="B12" s="17">
        <v>7</v>
      </c>
      <c r="C12" s="70">
        <v>44391</v>
      </c>
      <c r="D12" s="302" t="s">
        <v>405</v>
      </c>
      <c r="E12" s="302" t="s">
        <v>22</v>
      </c>
      <c r="F12" s="302" t="s">
        <v>417</v>
      </c>
      <c r="G12" s="302" t="s">
        <v>11</v>
      </c>
      <c r="H12" s="302">
        <v>27</v>
      </c>
      <c r="I12" s="303" t="s">
        <v>275</v>
      </c>
      <c r="J12" s="294" t="s">
        <v>444</v>
      </c>
      <c r="L12" s="278" t="s">
        <v>15</v>
      </c>
      <c r="M12" s="146">
        <v>27</v>
      </c>
      <c r="N12" s="245">
        <f t="shared" si="12"/>
        <v>8.1</v>
      </c>
      <c r="O12" s="283">
        <f t="shared" si="13"/>
        <v>11.61</v>
      </c>
      <c r="P12" s="239">
        <f t="shared" si="0"/>
        <v>1</v>
      </c>
      <c r="Q12" s="55">
        <f t="shared" si="1"/>
        <v>6</v>
      </c>
      <c r="R12" s="41">
        <v>2</v>
      </c>
      <c r="S12" s="793"/>
      <c r="T12" s="43">
        <f t="shared" si="2"/>
        <v>34.700000000000003</v>
      </c>
      <c r="U12" s="57">
        <f t="shared" si="3"/>
        <v>3</v>
      </c>
      <c r="V12" s="46">
        <f t="shared" si="4"/>
        <v>0</v>
      </c>
      <c r="W12" s="253">
        <f t="shared" si="5"/>
        <v>0</v>
      </c>
      <c r="X12" s="261">
        <f t="shared" si="14"/>
        <v>34.700000000000003</v>
      </c>
      <c r="Y12" s="262">
        <f t="shared" si="6"/>
        <v>2</v>
      </c>
      <c r="Z12" s="256">
        <f t="shared" si="7"/>
        <v>0</v>
      </c>
      <c r="AA12" s="59">
        <f t="shared" si="8"/>
        <v>12.67</v>
      </c>
      <c r="AB12" s="59">
        <f t="shared" si="9"/>
        <v>2</v>
      </c>
      <c r="AC12" s="60">
        <f t="shared" si="10"/>
        <v>0</v>
      </c>
      <c r="AD12" s="73">
        <f t="shared" si="11"/>
        <v>0</v>
      </c>
      <c r="AE12" s="248">
        <f t="shared" si="15"/>
        <v>82.070000000000007</v>
      </c>
      <c r="AF12" s="103">
        <f t="shared" si="15"/>
        <v>7</v>
      </c>
    </row>
    <row r="13" spans="2:32" ht="15.75" thickBot="1">
      <c r="B13" s="17">
        <v>8</v>
      </c>
      <c r="C13" s="70">
        <v>44397</v>
      </c>
      <c r="D13" s="302" t="s">
        <v>405</v>
      </c>
      <c r="E13" s="302" t="s">
        <v>13</v>
      </c>
      <c r="F13" s="302" t="s">
        <v>418</v>
      </c>
      <c r="G13" s="302" t="s">
        <v>24</v>
      </c>
      <c r="H13" s="302">
        <v>5</v>
      </c>
      <c r="I13" s="311" t="s">
        <v>47</v>
      </c>
      <c r="J13" s="294" t="s">
        <v>444</v>
      </c>
      <c r="L13" s="280" t="s">
        <v>25</v>
      </c>
      <c r="M13" s="241">
        <v>49</v>
      </c>
      <c r="N13" s="245">
        <f t="shared" si="12"/>
        <v>14.7</v>
      </c>
      <c r="O13" s="283">
        <f t="shared" si="13"/>
        <v>21.07</v>
      </c>
      <c r="P13" s="239">
        <f t="shared" si="0"/>
        <v>3</v>
      </c>
      <c r="Q13" s="55">
        <f t="shared" si="1"/>
        <v>5</v>
      </c>
      <c r="R13" s="42"/>
      <c r="S13" s="793"/>
      <c r="T13" s="43">
        <f t="shared" si="2"/>
        <v>30</v>
      </c>
      <c r="U13" s="57">
        <f t="shared" si="3"/>
        <v>1</v>
      </c>
      <c r="V13" s="47">
        <f t="shared" si="4"/>
        <v>0</v>
      </c>
      <c r="W13" s="254">
        <f t="shared" si="5"/>
        <v>0</v>
      </c>
      <c r="X13" s="261">
        <f t="shared" si="14"/>
        <v>30</v>
      </c>
      <c r="Y13" s="262">
        <f t="shared" si="6"/>
        <v>1</v>
      </c>
      <c r="Z13" s="257">
        <f t="shared" si="7"/>
        <v>0</v>
      </c>
      <c r="AA13" s="59">
        <f t="shared" si="8"/>
        <v>26.529999999999998</v>
      </c>
      <c r="AB13" s="59">
        <f t="shared" si="9"/>
        <v>4</v>
      </c>
      <c r="AC13" s="60">
        <f t="shared" si="10"/>
        <v>0</v>
      </c>
      <c r="AD13" s="73">
        <f t="shared" si="11"/>
        <v>0</v>
      </c>
      <c r="AE13" s="268">
        <f t="shared" si="15"/>
        <v>86.53</v>
      </c>
      <c r="AF13" s="269">
        <f t="shared" si="15"/>
        <v>6</v>
      </c>
    </row>
    <row r="14" spans="2:32" ht="15.75" thickBot="1">
      <c r="B14" s="17">
        <v>9</v>
      </c>
      <c r="C14" s="70">
        <v>44399</v>
      </c>
      <c r="D14" s="302" t="s">
        <v>405</v>
      </c>
      <c r="E14" s="302" t="s">
        <v>13</v>
      </c>
      <c r="F14" s="302" t="s">
        <v>419</v>
      </c>
      <c r="G14" s="302" t="s">
        <v>19</v>
      </c>
      <c r="H14" s="302">
        <v>14</v>
      </c>
      <c r="I14" s="311" t="s">
        <v>168</v>
      </c>
      <c r="J14" s="294"/>
      <c r="L14" s="220" t="s">
        <v>8</v>
      </c>
      <c r="M14" s="242">
        <f t="shared" ref="M14:R14" si="16">SUM(M5:M13)</f>
        <v>303</v>
      </c>
      <c r="N14" s="286">
        <f t="shared" si="16"/>
        <v>90.9</v>
      </c>
      <c r="O14" s="285">
        <f t="shared" si="16"/>
        <v>130.29</v>
      </c>
      <c r="P14" s="240">
        <f t="shared" si="16"/>
        <v>35</v>
      </c>
      <c r="Q14" s="287">
        <f t="shared" si="16"/>
        <v>41</v>
      </c>
      <c r="R14" s="26">
        <f t="shared" si="16"/>
        <v>6</v>
      </c>
      <c r="S14" s="793"/>
      <c r="T14" s="45">
        <f t="shared" ref="T14:AD14" si="17">SUM(T5:T13)</f>
        <v>199.7</v>
      </c>
      <c r="U14" s="45">
        <f t="shared" si="17"/>
        <v>11</v>
      </c>
      <c r="V14" s="48">
        <f t="shared" si="17"/>
        <v>0</v>
      </c>
      <c r="W14" s="196">
        <f t="shared" si="17"/>
        <v>0</v>
      </c>
      <c r="X14" s="198">
        <f>SUM(X5:X13)</f>
        <v>254.48000000000002</v>
      </c>
      <c r="Y14" s="263">
        <f>SUM(Y5:Y13)</f>
        <v>28</v>
      </c>
      <c r="Z14" s="258">
        <f>SUM(Z5:Z13)</f>
        <v>0</v>
      </c>
      <c r="AA14" s="197">
        <f t="shared" si="17"/>
        <v>149.08999999999997</v>
      </c>
      <c r="AB14" s="197">
        <f t="shared" si="17"/>
        <v>18</v>
      </c>
      <c r="AC14" s="53">
        <f t="shared" si="17"/>
        <v>0</v>
      </c>
      <c r="AD14" s="74">
        <f t="shared" si="17"/>
        <v>0</v>
      </c>
      <c r="AE14" s="275">
        <f>SUM(AE5:AE13)</f>
        <v>603.27</v>
      </c>
      <c r="AF14" s="276">
        <f>SUM(AF5:AF13)</f>
        <v>57</v>
      </c>
    </row>
    <row r="15" spans="2:32" ht="16.5" thickBot="1">
      <c r="B15" s="17">
        <v>10</v>
      </c>
      <c r="C15" s="70">
        <v>44399</v>
      </c>
      <c r="D15" s="302" t="s">
        <v>405</v>
      </c>
      <c r="E15" s="302" t="s">
        <v>17</v>
      </c>
      <c r="F15" s="302" t="s">
        <v>420</v>
      </c>
      <c r="G15" s="302" t="s">
        <v>19</v>
      </c>
      <c r="H15" s="302">
        <v>24</v>
      </c>
      <c r="I15" s="303" t="s">
        <v>275</v>
      </c>
      <c r="J15" s="294" t="s">
        <v>444</v>
      </c>
      <c r="L15" s="281" t="s">
        <v>97</v>
      </c>
      <c r="M15" s="795">
        <f>N14</f>
        <v>90.9</v>
      </c>
      <c r="N15" s="796"/>
      <c r="O15" s="284"/>
      <c r="P15" s="797">
        <f>P14+Q14</f>
        <v>76</v>
      </c>
      <c r="Q15" s="798"/>
      <c r="R15" s="274">
        <v>6</v>
      </c>
      <c r="S15" s="794"/>
      <c r="T15" s="799">
        <f>U14</f>
        <v>11</v>
      </c>
      <c r="U15" s="800"/>
      <c r="V15" s="304">
        <f>COUNTIFS($K:$K,"Login Today")</f>
        <v>0</v>
      </c>
      <c r="W15" s="305"/>
      <c r="X15" s="799">
        <f>Y14+Z14</f>
        <v>28</v>
      </c>
      <c r="Y15" s="818"/>
      <c r="Z15" s="818"/>
      <c r="AA15" s="801">
        <f>AB14</f>
        <v>18</v>
      </c>
      <c r="AB15" s="803"/>
      <c r="AC15" s="801">
        <f>AD14</f>
        <v>0</v>
      </c>
      <c r="AD15" s="803"/>
      <c r="AE15" s="238"/>
      <c r="AF15" s="238"/>
    </row>
    <row r="16" spans="2:32">
      <c r="B16" s="17">
        <v>11</v>
      </c>
      <c r="C16" s="70">
        <v>44399</v>
      </c>
      <c r="D16" s="302" t="s">
        <v>405</v>
      </c>
      <c r="E16" s="302" t="s">
        <v>10</v>
      </c>
      <c r="F16" s="302" t="s">
        <v>426</v>
      </c>
      <c r="G16" s="302" t="s">
        <v>11</v>
      </c>
      <c r="H16" s="302">
        <v>30</v>
      </c>
      <c r="I16" s="303" t="s">
        <v>161</v>
      </c>
      <c r="J16" s="294" t="s">
        <v>178</v>
      </c>
    </row>
    <row r="17" spans="2:10">
      <c r="B17" s="17">
        <v>12</v>
      </c>
      <c r="C17" s="70">
        <v>44403</v>
      </c>
      <c r="D17" s="302" t="s">
        <v>405</v>
      </c>
      <c r="E17" s="5" t="s">
        <v>63</v>
      </c>
      <c r="F17" s="302" t="s">
        <v>421</v>
      </c>
      <c r="G17" s="302" t="s">
        <v>11</v>
      </c>
      <c r="H17" s="302">
        <v>30</v>
      </c>
      <c r="I17" s="303" t="s">
        <v>275</v>
      </c>
      <c r="J17" s="294" t="s">
        <v>442</v>
      </c>
    </row>
    <row r="18" spans="2:10">
      <c r="B18" s="17">
        <v>13</v>
      </c>
      <c r="C18" s="70">
        <v>44403</v>
      </c>
      <c r="D18" s="302" t="s">
        <v>405</v>
      </c>
      <c r="E18" s="302" t="s">
        <v>14</v>
      </c>
      <c r="F18" s="302" t="s">
        <v>422</v>
      </c>
      <c r="G18" s="302" t="s">
        <v>19</v>
      </c>
      <c r="H18" s="302">
        <v>18</v>
      </c>
      <c r="I18" s="303" t="s">
        <v>275</v>
      </c>
      <c r="J18" s="294" t="s">
        <v>444</v>
      </c>
    </row>
    <row r="19" spans="2:10">
      <c r="B19" s="17">
        <v>14</v>
      </c>
      <c r="C19" s="70">
        <v>44406</v>
      </c>
      <c r="D19" s="302" t="s">
        <v>405</v>
      </c>
      <c r="E19" s="302" t="s">
        <v>13</v>
      </c>
      <c r="F19" s="302" t="s">
        <v>423</v>
      </c>
      <c r="G19" s="302" t="s">
        <v>19</v>
      </c>
      <c r="H19" s="302">
        <v>20</v>
      </c>
      <c r="I19" s="311" t="s">
        <v>168</v>
      </c>
      <c r="J19" s="294" t="s">
        <v>444</v>
      </c>
    </row>
    <row r="20" spans="2:10">
      <c r="B20" s="17">
        <v>15</v>
      </c>
      <c r="C20" s="70">
        <v>44406</v>
      </c>
      <c r="D20" s="302" t="s">
        <v>405</v>
      </c>
      <c r="E20" s="302" t="s">
        <v>13</v>
      </c>
      <c r="F20" s="289" t="s">
        <v>436</v>
      </c>
      <c r="G20" s="302" t="s">
        <v>19</v>
      </c>
      <c r="H20" s="288">
        <v>15</v>
      </c>
      <c r="I20" s="311" t="s">
        <v>168</v>
      </c>
      <c r="J20" s="294" t="s">
        <v>168</v>
      </c>
    </row>
    <row r="21" spans="2:10">
      <c r="B21" s="17">
        <v>16</v>
      </c>
      <c r="C21" s="10">
        <v>44411</v>
      </c>
      <c r="D21" s="302" t="s">
        <v>428</v>
      </c>
      <c r="E21" s="302" t="s">
        <v>14</v>
      </c>
      <c r="F21" s="302" t="s">
        <v>424</v>
      </c>
      <c r="G21" s="302" t="s">
        <v>19</v>
      </c>
      <c r="H21" s="302">
        <v>17</v>
      </c>
      <c r="I21" s="303" t="s">
        <v>275</v>
      </c>
      <c r="J21" s="294" t="s">
        <v>444</v>
      </c>
    </row>
    <row r="22" spans="2:10">
      <c r="B22" s="17">
        <v>17</v>
      </c>
      <c r="C22" s="10">
        <v>44320</v>
      </c>
      <c r="D22" s="302" t="s">
        <v>428</v>
      </c>
      <c r="E22" s="302" t="s">
        <v>14</v>
      </c>
      <c r="F22" s="302" t="s">
        <v>429</v>
      </c>
      <c r="G22" s="302" t="s">
        <v>11</v>
      </c>
      <c r="H22" s="302">
        <v>30</v>
      </c>
      <c r="I22" s="303" t="s">
        <v>275</v>
      </c>
      <c r="J22" s="294"/>
    </row>
    <row r="23" spans="2:10">
      <c r="B23" s="17">
        <v>18</v>
      </c>
      <c r="C23" s="10">
        <v>44414</v>
      </c>
      <c r="D23" s="302" t="s">
        <v>428</v>
      </c>
      <c r="E23" s="302" t="s">
        <v>63</v>
      </c>
      <c r="F23" s="302" t="s">
        <v>431</v>
      </c>
      <c r="G23" s="302" t="s">
        <v>11</v>
      </c>
      <c r="H23" s="5">
        <v>30</v>
      </c>
      <c r="I23" s="303" t="s">
        <v>341</v>
      </c>
      <c r="J23" s="294" t="s">
        <v>444</v>
      </c>
    </row>
    <row r="24" spans="2:10">
      <c r="B24" s="17">
        <v>19</v>
      </c>
      <c r="C24" s="10">
        <v>44414</v>
      </c>
      <c r="D24" s="302" t="s">
        <v>428</v>
      </c>
      <c r="E24" s="302" t="s">
        <v>13</v>
      </c>
      <c r="F24" s="302" t="s">
        <v>430</v>
      </c>
      <c r="G24" s="302" t="s">
        <v>19</v>
      </c>
      <c r="H24" s="5">
        <v>12.8</v>
      </c>
      <c r="I24" s="303" t="s">
        <v>47</v>
      </c>
      <c r="J24" s="294"/>
    </row>
    <row r="25" spans="2:10">
      <c r="B25" s="17">
        <v>20</v>
      </c>
      <c r="C25" s="10">
        <v>44415</v>
      </c>
      <c r="D25" s="302" t="s">
        <v>428</v>
      </c>
      <c r="E25" s="302" t="s">
        <v>14</v>
      </c>
      <c r="F25" s="302" t="s">
        <v>432</v>
      </c>
      <c r="G25" s="302" t="s">
        <v>23</v>
      </c>
      <c r="H25" s="5">
        <v>6</v>
      </c>
      <c r="I25" s="303" t="s">
        <v>275</v>
      </c>
      <c r="J25" s="294" t="s">
        <v>444</v>
      </c>
    </row>
    <row r="26" spans="2:10">
      <c r="B26" s="17">
        <v>21</v>
      </c>
      <c r="C26" s="10">
        <v>44417</v>
      </c>
      <c r="D26" s="302" t="s">
        <v>428</v>
      </c>
      <c r="E26" s="302" t="s">
        <v>17</v>
      </c>
      <c r="F26" s="302" t="s">
        <v>435</v>
      </c>
      <c r="G26" s="302" t="s">
        <v>23</v>
      </c>
      <c r="H26" s="5">
        <v>8.4499999999999993</v>
      </c>
      <c r="I26" s="303" t="s">
        <v>168</v>
      </c>
      <c r="J26" s="294" t="s">
        <v>444</v>
      </c>
    </row>
    <row r="27" spans="2:10">
      <c r="B27" s="17">
        <v>22</v>
      </c>
      <c r="C27" s="10">
        <v>44417</v>
      </c>
      <c r="D27" s="302" t="s">
        <v>428</v>
      </c>
      <c r="E27" s="302" t="s">
        <v>10</v>
      </c>
      <c r="F27" s="302" t="s">
        <v>450</v>
      </c>
      <c r="G27" s="302" t="s">
        <v>24</v>
      </c>
      <c r="H27" s="5">
        <v>7</v>
      </c>
      <c r="I27" s="303" t="s">
        <v>161</v>
      </c>
      <c r="J27" s="294"/>
    </row>
    <row r="28" spans="2:10">
      <c r="B28" s="17">
        <v>23</v>
      </c>
      <c r="C28" s="10">
        <v>44418</v>
      </c>
      <c r="D28" s="302" t="s">
        <v>428</v>
      </c>
      <c r="E28" s="302" t="s">
        <v>17</v>
      </c>
      <c r="F28" s="302" t="s">
        <v>437</v>
      </c>
      <c r="G28" s="302" t="s">
        <v>24</v>
      </c>
      <c r="H28" s="302">
        <v>6.6</v>
      </c>
      <c r="I28" s="303" t="s">
        <v>168</v>
      </c>
      <c r="J28" s="294"/>
    </row>
    <row r="29" spans="2:10">
      <c r="B29" s="17">
        <v>24</v>
      </c>
      <c r="C29" s="10">
        <v>44420</v>
      </c>
      <c r="D29" s="302" t="s">
        <v>428</v>
      </c>
      <c r="E29" s="302" t="s">
        <v>25</v>
      </c>
      <c r="F29" s="290" t="s">
        <v>438</v>
      </c>
      <c r="G29" s="291" t="s">
        <v>11</v>
      </c>
      <c r="H29" s="302">
        <v>31</v>
      </c>
      <c r="I29" s="303" t="s">
        <v>167</v>
      </c>
      <c r="J29" s="294" t="s">
        <v>443</v>
      </c>
    </row>
    <row r="30" spans="2:10">
      <c r="B30" s="17">
        <v>25</v>
      </c>
      <c r="C30" s="10">
        <v>44421</v>
      </c>
      <c r="D30" s="302" t="s">
        <v>428</v>
      </c>
      <c r="E30" s="302" t="s">
        <v>25</v>
      </c>
      <c r="F30" s="302" t="s">
        <v>439</v>
      </c>
      <c r="G30" s="302" t="s">
        <v>440</v>
      </c>
      <c r="H30" s="302">
        <v>30</v>
      </c>
      <c r="I30" s="303" t="s">
        <v>341</v>
      </c>
      <c r="J30" s="294"/>
    </row>
    <row r="31" spans="2:10">
      <c r="B31" s="17">
        <v>26</v>
      </c>
      <c r="C31" s="10">
        <v>44425</v>
      </c>
      <c r="D31" s="302" t="s">
        <v>428</v>
      </c>
      <c r="E31" s="302" t="s">
        <v>14</v>
      </c>
      <c r="F31" s="302" t="s">
        <v>446</v>
      </c>
      <c r="G31" s="302" t="s">
        <v>19</v>
      </c>
      <c r="H31" s="302">
        <v>21</v>
      </c>
      <c r="I31" s="303" t="s">
        <v>275</v>
      </c>
      <c r="J31" s="294"/>
    </row>
    <row r="32" spans="2:10">
      <c r="B32" s="17">
        <v>27</v>
      </c>
      <c r="C32" s="10">
        <v>44425</v>
      </c>
      <c r="D32" s="302" t="s">
        <v>428</v>
      </c>
      <c r="E32" s="302" t="s">
        <v>14</v>
      </c>
      <c r="F32" s="302" t="s">
        <v>447</v>
      </c>
      <c r="G32" s="302" t="s">
        <v>19</v>
      </c>
      <c r="H32" s="302">
        <v>18</v>
      </c>
      <c r="I32" s="303" t="s">
        <v>275</v>
      </c>
      <c r="J32" s="294"/>
    </row>
    <row r="33" spans="2:11">
      <c r="B33" s="17">
        <v>28</v>
      </c>
      <c r="C33" s="10">
        <v>44422</v>
      </c>
      <c r="D33" s="302" t="s">
        <v>428</v>
      </c>
      <c r="E33" s="302" t="s">
        <v>14</v>
      </c>
      <c r="F33" s="302" t="s">
        <v>441</v>
      </c>
      <c r="G33" s="302" t="s">
        <v>11</v>
      </c>
      <c r="H33" s="302">
        <v>30</v>
      </c>
      <c r="I33" s="303" t="s">
        <v>341</v>
      </c>
      <c r="J33" s="294" t="s">
        <v>442</v>
      </c>
    </row>
    <row r="34" spans="2:11">
      <c r="B34" s="17">
        <v>29</v>
      </c>
      <c r="C34" s="10">
        <v>44425</v>
      </c>
      <c r="D34" s="302" t="s">
        <v>428</v>
      </c>
      <c r="E34" s="302" t="s">
        <v>13</v>
      </c>
      <c r="F34" s="302" t="s">
        <v>448</v>
      </c>
      <c r="G34" s="302" t="s">
        <v>23</v>
      </c>
      <c r="H34" s="302">
        <v>11</v>
      </c>
      <c r="I34" s="311" t="s">
        <v>167</v>
      </c>
      <c r="J34" s="294" t="s">
        <v>442</v>
      </c>
    </row>
    <row r="35" spans="2:11">
      <c r="B35" s="17">
        <v>30</v>
      </c>
      <c r="C35" s="10">
        <v>44428</v>
      </c>
      <c r="D35" s="302" t="s">
        <v>428</v>
      </c>
      <c r="E35" s="302" t="s">
        <v>17</v>
      </c>
      <c r="F35" s="5" t="s">
        <v>449</v>
      </c>
      <c r="G35" s="302" t="s">
        <v>23</v>
      </c>
      <c r="H35" s="71">
        <v>8</v>
      </c>
      <c r="I35" s="303" t="s">
        <v>341</v>
      </c>
      <c r="J35" s="294" t="s">
        <v>444</v>
      </c>
    </row>
    <row r="36" spans="2:11" ht="15.75">
      <c r="B36" s="17">
        <v>31</v>
      </c>
      <c r="C36" s="10">
        <v>44428</v>
      </c>
      <c r="D36" s="302" t="s">
        <v>428</v>
      </c>
      <c r="E36" s="302" t="s">
        <v>13</v>
      </c>
      <c r="F36" s="302" t="s">
        <v>451</v>
      </c>
      <c r="G36" s="302" t="s">
        <v>19</v>
      </c>
      <c r="H36" s="292">
        <v>18</v>
      </c>
      <c r="I36" s="311" t="s">
        <v>168</v>
      </c>
      <c r="J36" s="294"/>
    </row>
    <row r="37" spans="2:11">
      <c r="B37" s="17">
        <v>32</v>
      </c>
      <c r="C37" s="10">
        <v>409670</v>
      </c>
      <c r="D37" s="302" t="s">
        <v>428</v>
      </c>
      <c r="E37" s="302" t="s">
        <v>15</v>
      </c>
      <c r="F37" s="302" t="s">
        <v>452</v>
      </c>
      <c r="G37" s="302" t="s">
        <v>24</v>
      </c>
      <c r="H37" s="302">
        <v>6.6</v>
      </c>
      <c r="I37" s="303" t="s">
        <v>341</v>
      </c>
      <c r="J37" s="294"/>
    </row>
    <row r="38" spans="2:11">
      <c r="B38" s="17">
        <v>33</v>
      </c>
      <c r="C38" s="10">
        <v>44433</v>
      </c>
      <c r="D38" s="302" t="s">
        <v>428</v>
      </c>
      <c r="E38" s="302" t="s">
        <v>17</v>
      </c>
      <c r="F38" s="302" t="s">
        <v>455</v>
      </c>
      <c r="G38" s="302" t="s">
        <v>23</v>
      </c>
      <c r="H38" s="302">
        <v>8</v>
      </c>
      <c r="I38" s="303" t="s">
        <v>168</v>
      </c>
      <c r="J38" s="294" t="s">
        <v>444</v>
      </c>
    </row>
    <row r="39" spans="2:11">
      <c r="B39" s="17">
        <v>34</v>
      </c>
      <c r="C39" s="70">
        <v>44434</v>
      </c>
      <c r="D39" s="302" t="s">
        <v>428</v>
      </c>
      <c r="E39" s="302" t="s">
        <v>14</v>
      </c>
      <c r="F39" s="302" t="s">
        <v>454</v>
      </c>
      <c r="G39" s="302" t="s">
        <v>23</v>
      </c>
      <c r="H39" s="71">
        <v>6.4</v>
      </c>
      <c r="I39" s="303" t="s">
        <v>275</v>
      </c>
      <c r="J39" s="294"/>
    </row>
    <row r="40" spans="2:11">
      <c r="B40" s="17">
        <v>35</v>
      </c>
      <c r="C40" s="10">
        <v>44432</v>
      </c>
      <c r="D40" s="302" t="s">
        <v>428</v>
      </c>
      <c r="E40" s="302" t="s">
        <v>25</v>
      </c>
      <c r="F40" s="302" t="s">
        <v>453</v>
      </c>
      <c r="G40" s="302" t="s">
        <v>19</v>
      </c>
      <c r="H40" s="71">
        <v>20</v>
      </c>
      <c r="I40" s="303" t="s">
        <v>168</v>
      </c>
      <c r="J40" s="294"/>
    </row>
    <row r="41" spans="2:11">
      <c r="B41" s="17">
        <v>36</v>
      </c>
      <c r="C41" s="10">
        <v>44441</v>
      </c>
      <c r="D41" s="302" t="s">
        <v>458</v>
      </c>
      <c r="E41" s="302" t="s">
        <v>22</v>
      </c>
      <c r="F41" s="302" t="s">
        <v>456</v>
      </c>
      <c r="G41" s="302" t="s">
        <v>23</v>
      </c>
      <c r="H41" s="71">
        <v>8.5</v>
      </c>
      <c r="I41" s="303" t="s">
        <v>161</v>
      </c>
      <c r="J41" s="294"/>
    </row>
    <row r="42" spans="2:11">
      <c r="B42" s="17">
        <v>37</v>
      </c>
      <c r="C42" s="10">
        <v>44441</v>
      </c>
      <c r="D42" s="302" t="s">
        <v>458</v>
      </c>
      <c r="E42" s="5" t="s">
        <v>17</v>
      </c>
      <c r="F42" s="5" t="s">
        <v>459</v>
      </c>
      <c r="G42" s="5" t="s">
        <v>460</v>
      </c>
      <c r="H42" s="229">
        <v>6</v>
      </c>
      <c r="I42" s="303" t="s">
        <v>47</v>
      </c>
      <c r="J42" s="294"/>
      <c r="K42" s="202"/>
    </row>
    <row r="43" spans="2:11">
      <c r="B43" s="17">
        <v>38</v>
      </c>
      <c r="C43" s="10">
        <v>44442</v>
      </c>
      <c r="D43" s="5" t="s">
        <v>458</v>
      </c>
      <c r="E43" s="5" t="s">
        <v>10</v>
      </c>
      <c r="F43" s="5" t="s">
        <v>461</v>
      </c>
      <c r="G43" s="5" t="s">
        <v>24</v>
      </c>
      <c r="H43" s="229">
        <v>3.5</v>
      </c>
      <c r="I43" s="295" t="s">
        <v>47</v>
      </c>
      <c r="J43" s="294"/>
    </row>
    <row r="44" spans="2:11">
      <c r="B44" s="17">
        <v>39</v>
      </c>
      <c r="C44" s="10">
        <v>44443</v>
      </c>
      <c r="D44" s="5" t="s">
        <v>458</v>
      </c>
      <c r="E44" s="5" t="s">
        <v>340</v>
      </c>
      <c r="F44" s="5" t="s">
        <v>462</v>
      </c>
      <c r="G44" s="5" t="s">
        <v>24</v>
      </c>
      <c r="H44" s="229">
        <v>6</v>
      </c>
      <c r="I44" s="295" t="s">
        <v>47</v>
      </c>
      <c r="J44" s="294"/>
    </row>
    <row r="45" spans="2:11">
      <c r="B45" s="17">
        <v>41</v>
      </c>
      <c r="C45" s="10">
        <v>44443</v>
      </c>
      <c r="D45" s="5" t="s">
        <v>458</v>
      </c>
      <c r="E45" s="5" t="s">
        <v>15</v>
      </c>
      <c r="F45" s="5" t="s">
        <v>463</v>
      </c>
      <c r="G45" s="5" t="s">
        <v>19</v>
      </c>
      <c r="H45" s="229">
        <v>21.5</v>
      </c>
      <c r="I45" s="295" t="s">
        <v>275</v>
      </c>
      <c r="J45" s="294"/>
    </row>
    <row r="46" spans="2:11">
      <c r="B46" s="17">
        <v>42</v>
      </c>
      <c r="C46" s="10">
        <v>44443</v>
      </c>
      <c r="D46" s="5" t="s">
        <v>458</v>
      </c>
      <c r="E46" s="5" t="s">
        <v>15</v>
      </c>
      <c r="F46" s="5" t="s">
        <v>464</v>
      </c>
      <c r="G46" s="5" t="s">
        <v>19</v>
      </c>
      <c r="H46" s="229">
        <v>21.5</v>
      </c>
      <c r="I46" s="295" t="s">
        <v>341</v>
      </c>
      <c r="J46" s="294"/>
    </row>
    <row r="47" spans="2:11">
      <c r="B47" s="17">
        <v>43</v>
      </c>
      <c r="C47" s="10">
        <v>44445</v>
      </c>
      <c r="D47" s="5" t="s">
        <v>458</v>
      </c>
      <c r="E47" s="5" t="s">
        <v>25</v>
      </c>
      <c r="F47" s="5" t="s">
        <v>465</v>
      </c>
      <c r="G47" s="5" t="s">
        <v>24</v>
      </c>
      <c r="H47" s="229">
        <v>6</v>
      </c>
      <c r="I47" s="295" t="s">
        <v>47</v>
      </c>
      <c r="J47" s="294" t="s">
        <v>469</v>
      </c>
    </row>
    <row r="48" spans="2:11">
      <c r="B48" s="17">
        <v>44</v>
      </c>
      <c r="C48" s="10">
        <v>44445</v>
      </c>
      <c r="D48" s="5" t="s">
        <v>458</v>
      </c>
      <c r="E48" s="302" t="s">
        <v>22</v>
      </c>
      <c r="F48" s="302" t="s">
        <v>466</v>
      </c>
      <c r="G48" s="302" t="s">
        <v>19</v>
      </c>
      <c r="H48" s="302">
        <v>21</v>
      </c>
      <c r="I48" s="295" t="s">
        <v>161</v>
      </c>
      <c r="J48" s="294"/>
    </row>
    <row r="49" spans="2:10">
      <c r="B49" s="17">
        <v>45</v>
      </c>
      <c r="C49" s="10">
        <v>44445</v>
      </c>
      <c r="D49" s="5" t="s">
        <v>458</v>
      </c>
      <c r="E49" s="302" t="s">
        <v>158</v>
      </c>
      <c r="F49" s="302" t="s">
        <v>467</v>
      </c>
      <c r="G49" s="302" t="s">
        <v>468</v>
      </c>
      <c r="H49" s="302">
        <v>12</v>
      </c>
      <c r="I49" s="295" t="s">
        <v>275</v>
      </c>
      <c r="J49" s="294"/>
    </row>
    <row r="50" spans="2:10">
      <c r="B50" s="17">
        <v>47</v>
      </c>
      <c r="C50" s="10">
        <v>44447</v>
      </c>
      <c r="D50" s="5" t="s">
        <v>458</v>
      </c>
      <c r="E50" s="302" t="s">
        <v>15</v>
      </c>
      <c r="F50" s="302" t="s">
        <v>470</v>
      </c>
      <c r="G50" s="302" t="s">
        <v>24</v>
      </c>
      <c r="H50" s="302">
        <v>6</v>
      </c>
      <c r="I50" s="295" t="s">
        <v>275</v>
      </c>
      <c r="J50" s="294" t="s">
        <v>444</v>
      </c>
    </row>
    <row r="51" spans="2:10">
      <c r="B51" s="17">
        <v>48</v>
      </c>
      <c r="C51" s="10">
        <v>44447</v>
      </c>
      <c r="D51" s="5" t="s">
        <v>458</v>
      </c>
      <c r="E51" s="302" t="s">
        <v>340</v>
      </c>
      <c r="F51" s="302" t="s">
        <v>472</v>
      </c>
      <c r="G51" s="302" t="s">
        <v>19</v>
      </c>
      <c r="H51" s="302">
        <v>18</v>
      </c>
      <c r="I51" s="307" t="s">
        <v>275</v>
      </c>
      <c r="J51" s="294"/>
    </row>
    <row r="52" spans="2:10">
      <c r="B52" s="17">
        <v>51</v>
      </c>
      <c r="C52" s="10">
        <v>44454</v>
      </c>
      <c r="D52" s="5" t="s">
        <v>458</v>
      </c>
      <c r="E52" s="302" t="s">
        <v>25</v>
      </c>
      <c r="F52" s="302" t="s">
        <v>473</v>
      </c>
      <c r="G52" s="302" t="s">
        <v>24</v>
      </c>
      <c r="H52" s="302">
        <v>8.8699999999999992</v>
      </c>
      <c r="I52" s="295" t="s">
        <v>161</v>
      </c>
      <c r="J52" s="294"/>
    </row>
    <row r="53" spans="2:10">
      <c r="B53" s="17">
        <v>52</v>
      </c>
      <c r="C53" s="10">
        <v>44454</v>
      </c>
      <c r="D53" s="5" t="s">
        <v>458</v>
      </c>
      <c r="E53" s="302" t="s">
        <v>15</v>
      </c>
      <c r="F53" s="302" t="s">
        <v>474</v>
      </c>
      <c r="G53" s="302" t="s">
        <v>24</v>
      </c>
      <c r="H53" s="302">
        <v>5</v>
      </c>
      <c r="I53" s="295" t="s">
        <v>47</v>
      </c>
      <c r="J53" s="294"/>
    </row>
    <row r="54" spans="2:10">
      <c r="B54" s="17">
        <v>53</v>
      </c>
      <c r="C54" s="10">
        <v>44454</v>
      </c>
      <c r="D54" s="5" t="s">
        <v>458</v>
      </c>
      <c r="E54" s="302" t="s">
        <v>17</v>
      </c>
      <c r="F54" s="302" t="s">
        <v>475</v>
      </c>
      <c r="G54" s="302" t="s">
        <v>23</v>
      </c>
      <c r="H54" s="302">
        <v>9.9</v>
      </c>
      <c r="I54" s="295" t="s">
        <v>168</v>
      </c>
      <c r="J54" s="294"/>
    </row>
    <row r="55" spans="2:10">
      <c r="B55" s="17">
        <v>54</v>
      </c>
      <c r="C55" s="10">
        <v>44455</v>
      </c>
      <c r="D55" s="5" t="s">
        <v>458</v>
      </c>
      <c r="E55" s="302" t="s">
        <v>13</v>
      </c>
      <c r="F55" s="302" t="s">
        <v>476</v>
      </c>
      <c r="G55" s="302" t="s">
        <v>23</v>
      </c>
      <c r="H55" s="302">
        <v>9</v>
      </c>
      <c r="I55" s="295" t="s">
        <v>167</v>
      </c>
      <c r="J55" s="294"/>
    </row>
    <row r="56" spans="2:10">
      <c r="B56" s="17">
        <v>55</v>
      </c>
      <c r="C56" s="10">
        <v>44456</v>
      </c>
      <c r="D56" s="5" t="s">
        <v>458</v>
      </c>
      <c r="E56" s="302" t="s">
        <v>17</v>
      </c>
      <c r="F56" s="302" t="s">
        <v>477</v>
      </c>
      <c r="G56" s="302" t="s">
        <v>24</v>
      </c>
      <c r="H56" s="302">
        <v>7</v>
      </c>
      <c r="I56" s="295" t="s">
        <v>341</v>
      </c>
      <c r="J56" s="294"/>
    </row>
    <row r="57" spans="2:10">
      <c r="B57" s="17">
        <v>56</v>
      </c>
      <c r="C57" s="10">
        <v>44456</v>
      </c>
      <c r="D57" s="5" t="s">
        <v>458</v>
      </c>
      <c r="E57" s="302" t="s">
        <v>15</v>
      </c>
      <c r="F57" s="302" t="s">
        <v>478</v>
      </c>
      <c r="G57" s="302" t="s">
        <v>24</v>
      </c>
      <c r="H57" s="302">
        <v>6.6</v>
      </c>
      <c r="I57" s="295" t="s">
        <v>341</v>
      </c>
      <c r="J57" s="294"/>
    </row>
    <row r="58" spans="2:10">
      <c r="B58" s="17">
        <v>58</v>
      </c>
      <c r="C58" s="10">
        <v>44457</v>
      </c>
      <c r="D58" s="5" t="s">
        <v>458</v>
      </c>
      <c r="E58" s="302" t="s">
        <v>63</v>
      </c>
      <c r="F58" s="302" t="s">
        <v>479</v>
      </c>
      <c r="G58" s="302" t="s">
        <v>24</v>
      </c>
      <c r="H58" s="302">
        <v>7</v>
      </c>
      <c r="I58" s="295" t="s">
        <v>47</v>
      </c>
      <c r="J58" s="294"/>
    </row>
    <row r="59" spans="2:10">
      <c r="B59" s="17">
        <v>59</v>
      </c>
      <c r="C59" s="10">
        <v>44457</v>
      </c>
      <c r="D59" s="5" t="s">
        <v>458</v>
      </c>
      <c r="E59" s="302" t="s">
        <v>10</v>
      </c>
      <c r="F59" s="302" t="s">
        <v>480</v>
      </c>
      <c r="G59" s="302" t="s">
        <v>19</v>
      </c>
      <c r="H59" s="302">
        <v>20</v>
      </c>
      <c r="I59" s="295" t="s">
        <v>275</v>
      </c>
      <c r="J59" s="294" t="s">
        <v>506</v>
      </c>
    </row>
    <row r="60" spans="2:10">
      <c r="B60" s="17">
        <v>60</v>
      </c>
      <c r="C60" s="10">
        <v>44457</v>
      </c>
      <c r="D60" s="5" t="s">
        <v>458</v>
      </c>
      <c r="E60" s="302" t="s">
        <v>10</v>
      </c>
      <c r="F60" s="302" t="s">
        <v>481</v>
      </c>
      <c r="G60" s="302" t="s">
        <v>284</v>
      </c>
      <c r="H60" s="302">
        <v>7.7</v>
      </c>
      <c r="I60" s="295" t="s">
        <v>47</v>
      </c>
      <c r="J60" s="294"/>
    </row>
    <row r="61" spans="2:10">
      <c r="B61" s="17">
        <v>61</v>
      </c>
      <c r="C61" s="10">
        <v>44457</v>
      </c>
      <c r="D61" s="5" t="s">
        <v>458</v>
      </c>
      <c r="E61" s="302" t="s">
        <v>10</v>
      </c>
      <c r="F61" s="302" t="s">
        <v>482</v>
      </c>
      <c r="G61" s="302" t="s">
        <v>23</v>
      </c>
      <c r="H61" s="302">
        <v>8</v>
      </c>
      <c r="I61" s="295" t="s">
        <v>47</v>
      </c>
      <c r="J61" s="294"/>
    </row>
    <row r="62" spans="2:10">
      <c r="B62" s="17">
        <v>63</v>
      </c>
      <c r="C62" s="10">
        <v>44459</v>
      </c>
      <c r="D62" s="5" t="s">
        <v>458</v>
      </c>
      <c r="E62" s="302" t="s">
        <v>63</v>
      </c>
      <c r="F62" s="302" t="s">
        <v>483</v>
      </c>
      <c r="G62" s="302" t="s">
        <v>19</v>
      </c>
      <c r="H62" s="302">
        <v>15</v>
      </c>
      <c r="I62" s="295" t="s">
        <v>275</v>
      </c>
      <c r="J62" s="251"/>
    </row>
    <row r="63" spans="2:10">
      <c r="B63" s="17">
        <v>64</v>
      </c>
      <c r="C63" s="10">
        <v>44459</v>
      </c>
      <c r="D63" s="5" t="s">
        <v>458</v>
      </c>
      <c r="E63" s="302" t="s">
        <v>10</v>
      </c>
      <c r="F63" s="302" t="s">
        <v>484</v>
      </c>
      <c r="G63" s="302" t="s">
        <v>11</v>
      </c>
      <c r="H63" s="302">
        <v>25</v>
      </c>
      <c r="I63" s="295" t="s">
        <v>275</v>
      </c>
      <c r="J63" s="251" t="s">
        <v>507</v>
      </c>
    </row>
    <row r="64" spans="2:10">
      <c r="B64" s="17">
        <v>65</v>
      </c>
      <c r="C64" s="10">
        <v>44459</v>
      </c>
      <c r="D64" s="5" t="s">
        <v>458</v>
      </c>
      <c r="E64" s="302" t="s">
        <v>10</v>
      </c>
      <c r="F64" s="302" t="s">
        <v>485</v>
      </c>
      <c r="G64" s="302" t="s">
        <v>19</v>
      </c>
      <c r="H64" s="302">
        <v>18.5</v>
      </c>
      <c r="I64" s="295" t="s">
        <v>167</v>
      </c>
      <c r="J64" s="251"/>
    </row>
    <row r="65" spans="2:10">
      <c r="B65" s="17">
        <v>66</v>
      </c>
      <c r="C65" s="10">
        <v>44462</v>
      </c>
      <c r="D65" s="5" t="s">
        <v>458</v>
      </c>
      <c r="E65" s="302" t="s">
        <v>14</v>
      </c>
      <c r="F65" s="302" t="s">
        <v>486</v>
      </c>
      <c r="G65" s="302" t="s">
        <v>23</v>
      </c>
      <c r="H65" s="302">
        <v>8</v>
      </c>
      <c r="I65" s="295" t="s">
        <v>341</v>
      </c>
      <c r="J65" s="251"/>
    </row>
    <row r="66" spans="2:10">
      <c r="B66" s="17">
        <v>67</v>
      </c>
      <c r="C66" s="10">
        <v>44462</v>
      </c>
      <c r="D66" s="5" t="s">
        <v>458</v>
      </c>
      <c r="E66" s="302" t="s">
        <v>14</v>
      </c>
      <c r="F66" s="302" t="s">
        <v>487</v>
      </c>
      <c r="G66" s="302" t="s">
        <v>11</v>
      </c>
      <c r="H66" s="302">
        <v>28</v>
      </c>
      <c r="I66" s="295" t="s">
        <v>341</v>
      </c>
      <c r="J66" s="251"/>
    </row>
    <row r="67" spans="2:10">
      <c r="B67" s="17">
        <v>68</v>
      </c>
      <c r="C67" s="10">
        <v>44462</v>
      </c>
      <c r="D67" s="5" t="s">
        <v>458</v>
      </c>
      <c r="E67" s="302" t="s">
        <v>63</v>
      </c>
      <c r="F67" s="302" t="s">
        <v>500</v>
      </c>
      <c r="G67" s="302" t="s">
        <v>23</v>
      </c>
      <c r="H67" s="302">
        <v>9.3699999999999992</v>
      </c>
      <c r="I67" s="295" t="s">
        <v>275</v>
      </c>
      <c r="J67" s="251"/>
    </row>
    <row r="68" spans="2:10">
      <c r="B68" s="17">
        <v>69</v>
      </c>
      <c r="C68" s="10">
        <v>44462</v>
      </c>
      <c r="D68" s="5" t="s">
        <v>458</v>
      </c>
      <c r="E68" s="302" t="s">
        <v>63</v>
      </c>
      <c r="F68" s="302" t="s">
        <v>488</v>
      </c>
      <c r="G68" s="302" t="s">
        <v>23</v>
      </c>
      <c r="H68" s="302">
        <v>9.3699999999999992</v>
      </c>
      <c r="I68" s="295" t="s">
        <v>275</v>
      </c>
      <c r="J68" s="251"/>
    </row>
    <row r="69" spans="2:10">
      <c r="B69" s="17">
        <v>70</v>
      </c>
      <c r="C69" s="10">
        <v>44463</v>
      </c>
      <c r="D69" s="5" t="s">
        <v>458</v>
      </c>
      <c r="E69" s="302" t="s">
        <v>10</v>
      </c>
      <c r="F69" s="302" t="s">
        <v>490</v>
      </c>
      <c r="G69" s="302" t="s">
        <v>24</v>
      </c>
      <c r="H69" s="302">
        <v>6</v>
      </c>
      <c r="I69" s="295" t="s">
        <v>275</v>
      </c>
      <c r="J69" s="251"/>
    </row>
    <row r="70" spans="2:10">
      <c r="B70" s="17">
        <v>71</v>
      </c>
      <c r="C70" s="10">
        <v>44463</v>
      </c>
      <c r="D70" s="5" t="s">
        <v>458</v>
      </c>
      <c r="E70" s="302" t="s">
        <v>25</v>
      </c>
      <c r="F70" s="302" t="s">
        <v>489</v>
      </c>
      <c r="G70" s="302" t="s">
        <v>24</v>
      </c>
      <c r="H70" s="302">
        <v>8</v>
      </c>
      <c r="I70" s="303" t="s">
        <v>47</v>
      </c>
      <c r="J70" s="251"/>
    </row>
    <row r="71" spans="2:10">
      <c r="B71" s="17">
        <v>72</v>
      </c>
      <c r="C71" s="10">
        <v>44463</v>
      </c>
      <c r="D71" s="5" t="s">
        <v>458</v>
      </c>
      <c r="E71" s="302" t="s">
        <v>340</v>
      </c>
      <c r="F71" s="302" t="s">
        <v>491</v>
      </c>
      <c r="G71" s="302" t="s">
        <v>19</v>
      </c>
      <c r="H71" s="302">
        <v>15</v>
      </c>
      <c r="I71" s="307" t="s">
        <v>275</v>
      </c>
      <c r="J71" s="251"/>
    </row>
    <row r="72" spans="2:10">
      <c r="B72" s="17">
        <v>73</v>
      </c>
      <c r="C72" s="10">
        <v>44463</v>
      </c>
      <c r="D72" s="5" t="s">
        <v>458</v>
      </c>
      <c r="E72" s="302" t="s">
        <v>10</v>
      </c>
      <c r="F72" s="302" t="s">
        <v>492</v>
      </c>
      <c r="G72" s="302" t="s">
        <v>284</v>
      </c>
      <c r="H72" s="302">
        <v>8.6</v>
      </c>
      <c r="I72" s="303" t="s">
        <v>275</v>
      </c>
      <c r="J72" s="251"/>
    </row>
    <row r="73" spans="2:10">
      <c r="B73" s="17">
        <v>74</v>
      </c>
      <c r="C73" s="10">
        <v>44463</v>
      </c>
      <c r="D73" s="5" t="s">
        <v>458</v>
      </c>
      <c r="E73" s="302" t="s">
        <v>10</v>
      </c>
      <c r="F73" s="302" t="s">
        <v>497</v>
      </c>
      <c r="G73" s="302" t="s">
        <v>19</v>
      </c>
      <c r="H73" s="302">
        <v>17.93</v>
      </c>
      <c r="I73" s="303" t="s">
        <v>47</v>
      </c>
      <c r="J73" s="251"/>
    </row>
    <row r="74" spans="2:10">
      <c r="B74" s="17">
        <v>75</v>
      </c>
      <c r="C74" s="10">
        <v>44463</v>
      </c>
      <c r="D74" s="5" t="s">
        <v>458</v>
      </c>
      <c r="E74" s="302" t="s">
        <v>15</v>
      </c>
      <c r="F74" s="230" t="s">
        <v>495</v>
      </c>
      <c r="G74" s="302" t="s">
        <v>24</v>
      </c>
      <c r="H74" s="302">
        <v>7.67</v>
      </c>
      <c r="I74" s="303" t="s">
        <v>47</v>
      </c>
      <c r="J74" s="251"/>
    </row>
    <row r="75" spans="2:10">
      <c r="B75" s="17">
        <v>76</v>
      </c>
      <c r="C75" s="10">
        <v>44461</v>
      </c>
      <c r="D75" s="5" t="s">
        <v>458</v>
      </c>
      <c r="E75" s="5" t="s">
        <v>25</v>
      </c>
      <c r="F75" s="302" t="s">
        <v>498</v>
      </c>
      <c r="G75" s="5" t="s">
        <v>24</v>
      </c>
      <c r="H75" s="5">
        <v>6.56</v>
      </c>
      <c r="I75" s="295" t="s">
        <v>47</v>
      </c>
    </row>
    <row r="76" spans="2:10">
      <c r="B76" s="17">
        <v>77</v>
      </c>
      <c r="C76" s="10">
        <v>44461</v>
      </c>
      <c r="D76" s="5" t="s">
        <v>458</v>
      </c>
      <c r="E76" s="5" t="s">
        <v>25</v>
      </c>
      <c r="F76" s="302" t="s">
        <v>499</v>
      </c>
      <c r="G76" s="5" t="s">
        <v>24</v>
      </c>
      <c r="H76" s="5">
        <v>5.97</v>
      </c>
      <c r="I76" s="295" t="s">
        <v>47</v>
      </c>
    </row>
    <row r="77" spans="2:10">
      <c r="B77" s="17">
        <v>78</v>
      </c>
      <c r="C77" s="10">
        <v>44461</v>
      </c>
      <c r="D77" s="5" t="s">
        <v>458</v>
      </c>
      <c r="E77" s="302" t="s">
        <v>63</v>
      </c>
      <c r="F77" s="230" t="s">
        <v>501</v>
      </c>
      <c r="G77" s="302" t="s">
        <v>23</v>
      </c>
      <c r="H77" s="302">
        <v>8</v>
      </c>
      <c r="I77" s="295" t="s">
        <v>275</v>
      </c>
      <c r="J77" s="251"/>
    </row>
    <row r="78" spans="2:10">
      <c r="B78" s="17">
        <v>79</v>
      </c>
      <c r="C78" s="10">
        <v>44463</v>
      </c>
      <c r="D78" s="5" t="s">
        <v>458</v>
      </c>
      <c r="E78" s="302" t="s">
        <v>13</v>
      </c>
      <c r="F78" s="230" t="s">
        <v>496</v>
      </c>
      <c r="G78" s="302" t="s">
        <v>19</v>
      </c>
      <c r="H78" s="302">
        <v>18.78</v>
      </c>
      <c r="I78" s="303" t="s">
        <v>275</v>
      </c>
      <c r="J78" s="251"/>
    </row>
    <row r="79" spans="2:10">
      <c r="B79" s="17">
        <v>80</v>
      </c>
      <c r="C79" s="10">
        <v>44469</v>
      </c>
      <c r="D79" s="5" t="s">
        <v>458</v>
      </c>
      <c r="E79" s="302" t="s">
        <v>13</v>
      </c>
      <c r="F79" s="5" t="s">
        <v>504</v>
      </c>
      <c r="G79" s="5" t="s">
        <v>23</v>
      </c>
      <c r="H79" s="5">
        <v>9.9600000000000009</v>
      </c>
      <c r="I79" s="295" t="s">
        <v>47</v>
      </c>
    </row>
    <row r="80" spans="2:10" ht="15.75" thickBot="1">
      <c r="B80" s="200">
        <v>81</v>
      </c>
      <c r="C80" s="89">
        <v>44463</v>
      </c>
      <c r="D80" s="296" t="s">
        <v>458</v>
      </c>
      <c r="E80" s="296" t="s">
        <v>22</v>
      </c>
      <c r="F80" s="296" t="s">
        <v>502</v>
      </c>
      <c r="G80" s="296" t="s">
        <v>23</v>
      </c>
      <c r="H80" s="296">
        <v>8</v>
      </c>
      <c r="I80" s="306" t="s">
        <v>47</v>
      </c>
    </row>
    <row r="81" spans="2:9" ht="15.75">
      <c r="H81" s="232">
        <f>SUM(H6:H80)</f>
        <v>1103.6300000000001</v>
      </c>
    </row>
    <row r="82" spans="2:9">
      <c r="C82" s="309">
        <v>44461</v>
      </c>
      <c r="D82" s="5" t="s">
        <v>458</v>
      </c>
      <c r="E82" s="302" t="s">
        <v>17</v>
      </c>
      <c r="F82" s="308" t="s">
        <v>509</v>
      </c>
      <c r="G82" s="308" t="s">
        <v>23</v>
      </c>
      <c r="H82" s="308">
        <v>7</v>
      </c>
      <c r="I82" s="295" t="s">
        <v>275</v>
      </c>
    </row>
    <row r="83" spans="2:9">
      <c r="C83" s="309"/>
      <c r="D83" s="25"/>
      <c r="E83" s="310"/>
      <c r="F83" s="25"/>
      <c r="G83" s="25"/>
      <c r="H83" s="25"/>
      <c r="I83" s="25"/>
    </row>
    <row r="84" spans="2:9">
      <c r="C84" s="309"/>
      <c r="D84" s="25"/>
      <c r="E84" s="310"/>
      <c r="F84" s="25"/>
      <c r="G84" s="25"/>
      <c r="H84" s="25"/>
      <c r="I84" s="25"/>
    </row>
    <row r="85" spans="2:9" ht="15.75" thickBot="1"/>
    <row r="86" spans="2:9">
      <c r="B86" s="181" t="s">
        <v>0</v>
      </c>
      <c r="C86" s="249" t="s">
        <v>43</v>
      </c>
      <c r="D86" s="249" t="s">
        <v>1</v>
      </c>
      <c r="E86" s="301" t="s">
        <v>2</v>
      </c>
      <c r="F86" s="301" t="s">
        <v>3</v>
      </c>
      <c r="G86" s="249" t="s">
        <v>4</v>
      </c>
      <c r="H86" s="249" t="s">
        <v>7</v>
      </c>
      <c r="I86" s="250" t="s">
        <v>56</v>
      </c>
    </row>
    <row r="87" spans="2:9">
      <c r="E87" s="25" t="s">
        <v>363</v>
      </c>
      <c r="F87" s="25" t="s">
        <v>503</v>
      </c>
      <c r="G87" s="25" t="s">
        <v>23</v>
      </c>
      <c r="H87" s="1">
        <v>9</v>
      </c>
      <c r="I87" s="25" t="s">
        <v>415</v>
      </c>
    </row>
    <row r="88" spans="2:9">
      <c r="E88" s="25" t="s">
        <v>10</v>
      </c>
      <c r="F88" s="25" t="s">
        <v>505</v>
      </c>
      <c r="G88" s="25" t="s">
        <v>19</v>
      </c>
      <c r="H88">
        <v>24</v>
      </c>
      <c r="I88" s="25" t="s">
        <v>287</v>
      </c>
    </row>
    <row r="89" spans="2:9">
      <c r="E89" s="25" t="s">
        <v>25</v>
      </c>
      <c r="F89" s="25" t="s">
        <v>508</v>
      </c>
      <c r="G89" s="25" t="s">
        <v>24</v>
      </c>
      <c r="H89">
        <v>7</v>
      </c>
      <c r="I89" s="25" t="s">
        <v>275</v>
      </c>
    </row>
  </sheetData>
  <mergeCells count="14">
    <mergeCell ref="L2:AF2"/>
    <mergeCell ref="M3:N3"/>
    <mergeCell ref="O3:R3"/>
    <mergeCell ref="S3:S15"/>
    <mergeCell ref="T3:U3"/>
    <mergeCell ref="X3:Y3"/>
    <mergeCell ref="Z3:AD3"/>
    <mergeCell ref="AE3:AF3"/>
    <mergeCell ref="M15:N15"/>
    <mergeCell ref="P15:Q15"/>
    <mergeCell ref="T15:U15"/>
    <mergeCell ref="X15:Z15"/>
    <mergeCell ref="AA15:AB15"/>
    <mergeCell ref="AC15:AD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I34"/>
  <sheetViews>
    <sheetView workbookViewId="0">
      <selection activeCell="I42" sqref="I42"/>
    </sheetView>
  </sheetViews>
  <sheetFormatPr defaultColWidth="11.42578125" defaultRowHeight="15"/>
  <cols>
    <col min="1" max="1" width="8.85546875" customWidth="1"/>
    <col min="2" max="2" width="5.140625" bestFit="1" customWidth="1"/>
    <col min="3" max="3" width="10.42578125" bestFit="1" customWidth="1"/>
    <col min="4" max="4" width="6.85546875" bestFit="1" customWidth="1"/>
    <col min="5" max="5" width="8.42578125" bestFit="1" customWidth="1"/>
    <col min="6" max="6" width="22.85546875" bestFit="1" customWidth="1"/>
    <col min="7" max="7" width="8.7109375" bestFit="1" customWidth="1"/>
    <col min="8" max="8" width="8.140625" bestFit="1" customWidth="1"/>
    <col min="9" max="9" width="10.85546875" bestFit="1" customWidth="1"/>
    <col min="10" max="256" width="8.85546875" customWidth="1"/>
  </cols>
  <sheetData>
    <row r="2" spans="2:9" ht="15.75" thickBot="1"/>
    <row r="3" spans="2:9">
      <c r="B3" s="324" t="s">
        <v>0</v>
      </c>
      <c r="C3" s="249" t="s">
        <v>43</v>
      </c>
      <c r="D3" s="249" t="s">
        <v>1</v>
      </c>
      <c r="E3" s="394" t="s">
        <v>2</v>
      </c>
      <c r="F3" s="394" t="s">
        <v>3</v>
      </c>
      <c r="G3" s="249" t="s">
        <v>4</v>
      </c>
      <c r="H3" s="394" t="s">
        <v>7</v>
      </c>
      <c r="I3" s="250" t="s">
        <v>56</v>
      </c>
    </row>
    <row r="4" spans="2:9" hidden="1">
      <c r="B4" s="199">
        <v>1</v>
      </c>
      <c r="C4" s="397">
        <v>44391</v>
      </c>
      <c r="D4" s="87" t="s">
        <v>405</v>
      </c>
      <c r="E4" s="87" t="s">
        <v>22</v>
      </c>
      <c r="F4" s="87" t="s">
        <v>417</v>
      </c>
      <c r="G4" s="87" t="s">
        <v>11</v>
      </c>
      <c r="H4" s="87">
        <v>27</v>
      </c>
      <c r="I4" s="88" t="s">
        <v>275</v>
      </c>
    </row>
    <row r="5" spans="2:9" hidden="1">
      <c r="B5" s="17">
        <v>2</v>
      </c>
      <c r="C5" s="10">
        <v>44425</v>
      </c>
      <c r="D5" s="395" t="s">
        <v>428</v>
      </c>
      <c r="E5" s="395" t="s">
        <v>14</v>
      </c>
      <c r="F5" s="395" t="s">
        <v>446</v>
      </c>
      <c r="G5" s="395" t="s">
        <v>19</v>
      </c>
      <c r="H5" s="395">
        <v>21</v>
      </c>
      <c r="I5" s="396" t="s">
        <v>275</v>
      </c>
    </row>
    <row r="6" spans="2:9" hidden="1">
      <c r="B6" s="17">
        <v>3</v>
      </c>
      <c r="C6" s="10">
        <v>44422</v>
      </c>
      <c r="D6" s="395" t="s">
        <v>428</v>
      </c>
      <c r="E6" s="395" t="s">
        <v>14</v>
      </c>
      <c r="F6" s="395" t="s">
        <v>441</v>
      </c>
      <c r="G6" s="395" t="s">
        <v>11</v>
      </c>
      <c r="H6" s="395">
        <v>30</v>
      </c>
      <c r="I6" s="396" t="s">
        <v>341</v>
      </c>
    </row>
    <row r="7" spans="2:9">
      <c r="B7" s="17">
        <v>4</v>
      </c>
      <c r="C7" s="10">
        <v>44457</v>
      </c>
      <c r="D7" s="5" t="s">
        <v>458</v>
      </c>
      <c r="E7" s="395" t="s">
        <v>10</v>
      </c>
      <c r="F7" s="395" t="s">
        <v>480</v>
      </c>
      <c r="G7" s="395" t="s">
        <v>19</v>
      </c>
      <c r="H7" s="395">
        <v>20</v>
      </c>
      <c r="I7" s="295" t="s">
        <v>275</v>
      </c>
    </row>
    <row r="8" spans="2:9" hidden="1">
      <c r="B8" s="17">
        <v>5</v>
      </c>
      <c r="C8" s="10">
        <v>44462</v>
      </c>
      <c r="D8" s="5" t="s">
        <v>458</v>
      </c>
      <c r="E8" s="395" t="s">
        <v>14</v>
      </c>
      <c r="F8" s="395" t="s">
        <v>487</v>
      </c>
      <c r="G8" s="395" t="s">
        <v>11</v>
      </c>
      <c r="H8" s="395">
        <v>28</v>
      </c>
      <c r="I8" s="295" t="s">
        <v>341</v>
      </c>
    </row>
    <row r="9" spans="2:9">
      <c r="B9" s="17">
        <v>6</v>
      </c>
      <c r="C9" s="10">
        <v>44463</v>
      </c>
      <c r="D9" s="5" t="s">
        <v>458</v>
      </c>
      <c r="E9" s="395" t="s">
        <v>10</v>
      </c>
      <c r="F9" s="395" t="s">
        <v>490</v>
      </c>
      <c r="G9" s="395" t="s">
        <v>24</v>
      </c>
      <c r="H9" s="395">
        <v>6</v>
      </c>
      <c r="I9" s="295" t="s">
        <v>275</v>
      </c>
    </row>
    <row r="10" spans="2:9" hidden="1">
      <c r="B10" s="17">
        <v>7</v>
      </c>
      <c r="C10" s="10">
        <v>44461</v>
      </c>
      <c r="D10" s="5" t="s">
        <v>458</v>
      </c>
      <c r="E10" s="395" t="s">
        <v>17</v>
      </c>
      <c r="F10" s="5" t="s">
        <v>509</v>
      </c>
      <c r="G10" s="5" t="s">
        <v>23</v>
      </c>
      <c r="H10" s="5">
        <v>7</v>
      </c>
      <c r="I10" s="295" t="s">
        <v>275</v>
      </c>
    </row>
    <row r="11" spans="2:9" hidden="1">
      <c r="B11" s="17">
        <v>8</v>
      </c>
      <c r="C11" s="395"/>
      <c r="D11" s="395" t="s">
        <v>511</v>
      </c>
      <c r="E11" s="5" t="s">
        <v>15</v>
      </c>
      <c r="F11" s="5" t="s">
        <v>563</v>
      </c>
      <c r="G11" s="5" t="s">
        <v>284</v>
      </c>
      <c r="H11" s="395">
        <v>7.5</v>
      </c>
      <c r="I11" s="295" t="s">
        <v>275</v>
      </c>
    </row>
    <row r="12" spans="2:9" hidden="1">
      <c r="B12" s="17">
        <v>9</v>
      </c>
      <c r="C12" s="10">
        <v>44482</v>
      </c>
      <c r="D12" s="395" t="s">
        <v>511</v>
      </c>
      <c r="E12" s="395" t="s">
        <v>17</v>
      </c>
      <c r="F12" s="395" t="s">
        <v>546</v>
      </c>
      <c r="G12" s="395" t="s">
        <v>19</v>
      </c>
      <c r="H12" s="395">
        <v>16</v>
      </c>
      <c r="I12" s="396" t="s">
        <v>275</v>
      </c>
    </row>
    <row r="13" spans="2:9" hidden="1">
      <c r="B13" s="17">
        <v>10</v>
      </c>
      <c r="C13" s="10">
        <v>44490</v>
      </c>
      <c r="D13" s="395" t="s">
        <v>549</v>
      </c>
      <c r="E13" s="5" t="s">
        <v>15</v>
      </c>
      <c r="F13" s="5" t="s">
        <v>551</v>
      </c>
      <c r="G13" s="229" t="s">
        <v>24</v>
      </c>
      <c r="H13" s="229">
        <v>6</v>
      </c>
      <c r="I13" s="295" t="s">
        <v>341</v>
      </c>
    </row>
    <row r="14" spans="2:9" hidden="1">
      <c r="B14" s="17">
        <v>11</v>
      </c>
      <c r="C14" s="395"/>
      <c r="D14" s="229" t="s">
        <v>569</v>
      </c>
      <c r="E14" s="5" t="s">
        <v>562</v>
      </c>
      <c r="F14" s="5" t="s">
        <v>560</v>
      </c>
      <c r="G14" s="229" t="s">
        <v>11</v>
      </c>
      <c r="H14" s="395">
        <v>30</v>
      </c>
      <c r="I14" s="295" t="s">
        <v>287</v>
      </c>
    </row>
    <row r="15" spans="2:9" hidden="1">
      <c r="B15" s="17">
        <v>12</v>
      </c>
      <c r="C15" s="395"/>
      <c r="D15" s="229" t="s">
        <v>569</v>
      </c>
      <c r="E15" s="5" t="s">
        <v>562</v>
      </c>
      <c r="F15" s="395" t="s">
        <v>561</v>
      </c>
      <c r="G15" s="395" t="s">
        <v>19</v>
      </c>
      <c r="H15" s="395">
        <v>20</v>
      </c>
      <c r="I15" s="295" t="s">
        <v>287</v>
      </c>
    </row>
    <row r="16" spans="2:9">
      <c r="B16" s="17">
        <v>13</v>
      </c>
      <c r="C16" s="395"/>
      <c r="D16" s="229" t="s">
        <v>569</v>
      </c>
      <c r="E16" s="5" t="s">
        <v>10</v>
      </c>
      <c r="F16" s="395" t="s">
        <v>565</v>
      </c>
      <c r="G16" s="395" t="s">
        <v>19</v>
      </c>
      <c r="H16" s="395">
        <v>29</v>
      </c>
      <c r="I16" s="295" t="s">
        <v>287</v>
      </c>
    </row>
    <row r="17" spans="2:9">
      <c r="B17" s="17">
        <v>14</v>
      </c>
      <c r="C17" s="395"/>
      <c r="D17" s="395" t="s">
        <v>577</v>
      </c>
      <c r="E17" s="5" t="s">
        <v>10</v>
      </c>
      <c r="F17" s="5" t="s">
        <v>576</v>
      </c>
      <c r="G17" s="5" t="s">
        <v>19</v>
      </c>
      <c r="H17" s="5">
        <v>24.9</v>
      </c>
      <c r="I17" s="295" t="s">
        <v>275</v>
      </c>
    </row>
    <row r="18" spans="2:9" ht="15.75" hidden="1">
      <c r="B18" s="17">
        <v>15</v>
      </c>
      <c r="C18" s="395"/>
      <c r="D18" s="229" t="s">
        <v>577</v>
      </c>
      <c r="E18" s="5" t="s">
        <v>63</v>
      </c>
      <c r="F18" s="5" t="s">
        <v>582</v>
      </c>
      <c r="G18" s="5" t="s">
        <v>23</v>
      </c>
      <c r="H18" s="292">
        <v>9</v>
      </c>
      <c r="I18" s="295" t="s">
        <v>275</v>
      </c>
    </row>
    <row r="19" spans="2:9" hidden="1">
      <c r="B19" s="17">
        <v>16</v>
      </c>
      <c r="C19" s="10">
        <v>44513</v>
      </c>
      <c r="D19" s="395" t="s">
        <v>569</v>
      </c>
      <c r="E19" s="5" t="s">
        <v>13</v>
      </c>
      <c r="F19" s="5" t="s">
        <v>590</v>
      </c>
      <c r="G19" s="5" t="s">
        <v>19</v>
      </c>
      <c r="H19" s="5">
        <v>20</v>
      </c>
      <c r="I19" s="295" t="s">
        <v>275</v>
      </c>
    </row>
    <row r="20" spans="2:9" hidden="1">
      <c r="B20" s="17">
        <v>17</v>
      </c>
      <c r="C20" s="10"/>
      <c r="D20" s="395" t="s">
        <v>569</v>
      </c>
      <c r="E20" s="5" t="s">
        <v>618</v>
      </c>
      <c r="F20" s="5" t="s">
        <v>592</v>
      </c>
      <c r="G20" s="5" t="s">
        <v>24</v>
      </c>
      <c r="H20" s="5">
        <v>6</v>
      </c>
      <c r="I20" s="295" t="s">
        <v>287</v>
      </c>
    </row>
    <row r="21" spans="2:9" ht="15.75" hidden="1">
      <c r="B21" s="17">
        <v>18</v>
      </c>
      <c r="C21" s="395"/>
      <c r="D21" s="395" t="s">
        <v>569</v>
      </c>
      <c r="E21" s="395" t="s">
        <v>14</v>
      </c>
      <c r="F21" s="395" t="s">
        <v>597</v>
      </c>
      <c r="G21" s="395" t="s">
        <v>19</v>
      </c>
      <c r="H21" s="292">
        <v>20</v>
      </c>
      <c r="I21" s="295" t="s">
        <v>341</v>
      </c>
    </row>
    <row r="22" spans="2:9" hidden="1">
      <c r="B22" s="17">
        <v>19</v>
      </c>
      <c r="C22" s="10">
        <v>44515</v>
      </c>
      <c r="D22" s="395" t="s">
        <v>569</v>
      </c>
      <c r="E22" s="5" t="s">
        <v>15</v>
      </c>
      <c r="F22" s="5" t="s">
        <v>598</v>
      </c>
      <c r="G22" s="5" t="s">
        <v>19</v>
      </c>
      <c r="H22" s="229">
        <v>17</v>
      </c>
      <c r="I22" s="295" t="s">
        <v>275</v>
      </c>
    </row>
    <row r="23" spans="2:9" hidden="1">
      <c r="B23" s="17">
        <v>20</v>
      </c>
      <c r="C23" s="10">
        <v>44513</v>
      </c>
      <c r="D23" s="395" t="s">
        <v>569</v>
      </c>
      <c r="E23" s="395" t="s">
        <v>340</v>
      </c>
      <c r="F23" s="5" t="s">
        <v>600</v>
      </c>
      <c r="G23" s="395" t="s">
        <v>19</v>
      </c>
      <c r="H23" s="5">
        <v>19</v>
      </c>
      <c r="I23" s="295" t="s">
        <v>341</v>
      </c>
    </row>
    <row r="24" spans="2:9" hidden="1">
      <c r="B24" s="17">
        <v>21</v>
      </c>
      <c r="C24" s="10">
        <v>44517</v>
      </c>
      <c r="D24" s="395" t="s">
        <v>569</v>
      </c>
      <c r="E24" s="5" t="s">
        <v>63</v>
      </c>
      <c r="F24" s="395" t="s">
        <v>608</v>
      </c>
      <c r="G24" s="395" t="s">
        <v>11</v>
      </c>
      <c r="H24" s="393">
        <v>25</v>
      </c>
      <c r="I24" s="396" t="s">
        <v>287</v>
      </c>
    </row>
    <row r="25" spans="2:9" hidden="1">
      <c r="B25" s="17">
        <v>22</v>
      </c>
      <c r="C25" s="10">
        <v>44517</v>
      </c>
      <c r="D25" s="395" t="s">
        <v>569</v>
      </c>
      <c r="E25" s="395" t="s">
        <v>22</v>
      </c>
      <c r="F25" s="395" t="s">
        <v>610</v>
      </c>
      <c r="G25" s="395" t="s">
        <v>24</v>
      </c>
      <c r="H25" s="393">
        <v>3</v>
      </c>
      <c r="I25" s="396" t="s">
        <v>275</v>
      </c>
    </row>
    <row r="26" spans="2:9" hidden="1">
      <c r="B26" s="17">
        <v>23</v>
      </c>
      <c r="C26" s="10">
        <v>44517</v>
      </c>
      <c r="D26" s="395" t="s">
        <v>569</v>
      </c>
      <c r="E26" s="395" t="s">
        <v>22</v>
      </c>
      <c r="F26" s="395" t="s">
        <v>611</v>
      </c>
      <c r="G26" s="395" t="s">
        <v>19</v>
      </c>
      <c r="H26" s="393">
        <v>20</v>
      </c>
      <c r="I26" s="396" t="s">
        <v>287</v>
      </c>
    </row>
    <row r="27" spans="2:9" hidden="1">
      <c r="B27" s="17">
        <v>24</v>
      </c>
      <c r="C27" s="10">
        <v>44517</v>
      </c>
      <c r="D27" s="395" t="s">
        <v>569</v>
      </c>
      <c r="E27" s="5" t="s">
        <v>562</v>
      </c>
      <c r="F27" s="395" t="s">
        <v>612</v>
      </c>
      <c r="G27" s="395" t="s">
        <v>24</v>
      </c>
      <c r="H27" s="393">
        <v>8</v>
      </c>
      <c r="I27" s="295" t="s">
        <v>287</v>
      </c>
    </row>
    <row r="28" spans="2:9">
      <c r="B28" s="17">
        <v>25</v>
      </c>
      <c r="C28" s="10">
        <v>44509</v>
      </c>
      <c r="D28" s="395" t="s">
        <v>569</v>
      </c>
      <c r="E28" s="395" t="s">
        <v>10</v>
      </c>
      <c r="F28" s="395" t="s">
        <v>585</v>
      </c>
      <c r="G28" s="395" t="s">
        <v>19</v>
      </c>
      <c r="H28" s="395">
        <v>15</v>
      </c>
      <c r="I28" s="396" t="s">
        <v>275</v>
      </c>
    </row>
    <row r="29" spans="2:9">
      <c r="B29" s="17">
        <v>26</v>
      </c>
      <c r="C29" s="10">
        <v>44509</v>
      </c>
      <c r="D29" s="395" t="s">
        <v>569</v>
      </c>
      <c r="E29" s="395" t="s">
        <v>10</v>
      </c>
      <c r="F29" s="395" t="s">
        <v>605</v>
      </c>
      <c r="G29" s="395" t="s">
        <v>11</v>
      </c>
      <c r="H29" s="395">
        <v>30</v>
      </c>
      <c r="I29" s="396" t="s">
        <v>341</v>
      </c>
    </row>
    <row r="30" spans="2:9">
      <c r="B30" s="17">
        <v>27</v>
      </c>
      <c r="C30" s="10"/>
      <c r="D30" s="395" t="s">
        <v>569</v>
      </c>
      <c r="E30" s="395" t="s">
        <v>10</v>
      </c>
      <c r="F30" s="395" t="s">
        <v>614</v>
      </c>
      <c r="G30" s="395" t="s">
        <v>23</v>
      </c>
      <c r="H30" s="395">
        <v>8</v>
      </c>
      <c r="I30" s="396" t="s">
        <v>341</v>
      </c>
    </row>
    <row r="31" spans="2:9" hidden="1">
      <c r="B31" s="17">
        <v>28</v>
      </c>
      <c r="C31" s="10"/>
      <c r="D31" s="395" t="s">
        <v>569</v>
      </c>
      <c r="E31" s="395" t="s">
        <v>14</v>
      </c>
      <c r="F31" s="395" t="s">
        <v>615</v>
      </c>
      <c r="G31" s="395" t="s">
        <v>19</v>
      </c>
      <c r="H31" s="395">
        <v>20</v>
      </c>
      <c r="I31" s="396" t="s">
        <v>341</v>
      </c>
    </row>
    <row r="32" spans="2:9" hidden="1">
      <c r="B32" s="17">
        <v>29</v>
      </c>
      <c r="C32" s="10"/>
      <c r="D32" s="395" t="s">
        <v>569</v>
      </c>
      <c r="E32" s="395" t="s">
        <v>14</v>
      </c>
      <c r="F32" s="395" t="s">
        <v>616</v>
      </c>
      <c r="G32" s="395" t="s">
        <v>23</v>
      </c>
      <c r="H32" s="395">
        <v>7</v>
      </c>
      <c r="I32" s="396" t="s">
        <v>341</v>
      </c>
    </row>
    <row r="33" spans="2:9" ht="15.75" hidden="1" thickBot="1">
      <c r="B33" s="200">
        <v>30</v>
      </c>
      <c r="C33" s="398"/>
      <c r="D33" s="90" t="s">
        <v>569</v>
      </c>
      <c r="E33" s="90" t="s">
        <v>15</v>
      </c>
      <c r="F33" s="90" t="s">
        <v>619</v>
      </c>
      <c r="G33" s="90" t="s">
        <v>19</v>
      </c>
      <c r="H33" s="398">
        <v>15</v>
      </c>
      <c r="I33" s="306" t="s">
        <v>275</v>
      </c>
    </row>
    <row r="34" spans="2:9" hidden="1">
      <c r="B34" s="37"/>
      <c r="C34" s="37"/>
      <c r="D34" s="37"/>
      <c r="E34" s="37"/>
      <c r="F34" s="37"/>
      <c r="G34" s="37"/>
      <c r="H34" s="399">
        <f>SUM(H4:H33)</f>
        <v>514.4</v>
      </c>
      <c r="I34" s="37"/>
    </row>
  </sheetData>
  <autoFilter ref="B3:I34">
    <filterColumn colId="3">
      <filters>
        <filter val="VJA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"/>
  <sheetViews>
    <sheetView workbookViewId="0">
      <selection activeCell="E13" sqref="E13"/>
    </sheetView>
  </sheetViews>
  <sheetFormatPr defaultColWidth="9.140625" defaultRowHeight="36.75" customHeight="1"/>
  <cols>
    <col min="1" max="2" width="9.140625" style="406"/>
    <col min="3" max="3" width="6.140625" style="132" customWidth="1"/>
    <col min="4" max="4" width="21.140625" style="132" customWidth="1"/>
    <col min="5" max="5" width="29.28515625" style="132" bestFit="1" customWidth="1"/>
    <col min="6" max="7" width="14.140625" style="132" customWidth="1"/>
    <col min="8" max="8" width="42.42578125" style="132" bestFit="1" customWidth="1"/>
    <col min="9" max="10" width="21.140625" style="132" customWidth="1"/>
    <col min="11" max="11" width="54.7109375" style="132" customWidth="1"/>
    <col min="12" max="14" width="21.140625" style="132" customWidth="1"/>
    <col min="15" max="16384" width="9.140625" style="406"/>
  </cols>
  <sheetData>
    <row r="1" spans="2:11" ht="36.75" customHeight="1" thickBot="1"/>
    <row r="2" spans="2:11" ht="15.75" thickBot="1">
      <c r="C2" s="407" t="s">
        <v>0</v>
      </c>
      <c r="D2" s="408" t="s">
        <v>633</v>
      </c>
      <c r="E2" s="408" t="s">
        <v>634</v>
      </c>
      <c r="F2" s="408"/>
      <c r="G2" s="408"/>
      <c r="H2" s="408" t="s">
        <v>635</v>
      </c>
      <c r="I2" s="408" t="s">
        <v>636</v>
      </c>
      <c r="J2" s="408" t="s">
        <v>637</v>
      </c>
      <c r="K2" s="408"/>
    </row>
    <row r="3" spans="2:11" ht="36.75" customHeight="1" thickBot="1">
      <c r="C3" s="409">
        <v>1</v>
      </c>
      <c r="D3" s="410" t="s">
        <v>638</v>
      </c>
      <c r="E3" s="410" t="s">
        <v>639</v>
      </c>
      <c r="F3" s="410"/>
      <c r="G3" s="410"/>
      <c r="H3" s="410" t="s">
        <v>640</v>
      </c>
      <c r="I3" s="410" t="s">
        <v>641</v>
      </c>
      <c r="J3" s="411">
        <v>1986000</v>
      </c>
      <c r="K3" s="414" t="s">
        <v>642</v>
      </c>
    </row>
    <row r="4" spans="2:11" ht="36.75" customHeight="1" thickBot="1">
      <c r="C4" s="409">
        <v>2</v>
      </c>
      <c r="D4" s="412" t="s">
        <v>643</v>
      </c>
      <c r="E4" s="412" t="s">
        <v>644</v>
      </c>
      <c r="F4" s="412"/>
      <c r="G4" s="412"/>
      <c r="H4" s="410" t="s">
        <v>640</v>
      </c>
      <c r="I4" s="412" t="s">
        <v>641</v>
      </c>
      <c r="J4" s="411">
        <v>1400000</v>
      </c>
      <c r="K4" s="414" t="s">
        <v>642</v>
      </c>
    </row>
    <row r="5" spans="2:11" ht="36.75" customHeight="1" thickBot="1">
      <c r="C5" s="409">
        <v>3</v>
      </c>
      <c r="D5" s="410" t="s">
        <v>645</v>
      </c>
      <c r="E5" s="418" t="s">
        <v>646</v>
      </c>
      <c r="F5" s="418" t="s">
        <v>668</v>
      </c>
      <c r="G5" s="418">
        <v>218</v>
      </c>
      <c r="H5" s="410" t="s">
        <v>308</v>
      </c>
      <c r="I5" s="410" t="s">
        <v>647</v>
      </c>
      <c r="J5" s="411">
        <v>3000000</v>
      </c>
      <c r="K5" s="414" t="s">
        <v>642</v>
      </c>
    </row>
    <row r="6" spans="2:11" ht="36.75" customHeight="1" thickBot="1">
      <c r="C6" s="409">
        <v>1</v>
      </c>
      <c r="D6" s="410" t="s">
        <v>648</v>
      </c>
      <c r="E6" s="417" t="s">
        <v>649</v>
      </c>
      <c r="F6" s="417" t="s">
        <v>382</v>
      </c>
      <c r="G6" s="417" t="s">
        <v>21</v>
      </c>
      <c r="H6" s="410" t="s">
        <v>308</v>
      </c>
      <c r="I6" s="410" t="s">
        <v>641</v>
      </c>
      <c r="J6" s="411">
        <v>1900000</v>
      </c>
      <c r="K6" s="415" t="s">
        <v>650</v>
      </c>
    </row>
    <row r="7" spans="2:11" ht="36.75" customHeight="1" thickBot="1">
      <c r="B7" s="406" t="s">
        <v>666</v>
      </c>
      <c r="C7" s="409">
        <v>2</v>
      </c>
      <c r="D7" s="410" t="s">
        <v>651</v>
      </c>
      <c r="E7" s="417" t="s">
        <v>652</v>
      </c>
      <c r="F7" s="417" t="s">
        <v>382</v>
      </c>
      <c r="G7" s="417">
        <v>220</v>
      </c>
      <c r="H7" s="410" t="s">
        <v>308</v>
      </c>
      <c r="I7" s="410" t="s">
        <v>641</v>
      </c>
      <c r="J7" s="411">
        <v>2200000</v>
      </c>
      <c r="K7" s="415" t="s">
        <v>653</v>
      </c>
    </row>
    <row r="8" spans="2:11" ht="36.75" customHeight="1" thickBot="1">
      <c r="C8" s="409">
        <v>6</v>
      </c>
      <c r="D8" s="412" t="s">
        <v>654</v>
      </c>
      <c r="E8" s="412" t="s">
        <v>655</v>
      </c>
      <c r="F8" s="412" t="s">
        <v>382</v>
      </c>
      <c r="G8" s="412">
        <v>218</v>
      </c>
      <c r="H8" s="412" t="s">
        <v>308</v>
      </c>
      <c r="I8" s="410" t="s">
        <v>641</v>
      </c>
      <c r="J8" s="411">
        <v>2300000</v>
      </c>
      <c r="K8" s="415" t="s">
        <v>656</v>
      </c>
    </row>
    <row r="9" spans="2:11" ht="36.75" customHeight="1" thickBot="1">
      <c r="C9" s="409">
        <v>3</v>
      </c>
      <c r="D9" s="410" t="s">
        <v>657</v>
      </c>
      <c r="E9" s="416" t="s">
        <v>658</v>
      </c>
      <c r="F9" s="416" t="s">
        <v>382</v>
      </c>
      <c r="G9" s="416" t="s">
        <v>625</v>
      </c>
      <c r="H9" s="410" t="s">
        <v>659</v>
      </c>
      <c r="I9" s="410" t="s">
        <v>641</v>
      </c>
      <c r="J9" s="411">
        <v>2400000</v>
      </c>
      <c r="K9" s="414" t="s">
        <v>660</v>
      </c>
    </row>
    <row r="10" spans="2:11" ht="36.75" customHeight="1" thickBot="1">
      <c r="C10" s="409">
        <v>4</v>
      </c>
      <c r="D10" s="412" t="s">
        <v>661</v>
      </c>
      <c r="E10" s="417" t="s">
        <v>662</v>
      </c>
      <c r="F10" s="417" t="s">
        <v>667</v>
      </c>
      <c r="G10" s="417" t="s">
        <v>21</v>
      </c>
      <c r="H10" s="412" t="s">
        <v>663</v>
      </c>
      <c r="I10" s="410" t="s">
        <v>641</v>
      </c>
      <c r="J10" s="411">
        <v>1500000</v>
      </c>
      <c r="K10" s="414" t="s">
        <v>642</v>
      </c>
    </row>
    <row r="11" spans="2:11" ht="36.75" customHeight="1" thickBot="1">
      <c r="C11" s="409">
        <v>5</v>
      </c>
      <c r="D11" s="410" t="s">
        <v>664</v>
      </c>
      <c r="E11" s="417" t="s">
        <v>665</v>
      </c>
      <c r="F11" s="417" t="s">
        <v>20</v>
      </c>
      <c r="G11" s="417" t="s">
        <v>21</v>
      </c>
      <c r="H11" s="410" t="s">
        <v>663</v>
      </c>
      <c r="I11" s="410" t="s">
        <v>641</v>
      </c>
      <c r="J11" s="411">
        <v>1700000</v>
      </c>
      <c r="K11" s="414" t="s">
        <v>642</v>
      </c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51"/>
  <sheetViews>
    <sheetView showGridLines="0" topLeftCell="A25" workbookViewId="0">
      <selection activeCell="R47" sqref="R47"/>
    </sheetView>
  </sheetViews>
  <sheetFormatPr defaultColWidth="11.42578125" defaultRowHeight="15"/>
  <cols>
    <col min="1" max="3" width="8.85546875" customWidth="1"/>
    <col min="4" max="4" width="12.28515625" bestFit="1" customWidth="1"/>
    <col min="5" max="5" width="11" bestFit="1" customWidth="1"/>
    <col min="6" max="6" width="9.85546875" bestFit="1" customWidth="1"/>
    <col min="7" max="8" width="9.85546875" customWidth="1"/>
    <col min="9" max="9" width="10.7109375" customWidth="1"/>
    <col min="10" max="10" width="7.85546875" customWidth="1"/>
    <col min="11" max="12" width="11.42578125" customWidth="1"/>
    <col min="13" max="13" width="7.42578125" customWidth="1"/>
    <col min="14" max="14" width="2.7109375" customWidth="1"/>
    <col min="15" max="15" width="8.140625" customWidth="1"/>
    <col min="16" max="256" width="8.85546875" customWidth="1"/>
  </cols>
  <sheetData>
    <row r="4" spans="3:20" ht="15.75" thickBot="1"/>
    <row r="5" spans="3:20" ht="16.5" thickBot="1">
      <c r="C5" s="422"/>
      <c r="D5" s="770" t="s">
        <v>694</v>
      </c>
      <c r="E5" s="771"/>
      <c r="F5" s="771"/>
      <c r="G5" s="771"/>
      <c r="H5" s="771"/>
      <c r="I5" s="771"/>
      <c r="J5" s="771"/>
      <c r="K5" s="771"/>
      <c r="L5" s="772"/>
    </row>
    <row r="6" spans="3:20" ht="15.75" thickBot="1">
      <c r="C6" s="422"/>
      <c r="D6" s="820" t="s">
        <v>693</v>
      </c>
      <c r="E6" s="826" t="s">
        <v>407</v>
      </c>
      <c r="F6" s="827"/>
      <c r="G6" s="531"/>
      <c r="H6" s="531"/>
      <c r="I6" s="826" t="s">
        <v>690</v>
      </c>
      <c r="J6" s="827"/>
      <c r="K6" s="826" t="s">
        <v>695</v>
      </c>
      <c r="L6" s="828"/>
    </row>
    <row r="7" spans="3:20" ht="15.75" thickBot="1">
      <c r="C7" s="422"/>
      <c r="D7" s="821"/>
      <c r="E7" s="423" t="s">
        <v>672</v>
      </c>
      <c r="F7" s="424" t="s">
        <v>673</v>
      </c>
      <c r="G7" s="532"/>
      <c r="H7" s="532"/>
      <c r="I7" s="423" t="s">
        <v>674</v>
      </c>
      <c r="J7" s="424" t="s">
        <v>688</v>
      </c>
      <c r="K7" s="423" t="s">
        <v>675</v>
      </c>
      <c r="L7" s="433" t="s">
        <v>689</v>
      </c>
      <c r="P7" s="37"/>
      <c r="Q7" s="37"/>
    </row>
    <row r="8" spans="3:20">
      <c r="C8" s="425"/>
      <c r="D8" s="430" t="s">
        <v>13</v>
      </c>
      <c r="E8" s="434">
        <v>18.489999999999998</v>
      </c>
      <c r="F8" s="435">
        <v>12.9</v>
      </c>
      <c r="G8" s="533"/>
      <c r="H8" s="533"/>
      <c r="I8" s="442">
        <v>11</v>
      </c>
      <c r="J8" s="443">
        <f>I8*75%</f>
        <v>8.25</v>
      </c>
      <c r="K8" s="450">
        <f>E8+I8</f>
        <v>29.49</v>
      </c>
      <c r="L8" s="451">
        <f>F8+J8</f>
        <v>21.15</v>
      </c>
      <c r="P8" s="37"/>
      <c r="Q8" s="37"/>
      <c r="R8" t="s">
        <v>275</v>
      </c>
      <c r="S8" t="s">
        <v>676</v>
      </c>
      <c r="T8" t="s">
        <v>167</v>
      </c>
    </row>
    <row r="9" spans="3:20">
      <c r="C9" s="425"/>
      <c r="D9" s="431" t="s">
        <v>14</v>
      </c>
      <c r="E9" s="436">
        <v>10.75</v>
      </c>
      <c r="F9" s="437">
        <v>7.5</v>
      </c>
      <c r="G9" s="534"/>
      <c r="H9" s="534"/>
      <c r="I9" s="444">
        <v>7</v>
      </c>
      <c r="J9" s="445">
        <f t="shared" ref="J9:J16" si="0">I9*75%</f>
        <v>5.25</v>
      </c>
      <c r="K9" s="452">
        <f t="shared" ref="K9:K17" si="1">E9+I9</f>
        <v>17.75</v>
      </c>
      <c r="L9" s="453">
        <f t="shared" ref="L9:L16" si="2">F9+J9</f>
        <v>12.75</v>
      </c>
      <c r="P9" s="37" t="s">
        <v>677</v>
      </c>
      <c r="Q9" s="37">
        <f>40-18</f>
        <v>22</v>
      </c>
      <c r="R9">
        <v>11</v>
      </c>
      <c r="S9">
        <v>7</v>
      </c>
      <c r="T9">
        <v>4</v>
      </c>
    </row>
    <row r="10" spans="3:20">
      <c r="C10" s="425"/>
      <c r="D10" s="431" t="s">
        <v>17</v>
      </c>
      <c r="E10" s="436">
        <v>6.88</v>
      </c>
      <c r="F10" s="437">
        <v>4.8</v>
      </c>
      <c r="G10" s="534"/>
      <c r="H10" s="534"/>
      <c r="I10" s="444">
        <v>4</v>
      </c>
      <c r="J10" s="445">
        <f t="shared" si="0"/>
        <v>3</v>
      </c>
      <c r="K10" s="452">
        <f t="shared" si="1"/>
        <v>10.879999999999999</v>
      </c>
      <c r="L10" s="453">
        <f t="shared" si="2"/>
        <v>7.8</v>
      </c>
      <c r="P10" s="37"/>
      <c r="Q10" s="37"/>
      <c r="R10">
        <v>4</v>
      </c>
      <c r="S10" t="s">
        <v>678</v>
      </c>
    </row>
    <row r="11" spans="3:20">
      <c r="C11" s="425"/>
      <c r="D11" s="431" t="s">
        <v>340</v>
      </c>
      <c r="E11" s="436">
        <v>3.44</v>
      </c>
      <c r="F11" s="437">
        <v>2.4</v>
      </c>
      <c r="G11" s="534"/>
      <c r="H11" s="534"/>
      <c r="I11" s="444">
        <v>2</v>
      </c>
      <c r="J11" s="445">
        <f t="shared" si="0"/>
        <v>1.5</v>
      </c>
      <c r="K11" s="452">
        <f t="shared" si="1"/>
        <v>5.4399999999999995</v>
      </c>
      <c r="L11" s="453">
        <f t="shared" si="2"/>
        <v>3.9</v>
      </c>
      <c r="P11" s="37"/>
      <c r="Q11" s="37"/>
      <c r="S11" t="s">
        <v>679</v>
      </c>
    </row>
    <row r="12" spans="3:20">
      <c r="C12" s="425"/>
      <c r="D12" s="431" t="s">
        <v>10</v>
      </c>
      <c r="E12" s="436">
        <v>15.91</v>
      </c>
      <c r="F12" s="437">
        <v>12.95</v>
      </c>
      <c r="G12" s="534"/>
      <c r="H12" s="534"/>
      <c r="I12" s="444">
        <v>10</v>
      </c>
      <c r="J12" s="445">
        <f t="shared" si="0"/>
        <v>7.5</v>
      </c>
      <c r="K12" s="452">
        <f t="shared" si="1"/>
        <v>25.91</v>
      </c>
      <c r="L12" s="453">
        <f t="shared" si="2"/>
        <v>20.45</v>
      </c>
      <c r="P12" s="37"/>
      <c r="Q12" s="37"/>
    </row>
    <row r="13" spans="3:20">
      <c r="C13" s="425"/>
      <c r="D13" s="431" t="s">
        <v>22</v>
      </c>
      <c r="E13" s="436">
        <v>5.16</v>
      </c>
      <c r="F13" s="437">
        <v>4.1999999999999993</v>
      </c>
      <c r="G13" s="534"/>
      <c r="H13" s="534"/>
      <c r="I13" s="444">
        <v>3</v>
      </c>
      <c r="J13" s="445">
        <f t="shared" si="0"/>
        <v>2.25</v>
      </c>
      <c r="K13" s="452">
        <f t="shared" si="1"/>
        <v>8.16</v>
      </c>
      <c r="L13" s="453">
        <f t="shared" si="2"/>
        <v>6.4499999999999993</v>
      </c>
      <c r="P13" s="37"/>
      <c r="Q13" s="37"/>
    </row>
    <row r="14" spans="3:20">
      <c r="C14" s="425"/>
      <c r="D14" s="431" t="s">
        <v>63</v>
      </c>
      <c r="E14" s="436">
        <v>2.15</v>
      </c>
      <c r="F14" s="437">
        <v>1.75</v>
      </c>
      <c r="G14" s="534"/>
      <c r="H14" s="534"/>
      <c r="I14" s="444">
        <v>2</v>
      </c>
      <c r="J14" s="445">
        <f t="shared" si="0"/>
        <v>1.5</v>
      </c>
      <c r="K14" s="452">
        <f t="shared" si="1"/>
        <v>4.1500000000000004</v>
      </c>
      <c r="L14" s="453">
        <f t="shared" si="2"/>
        <v>3.25</v>
      </c>
      <c r="P14" s="37" t="s">
        <v>680</v>
      </c>
      <c r="Q14" s="37">
        <f>40-15</f>
        <v>25</v>
      </c>
      <c r="R14">
        <v>11</v>
      </c>
      <c r="S14">
        <v>9</v>
      </c>
      <c r="T14">
        <v>5</v>
      </c>
    </row>
    <row r="15" spans="3:20">
      <c r="C15" s="425"/>
      <c r="D15" s="431" t="s">
        <v>15</v>
      </c>
      <c r="E15" s="436">
        <v>7.31</v>
      </c>
      <c r="F15" s="437">
        <v>5.9499999999999993</v>
      </c>
      <c r="G15" s="534"/>
      <c r="H15" s="534"/>
      <c r="I15" s="444">
        <v>4</v>
      </c>
      <c r="J15" s="445">
        <f t="shared" si="0"/>
        <v>3</v>
      </c>
      <c r="K15" s="452">
        <f t="shared" si="1"/>
        <v>11.309999999999999</v>
      </c>
      <c r="L15" s="453">
        <f t="shared" si="2"/>
        <v>8.9499999999999993</v>
      </c>
      <c r="P15" s="426"/>
      <c r="Q15" s="37"/>
      <c r="R15">
        <v>7</v>
      </c>
      <c r="S15" t="s">
        <v>681</v>
      </c>
    </row>
    <row r="16" spans="3:20" ht="15.75" thickBot="1">
      <c r="C16" s="425"/>
      <c r="D16" s="432" t="s">
        <v>25</v>
      </c>
      <c r="E16" s="438">
        <v>11.61</v>
      </c>
      <c r="F16" s="439">
        <v>9.4499999999999993</v>
      </c>
      <c r="G16" s="535"/>
      <c r="H16" s="535"/>
      <c r="I16" s="446">
        <v>7</v>
      </c>
      <c r="J16" s="447">
        <f t="shared" si="0"/>
        <v>5.25</v>
      </c>
      <c r="K16" s="454">
        <f t="shared" si="1"/>
        <v>18.61</v>
      </c>
      <c r="L16" s="455">
        <f t="shared" si="2"/>
        <v>14.7</v>
      </c>
      <c r="P16" s="37"/>
      <c r="Q16" s="37"/>
      <c r="S16" t="s">
        <v>682</v>
      </c>
    </row>
    <row r="17" spans="3:19" ht="16.5" thickBot="1">
      <c r="C17" s="425"/>
      <c r="D17" s="413" t="s">
        <v>8</v>
      </c>
      <c r="E17" s="440">
        <f>SUM(E8:E16)</f>
        <v>81.699999999999989</v>
      </c>
      <c r="F17" s="441">
        <f>SUM(F8:F16)</f>
        <v>61.900000000000006</v>
      </c>
      <c r="G17" s="536"/>
      <c r="H17" s="536"/>
      <c r="I17" s="448">
        <f>SUM(I8:I16)</f>
        <v>50</v>
      </c>
      <c r="J17" s="449">
        <f>SUM(J8:J16)</f>
        <v>37.5</v>
      </c>
      <c r="K17" s="456">
        <f t="shared" si="1"/>
        <v>131.69999999999999</v>
      </c>
      <c r="L17" s="457">
        <f>SUM(L8:L16)</f>
        <v>99.4</v>
      </c>
      <c r="P17" s="37"/>
      <c r="Q17" s="37"/>
      <c r="S17" t="s">
        <v>683</v>
      </c>
    </row>
    <row r="18" spans="3:19" ht="14.25" customHeight="1" thickBot="1">
      <c r="C18" s="425"/>
      <c r="D18" s="427"/>
      <c r="E18" s="37"/>
      <c r="F18" s="310"/>
      <c r="G18" s="310"/>
      <c r="H18" s="310"/>
      <c r="I18" s="37"/>
      <c r="J18" s="37"/>
      <c r="K18" s="428"/>
      <c r="L18" s="428"/>
      <c r="O18" s="37"/>
      <c r="P18" s="37"/>
    </row>
    <row r="19" spans="3:19" ht="16.5" thickBot="1">
      <c r="C19" s="425"/>
      <c r="D19" s="775" t="s">
        <v>684</v>
      </c>
      <c r="E19" s="776"/>
      <c r="F19" s="776"/>
      <c r="G19" s="776"/>
      <c r="H19" s="776"/>
      <c r="I19" s="776"/>
      <c r="J19" s="776"/>
      <c r="K19" s="776"/>
      <c r="L19" s="776"/>
      <c r="M19" s="777"/>
    </row>
    <row r="20" spans="3:19" ht="15.75" thickBot="1">
      <c r="C20" s="422"/>
      <c r="D20" s="242"/>
      <c r="E20" s="487" t="s">
        <v>685</v>
      </c>
      <c r="F20" s="242" t="s">
        <v>47</v>
      </c>
      <c r="G20" s="537"/>
      <c r="H20" s="537"/>
      <c r="I20" s="459" t="s">
        <v>686</v>
      </c>
      <c r="J20" s="459" t="s">
        <v>392</v>
      </c>
      <c r="K20" s="488" t="s">
        <v>687</v>
      </c>
      <c r="L20" s="489" t="s">
        <v>691</v>
      </c>
      <c r="M20" s="490" t="s">
        <v>692</v>
      </c>
    </row>
    <row r="21" spans="3:19">
      <c r="C21" s="422"/>
      <c r="D21" s="244" t="s">
        <v>13</v>
      </c>
      <c r="E21" s="480">
        <v>10</v>
      </c>
      <c r="F21" s="481">
        <v>9</v>
      </c>
      <c r="G21" s="538"/>
      <c r="H21" s="538"/>
      <c r="I21" s="482"/>
      <c r="J21" s="483">
        <v>5</v>
      </c>
      <c r="K21" s="484"/>
      <c r="L21" s="485">
        <f>K8-E21</f>
        <v>19.489999999999998</v>
      </c>
      <c r="M21" s="486">
        <f>L8-F21</f>
        <v>12.149999999999999</v>
      </c>
    </row>
    <row r="22" spans="3:19">
      <c r="C22" s="422"/>
      <c r="D22" s="146" t="s">
        <v>14</v>
      </c>
      <c r="E22" s="461">
        <v>16</v>
      </c>
      <c r="F22" s="472">
        <v>7</v>
      </c>
      <c r="G22" s="539"/>
      <c r="H22" s="539"/>
      <c r="I22" s="463">
        <v>2</v>
      </c>
      <c r="J22" s="2">
        <v>8</v>
      </c>
      <c r="K22" s="473">
        <v>2</v>
      </c>
      <c r="L22" s="466">
        <v>4</v>
      </c>
      <c r="M22" s="467">
        <f t="shared" ref="M22:M30" si="3">L9-F22</f>
        <v>5.75</v>
      </c>
    </row>
    <row r="23" spans="3:19">
      <c r="C23" s="422"/>
      <c r="D23" s="146" t="s">
        <v>17</v>
      </c>
      <c r="E23" s="461">
        <v>7</v>
      </c>
      <c r="F23" s="472">
        <v>2</v>
      </c>
      <c r="G23" s="539"/>
      <c r="H23" s="539"/>
      <c r="I23" s="463">
        <v>1</v>
      </c>
      <c r="J23" s="2">
        <v>3</v>
      </c>
      <c r="K23" s="473">
        <v>2</v>
      </c>
      <c r="L23" s="466">
        <v>6</v>
      </c>
      <c r="M23" s="467">
        <f t="shared" si="3"/>
        <v>5.8</v>
      </c>
    </row>
    <row r="24" spans="3:19">
      <c r="C24" s="422">
        <v>1</v>
      </c>
      <c r="D24" s="146" t="s">
        <v>340</v>
      </c>
      <c r="E24" s="461">
        <v>4</v>
      </c>
      <c r="F24" s="472">
        <v>2</v>
      </c>
      <c r="G24" s="539"/>
      <c r="H24" s="539"/>
      <c r="I24" s="463"/>
      <c r="J24" s="2">
        <v>3</v>
      </c>
      <c r="K24" s="473"/>
      <c r="L24" s="466">
        <f>K11-E24</f>
        <v>1.4399999999999995</v>
      </c>
      <c r="M24" s="467">
        <f t="shared" si="3"/>
        <v>1.9</v>
      </c>
      <c r="P24" t="s">
        <v>699</v>
      </c>
      <c r="Q24" t="s">
        <v>700</v>
      </c>
    </row>
    <row r="25" spans="3:19">
      <c r="C25" s="422"/>
      <c r="D25" s="146" t="s">
        <v>10</v>
      </c>
      <c r="E25" s="461">
        <v>16</v>
      </c>
      <c r="F25" s="472">
        <v>4</v>
      </c>
      <c r="G25" s="539"/>
      <c r="H25" s="539"/>
      <c r="I25" s="463">
        <v>3</v>
      </c>
      <c r="J25" s="2">
        <v>2</v>
      </c>
      <c r="K25" s="473">
        <v>4</v>
      </c>
      <c r="L25" s="466">
        <v>14</v>
      </c>
      <c r="M25" s="467">
        <f t="shared" si="3"/>
        <v>16.45</v>
      </c>
      <c r="P25" t="s">
        <v>701</v>
      </c>
      <c r="Q25" t="s">
        <v>702</v>
      </c>
    </row>
    <row r="26" spans="3:19">
      <c r="C26">
        <v>1</v>
      </c>
      <c r="D26" s="146" t="s">
        <v>22</v>
      </c>
      <c r="E26" s="461">
        <v>4</v>
      </c>
      <c r="F26" s="472">
        <v>1</v>
      </c>
      <c r="G26" s="539"/>
      <c r="H26" s="539"/>
      <c r="I26" s="463"/>
      <c r="J26" s="2">
        <v>3</v>
      </c>
      <c r="K26" s="474">
        <v>1</v>
      </c>
      <c r="L26" s="466">
        <v>5</v>
      </c>
      <c r="M26" s="467">
        <f t="shared" si="3"/>
        <v>5.4499999999999993</v>
      </c>
      <c r="P26" t="s">
        <v>703</v>
      </c>
      <c r="Q26">
        <v>10</v>
      </c>
      <c r="R26" t="s">
        <v>102</v>
      </c>
    </row>
    <row r="27" spans="3:19">
      <c r="D27" s="146" t="s">
        <v>63</v>
      </c>
      <c r="E27" s="461">
        <v>6</v>
      </c>
      <c r="F27" s="472">
        <v>5</v>
      </c>
      <c r="G27" s="539"/>
      <c r="H27" s="539"/>
      <c r="I27" s="463"/>
      <c r="J27" s="2">
        <v>0</v>
      </c>
      <c r="K27" s="473"/>
      <c r="L27" s="466"/>
      <c r="M27" s="467"/>
    </row>
    <row r="28" spans="3:19">
      <c r="C28">
        <v>1</v>
      </c>
      <c r="D28" s="146" t="s">
        <v>15</v>
      </c>
      <c r="E28" s="461">
        <v>7</v>
      </c>
      <c r="F28" s="472">
        <v>3</v>
      </c>
      <c r="G28" s="539"/>
      <c r="H28" s="539"/>
      <c r="I28" s="463">
        <v>2</v>
      </c>
      <c r="J28" s="2">
        <v>1</v>
      </c>
      <c r="K28" s="473"/>
      <c r="L28" s="466">
        <f>K15-E28</f>
        <v>4.3099999999999987</v>
      </c>
      <c r="M28" s="467">
        <f t="shared" si="3"/>
        <v>5.9499999999999993</v>
      </c>
    </row>
    <row r="29" spans="3:19" ht="15.75" thickBot="1">
      <c r="C29">
        <v>1</v>
      </c>
      <c r="D29" s="241" t="s">
        <v>25</v>
      </c>
      <c r="E29" s="462">
        <v>8</v>
      </c>
      <c r="F29" s="475">
        <v>3</v>
      </c>
      <c r="G29" s="540"/>
      <c r="H29" s="540"/>
      <c r="I29" s="464"/>
      <c r="J29" s="458">
        <v>0</v>
      </c>
      <c r="K29" s="476"/>
      <c r="L29" s="468">
        <f>K16-E29</f>
        <v>10.61</v>
      </c>
      <c r="M29" s="469">
        <f t="shared" si="3"/>
        <v>11.7</v>
      </c>
    </row>
    <row r="30" spans="3:19" ht="16.5" thickBot="1">
      <c r="D30" s="387" t="s">
        <v>8</v>
      </c>
      <c r="E30" s="386">
        <f t="shared" ref="E30:L30" si="4">SUM(E21:E29)</f>
        <v>78</v>
      </c>
      <c r="F30" s="477">
        <f t="shared" si="4"/>
        <v>36</v>
      </c>
      <c r="G30" s="541"/>
      <c r="H30" s="541"/>
      <c r="I30" s="465">
        <f t="shared" si="4"/>
        <v>8</v>
      </c>
      <c r="J30" s="460">
        <f t="shared" si="4"/>
        <v>25</v>
      </c>
      <c r="K30" s="478">
        <f t="shared" si="4"/>
        <v>9</v>
      </c>
      <c r="L30" s="470">
        <f t="shared" si="4"/>
        <v>64.849999999999994</v>
      </c>
      <c r="M30" s="471">
        <f t="shared" si="3"/>
        <v>63.400000000000006</v>
      </c>
    </row>
    <row r="31" spans="3:19" ht="15.75" thickBot="1">
      <c r="C31" s="429"/>
      <c r="D31" s="37"/>
      <c r="E31" s="37"/>
      <c r="F31" s="819">
        <f>F30+I30+J30+K30</f>
        <v>78</v>
      </c>
      <c r="G31" s="819"/>
      <c r="H31" s="819"/>
      <c r="I31" s="819"/>
      <c r="J31" s="819"/>
      <c r="K31" s="819"/>
      <c r="L31" s="37"/>
    </row>
    <row r="32" spans="3:19" ht="15.75" thickBot="1">
      <c r="C32" s="429"/>
      <c r="D32" s="37"/>
      <c r="E32" s="37"/>
      <c r="F32" s="479"/>
      <c r="G32" s="530"/>
      <c r="H32" s="530"/>
      <c r="I32" s="479"/>
      <c r="J32" s="479"/>
      <c r="K32" s="479"/>
      <c r="L32" s="37"/>
    </row>
    <row r="33" spans="2:17" ht="16.5" thickBot="1">
      <c r="D33" s="770" t="s">
        <v>737</v>
      </c>
      <c r="E33" s="771"/>
      <c r="F33" s="771"/>
      <c r="G33" s="771"/>
      <c r="H33" s="771"/>
      <c r="I33" s="771"/>
      <c r="J33" s="771"/>
      <c r="K33" s="771"/>
      <c r="L33" s="771"/>
      <c r="M33" s="772"/>
    </row>
    <row r="34" spans="2:17" ht="16.5" thickBot="1">
      <c r="D34" s="509"/>
      <c r="E34" s="822" t="s">
        <v>696</v>
      </c>
      <c r="F34" s="823"/>
      <c r="G34" s="284"/>
      <c r="H34" s="284"/>
      <c r="I34" s="822" t="s">
        <v>697</v>
      </c>
      <c r="J34" s="823"/>
      <c r="K34" s="824" t="s">
        <v>8</v>
      </c>
      <c r="L34" s="825"/>
      <c r="M34" s="529"/>
    </row>
    <row r="35" spans="2:17" ht="16.5" thickBot="1">
      <c r="D35" s="505" t="s">
        <v>693</v>
      </c>
      <c r="E35" s="506" t="s">
        <v>730</v>
      </c>
      <c r="F35" s="507" t="s">
        <v>731</v>
      </c>
      <c r="G35" s="542" t="s">
        <v>740</v>
      </c>
      <c r="H35" s="543">
        <v>0</v>
      </c>
      <c r="I35" s="506" t="s">
        <v>730</v>
      </c>
      <c r="J35" s="507" t="s">
        <v>732</v>
      </c>
      <c r="K35" s="508" t="s">
        <v>733</v>
      </c>
      <c r="L35" s="520" t="s">
        <v>734</v>
      </c>
      <c r="M35" s="523" t="s">
        <v>738</v>
      </c>
    </row>
    <row r="36" spans="2:17">
      <c r="B36">
        <v>1</v>
      </c>
      <c r="C36">
        <v>100</v>
      </c>
      <c r="D36" s="495" t="s">
        <v>13</v>
      </c>
      <c r="E36" s="513">
        <v>200</v>
      </c>
      <c r="F36" s="544">
        <v>85</v>
      </c>
      <c r="G36" s="513">
        <v>30</v>
      </c>
      <c r="H36" s="514"/>
      <c r="I36" s="515">
        <v>200</v>
      </c>
      <c r="J36" s="492">
        <v>100</v>
      </c>
      <c r="K36" s="515">
        <v>400</v>
      </c>
      <c r="L36" s="493">
        <f>J36+F36</f>
        <v>185</v>
      </c>
      <c r="M36" s="524">
        <f>22+8</f>
        <v>30</v>
      </c>
      <c r="P36" s="1">
        <v>30</v>
      </c>
      <c r="Q36">
        <v>4</v>
      </c>
    </row>
    <row r="37" spans="2:17">
      <c r="C37">
        <v>100</v>
      </c>
      <c r="D37" s="496" t="s">
        <v>14</v>
      </c>
      <c r="E37" s="497">
        <v>150</v>
      </c>
      <c r="F37" s="545">
        <v>75</v>
      </c>
      <c r="G37" s="497">
        <v>55</v>
      </c>
      <c r="H37" s="498"/>
      <c r="I37" s="499">
        <v>150</v>
      </c>
      <c r="J37" s="162">
        <v>50</v>
      </c>
      <c r="K37" s="499">
        <v>300</v>
      </c>
      <c r="L37" s="461">
        <f t="shared" ref="L37:L46" si="5">J37+F37</f>
        <v>125</v>
      </c>
      <c r="M37" s="524">
        <v>18</v>
      </c>
      <c r="O37" s="392"/>
      <c r="P37" s="1">
        <v>18</v>
      </c>
      <c r="Q37">
        <v>4</v>
      </c>
    </row>
    <row r="38" spans="2:17">
      <c r="D38" s="496" t="s">
        <v>17</v>
      </c>
      <c r="E38" s="497">
        <v>75</v>
      </c>
      <c r="F38" s="545">
        <v>40</v>
      </c>
      <c r="G38" s="497"/>
      <c r="H38" s="498"/>
      <c r="I38" s="499">
        <v>75</v>
      </c>
      <c r="J38" s="162">
        <v>43</v>
      </c>
      <c r="K38" s="499">
        <v>150</v>
      </c>
      <c r="L38" s="461">
        <f t="shared" si="5"/>
        <v>83</v>
      </c>
      <c r="M38" s="525">
        <v>7</v>
      </c>
      <c r="O38" s="392">
        <v>16</v>
      </c>
      <c r="P38" s="1"/>
    </row>
    <row r="39" spans="2:17" ht="15.75" thickBot="1">
      <c r="B39">
        <v>1</v>
      </c>
      <c r="D39" s="500" t="s">
        <v>340</v>
      </c>
      <c r="E39" s="501">
        <v>50</v>
      </c>
      <c r="F39" s="546">
        <v>20</v>
      </c>
      <c r="G39" s="497">
        <v>14</v>
      </c>
      <c r="H39" s="498"/>
      <c r="I39" s="503">
        <v>50</v>
      </c>
      <c r="J39" s="502">
        <v>30</v>
      </c>
      <c r="K39" s="503">
        <v>100</v>
      </c>
      <c r="L39" s="462">
        <f t="shared" si="5"/>
        <v>50</v>
      </c>
      <c r="M39" s="524">
        <v>20</v>
      </c>
      <c r="O39" s="392"/>
      <c r="P39" s="1">
        <v>22</v>
      </c>
    </row>
    <row r="40" spans="2:17" ht="15.75" thickBot="1">
      <c r="D40" s="518" t="s">
        <v>735</v>
      </c>
      <c r="E40" s="519">
        <f t="shared" ref="E40:M40" si="6">SUM(E36:E39)</f>
        <v>475</v>
      </c>
      <c r="F40" s="521">
        <f t="shared" si="6"/>
        <v>220</v>
      </c>
      <c r="G40" s="521">
        <f t="shared" si="6"/>
        <v>99</v>
      </c>
      <c r="H40" s="521">
        <f t="shared" si="6"/>
        <v>0</v>
      </c>
      <c r="I40" s="548">
        <f t="shared" si="6"/>
        <v>475</v>
      </c>
      <c r="J40" s="519">
        <f t="shared" si="6"/>
        <v>223</v>
      </c>
      <c r="K40" s="519">
        <f t="shared" si="6"/>
        <v>950</v>
      </c>
      <c r="L40" s="521">
        <f t="shared" si="6"/>
        <v>443</v>
      </c>
      <c r="M40" s="526">
        <f t="shared" si="6"/>
        <v>75</v>
      </c>
      <c r="P40" s="1"/>
    </row>
    <row r="41" spans="2:17">
      <c r="B41">
        <v>1</v>
      </c>
      <c r="C41">
        <f>31.7+20</f>
        <v>51.7</v>
      </c>
      <c r="D41" s="509" t="s">
        <v>10</v>
      </c>
      <c r="E41" s="510">
        <v>150</v>
      </c>
      <c r="F41" s="547">
        <v>100</v>
      </c>
      <c r="G41" s="497">
        <f>20+6.9+20</f>
        <v>46.9</v>
      </c>
      <c r="H41" s="498"/>
      <c r="I41" s="512">
        <v>150</v>
      </c>
      <c r="J41" s="511">
        <v>120</v>
      </c>
      <c r="K41" s="512">
        <v>300</v>
      </c>
      <c r="L41" s="480">
        <f t="shared" si="5"/>
        <v>220</v>
      </c>
      <c r="M41" s="524">
        <v>71</v>
      </c>
      <c r="O41" s="392">
        <v>21</v>
      </c>
      <c r="P41" s="392">
        <v>50</v>
      </c>
    </row>
    <row r="42" spans="2:17">
      <c r="D42" s="496" t="s">
        <v>22</v>
      </c>
      <c r="E42" s="497">
        <v>75</v>
      </c>
      <c r="F42" s="545">
        <v>40</v>
      </c>
      <c r="G42" s="497">
        <v>26</v>
      </c>
      <c r="H42" s="498"/>
      <c r="I42" s="499">
        <v>75</v>
      </c>
      <c r="J42" s="162">
        <v>70</v>
      </c>
      <c r="K42" s="499">
        <v>150</v>
      </c>
      <c r="L42" s="461">
        <f t="shared" si="5"/>
        <v>110</v>
      </c>
      <c r="M42" s="525"/>
      <c r="P42" s="1"/>
    </row>
    <row r="43" spans="2:17">
      <c r="D43" s="496" t="s">
        <v>63</v>
      </c>
      <c r="E43" s="497">
        <v>50</v>
      </c>
      <c r="F43" s="545">
        <f>25+20</f>
        <v>45</v>
      </c>
      <c r="G43" s="497"/>
      <c r="H43" s="498"/>
      <c r="I43" s="499">
        <v>50</v>
      </c>
      <c r="J43" s="162">
        <v>55</v>
      </c>
      <c r="K43" s="499">
        <v>100</v>
      </c>
      <c r="L43" s="461">
        <f t="shared" si="5"/>
        <v>100</v>
      </c>
      <c r="M43" s="524">
        <v>40</v>
      </c>
      <c r="O43" s="392">
        <v>22</v>
      </c>
      <c r="P43" s="392">
        <v>20</v>
      </c>
    </row>
    <row r="44" spans="2:17" ht="15.75" thickBot="1">
      <c r="D44" s="496" t="s">
        <v>15</v>
      </c>
      <c r="E44" s="497">
        <v>125</v>
      </c>
      <c r="F44" s="545">
        <v>75</v>
      </c>
      <c r="G44" s="497">
        <f>33+10</f>
        <v>43</v>
      </c>
      <c r="H44" s="498"/>
      <c r="I44" s="499">
        <v>125</v>
      </c>
      <c r="J44" s="162">
        <f>15+16</f>
        <v>31</v>
      </c>
      <c r="K44" s="499">
        <v>250</v>
      </c>
      <c r="L44" s="461">
        <f t="shared" si="5"/>
        <v>106</v>
      </c>
      <c r="M44" s="525"/>
      <c r="P44" s="1"/>
    </row>
    <row r="45" spans="2:17" ht="15.75" thickBot="1">
      <c r="C45" s="494">
        <v>60</v>
      </c>
      <c r="D45" s="496" t="s">
        <v>698</v>
      </c>
      <c r="E45" s="497">
        <v>0</v>
      </c>
      <c r="F45" s="545">
        <v>10</v>
      </c>
      <c r="G45" s="497">
        <v>7</v>
      </c>
      <c r="H45" s="498"/>
      <c r="I45" s="499">
        <v>0</v>
      </c>
      <c r="J45" s="162">
        <v>0</v>
      </c>
      <c r="K45" s="499">
        <v>0</v>
      </c>
      <c r="L45" s="461">
        <f t="shared" si="5"/>
        <v>10</v>
      </c>
      <c r="M45" s="524">
        <v>14</v>
      </c>
      <c r="O45" s="392">
        <v>14</v>
      </c>
      <c r="P45" s="1"/>
    </row>
    <row r="46" spans="2:17" ht="15.75" thickBot="1">
      <c r="D46" s="500" t="s">
        <v>25</v>
      </c>
      <c r="E46" s="501">
        <v>125</v>
      </c>
      <c r="F46" s="546">
        <v>100</v>
      </c>
      <c r="G46" s="549"/>
      <c r="H46" s="550"/>
      <c r="I46" s="503">
        <v>125</v>
      </c>
      <c r="J46" s="502">
        <v>100</v>
      </c>
      <c r="K46" s="503">
        <v>250</v>
      </c>
      <c r="L46" s="462">
        <f t="shared" si="5"/>
        <v>200</v>
      </c>
      <c r="M46" s="525"/>
    </row>
    <row r="47" spans="2:17" ht="15.75" thickBot="1">
      <c r="D47" s="516" t="s">
        <v>736</v>
      </c>
      <c r="E47" s="517">
        <f t="shared" ref="E47:M47" si="7">SUM(E41:E46)</f>
        <v>525</v>
      </c>
      <c r="F47" s="517">
        <f t="shared" si="7"/>
        <v>370</v>
      </c>
      <c r="G47" s="517">
        <f t="shared" si="7"/>
        <v>122.9</v>
      </c>
      <c r="H47" s="517">
        <f t="shared" si="7"/>
        <v>0</v>
      </c>
      <c r="I47" s="517">
        <f t="shared" si="7"/>
        <v>525</v>
      </c>
      <c r="J47" s="517">
        <f t="shared" si="7"/>
        <v>376</v>
      </c>
      <c r="K47" s="517">
        <f t="shared" si="7"/>
        <v>1050</v>
      </c>
      <c r="L47" s="522">
        <f t="shared" si="7"/>
        <v>746</v>
      </c>
      <c r="M47" s="527">
        <f t="shared" si="7"/>
        <v>125</v>
      </c>
    </row>
    <row r="48" spans="2:17" ht="16.5" thickBot="1">
      <c r="D48" s="504" t="s">
        <v>8</v>
      </c>
      <c r="E48" s="387">
        <f t="shared" ref="E48:L48" si="8">E40+E47</f>
        <v>1000</v>
      </c>
      <c r="F48" s="387">
        <f t="shared" si="8"/>
        <v>590</v>
      </c>
      <c r="G48" s="387">
        <f t="shared" si="8"/>
        <v>221.9</v>
      </c>
      <c r="H48" s="387">
        <f t="shared" si="8"/>
        <v>0</v>
      </c>
      <c r="I48" s="387">
        <f t="shared" si="8"/>
        <v>1000</v>
      </c>
      <c r="J48" s="387">
        <f t="shared" si="8"/>
        <v>599</v>
      </c>
      <c r="K48" s="387">
        <f t="shared" si="8"/>
        <v>2000</v>
      </c>
      <c r="L48" s="419">
        <f t="shared" si="8"/>
        <v>1189</v>
      </c>
      <c r="M48" s="528">
        <f>M47+M40</f>
        <v>200</v>
      </c>
      <c r="N48" s="528"/>
      <c r="O48" s="528">
        <f>SUM(O35:O46)</f>
        <v>73</v>
      </c>
      <c r="P48" s="528">
        <f>SUM(P35:P46)</f>
        <v>140</v>
      </c>
    </row>
    <row r="51" spans="11:11">
      <c r="K51" t="s">
        <v>739</v>
      </c>
    </row>
  </sheetData>
  <mergeCells count="11">
    <mergeCell ref="D5:L5"/>
    <mergeCell ref="D19:M19"/>
    <mergeCell ref="F31:K31"/>
    <mergeCell ref="D6:D7"/>
    <mergeCell ref="E34:F34"/>
    <mergeCell ref="I34:J34"/>
    <mergeCell ref="K34:L34"/>
    <mergeCell ref="D33:M33"/>
    <mergeCell ref="E6:F6"/>
    <mergeCell ref="I6:J6"/>
    <mergeCell ref="K6:L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9"/>
  <sheetViews>
    <sheetView workbookViewId="0">
      <selection activeCell="M13" sqref="M13"/>
    </sheetView>
  </sheetViews>
  <sheetFormatPr defaultColWidth="11.42578125" defaultRowHeight="15"/>
  <cols>
    <col min="1" max="3" width="8.85546875" customWidth="1"/>
    <col min="4" max="4" width="10.42578125" bestFit="1" customWidth="1"/>
    <col min="5" max="6" width="8.85546875" customWidth="1"/>
    <col min="7" max="7" width="20.42578125" customWidth="1"/>
    <col min="8" max="256" width="8.85546875" customWidth="1"/>
  </cols>
  <sheetData>
    <row r="3" spans="3:11" ht="15.75" thickBot="1"/>
    <row r="4" spans="3:11">
      <c r="C4" s="400" t="s">
        <v>0</v>
      </c>
      <c r="D4" s="401" t="s">
        <v>43</v>
      </c>
      <c r="E4" s="401" t="s">
        <v>1</v>
      </c>
      <c r="F4" s="79" t="s">
        <v>2</v>
      </c>
      <c r="G4" s="79" t="s">
        <v>3</v>
      </c>
      <c r="H4" s="401" t="s">
        <v>4</v>
      </c>
      <c r="I4" s="79" t="s">
        <v>7</v>
      </c>
      <c r="J4" s="493" t="s">
        <v>725</v>
      </c>
      <c r="K4" s="158" t="s">
        <v>726</v>
      </c>
    </row>
    <row r="5" spans="3:11">
      <c r="D5" s="309">
        <v>44557</v>
      </c>
      <c r="E5" t="s">
        <v>710</v>
      </c>
      <c r="F5" t="s">
        <v>705</v>
      </c>
      <c r="G5" t="s">
        <v>703</v>
      </c>
      <c r="H5" t="s">
        <v>19</v>
      </c>
      <c r="I5">
        <v>10</v>
      </c>
    </row>
    <row r="6" spans="3:11">
      <c r="D6" s="309">
        <v>44557</v>
      </c>
      <c r="E6" t="s">
        <v>710</v>
      </c>
      <c r="F6" t="s">
        <v>705</v>
      </c>
      <c r="G6" t="s">
        <v>704</v>
      </c>
      <c r="H6" t="s">
        <v>19</v>
      </c>
      <c r="I6">
        <v>17</v>
      </c>
      <c r="J6" t="s">
        <v>725</v>
      </c>
      <c r="K6" t="s">
        <v>706</v>
      </c>
    </row>
    <row r="7" spans="3:11">
      <c r="D7" s="309">
        <v>44557</v>
      </c>
      <c r="E7" t="s">
        <v>710</v>
      </c>
      <c r="F7" t="s">
        <v>705</v>
      </c>
      <c r="G7" t="s">
        <v>707</v>
      </c>
      <c r="H7" t="s">
        <v>284</v>
      </c>
      <c r="I7">
        <v>7</v>
      </c>
    </row>
    <row r="8" spans="3:11">
      <c r="D8" s="309">
        <v>44557</v>
      </c>
      <c r="E8" t="s">
        <v>710</v>
      </c>
      <c r="F8" t="s">
        <v>705</v>
      </c>
      <c r="G8" t="s">
        <v>708</v>
      </c>
      <c r="H8" t="s">
        <v>23</v>
      </c>
      <c r="I8">
        <v>6.5</v>
      </c>
      <c r="K8" t="s">
        <v>709</v>
      </c>
    </row>
    <row r="9" spans="3:11">
      <c r="D9" s="309">
        <v>44557</v>
      </c>
      <c r="E9" t="s">
        <v>710</v>
      </c>
      <c r="F9" t="s">
        <v>618</v>
      </c>
      <c r="G9" t="s">
        <v>711</v>
      </c>
      <c r="H9" t="s">
        <v>19</v>
      </c>
      <c r="I9">
        <v>18.7</v>
      </c>
      <c r="K9" t="s">
        <v>709</v>
      </c>
    </row>
    <row r="10" spans="3:11">
      <c r="D10" s="309">
        <v>44557</v>
      </c>
      <c r="E10" t="s">
        <v>710</v>
      </c>
      <c r="F10" t="s">
        <v>618</v>
      </c>
      <c r="G10" t="s">
        <v>712</v>
      </c>
      <c r="H10" t="s">
        <v>23</v>
      </c>
      <c r="I10">
        <v>7.5</v>
      </c>
      <c r="K10" t="s">
        <v>709</v>
      </c>
    </row>
    <row r="11" spans="3:11">
      <c r="D11" s="309">
        <v>44557</v>
      </c>
      <c r="E11" t="s">
        <v>710</v>
      </c>
      <c r="F11" t="s">
        <v>618</v>
      </c>
      <c r="G11" t="s">
        <v>713</v>
      </c>
      <c r="H11" t="s">
        <v>19</v>
      </c>
      <c r="I11">
        <v>19.8</v>
      </c>
      <c r="K11" t="s">
        <v>717</v>
      </c>
    </row>
    <row r="12" spans="3:11">
      <c r="D12" s="309">
        <v>44557</v>
      </c>
      <c r="E12" t="s">
        <v>710</v>
      </c>
      <c r="F12" t="s">
        <v>618</v>
      </c>
      <c r="G12" t="s">
        <v>714</v>
      </c>
      <c r="H12" t="s">
        <v>24</v>
      </c>
      <c r="I12">
        <v>3</v>
      </c>
      <c r="K12" t="s">
        <v>717</v>
      </c>
    </row>
    <row r="13" spans="3:11">
      <c r="D13" s="309">
        <v>44557</v>
      </c>
      <c r="E13" t="s">
        <v>710</v>
      </c>
      <c r="F13" t="s">
        <v>618</v>
      </c>
      <c r="G13" t="s">
        <v>715</v>
      </c>
      <c r="H13" t="s">
        <v>19</v>
      </c>
      <c r="I13">
        <v>14</v>
      </c>
      <c r="K13" t="s">
        <v>717</v>
      </c>
    </row>
    <row r="14" spans="3:11">
      <c r="D14" s="309">
        <v>44557</v>
      </c>
      <c r="E14" t="s">
        <v>710</v>
      </c>
      <c r="F14" t="s">
        <v>618</v>
      </c>
      <c r="G14" t="s">
        <v>716</v>
      </c>
      <c r="H14" t="s">
        <v>23</v>
      </c>
      <c r="I14">
        <v>6</v>
      </c>
      <c r="K14" t="s">
        <v>717</v>
      </c>
    </row>
    <row r="15" spans="3:11">
      <c r="D15" s="309">
        <v>44557</v>
      </c>
      <c r="E15" t="s">
        <v>710</v>
      </c>
      <c r="F15" t="s">
        <v>340</v>
      </c>
      <c r="G15" t="s">
        <v>718</v>
      </c>
      <c r="H15" t="s">
        <v>719</v>
      </c>
      <c r="I15">
        <v>20</v>
      </c>
      <c r="K15" t="s">
        <v>709</v>
      </c>
    </row>
    <row r="16" spans="3:11">
      <c r="D16" s="309">
        <v>44557</v>
      </c>
      <c r="E16" t="s">
        <v>710</v>
      </c>
      <c r="F16" t="s">
        <v>340</v>
      </c>
      <c r="G16" t="s">
        <v>720</v>
      </c>
      <c r="H16" t="s">
        <v>19</v>
      </c>
      <c r="I16">
        <v>18</v>
      </c>
      <c r="J16" t="s">
        <v>725</v>
      </c>
      <c r="K16" t="s">
        <v>717</v>
      </c>
    </row>
    <row r="17" spans="4:11">
      <c r="D17" s="309">
        <v>44557</v>
      </c>
      <c r="E17" t="s">
        <v>710</v>
      </c>
      <c r="F17" t="s">
        <v>22</v>
      </c>
      <c r="G17" t="s">
        <v>721</v>
      </c>
      <c r="H17" t="s">
        <v>24</v>
      </c>
      <c r="I17">
        <v>7.5</v>
      </c>
      <c r="J17" t="s">
        <v>725</v>
      </c>
      <c r="K17" t="s">
        <v>717</v>
      </c>
    </row>
    <row r="18" spans="4:11">
      <c r="D18" s="309">
        <v>44557</v>
      </c>
      <c r="E18" t="s">
        <v>710</v>
      </c>
      <c r="F18" t="s">
        <v>22</v>
      </c>
      <c r="G18" t="s">
        <v>722</v>
      </c>
      <c r="H18" t="s">
        <v>24</v>
      </c>
      <c r="I18">
        <v>7.5</v>
      </c>
      <c r="J18" t="s">
        <v>725</v>
      </c>
      <c r="K18" t="s">
        <v>717</v>
      </c>
    </row>
    <row r="19" spans="4:11">
      <c r="D19" s="309">
        <v>44557</v>
      </c>
      <c r="E19" t="s">
        <v>710</v>
      </c>
      <c r="F19" t="s">
        <v>22</v>
      </c>
      <c r="G19" t="s">
        <v>723</v>
      </c>
      <c r="H19" t="s">
        <v>19</v>
      </c>
      <c r="I19">
        <v>18</v>
      </c>
      <c r="J19" t="s">
        <v>725</v>
      </c>
      <c r="K19" t="s">
        <v>717</v>
      </c>
    </row>
    <row r="20" spans="4:11">
      <c r="D20" s="309">
        <v>44557</v>
      </c>
      <c r="E20" t="s">
        <v>710</v>
      </c>
      <c r="F20" t="s">
        <v>362</v>
      </c>
      <c r="G20" t="s">
        <v>724</v>
      </c>
      <c r="H20" t="s">
        <v>11</v>
      </c>
      <c r="I20">
        <v>25</v>
      </c>
      <c r="J20" t="s">
        <v>725</v>
      </c>
      <c r="K20" t="s">
        <v>717</v>
      </c>
    </row>
    <row r="21" spans="4:11">
      <c r="D21" s="309">
        <v>44557</v>
      </c>
      <c r="E21" t="s">
        <v>710</v>
      </c>
      <c r="F21" t="s">
        <v>15</v>
      </c>
      <c r="G21" t="s">
        <v>727</v>
      </c>
      <c r="H21" t="s">
        <v>19</v>
      </c>
      <c r="I21">
        <v>15</v>
      </c>
      <c r="J21" t="s">
        <v>725</v>
      </c>
    </row>
    <row r="22" spans="4:11">
      <c r="D22" s="309">
        <v>44557</v>
      </c>
      <c r="E22" t="s">
        <v>710</v>
      </c>
      <c r="F22" t="s">
        <v>15</v>
      </c>
      <c r="G22" t="s">
        <v>559</v>
      </c>
      <c r="H22" t="s">
        <v>24</v>
      </c>
      <c r="I22">
        <v>7</v>
      </c>
      <c r="J22" t="s">
        <v>725</v>
      </c>
    </row>
    <row r="23" spans="4:11">
      <c r="D23" s="309">
        <v>44557</v>
      </c>
      <c r="E23" t="s">
        <v>710</v>
      </c>
      <c r="F23" t="s">
        <v>15</v>
      </c>
      <c r="G23" t="s">
        <v>563</v>
      </c>
      <c r="H23" t="s">
        <v>284</v>
      </c>
      <c r="I23">
        <v>7</v>
      </c>
      <c r="K23" t="s">
        <v>717</v>
      </c>
    </row>
    <row r="24" spans="4:11">
      <c r="D24" s="309">
        <v>44557</v>
      </c>
      <c r="E24" t="s">
        <v>710</v>
      </c>
      <c r="F24" t="s">
        <v>15</v>
      </c>
      <c r="G24" s="230" t="s">
        <v>662</v>
      </c>
      <c r="H24" t="s">
        <v>19</v>
      </c>
      <c r="I24">
        <v>15</v>
      </c>
      <c r="K24" t="s">
        <v>717</v>
      </c>
    </row>
    <row r="25" spans="4:11">
      <c r="D25" s="309">
        <v>44557</v>
      </c>
      <c r="E25" t="s">
        <v>710</v>
      </c>
      <c r="F25" t="s">
        <v>15</v>
      </c>
      <c r="G25" s="420" t="s">
        <v>665</v>
      </c>
      <c r="H25" t="s">
        <v>19</v>
      </c>
      <c r="I25">
        <v>17</v>
      </c>
      <c r="K25" t="s">
        <v>717</v>
      </c>
    </row>
    <row r="26" spans="4:11">
      <c r="D26" s="309">
        <v>44557</v>
      </c>
      <c r="E26" t="s">
        <v>710</v>
      </c>
      <c r="F26" t="s">
        <v>25</v>
      </c>
      <c r="G26" t="s">
        <v>728</v>
      </c>
      <c r="H26" t="s">
        <v>19</v>
      </c>
      <c r="I26">
        <v>18</v>
      </c>
      <c r="J26" t="s">
        <v>725</v>
      </c>
      <c r="K26" t="s">
        <v>717</v>
      </c>
    </row>
    <row r="27" spans="4:11">
      <c r="D27" s="309">
        <v>44557</v>
      </c>
      <c r="E27" t="s">
        <v>710</v>
      </c>
      <c r="F27" t="s">
        <v>25</v>
      </c>
      <c r="G27" t="s">
        <v>729</v>
      </c>
      <c r="H27" t="s">
        <v>19</v>
      </c>
      <c r="I27">
        <v>18</v>
      </c>
      <c r="J27" t="s">
        <v>725</v>
      </c>
      <c r="K27" t="s">
        <v>717</v>
      </c>
    </row>
    <row r="28" spans="4:11">
      <c r="D28" s="309">
        <v>44557</v>
      </c>
      <c r="E28" t="s">
        <v>710</v>
      </c>
      <c r="F28" t="s">
        <v>10</v>
      </c>
      <c r="G28" s="491" t="s">
        <v>646</v>
      </c>
      <c r="I28">
        <v>30</v>
      </c>
      <c r="K28" t="s">
        <v>717</v>
      </c>
    </row>
    <row r="29" spans="4:11">
      <c r="D29" s="309">
        <v>44557</v>
      </c>
      <c r="E29" t="s">
        <v>710</v>
      </c>
      <c r="F29" t="s">
        <v>10</v>
      </c>
      <c r="G29" s="491" t="s">
        <v>649</v>
      </c>
      <c r="I29">
        <v>19</v>
      </c>
      <c r="K29" t="s">
        <v>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"/>
  <sheetViews>
    <sheetView workbookViewId="0">
      <selection activeCell="H3" sqref="H3:I28"/>
    </sheetView>
  </sheetViews>
  <sheetFormatPr defaultColWidth="9.140625" defaultRowHeight="15"/>
  <cols>
    <col min="1" max="1" width="9.140625" style="11"/>
    <col min="2" max="2" width="5.42578125" bestFit="1" customWidth="1"/>
    <col min="3" max="3" width="10.42578125" bestFit="1" customWidth="1"/>
    <col min="4" max="4" width="7.7109375" bestFit="1" customWidth="1"/>
    <col min="5" max="5" width="9.42578125" bestFit="1" customWidth="1"/>
    <col min="6" max="6" width="23.28515625" bestFit="1" customWidth="1"/>
    <col min="7" max="7" width="8.7109375" bestFit="1" customWidth="1"/>
    <col min="8" max="8" width="6.42578125" bestFit="1" customWidth="1"/>
    <col min="9" max="9" width="6.7109375" bestFit="1" customWidth="1"/>
    <col min="10" max="10" width="9" bestFit="1" customWidth="1"/>
    <col min="11" max="11" width="11.140625" bestFit="1" customWidth="1"/>
    <col min="12" max="12" width="38.7109375" bestFit="1" customWidth="1"/>
    <col min="13" max="13" width="36" bestFit="1" customWidth="1"/>
    <col min="14" max="16384" width="9.140625" style="11"/>
  </cols>
  <sheetData>
    <row r="1" spans="2:13" ht="15.75" thickBot="1"/>
    <row r="2" spans="2:13" ht="15.75">
      <c r="B2" s="100" t="s">
        <v>0</v>
      </c>
      <c r="C2" s="101" t="s">
        <v>43</v>
      </c>
      <c r="D2" s="101" t="s">
        <v>1</v>
      </c>
      <c r="E2" s="101" t="s">
        <v>2</v>
      </c>
      <c r="F2" s="101" t="s">
        <v>3</v>
      </c>
      <c r="G2" s="101" t="s">
        <v>4</v>
      </c>
      <c r="H2" s="101" t="s">
        <v>5</v>
      </c>
      <c r="I2" s="101" t="s">
        <v>6</v>
      </c>
      <c r="J2" s="101" t="s">
        <v>7</v>
      </c>
      <c r="K2" s="104" t="s">
        <v>75</v>
      </c>
      <c r="L2" s="105" t="s">
        <v>192</v>
      </c>
      <c r="M2" s="6"/>
    </row>
    <row r="3" spans="2:13">
      <c r="B3" s="106">
        <v>1</v>
      </c>
      <c r="C3" s="107">
        <v>44268</v>
      </c>
      <c r="D3" s="108" t="s">
        <v>36</v>
      </c>
      <c r="E3" s="109" t="s">
        <v>15</v>
      </c>
      <c r="F3" s="108" t="s">
        <v>193</v>
      </c>
      <c r="G3" s="109" t="s">
        <v>11</v>
      </c>
      <c r="H3" s="109"/>
      <c r="I3" s="109"/>
      <c r="J3" s="109">
        <v>28</v>
      </c>
      <c r="K3" s="110" t="s">
        <v>12</v>
      </c>
      <c r="L3" s="111" t="s">
        <v>194</v>
      </c>
      <c r="M3" s="6"/>
    </row>
    <row r="4" spans="2:13">
      <c r="B4" s="106">
        <v>2</v>
      </c>
      <c r="C4" s="107">
        <v>44270</v>
      </c>
      <c r="D4" s="108" t="s">
        <v>36</v>
      </c>
      <c r="E4" s="109" t="s">
        <v>15</v>
      </c>
      <c r="F4" s="109" t="s">
        <v>72</v>
      </c>
      <c r="G4" s="109" t="s">
        <v>19</v>
      </c>
      <c r="H4" s="109"/>
      <c r="I4" s="109"/>
      <c r="J4" s="109">
        <v>18</v>
      </c>
      <c r="K4" s="110" t="s">
        <v>12</v>
      </c>
      <c r="L4" s="111" t="s">
        <v>194</v>
      </c>
      <c r="M4" s="6"/>
    </row>
    <row r="5" spans="2:13">
      <c r="B5" s="106">
        <v>3</v>
      </c>
      <c r="C5" s="107">
        <v>44279</v>
      </c>
      <c r="D5" s="108" t="s">
        <v>36</v>
      </c>
      <c r="E5" s="109" t="s">
        <v>15</v>
      </c>
      <c r="F5" s="109" t="s">
        <v>105</v>
      </c>
      <c r="G5" s="109" t="s">
        <v>19</v>
      </c>
      <c r="H5" s="109" t="s">
        <v>120</v>
      </c>
      <c r="I5" s="109" t="s">
        <v>21</v>
      </c>
      <c r="J5" s="109">
        <v>18</v>
      </c>
      <c r="K5" s="110" t="s">
        <v>12</v>
      </c>
      <c r="L5" s="111" t="s">
        <v>195</v>
      </c>
      <c r="M5" s="111"/>
    </row>
    <row r="6" spans="2:13">
      <c r="B6" s="106">
        <v>4</v>
      </c>
      <c r="C6" s="107">
        <v>44273</v>
      </c>
      <c r="D6" s="108" t="s">
        <v>36</v>
      </c>
      <c r="E6" s="109" t="s">
        <v>15</v>
      </c>
      <c r="F6" s="109" t="s">
        <v>79</v>
      </c>
      <c r="G6" s="109" t="s">
        <v>19</v>
      </c>
      <c r="H6" s="109" t="s">
        <v>20</v>
      </c>
      <c r="I6" s="109" t="s">
        <v>21</v>
      </c>
      <c r="J6" s="109">
        <v>15</v>
      </c>
      <c r="K6" s="110" t="s">
        <v>12</v>
      </c>
      <c r="L6" s="111" t="s">
        <v>196</v>
      </c>
      <c r="M6" s="111"/>
    </row>
    <row r="7" spans="2:13">
      <c r="B7" s="106">
        <v>5</v>
      </c>
      <c r="C7" s="108"/>
      <c r="D7" s="108" t="s">
        <v>36</v>
      </c>
      <c r="E7" s="109" t="s">
        <v>13</v>
      </c>
      <c r="F7" s="109" t="s">
        <v>40</v>
      </c>
      <c r="G7" s="109" t="s">
        <v>19</v>
      </c>
      <c r="H7" s="109" t="s">
        <v>48</v>
      </c>
      <c r="I7" s="109" t="s">
        <v>124</v>
      </c>
      <c r="J7" s="109">
        <v>12</v>
      </c>
      <c r="K7" s="110" t="s">
        <v>12</v>
      </c>
      <c r="L7" s="109" t="s">
        <v>197</v>
      </c>
      <c r="M7" s="6"/>
    </row>
    <row r="8" spans="2:13">
      <c r="B8" s="106">
        <v>6</v>
      </c>
      <c r="C8" s="108"/>
      <c r="D8" s="108" t="s">
        <v>36</v>
      </c>
      <c r="E8" s="109" t="s">
        <v>13</v>
      </c>
      <c r="F8" s="109" t="s">
        <v>54</v>
      </c>
      <c r="G8" s="109" t="s">
        <v>19</v>
      </c>
      <c r="H8" s="109"/>
      <c r="I8" s="112"/>
      <c r="J8" s="109">
        <v>19</v>
      </c>
      <c r="K8" s="110" t="s">
        <v>12</v>
      </c>
      <c r="L8" s="111" t="s">
        <v>198</v>
      </c>
      <c r="M8" s="6"/>
    </row>
    <row r="9" spans="2:13">
      <c r="B9" s="106">
        <v>7</v>
      </c>
      <c r="C9" s="107">
        <v>44281</v>
      </c>
      <c r="D9" s="108" t="s">
        <v>36</v>
      </c>
      <c r="E9" s="109" t="s">
        <v>10</v>
      </c>
      <c r="F9" s="109" t="s">
        <v>108</v>
      </c>
      <c r="G9" s="109" t="s">
        <v>19</v>
      </c>
      <c r="H9" s="109"/>
      <c r="I9" s="109"/>
      <c r="J9" s="109">
        <v>15</v>
      </c>
      <c r="K9" s="110" t="s">
        <v>12</v>
      </c>
      <c r="L9" s="111" t="s">
        <v>199</v>
      </c>
      <c r="M9" s="111"/>
    </row>
    <row r="10" spans="2:13">
      <c r="B10" s="106">
        <v>8</v>
      </c>
      <c r="C10" s="107">
        <v>44281</v>
      </c>
      <c r="D10" s="108" t="s">
        <v>36</v>
      </c>
      <c r="E10" s="109" t="s">
        <v>10</v>
      </c>
      <c r="F10" s="109" t="s">
        <v>109</v>
      </c>
      <c r="G10" s="109" t="s">
        <v>19</v>
      </c>
      <c r="H10" s="109"/>
      <c r="I10" s="109"/>
      <c r="J10" s="109">
        <v>15</v>
      </c>
      <c r="K10" s="110" t="s">
        <v>12</v>
      </c>
      <c r="L10" s="111" t="s">
        <v>200</v>
      </c>
      <c r="M10" s="111"/>
    </row>
    <row r="11" spans="2:13">
      <c r="B11" s="106">
        <v>9</v>
      </c>
      <c r="C11" s="107">
        <v>44281</v>
      </c>
      <c r="D11" s="108" t="s">
        <v>36</v>
      </c>
      <c r="E11" s="109" t="s">
        <v>25</v>
      </c>
      <c r="F11" s="109" t="s">
        <v>113</v>
      </c>
      <c r="G11" s="109" t="s">
        <v>19</v>
      </c>
      <c r="H11" s="109"/>
      <c r="I11" s="109"/>
      <c r="J11" s="109">
        <v>20</v>
      </c>
      <c r="K11" s="110" t="s">
        <v>12</v>
      </c>
      <c r="L11" s="109" t="s">
        <v>201</v>
      </c>
      <c r="M11" s="111"/>
    </row>
    <row r="12" spans="2:13">
      <c r="B12" s="106">
        <v>10</v>
      </c>
      <c r="C12" s="107">
        <v>44274</v>
      </c>
      <c r="D12" s="108" t="s">
        <v>36</v>
      </c>
      <c r="E12" s="109" t="s">
        <v>14</v>
      </c>
      <c r="F12" s="108" t="s">
        <v>92</v>
      </c>
      <c r="G12" s="109" t="s">
        <v>19</v>
      </c>
      <c r="H12" s="109"/>
      <c r="I12" s="109"/>
      <c r="J12" s="109">
        <v>20</v>
      </c>
      <c r="K12" s="110" t="s">
        <v>12</v>
      </c>
      <c r="L12" s="109" t="s">
        <v>202</v>
      </c>
      <c r="M12" s="111" t="s">
        <v>203</v>
      </c>
    </row>
    <row r="13" spans="2:13">
      <c r="B13" s="106">
        <v>11</v>
      </c>
      <c r="C13" s="107">
        <v>44279</v>
      </c>
      <c r="D13" s="108" t="s">
        <v>36</v>
      </c>
      <c r="E13" s="109" t="s">
        <v>17</v>
      </c>
      <c r="F13" s="109" t="s">
        <v>103</v>
      </c>
      <c r="G13" s="109" t="s">
        <v>23</v>
      </c>
      <c r="H13" s="109" t="s">
        <v>37</v>
      </c>
      <c r="I13" s="109" t="s">
        <v>51</v>
      </c>
      <c r="J13" s="109">
        <v>9</v>
      </c>
      <c r="K13" s="110" t="s">
        <v>12</v>
      </c>
      <c r="L13" s="109" t="s">
        <v>202</v>
      </c>
      <c r="M13" s="111" t="s">
        <v>204</v>
      </c>
    </row>
    <row r="14" spans="2:13">
      <c r="B14" s="106">
        <v>12</v>
      </c>
      <c r="C14" s="107">
        <v>44281</v>
      </c>
      <c r="D14" s="108" t="s">
        <v>36</v>
      </c>
      <c r="E14" s="109" t="s">
        <v>17</v>
      </c>
      <c r="F14" s="109" t="s">
        <v>111</v>
      </c>
      <c r="G14" s="109" t="s">
        <v>23</v>
      </c>
      <c r="H14" s="109"/>
      <c r="I14" s="109"/>
      <c r="J14" s="109">
        <v>10</v>
      </c>
      <c r="K14" s="110" t="s">
        <v>12</v>
      </c>
      <c r="L14" s="109" t="s">
        <v>202</v>
      </c>
      <c r="M14" s="111" t="s">
        <v>205</v>
      </c>
    </row>
    <row r="15" spans="2:13">
      <c r="B15" s="114">
        <v>13</v>
      </c>
      <c r="C15" s="10">
        <v>44435</v>
      </c>
      <c r="D15" s="2" t="s">
        <v>36</v>
      </c>
      <c r="E15" s="5" t="s">
        <v>15</v>
      </c>
      <c r="F15" s="5" t="s">
        <v>184</v>
      </c>
      <c r="G15" s="5" t="s">
        <v>19</v>
      </c>
      <c r="H15" s="5"/>
      <c r="I15" s="5"/>
      <c r="J15" s="5">
        <v>15</v>
      </c>
    </row>
    <row r="16" spans="2:13">
      <c r="B16" s="114">
        <v>14</v>
      </c>
      <c r="C16" s="85">
        <v>44289</v>
      </c>
      <c r="D16" s="2" t="s">
        <v>134</v>
      </c>
      <c r="E16" s="2" t="s">
        <v>15</v>
      </c>
      <c r="F16" s="2" t="s">
        <v>139</v>
      </c>
      <c r="G16" s="2" t="s">
        <v>24</v>
      </c>
      <c r="H16" s="2"/>
      <c r="I16" s="2"/>
      <c r="J16" s="2">
        <v>7</v>
      </c>
      <c r="K16" s="2" t="s">
        <v>12</v>
      </c>
      <c r="L16" s="2"/>
    </row>
    <row r="17" spans="2:13">
      <c r="B17" s="114">
        <v>15</v>
      </c>
      <c r="C17" s="85">
        <v>44289</v>
      </c>
      <c r="D17" s="2" t="s">
        <v>134</v>
      </c>
      <c r="E17" s="2" t="s">
        <v>15</v>
      </c>
      <c r="F17" s="2" t="s">
        <v>140</v>
      </c>
      <c r="G17" s="2" t="s">
        <v>11</v>
      </c>
      <c r="H17" s="2"/>
      <c r="I17" s="2"/>
      <c r="J17" s="2">
        <v>24</v>
      </c>
      <c r="K17" s="2" t="s">
        <v>12</v>
      </c>
      <c r="L17" s="2"/>
    </row>
    <row r="18" spans="2:13">
      <c r="B18" s="114">
        <v>16</v>
      </c>
      <c r="C18" s="85">
        <v>44289</v>
      </c>
      <c r="D18" s="2" t="s">
        <v>134</v>
      </c>
      <c r="E18" s="2" t="s">
        <v>22</v>
      </c>
      <c r="F18" s="2" t="s">
        <v>138</v>
      </c>
      <c r="G18" s="2" t="s">
        <v>19</v>
      </c>
      <c r="H18" s="2"/>
      <c r="I18" s="2"/>
      <c r="J18" s="2">
        <v>15</v>
      </c>
      <c r="K18" s="2" t="s">
        <v>71</v>
      </c>
      <c r="L18" s="2"/>
    </row>
    <row r="19" spans="2:13">
      <c r="B19" s="114">
        <v>17</v>
      </c>
      <c r="C19" s="85">
        <v>44289</v>
      </c>
      <c r="D19" s="2" t="s">
        <v>134</v>
      </c>
      <c r="E19" s="2" t="s">
        <v>13</v>
      </c>
      <c r="F19" s="2" t="s">
        <v>136</v>
      </c>
      <c r="G19" s="2" t="s">
        <v>19</v>
      </c>
      <c r="H19" s="2"/>
      <c r="I19" s="2"/>
      <c r="J19" s="2">
        <v>25</v>
      </c>
      <c r="K19" s="2" t="s">
        <v>12</v>
      </c>
      <c r="L19" s="2" t="s">
        <v>34</v>
      </c>
    </row>
    <row r="20" spans="2:13">
      <c r="B20" s="114">
        <v>18</v>
      </c>
      <c r="C20" s="85">
        <v>44291</v>
      </c>
      <c r="D20" s="2" t="s">
        <v>134</v>
      </c>
      <c r="E20" s="2" t="s">
        <v>63</v>
      </c>
      <c r="F20" s="2" t="s">
        <v>171</v>
      </c>
      <c r="G20" s="2" t="s">
        <v>19</v>
      </c>
      <c r="H20" s="2"/>
      <c r="I20" s="2"/>
      <c r="J20" s="2">
        <v>13.5</v>
      </c>
      <c r="K20" s="2" t="s">
        <v>12</v>
      </c>
      <c r="L20" s="2"/>
    </row>
    <row r="21" spans="2:13">
      <c r="B21" s="114">
        <v>19</v>
      </c>
      <c r="C21" s="10">
        <v>44291</v>
      </c>
      <c r="D21" s="4" t="s">
        <v>134</v>
      </c>
      <c r="E21" s="4" t="s">
        <v>22</v>
      </c>
      <c r="F21" s="4" t="s">
        <v>137</v>
      </c>
      <c r="G21" s="4" t="s">
        <v>11</v>
      </c>
      <c r="H21" s="4"/>
      <c r="I21" s="4"/>
      <c r="J21" s="4">
        <v>32</v>
      </c>
      <c r="K21" s="2" t="s">
        <v>12</v>
      </c>
      <c r="L21" s="4"/>
    </row>
    <row r="22" spans="2:13">
      <c r="B22" s="114">
        <v>20</v>
      </c>
      <c r="C22" s="10">
        <v>44291</v>
      </c>
      <c r="D22" s="4" t="s">
        <v>134</v>
      </c>
      <c r="E22" s="4" t="s">
        <v>17</v>
      </c>
      <c r="F22" s="2" t="s">
        <v>149</v>
      </c>
      <c r="G22" s="2" t="s">
        <v>19</v>
      </c>
      <c r="H22" s="2"/>
      <c r="I22" s="2"/>
      <c r="J22" s="2">
        <v>19.43</v>
      </c>
      <c r="K22" s="2" t="s">
        <v>12</v>
      </c>
      <c r="L22" s="2"/>
    </row>
    <row r="23" spans="2:13">
      <c r="B23" s="114">
        <v>21</v>
      </c>
      <c r="C23" s="10">
        <v>44291</v>
      </c>
      <c r="D23" s="4" t="s">
        <v>134</v>
      </c>
      <c r="E23" s="4" t="s">
        <v>14</v>
      </c>
      <c r="F23" s="2" t="s">
        <v>150</v>
      </c>
      <c r="G23" s="2" t="s">
        <v>19</v>
      </c>
      <c r="H23" s="2"/>
      <c r="I23" s="2"/>
      <c r="J23" s="2">
        <v>12.5</v>
      </c>
      <c r="K23" s="2" t="s">
        <v>12</v>
      </c>
      <c r="L23" s="2"/>
    </row>
    <row r="24" spans="2:13">
      <c r="B24" s="114">
        <v>22</v>
      </c>
      <c r="C24" s="10">
        <v>44291</v>
      </c>
      <c r="D24" s="4" t="s">
        <v>134</v>
      </c>
      <c r="E24" s="4" t="s">
        <v>14</v>
      </c>
      <c r="F24" s="2" t="s">
        <v>151</v>
      </c>
      <c r="G24" s="2" t="s">
        <v>19</v>
      </c>
      <c r="H24" s="2"/>
      <c r="I24" s="2"/>
      <c r="J24" s="2">
        <v>15</v>
      </c>
      <c r="K24" s="2" t="s">
        <v>12</v>
      </c>
      <c r="L24" s="2"/>
    </row>
    <row r="25" spans="2:13">
      <c r="B25" s="114">
        <v>23</v>
      </c>
      <c r="C25" s="10">
        <v>44291</v>
      </c>
      <c r="D25" s="4" t="s">
        <v>134</v>
      </c>
      <c r="E25" s="4" t="s">
        <v>15</v>
      </c>
      <c r="F25" s="2" t="s">
        <v>162</v>
      </c>
      <c r="G25" s="2" t="s">
        <v>24</v>
      </c>
      <c r="H25" s="2"/>
      <c r="I25" s="2"/>
      <c r="J25" s="2">
        <v>3.5</v>
      </c>
      <c r="K25" s="2" t="s">
        <v>12</v>
      </c>
      <c r="L25" s="2"/>
    </row>
    <row r="26" spans="2:13">
      <c r="B26" s="114">
        <v>24</v>
      </c>
      <c r="C26" s="10">
        <v>44291</v>
      </c>
      <c r="D26" s="4" t="s">
        <v>134</v>
      </c>
      <c r="E26" s="4" t="s">
        <v>14</v>
      </c>
      <c r="F26" s="2" t="s">
        <v>152</v>
      </c>
      <c r="G26" s="2" t="s">
        <v>24</v>
      </c>
      <c r="H26" s="2"/>
      <c r="I26" s="2"/>
      <c r="J26" s="2">
        <v>6</v>
      </c>
      <c r="K26" s="2" t="s">
        <v>12</v>
      </c>
      <c r="L26" s="2"/>
    </row>
    <row r="27" spans="2:13">
      <c r="B27" s="114">
        <v>25</v>
      </c>
      <c r="C27" s="10">
        <v>44258</v>
      </c>
      <c r="D27" s="4" t="s">
        <v>134</v>
      </c>
      <c r="E27" s="4" t="s">
        <v>13</v>
      </c>
      <c r="F27" s="2" t="s">
        <v>156</v>
      </c>
      <c r="G27" s="2" t="s">
        <v>19</v>
      </c>
      <c r="H27" s="2"/>
      <c r="I27" s="2"/>
      <c r="J27" s="2">
        <v>26</v>
      </c>
      <c r="K27" s="2" t="s">
        <v>12</v>
      </c>
      <c r="L27" s="2"/>
    </row>
    <row r="28" spans="2:13" ht="15.75" thickBot="1">
      <c r="B28" s="114">
        <v>26</v>
      </c>
      <c r="C28" s="92">
        <v>44291</v>
      </c>
      <c r="D28" s="93" t="s">
        <v>134</v>
      </c>
      <c r="E28" s="93" t="s">
        <v>13</v>
      </c>
      <c r="F28" s="91" t="s">
        <v>157</v>
      </c>
      <c r="G28" s="91" t="s">
        <v>23</v>
      </c>
      <c r="H28" s="91"/>
      <c r="I28" s="91"/>
      <c r="J28" s="91">
        <v>5.8</v>
      </c>
      <c r="K28" s="2" t="s">
        <v>12</v>
      </c>
      <c r="L28" s="91"/>
    </row>
    <row r="29" spans="2:13" ht="16.5" thickTop="1" thickBot="1"/>
    <row r="30" spans="2:13" ht="16.5" thickBot="1">
      <c r="B30" s="775" t="s">
        <v>127</v>
      </c>
      <c r="C30" s="776"/>
      <c r="D30" s="776"/>
      <c r="E30" s="776"/>
      <c r="F30" s="776"/>
      <c r="G30" s="776"/>
      <c r="H30" s="776"/>
      <c r="I30" s="776"/>
      <c r="J30" s="776"/>
      <c r="K30" s="776"/>
      <c r="L30" s="776"/>
      <c r="M30" s="777"/>
    </row>
    <row r="31" spans="2:13" ht="16.5" thickBot="1">
      <c r="B31" s="100" t="s">
        <v>0</v>
      </c>
      <c r="C31" s="101" t="s">
        <v>43</v>
      </c>
      <c r="D31" s="101" t="s">
        <v>1</v>
      </c>
      <c r="E31" s="101" t="s">
        <v>2</v>
      </c>
      <c r="F31" s="101" t="s">
        <v>3</v>
      </c>
      <c r="G31" s="101" t="s">
        <v>4</v>
      </c>
      <c r="H31" s="101" t="s">
        <v>5</v>
      </c>
      <c r="I31" s="101" t="s">
        <v>6</v>
      </c>
      <c r="J31" s="101" t="s">
        <v>7</v>
      </c>
      <c r="K31" s="80" t="s">
        <v>5</v>
      </c>
      <c r="L31" s="80" t="s">
        <v>6</v>
      </c>
      <c r="M31" s="77" t="s">
        <v>75</v>
      </c>
    </row>
    <row r="32" spans="2:13">
      <c r="B32" s="78">
        <v>1</v>
      </c>
      <c r="C32" s="86">
        <v>44292</v>
      </c>
      <c r="D32" s="87" t="s">
        <v>134</v>
      </c>
      <c r="E32" s="87" t="s">
        <v>22</v>
      </c>
      <c r="F32" s="79" t="s">
        <v>147</v>
      </c>
      <c r="G32" s="79" t="s">
        <v>23</v>
      </c>
      <c r="H32" s="79"/>
      <c r="I32" s="79"/>
      <c r="J32" s="79">
        <v>8</v>
      </c>
      <c r="K32" s="79"/>
      <c r="L32" s="79"/>
      <c r="M32" s="88" t="s">
        <v>135</v>
      </c>
    </row>
    <row r="33" spans="2:13" ht="15.75" thickBot="1">
      <c r="B33" s="17">
        <v>2</v>
      </c>
      <c r="C33" s="10">
        <v>44292</v>
      </c>
      <c r="D33" s="4" t="s">
        <v>134</v>
      </c>
      <c r="E33" s="4" t="s">
        <v>22</v>
      </c>
      <c r="F33" s="4" t="s">
        <v>148</v>
      </c>
      <c r="G33" s="4" t="s">
        <v>19</v>
      </c>
      <c r="H33" s="4"/>
      <c r="I33" s="4"/>
      <c r="J33" s="4">
        <v>24</v>
      </c>
      <c r="K33" s="4"/>
      <c r="L33" s="4"/>
      <c r="M33" s="18" t="s">
        <v>135</v>
      </c>
    </row>
    <row r="34" spans="2:13">
      <c r="B34" s="78">
        <v>3</v>
      </c>
      <c r="C34" s="10">
        <v>44292</v>
      </c>
      <c r="D34" s="4" t="s">
        <v>134</v>
      </c>
      <c r="E34" s="4" t="s">
        <v>14</v>
      </c>
      <c r="F34" s="2" t="s">
        <v>153</v>
      </c>
      <c r="G34" s="2" t="s">
        <v>23</v>
      </c>
      <c r="H34" s="2"/>
      <c r="I34" s="2"/>
      <c r="J34" s="2">
        <v>9</v>
      </c>
      <c r="K34" s="2"/>
      <c r="L34" s="2"/>
      <c r="M34" s="18" t="s">
        <v>135</v>
      </c>
    </row>
    <row r="35" spans="2:13" ht="15.75" thickBot="1">
      <c r="B35" s="17">
        <v>4</v>
      </c>
      <c r="C35" s="10">
        <v>44292</v>
      </c>
      <c r="D35" s="4" t="s">
        <v>134</v>
      </c>
      <c r="E35" s="4" t="s">
        <v>14</v>
      </c>
      <c r="F35" s="2" t="s">
        <v>154</v>
      </c>
      <c r="G35" s="2" t="s">
        <v>19</v>
      </c>
      <c r="H35" s="2"/>
      <c r="I35" s="2"/>
      <c r="J35" s="2">
        <v>20</v>
      </c>
      <c r="K35" s="2"/>
      <c r="L35" s="2"/>
      <c r="M35" s="18" t="s">
        <v>135</v>
      </c>
    </row>
    <row r="36" spans="2:13">
      <c r="B36" s="78">
        <v>5</v>
      </c>
      <c r="C36" s="10">
        <v>44292</v>
      </c>
      <c r="D36" s="4" t="s">
        <v>134</v>
      </c>
      <c r="E36" s="4" t="s">
        <v>14</v>
      </c>
      <c r="F36" s="2" t="s">
        <v>155</v>
      </c>
      <c r="G36" s="2" t="s">
        <v>19</v>
      </c>
      <c r="H36" s="2"/>
      <c r="I36" s="2"/>
      <c r="J36" s="2">
        <v>20</v>
      </c>
      <c r="K36" s="2"/>
      <c r="L36" s="2"/>
      <c r="M36" s="18" t="s">
        <v>135</v>
      </c>
    </row>
    <row r="37" spans="2:13" ht="15.75" thickBot="1">
      <c r="B37" s="17">
        <v>6</v>
      </c>
      <c r="C37" s="89">
        <v>44292</v>
      </c>
      <c r="D37" s="90" t="s">
        <v>134</v>
      </c>
      <c r="E37" s="12" t="s">
        <v>158</v>
      </c>
      <c r="F37" s="12" t="s">
        <v>159</v>
      </c>
      <c r="G37" s="12" t="s">
        <v>19</v>
      </c>
      <c r="H37" s="12"/>
      <c r="I37" s="12"/>
      <c r="J37" s="12">
        <v>11</v>
      </c>
      <c r="K37" s="12"/>
      <c r="L37" s="12"/>
      <c r="M37" s="18" t="s">
        <v>135</v>
      </c>
    </row>
  </sheetData>
  <mergeCells count="1">
    <mergeCell ref="B30:M3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30"/>
  <sheetViews>
    <sheetView showGridLines="0" zoomScale="85" zoomScaleNormal="85" workbookViewId="0">
      <selection activeCell="F30" sqref="F30:G30"/>
    </sheetView>
  </sheetViews>
  <sheetFormatPr defaultColWidth="11.42578125" defaultRowHeight="15"/>
  <cols>
    <col min="1" max="3" width="8.85546875" customWidth="1"/>
    <col min="4" max="4" width="11.42578125" customWidth="1"/>
    <col min="5" max="6" width="10.85546875" customWidth="1"/>
    <col min="7" max="7" width="9.7109375" customWidth="1"/>
    <col min="8" max="8" width="10.42578125" customWidth="1"/>
    <col min="9" max="9" width="9.7109375" customWidth="1"/>
    <col min="10" max="10" width="11.85546875" customWidth="1"/>
    <col min="11" max="11" width="10.42578125" customWidth="1"/>
    <col min="12" max="12" width="9.85546875" customWidth="1"/>
    <col min="13" max="17" width="8.85546875" customWidth="1"/>
    <col min="18" max="18" width="11.28515625" bestFit="1" customWidth="1"/>
    <col min="19" max="256" width="8.85546875" customWidth="1"/>
  </cols>
  <sheetData>
    <row r="1" spans="5:13" ht="15.75" thickBot="1"/>
    <row r="2" spans="5:13" ht="21.75" customHeight="1" thickBot="1">
      <c r="E2" s="790" t="s">
        <v>632</v>
      </c>
      <c r="F2" s="791"/>
      <c r="G2" s="791"/>
      <c r="H2" s="791"/>
      <c r="I2" s="791"/>
      <c r="J2" s="791"/>
      <c r="K2" s="832"/>
      <c r="M2" s="315"/>
    </row>
    <row r="3" spans="5:13" ht="16.5" thickBot="1">
      <c r="E3" s="312"/>
      <c r="F3" s="770" t="s">
        <v>409</v>
      </c>
      <c r="G3" s="772"/>
      <c r="H3" s="775" t="s">
        <v>395</v>
      </c>
      <c r="I3" s="776"/>
      <c r="J3" s="776"/>
      <c r="K3" s="777"/>
      <c r="M3" s="315"/>
    </row>
    <row r="4" spans="5:13" ht="47.25" customHeight="1" thickBot="1">
      <c r="E4" s="271" t="s">
        <v>2</v>
      </c>
      <c r="F4" s="246" t="s">
        <v>407</v>
      </c>
      <c r="G4" s="247" t="s">
        <v>408</v>
      </c>
      <c r="H4" s="282" t="s">
        <v>434</v>
      </c>
      <c r="I4" s="243" t="s">
        <v>523</v>
      </c>
      <c r="J4" s="62" t="s">
        <v>510</v>
      </c>
      <c r="K4" s="63" t="s">
        <v>95</v>
      </c>
      <c r="M4" s="315"/>
    </row>
    <row r="5" spans="5:13">
      <c r="E5" s="277" t="s">
        <v>13</v>
      </c>
      <c r="F5" s="244">
        <v>43</v>
      </c>
      <c r="G5" s="245">
        <v>12.9</v>
      </c>
      <c r="H5" s="283">
        <v>18.489999999999998</v>
      </c>
      <c r="I5" s="239">
        <v>0</v>
      </c>
      <c r="J5" s="55">
        <v>8</v>
      </c>
      <c r="K5" s="56">
        <v>2</v>
      </c>
      <c r="M5" s="315"/>
    </row>
    <row r="6" spans="5:13">
      <c r="E6" s="278" t="s">
        <v>14</v>
      </c>
      <c r="F6" s="146">
        <v>25</v>
      </c>
      <c r="G6" s="245">
        <v>7.5</v>
      </c>
      <c r="H6" s="283">
        <v>10.75</v>
      </c>
      <c r="I6" s="239">
        <v>5</v>
      </c>
      <c r="J6" s="55">
        <v>8</v>
      </c>
      <c r="K6" s="41">
        <v>2</v>
      </c>
      <c r="M6" s="315"/>
    </row>
    <row r="7" spans="5:13">
      <c r="E7" s="279" t="s">
        <v>17</v>
      </c>
      <c r="F7" s="114">
        <v>16</v>
      </c>
      <c r="G7" s="245">
        <v>4.8</v>
      </c>
      <c r="H7" s="283">
        <v>6.88</v>
      </c>
      <c r="I7" s="239">
        <v>2</v>
      </c>
      <c r="J7" s="55">
        <v>3</v>
      </c>
      <c r="K7" s="41"/>
      <c r="M7" s="315"/>
    </row>
    <row r="8" spans="5:13">
      <c r="E8" s="279" t="s">
        <v>340</v>
      </c>
      <c r="F8" s="114">
        <v>8</v>
      </c>
      <c r="G8" s="245">
        <v>2.4</v>
      </c>
      <c r="H8" s="283">
        <v>3.44</v>
      </c>
      <c r="I8" s="239">
        <v>0</v>
      </c>
      <c r="J8" s="55">
        <v>4</v>
      </c>
      <c r="K8" s="41"/>
      <c r="M8" s="315"/>
    </row>
    <row r="9" spans="5:13">
      <c r="E9" s="278" t="s">
        <v>10</v>
      </c>
      <c r="F9" s="146">
        <v>37</v>
      </c>
      <c r="G9" s="245">
        <v>12.95</v>
      </c>
      <c r="H9" s="283">
        <v>15.91</v>
      </c>
      <c r="I9" s="239">
        <v>4</v>
      </c>
      <c r="J9" s="55">
        <v>8</v>
      </c>
      <c r="K9" s="41">
        <v>4</v>
      </c>
      <c r="M9" s="315"/>
    </row>
    <row r="10" spans="5:13">
      <c r="E10" s="278" t="s">
        <v>22</v>
      </c>
      <c r="F10" s="146">
        <v>12</v>
      </c>
      <c r="G10" s="245">
        <v>4.1999999999999993</v>
      </c>
      <c r="H10" s="283">
        <v>5.16</v>
      </c>
      <c r="I10" s="239">
        <v>1</v>
      </c>
      <c r="J10" s="55">
        <v>2</v>
      </c>
      <c r="K10" s="41">
        <v>1</v>
      </c>
      <c r="M10" s="315"/>
    </row>
    <row r="11" spans="5:13">
      <c r="E11" s="278" t="s">
        <v>63</v>
      </c>
      <c r="F11" s="146">
        <v>5</v>
      </c>
      <c r="G11" s="245">
        <v>1.75</v>
      </c>
      <c r="H11" s="283">
        <v>2.15</v>
      </c>
      <c r="I11" s="239">
        <v>3</v>
      </c>
      <c r="J11" s="55">
        <v>3</v>
      </c>
      <c r="K11" s="41"/>
      <c r="M11" s="315"/>
    </row>
    <row r="12" spans="5:13">
      <c r="E12" s="278" t="s">
        <v>15</v>
      </c>
      <c r="F12" s="146">
        <v>17</v>
      </c>
      <c r="G12" s="245">
        <v>5.9499999999999993</v>
      </c>
      <c r="H12" s="283">
        <v>7.31</v>
      </c>
      <c r="I12" s="239">
        <v>2</v>
      </c>
      <c r="J12" s="55">
        <v>5</v>
      </c>
      <c r="K12" s="41"/>
      <c r="M12" s="315"/>
    </row>
    <row r="13" spans="5:13" ht="15.75" thickBot="1">
      <c r="E13" s="280" t="s">
        <v>25</v>
      </c>
      <c r="F13" s="241">
        <v>27</v>
      </c>
      <c r="G13" s="245">
        <v>9.4499999999999993</v>
      </c>
      <c r="H13" s="283">
        <v>11.61</v>
      </c>
      <c r="I13" s="239">
        <v>1</v>
      </c>
      <c r="J13" s="55">
        <v>6</v>
      </c>
      <c r="K13" s="42"/>
      <c r="M13" s="315"/>
    </row>
    <row r="14" spans="5:13" ht="15.75" thickBot="1">
      <c r="E14" s="220" t="s">
        <v>8</v>
      </c>
      <c r="F14" s="242">
        <f t="shared" ref="F14:K14" si="0">SUM(F5:F13)</f>
        <v>190</v>
      </c>
      <c r="G14" s="286">
        <f t="shared" si="0"/>
        <v>61.900000000000006</v>
      </c>
      <c r="H14" s="285">
        <f t="shared" si="0"/>
        <v>81.699999999999989</v>
      </c>
      <c r="I14" s="240">
        <f t="shared" si="0"/>
        <v>18</v>
      </c>
      <c r="J14" s="287">
        <f>SUM(J5:J13)</f>
        <v>47</v>
      </c>
      <c r="K14" s="26">
        <f t="shared" si="0"/>
        <v>9</v>
      </c>
      <c r="M14" s="315"/>
    </row>
    <row r="15" spans="5:13" ht="16.5" thickBot="1">
      <c r="E15" s="281" t="s">
        <v>97</v>
      </c>
      <c r="F15" s="833">
        <f>G14</f>
        <v>61.900000000000006</v>
      </c>
      <c r="G15" s="834"/>
      <c r="H15" s="284"/>
      <c r="I15" s="835">
        <f>I14+J14</f>
        <v>65</v>
      </c>
      <c r="J15" s="836"/>
      <c r="K15" s="274">
        <f>K14</f>
        <v>9</v>
      </c>
    </row>
    <row r="16" spans="5:13" ht="3.75" customHeight="1" thickBot="1">
      <c r="F16" s="316"/>
      <c r="G16" s="317"/>
      <c r="H16" s="318"/>
      <c r="I16" s="318"/>
      <c r="J16" s="319"/>
      <c r="K16" s="319"/>
      <c r="L16" s="319"/>
      <c r="M16" s="315"/>
    </row>
    <row r="17" spans="4:13" ht="21" customHeight="1" thickBot="1">
      <c r="D17" s="829" t="s">
        <v>550</v>
      </c>
      <c r="E17" s="830"/>
      <c r="F17" s="830"/>
      <c r="G17" s="830"/>
      <c r="H17" s="830"/>
      <c r="I17" s="830"/>
      <c r="J17" s="830"/>
      <c r="K17" s="830"/>
      <c r="L17" s="830"/>
      <c r="M17" s="831"/>
    </row>
    <row r="18" spans="4:13" ht="16.5" thickBot="1">
      <c r="D18" s="775" t="s">
        <v>433</v>
      </c>
      <c r="E18" s="777"/>
      <c r="F18" s="775" t="s">
        <v>392</v>
      </c>
      <c r="G18" s="777"/>
      <c r="H18" s="775" t="s">
        <v>394</v>
      </c>
      <c r="I18" s="776"/>
      <c r="J18" s="776"/>
      <c r="K18" s="776"/>
      <c r="L18" s="770" t="s">
        <v>412</v>
      </c>
      <c r="M18" s="787"/>
    </row>
    <row r="19" spans="4:13" ht="49.5" customHeight="1" thickBot="1">
      <c r="D19" s="320" t="s">
        <v>125</v>
      </c>
      <c r="E19" s="64" t="s">
        <v>97</v>
      </c>
      <c r="F19" s="259" t="s">
        <v>369</v>
      </c>
      <c r="G19" s="260" t="s">
        <v>392</v>
      </c>
      <c r="H19" s="161" t="s">
        <v>406</v>
      </c>
      <c r="I19" s="161" t="s">
        <v>97</v>
      </c>
      <c r="J19" s="67" t="s">
        <v>525</v>
      </c>
      <c r="K19" s="72" t="s">
        <v>97</v>
      </c>
      <c r="L19" s="264" t="s">
        <v>411</v>
      </c>
      <c r="M19" s="265" t="s">
        <v>410</v>
      </c>
    </row>
    <row r="20" spans="4:13">
      <c r="D20" s="321">
        <v>0</v>
      </c>
      <c r="E20" s="57">
        <v>0</v>
      </c>
      <c r="F20" s="261">
        <v>0</v>
      </c>
      <c r="G20" s="262">
        <v>0</v>
      </c>
      <c r="H20" s="59">
        <v>103</v>
      </c>
      <c r="I20" s="59">
        <v>8</v>
      </c>
      <c r="J20" s="60">
        <v>0</v>
      </c>
      <c r="K20" s="73">
        <v>0</v>
      </c>
      <c r="L20" s="266">
        <v>103</v>
      </c>
      <c r="M20" s="267">
        <v>8</v>
      </c>
    </row>
    <row r="21" spans="4:13">
      <c r="D21" s="321">
        <v>78</v>
      </c>
      <c r="E21" s="57">
        <v>3</v>
      </c>
      <c r="F21" s="261">
        <v>48</v>
      </c>
      <c r="G21" s="262">
        <v>3</v>
      </c>
      <c r="H21" s="59">
        <v>91.75</v>
      </c>
      <c r="I21" s="59">
        <v>7</v>
      </c>
      <c r="J21" s="60">
        <v>0</v>
      </c>
      <c r="K21" s="73">
        <v>0</v>
      </c>
      <c r="L21" s="248">
        <v>223.75</v>
      </c>
      <c r="M21" s="103">
        <v>14</v>
      </c>
    </row>
    <row r="22" spans="4:13">
      <c r="D22" s="321">
        <v>0</v>
      </c>
      <c r="E22" s="57">
        <v>0</v>
      </c>
      <c r="F22" s="261">
        <v>30</v>
      </c>
      <c r="G22" s="262">
        <v>3</v>
      </c>
      <c r="H22" s="59">
        <v>22</v>
      </c>
      <c r="I22" s="59">
        <v>2</v>
      </c>
      <c r="J22" s="60">
        <v>0</v>
      </c>
      <c r="K22" s="73">
        <v>0</v>
      </c>
      <c r="L22" s="248">
        <v>45</v>
      </c>
      <c r="M22" s="103">
        <v>4</v>
      </c>
    </row>
    <row r="23" spans="4:13">
      <c r="D23" s="321">
        <v>0</v>
      </c>
      <c r="E23" s="57">
        <v>0</v>
      </c>
      <c r="F23" s="261">
        <v>33</v>
      </c>
      <c r="G23" s="262">
        <v>2</v>
      </c>
      <c r="H23" s="59">
        <v>21</v>
      </c>
      <c r="I23" s="59">
        <v>2</v>
      </c>
      <c r="J23" s="60">
        <v>0</v>
      </c>
      <c r="K23" s="73">
        <v>0</v>
      </c>
      <c r="L23" s="248">
        <v>26</v>
      </c>
      <c r="M23" s="103">
        <v>2</v>
      </c>
    </row>
    <row r="24" spans="4:13">
      <c r="D24" s="321">
        <v>87</v>
      </c>
      <c r="E24" s="57">
        <v>4</v>
      </c>
      <c r="F24" s="261">
        <v>45.9</v>
      </c>
      <c r="G24" s="262">
        <v>3</v>
      </c>
      <c r="H24" s="59">
        <v>66.98</v>
      </c>
      <c r="I24" s="59">
        <v>4</v>
      </c>
      <c r="J24" s="60">
        <v>20</v>
      </c>
      <c r="K24" s="73">
        <v>1</v>
      </c>
      <c r="L24" s="248">
        <v>199.88</v>
      </c>
      <c r="M24" s="103">
        <v>11</v>
      </c>
    </row>
    <row r="25" spans="4:13">
      <c r="D25" s="321">
        <v>20</v>
      </c>
      <c r="E25" s="57">
        <v>1</v>
      </c>
      <c r="F25" s="261">
        <v>27</v>
      </c>
      <c r="G25" s="262">
        <v>1</v>
      </c>
      <c r="H25" s="59">
        <v>0</v>
      </c>
      <c r="I25" s="59">
        <v>0</v>
      </c>
      <c r="J25" s="60">
        <v>3</v>
      </c>
      <c r="K25" s="73">
        <v>1</v>
      </c>
      <c r="L25" s="248">
        <v>50</v>
      </c>
      <c r="M25" s="103">
        <v>3</v>
      </c>
    </row>
    <row r="26" spans="4:13">
      <c r="D26" s="321">
        <v>0</v>
      </c>
      <c r="E26" s="57">
        <v>0</v>
      </c>
      <c r="F26" s="261">
        <v>9</v>
      </c>
      <c r="G26" s="262">
        <v>1</v>
      </c>
      <c r="H26" s="59">
        <v>69.44</v>
      </c>
      <c r="I26" s="59">
        <v>5</v>
      </c>
      <c r="J26" s="60">
        <v>0</v>
      </c>
      <c r="K26" s="73">
        <v>0</v>
      </c>
      <c r="L26" s="248">
        <v>78.44</v>
      </c>
      <c r="M26" s="103">
        <v>6</v>
      </c>
    </row>
    <row r="27" spans="4:13">
      <c r="D27" s="321">
        <v>6</v>
      </c>
      <c r="E27" s="57">
        <v>1</v>
      </c>
      <c r="F27" s="261">
        <v>39.5</v>
      </c>
      <c r="G27" s="262">
        <v>3</v>
      </c>
      <c r="H27" s="59">
        <v>20.8</v>
      </c>
      <c r="I27" s="59">
        <v>3</v>
      </c>
      <c r="J27" s="60">
        <v>0</v>
      </c>
      <c r="K27" s="73">
        <v>0</v>
      </c>
      <c r="L27" s="248">
        <v>66.3</v>
      </c>
      <c r="M27" s="103">
        <v>7</v>
      </c>
    </row>
    <row r="28" spans="4:13" ht="15.75" thickBot="1">
      <c r="D28" s="321">
        <v>76</v>
      </c>
      <c r="E28" s="57">
        <v>4</v>
      </c>
      <c r="F28" s="261">
        <v>0</v>
      </c>
      <c r="G28" s="262">
        <v>0</v>
      </c>
      <c r="H28" s="59">
        <v>36.369999999999997</v>
      </c>
      <c r="I28" s="59">
        <v>3</v>
      </c>
      <c r="J28" s="60">
        <v>0</v>
      </c>
      <c r="K28" s="73">
        <v>0</v>
      </c>
      <c r="L28" s="268">
        <v>72.37</v>
      </c>
      <c r="M28" s="269">
        <v>5</v>
      </c>
    </row>
    <row r="29" spans="4:13" ht="15.75" thickBot="1">
      <c r="D29" s="322">
        <f>SUM(D20:D28)</f>
        <v>267</v>
      </c>
      <c r="E29" s="45">
        <f>SUM(E20:E28)</f>
        <v>13</v>
      </c>
      <c r="F29" s="198">
        <f t="shared" ref="F29:M29" si="1">SUM(F20:F28)</f>
        <v>232.4</v>
      </c>
      <c r="G29" s="263">
        <f>SUM(G20:G28)</f>
        <v>16</v>
      </c>
      <c r="H29" s="197">
        <f t="shared" si="1"/>
        <v>431.34000000000003</v>
      </c>
      <c r="I29" s="197">
        <f>SUM(I20:I28)</f>
        <v>34</v>
      </c>
      <c r="J29" s="53">
        <f t="shared" si="1"/>
        <v>23</v>
      </c>
      <c r="K29" s="74">
        <f t="shared" si="1"/>
        <v>2</v>
      </c>
      <c r="L29" s="275">
        <f t="shared" si="1"/>
        <v>864.7399999999999</v>
      </c>
      <c r="M29" s="276">
        <f t="shared" si="1"/>
        <v>60</v>
      </c>
    </row>
    <row r="30" spans="4:13" ht="15.75" thickBot="1">
      <c r="D30" s="801">
        <f>E29</f>
        <v>13</v>
      </c>
      <c r="E30" s="803"/>
      <c r="F30" s="801">
        <f>G29</f>
        <v>16</v>
      </c>
      <c r="G30" s="803"/>
      <c r="H30" s="801">
        <f>I29</f>
        <v>34</v>
      </c>
      <c r="I30" s="803"/>
      <c r="J30" s="801">
        <f>K29</f>
        <v>2</v>
      </c>
      <c r="K30" s="803"/>
      <c r="L30" s="802"/>
      <c r="M30" s="803"/>
    </row>
  </sheetData>
  <mergeCells count="15">
    <mergeCell ref="D17:M17"/>
    <mergeCell ref="E2:K2"/>
    <mergeCell ref="F3:G3"/>
    <mergeCell ref="H3:K3"/>
    <mergeCell ref="F15:G15"/>
    <mergeCell ref="I15:J15"/>
    <mergeCell ref="L30:M30"/>
    <mergeCell ref="F18:G18"/>
    <mergeCell ref="H18:K18"/>
    <mergeCell ref="L18:M18"/>
    <mergeCell ref="D18:E18"/>
    <mergeCell ref="D30:E30"/>
    <mergeCell ref="F30:G30"/>
    <mergeCell ref="H30:I30"/>
    <mergeCell ref="J30:K3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8"/>
  <sheetViews>
    <sheetView showGridLines="0" tabSelected="1" topLeftCell="A24" workbookViewId="0">
      <selection activeCell="B31" sqref="B31:M43"/>
    </sheetView>
  </sheetViews>
  <sheetFormatPr defaultColWidth="10.85546875" defaultRowHeight="15.75"/>
  <cols>
    <col min="1" max="1" width="8.85546875" style="593" customWidth="1"/>
    <col min="2" max="2" width="8.7109375" style="593" customWidth="1"/>
    <col min="3" max="3" width="10.42578125" style="593" customWidth="1"/>
    <col min="4" max="4" width="8.5703125" style="593" customWidth="1"/>
    <col min="5" max="5" width="9.5703125" style="593" customWidth="1"/>
    <col min="6" max="6" width="14.42578125" style="593" bestFit="1" customWidth="1"/>
    <col min="7" max="7" width="8.42578125" style="593" customWidth="1"/>
    <col min="8" max="9" width="10.140625" style="593" customWidth="1"/>
    <col min="10" max="10" width="10.5703125" style="593" customWidth="1"/>
    <col min="11" max="11" width="11" style="593" customWidth="1"/>
    <col min="12" max="12" width="11.7109375" style="593" customWidth="1"/>
    <col min="13" max="14" width="9.7109375" style="593" customWidth="1"/>
    <col min="15" max="15" width="11.5703125" style="593" customWidth="1"/>
    <col min="16" max="16" width="7.28515625" style="593" customWidth="1"/>
    <col min="17" max="17" width="9.42578125" style="593" customWidth="1"/>
    <col min="18" max="256" width="8.85546875" style="593" customWidth="1"/>
    <col min="257" max="16384" width="10.85546875" style="593"/>
  </cols>
  <sheetData>
    <row r="2" spans="2:17" ht="9.9499999999999993" customHeight="1" thickBot="1"/>
    <row r="3" spans="2:17" ht="21.75" customHeight="1" thickBot="1">
      <c r="B3" s="790" t="s">
        <v>879</v>
      </c>
      <c r="C3" s="791"/>
      <c r="D3" s="791"/>
      <c r="E3" s="791"/>
      <c r="F3" s="791"/>
      <c r="G3" s="791"/>
      <c r="H3" s="791"/>
      <c r="I3" s="832"/>
      <c r="P3" s="315"/>
      <c r="Q3" s="315"/>
    </row>
    <row r="4" spans="2:17" ht="16.5" thickBot="1">
      <c r="B4" s="613"/>
      <c r="C4" s="614"/>
      <c r="D4" s="770" t="s">
        <v>883</v>
      </c>
      <c r="E4" s="772"/>
      <c r="F4" s="775" t="s">
        <v>887</v>
      </c>
      <c r="G4" s="777"/>
      <c r="H4" s="775" t="s">
        <v>896</v>
      </c>
      <c r="I4" s="777"/>
      <c r="P4" s="591"/>
      <c r="Q4" s="315"/>
    </row>
    <row r="5" spans="2:17" ht="63.75" thickBot="1">
      <c r="B5" s="600" t="s">
        <v>2</v>
      </c>
      <c r="C5" s="619" t="s">
        <v>884</v>
      </c>
      <c r="D5" s="620" t="s">
        <v>885</v>
      </c>
      <c r="E5" s="621" t="s">
        <v>886</v>
      </c>
      <c r="F5" s="622" t="s">
        <v>877</v>
      </c>
      <c r="G5" s="630" t="s">
        <v>878</v>
      </c>
      <c r="H5" s="643" t="s">
        <v>888</v>
      </c>
      <c r="I5" s="639" t="s">
        <v>889</v>
      </c>
      <c r="P5" s="594"/>
      <c r="Q5" s="315"/>
    </row>
    <row r="6" spans="2:17">
      <c r="B6" s="615" t="s">
        <v>13</v>
      </c>
      <c r="C6" s="718">
        <v>56</v>
      </c>
      <c r="D6" s="616">
        <v>60</v>
      </c>
      <c r="E6" s="617">
        <f>100/75*D6</f>
        <v>80</v>
      </c>
      <c r="F6" s="618">
        <f>D6/3</f>
        <v>20</v>
      </c>
      <c r="G6" s="631">
        <f>E6/3</f>
        <v>26.666666666666668</v>
      </c>
      <c r="H6" s="637">
        <v>2</v>
      </c>
      <c r="I6" s="638">
        <v>0</v>
      </c>
      <c r="P6" s="595"/>
      <c r="Q6" s="315"/>
    </row>
    <row r="7" spans="2:17">
      <c r="B7" s="601" t="s">
        <v>14</v>
      </c>
      <c r="C7" s="719">
        <v>37</v>
      </c>
      <c r="D7" s="609">
        <v>35</v>
      </c>
      <c r="E7" s="610">
        <f t="shared" ref="E7:E14" si="0">100/75*D7</f>
        <v>46.666666666666664</v>
      </c>
      <c r="F7" s="612">
        <f t="shared" ref="F7:F14" si="1">D7/3</f>
        <v>11.666666666666666</v>
      </c>
      <c r="G7" s="632">
        <f t="shared" ref="G7:G14" si="2">E7/3</f>
        <v>15.555555555555555</v>
      </c>
      <c r="H7" s="635">
        <v>3</v>
      </c>
      <c r="I7" s="636">
        <v>0</v>
      </c>
      <c r="P7" s="595"/>
      <c r="Q7" s="315"/>
    </row>
    <row r="8" spans="2:17">
      <c r="B8" s="602" t="s">
        <v>17</v>
      </c>
      <c r="C8" s="720">
        <v>26</v>
      </c>
      <c r="D8" s="611">
        <v>22</v>
      </c>
      <c r="E8" s="610">
        <f t="shared" si="0"/>
        <v>29.333333333333332</v>
      </c>
      <c r="F8" s="612">
        <f t="shared" si="1"/>
        <v>7.333333333333333</v>
      </c>
      <c r="G8" s="632">
        <f t="shared" si="2"/>
        <v>9.7777777777777768</v>
      </c>
      <c r="H8" s="635">
        <v>0</v>
      </c>
      <c r="I8" s="636">
        <v>0</v>
      </c>
      <c r="P8" s="595"/>
      <c r="Q8" s="315"/>
    </row>
    <row r="9" spans="2:17">
      <c r="B9" s="602" t="s">
        <v>340</v>
      </c>
      <c r="C9" s="720">
        <v>11</v>
      </c>
      <c r="D9" s="611">
        <v>11</v>
      </c>
      <c r="E9" s="610">
        <f t="shared" si="0"/>
        <v>14.666666666666666</v>
      </c>
      <c r="F9" s="612">
        <f t="shared" si="1"/>
        <v>3.6666666666666665</v>
      </c>
      <c r="G9" s="632">
        <f t="shared" si="2"/>
        <v>4.8888888888888884</v>
      </c>
      <c r="H9" s="635">
        <v>1</v>
      </c>
      <c r="I9" s="636">
        <v>0</v>
      </c>
      <c r="P9" s="595"/>
      <c r="Q9" s="315"/>
    </row>
    <row r="10" spans="2:17">
      <c r="B10" s="601" t="s">
        <v>10</v>
      </c>
      <c r="C10" s="719">
        <v>48</v>
      </c>
      <c r="D10" s="609">
        <v>52</v>
      </c>
      <c r="E10" s="610">
        <f t="shared" si="0"/>
        <v>69.333333333333329</v>
      </c>
      <c r="F10" s="612">
        <f t="shared" si="1"/>
        <v>17.333333333333332</v>
      </c>
      <c r="G10" s="632">
        <f t="shared" si="2"/>
        <v>23.111111111111111</v>
      </c>
      <c r="H10" s="635">
        <v>3</v>
      </c>
      <c r="I10" s="636">
        <v>3</v>
      </c>
      <c r="P10" s="595"/>
      <c r="Q10" s="315"/>
    </row>
    <row r="11" spans="2:17">
      <c r="B11" s="601" t="s">
        <v>22</v>
      </c>
      <c r="C11" s="719">
        <v>23</v>
      </c>
      <c r="D11" s="609">
        <v>17</v>
      </c>
      <c r="E11" s="610">
        <f t="shared" si="0"/>
        <v>22.666666666666664</v>
      </c>
      <c r="F11" s="612">
        <f t="shared" si="1"/>
        <v>5.666666666666667</v>
      </c>
      <c r="G11" s="632">
        <f t="shared" si="2"/>
        <v>7.5555555555555545</v>
      </c>
      <c r="H11" s="635">
        <v>2</v>
      </c>
      <c r="I11" s="636">
        <v>0</v>
      </c>
      <c r="P11" s="595"/>
      <c r="Q11" s="315"/>
    </row>
    <row r="12" spans="2:17">
      <c r="B12" s="601" t="s">
        <v>63</v>
      </c>
      <c r="C12" s="719">
        <v>6</v>
      </c>
      <c r="D12" s="609">
        <v>7</v>
      </c>
      <c r="E12" s="610">
        <f t="shared" si="0"/>
        <v>9.3333333333333321</v>
      </c>
      <c r="F12" s="612">
        <f t="shared" si="1"/>
        <v>2.3333333333333335</v>
      </c>
      <c r="G12" s="632">
        <f t="shared" si="2"/>
        <v>3.1111111111111107</v>
      </c>
      <c r="H12" s="635">
        <v>2</v>
      </c>
      <c r="I12" s="636">
        <v>1</v>
      </c>
      <c r="P12" s="595"/>
      <c r="Q12" s="315"/>
    </row>
    <row r="13" spans="2:17">
      <c r="B13" s="601" t="s">
        <v>15</v>
      </c>
      <c r="C13" s="719">
        <v>22</v>
      </c>
      <c r="D13" s="609">
        <v>24</v>
      </c>
      <c r="E13" s="610">
        <f t="shared" si="0"/>
        <v>32</v>
      </c>
      <c r="F13" s="612">
        <f t="shared" si="1"/>
        <v>8</v>
      </c>
      <c r="G13" s="632">
        <f t="shared" si="2"/>
        <v>10.666666666666666</v>
      </c>
      <c r="H13" s="635">
        <v>1</v>
      </c>
      <c r="I13" s="636">
        <v>1</v>
      </c>
      <c r="P13" s="595"/>
      <c r="Q13" s="315"/>
    </row>
    <row r="14" spans="2:17" ht="16.5" thickBot="1">
      <c r="B14" s="623" t="s">
        <v>25</v>
      </c>
      <c r="C14" s="721">
        <v>36</v>
      </c>
      <c r="D14" s="624">
        <v>38</v>
      </c>
      <c r="E14" s="625">
        <f t="shared" si="0"/>
        <v>50.666666666666664</v>
      </c>
      <c r="F14" s="626">
        <f t="shared" si="1"/>
        <v>12.666666666666666</v>
      </c>
      <c r="G14" s="633">
        <f t="shared" si="2"/>
        <v>16.888888888888889</v>
      </c>
      <c r="H14" s="640">
        <v>0</v>
      </c>
      <c r="I14" s="641">
        <v>5</v>
      </c>
      <c r="P14" s="595"/>
      <c r="Q14" s="315"/>
    </row>
    <row r="15" spans="2:17" ht="19.5" thickBot="1">
      <c r="B15" s="603" t="s">
        <v>8</v>
      </c>
      <c r="C15" s="722">
        <f>SUM(C6:C14)</f>
        <v>265</v>
      </c>
      <c r="D15" s="627">
        <v>266</v>
      </c>
      <c r="E15" s="628">
        <f>SUM(E6:E14)</f>
        <v>354.66666666666669</v>
      </c>
      <c r="F15" s="629">
        <f>SUM(F6:F14)</f>
        <v>88.666666666666671</v>
      </c>
      <c r="G15" s="634">
        <f>SUM(G6:G14)</f>
        <v>118.22222222222223</v>
      </c>
      <c r="H15" s="644">
        <f>SUM(H6:H14)</f>
        <v>14</v>
      </c>
      <c r="I15" s="642">
        <f>SUM(I6:I14)</f>
        <v>10</v>
      </c>
      <c r="P15" s="596"/>
      <c r="Q15" s="315"/>
    </row>
    <row r="16" spans="2:17" ht="6.95" customHeight="1">
      <c r="J16" s="597"/>
      <c r="K16" s="317"/>
      <c r="L16" s="318"/>
      <c r="M16" s="318"/>
      <c r="N16" s="598"/>
      <c r="O16" s="598"/>
      <c r="P16" s="598"/>
      <c r="Q16" s="315"/>
    </row>
    <row r="17" spans="2:17" ht="21.75" thickBot="1">
      <c r="B17" s="841" t="s">
        <v>985</v>
      </c>
      <c r="C17" s="841"/>
      <c r="D17" s="841"/>
      <c r="E17" s="841"/>
      <c r="F17" s="841"/>
      <c r="G17" s="841"/>
      <c r="H17" s="841"/>
      <c r="I17" s="841"/>
      <c r="J17" s="841"/>
      <c r="K17" s="841"/>
      <c r="L17" s="841"/>
      <c r="M17" s="841"/>
      <c r="N17" s="841"/>
      <c r="O17" s="841"/>
      <c r="P17" s="841"/>
      <c r="Q17" s="842"/>
    </row>
    <row r="18" spans="2:17" ht="16.5" thickBot="1">
      <c r="B18" s="604"/>
      <c r="C18" s="857" t="s">
        <v>903</v>
      </c>
      <c r="D18" s="858"/>
      <c r="E18" s="858"/>
      <c r="F18" s="859"/>
      <c r="G18" s="860" t="s">
        <v>433</v>
      </c>
      <c r="H18" s="861"/>
      <c r="I18" s="862"/>
      <c r="J18" s="839" t="s">
        <v>392</v>
      </c>
      <c r="K18" s="840"/>
      <c r="L18" s="843" t="s">
        <v>412</v>
      </c>
      <c r="M18" s="844"/>
      <c r="N18" s="845" t="s">
        <v>394</v>
      </c>
      <c r="O18" s="846"/>
      <c r="P18" s="846"/>
      <c r="Q18" s="847"/>
    </row>
    <row r="19" spans="2:17" ht="60.75" thickBot="1">
      <c r="B19" s="271" t="s">
        <v>2</v>
      </c>
      <c r="C19" s="663" t="s">
        <v>890</v>
      </c>
      <c r="D19" s="664" t="s">
        <v>897</v>
      </c>
      <c r="E19" s="665" t="s">
        <v>168</v>
      </c>
      <c r="F19" s="689" t="s">
        <v>902</v>
      </c>
      <c r="G19" s="646" t="s">
        <v>880</v>
      </c>
      <c r="H19" s="647" t="s">
        <v>898</v>
      </c>
      <c r="I19" s="666" t="s">
        <v>167</v>
      </c>
      <c r="J19" s="650" t="s">
        <v>392</v>
      </c>
      <c r="K19" s="651" t="s">
        <v>900</v>
      </c>
      <c r="L19" s="655" t="s">
        <v>882</v>
      </c>
      <c r="M19" s="728" t="s">
        <v>899</v>
      </c>
      <c r="N19" s="667" t="s">
        <v>904</v>
      </c>
      <c r="O19" s="668" t="s">
        <v>901</v>
      </c>
      <c r="P19" s="658" t="s">
        <v>905</v>
      </c>
      <c r="Q19" s="659" t="s">
        <v>906</v>
      </c>
    </row>
    <row r="20" spans="2:17">
      <c r="B20" s="605" t="s">
        <v>13</v>
      </c>
      <c r="C20" s="698">
        <f>COUNTIF('Login files'!$C:$C,Sheet13!$B20)</f>
        <v>7</v>
      </c>
      <c r="D20" s="699">
        <f>SUMIFS('Login files'!$H:$H,'Login files'!$C:$C,Sheet13!$B20)</f>
        <v>150.9</v>
      </c>
      <c r="E20" s="700"/>
      <c r="F20" s="732">
        <f>COUNTIFS('Login files'!$C:$C,Sheet13!$B20,'Login files'!$I:$I,"Documents")</f>
        <v>0</v>
      </c>
      <c r="G20" s="735">
        <f>COUNTIFS('Login files'!$C:$C,Sheet13!$B20,'Login files'!$I:$I,"Login Done")+I6</f>
        <v>4</v>
      </c>
      <c r="H20" s="676">
        <f>SUMIFS('Login files'!$H:$H,'Login files'!$C:$C,Sheet13!$B20,'Login files'!$I:$I,"Login Done")+SUMIFS(Approved!$G:$G,Approved!$E:$E,Sheet13!$B20,Approved!$H:$H,"Under Process")</f>
        <v>83</v>
      </c>
      <c r="I20" s="693"/>
      <c r="J20" s="690">
        <f>COUNTIFS('Login files'!$C:$C,Sheet13!$B20,'Login files'!$I:$I,"Approved")+COUNTIFS(Approved!$E:$E,Sheet13!$B20,Approved!$H:$H,"Approved")</f>
        <v>3</v>
      </c>
      <c r="K20" s="686">
        <f>SUMIFS('Login files'!$H:$H,'Login files'!$C:$C,Sheet13!$B20,'Login files'!$I:$I,"Approved")+SUMIFS(Approved!$G:$G,Approved!$E:$E,Sheet13!$B20,Approved!$H:$H,"Approved")</f>
        <v>60.85</v>
      </c>
      <c r="L20" s="683">
        <f>G20+J20</f>
        <v>7</v>
      </c>
      <c r="M20" s="724">
        <f>H20+K20</f>
        <v>143.85</v>
      </c>
      <c r="N20" s="729">
        <f>COUNTIFS('Login files'!$C:$C,Sheet13!$B20,'Login files'!$I:$I,"Plan Today")</f>
        <v>2</v>
      </c>
      <c r="O20" s="727">
        <f>SUMIFS('Login files'!$H:$H,'Login files'!$C:$C,Sheet13!$B20,'Login files'!$I:$I,"Plan Today")</f>
        <v>43</v>
      </c>
      <c r="P20" s="677">
        <f>COUNTIFS(Approved!$E:$E,Sheet13!$B20,Approved!$H:$H,"Disbursed")</f>
        <v>1</v>
      </c>
      <c r="Q20" s="678">
        <f>SUMIFS(Approved!$G:$G,Approved!$E:$E,Sheet13!$B20,Approved!$H:$H,"Disbursed")</f>
        <v>20</v>
      </c>
    </row>
    <row r="21" spans="2:17">
      <c r="B21" s="606" t="s">
        <v>14</v>
      </c>
      <c r="C21" s="701">
        <f>COUNTIF('Login files'!$C:$C,Sheet13!$B21)</f>
        <v>4</v>
      </c>
      <c r="D21" s="696">
        <f>SUMIFS('Login files'!$H:$H,'Login files'!$C:$C,Sheet13!$B21)</f>
        <v>42</v>
      </c>
      <c r="E21" s="697"/>
      <c r="F21" s="733">
        <f>COUNTIFS('Login files'!$C:$C,Sheet13!$B21,'Login files'!$I:$I,"Documents")</f>
        <v>1</v>
      </c>
      <c r="G21" s="736">
        <f>COUNTIFS('Login files'!$C:$C,Sheet13!$B21,'Login files'!$I:$I,"Login Done")+I7</f>
        <v>1</v>
      </c>
      <c r="H21" s="654">
        <f>SUMIFS('Login files'!$H:$H,'Login files'!$C:$C,Sheet13!$B21,'Login files'!$I:$I,"Login Done")+SUMIFS(Approved!$G:$G,Approved!$E:$E,Sheet13!$B21,Approved!$H:$H,"Under Process")</f>
        <v>15</v>
      </c>
      <c r="I21" s="694"/>
      <c r="J21" s="691">
        <f>COUNTIFS('Login files'!$C:$C,Sheet13!$B21,'Login files'!$I:$I,"Approved")+COUNTIFS(Approved!$E:$E,Sheet13!$B21,Approved!$H:$H,"Approved")</f>
        <v>3</v>
      </c>
      <c r="K21" s="687">
        <f>SUMIFS('Login files'!$H:$H,'Login files'!$C:$C,Sheet13!$B21,'Login files'!$I:$I,"Approved")+SUMIFS(Approved!$G:$G,Approved!$E:$E,Sheet13!$B21,Approved!$H:$H,"Approved")</f>
        <v>51</v>
      </c>
      <c r="L21" s="684">
        <f t="shared" ref="L21:L28" si="3">G21+J21</f>
        <v>4</v>
      </c>
      <c r="M21" s="725">
        <f t="shared" ref="M21:M28" si="4">H21+K21</f>
        <v>66</v>
      </c>
      <c r="N21" s="729">
        <f>COUNTIFS('Login files'!$C:$C,Sheet13!$B21,'Login files'!$I:$I,"Plan Today")</f>
        <v>0</v>
      </c>
      <c r="O21" s="727">
        <f>SUMIFS('Login files'!$H:$H,'Login files'!$C:$C,Sheet13!$B21,'Login files'!$I:$I,"Plan Today")</f>
        <v>0</v>
      </c>
      <c r="P21" s="662">
        <f>COUNTIFS(Approved!$E:$E,Sheet13!$B21,Approved!$H:$H,"Disbursed")</f>
        <v>5</v>
      </c>
      <c r="Q21" s="679">
        <f>SUMIFS(Approved!$G:$G,Approved!$E:$E,Sheet13!$B21,Approved!$H:$H,"Disbursed")</f>
        <v>47.33</v>
      </c>
    </row>
    <row r="22" spans="2:17">
      <c r="B22" s="607" t="s">
        <v>17</v>
      </c>
      <c r="C22" s="701">
        <f>COUNTIF('Login files'!$C:$C,Sheet13!$B22)</f>
        <v>3</v>
      </c>
      <c r="D22" s="696">
        <f>SUMIFS('Login files'!$H:$H,'Login files'!$C:$C,Sheet13!$B22)</f>
        <v>33</v>
      </c>
      <c r="E22" s="697"/>
      <c r="F22" s="733">
        <f>COUNTIFS('Login files'!$C:$C,Sheet13!$B22,'Login files'!$I:$I,"Documents")</f>
        <v>0</v>
      </c>
      <c r="G22" s="736">
        <f>COUNTIFS('Login files'!$C:$C,Sheet13!$B22,'Login files'!$I:$I,"Login Done")+I8</f>
        <v>0</v>
      </c>
      <c r="H22" s="654">
        <f>SUMIFS('Login files'!$H:$H,'Login files'!$C:$C,Sheet13!$B22,'Login files'!$I:$I,"Login Done")+SUMIFS(Approved!$G:$G,Approved!$E:$E,Sheet13!$B22,Approved!$H:$H,"Under Process")</f>
        <v>0</v>
      </c>
      <c r="I22" s="694"/>
      <c r="J22" s="691">
        <f>COUNTIFS('Login files'!$C:$C,Sheet13!$B22,'Login files'!$I:$I,"Approved")+COUNTIFS(Approved!$E:$E,Sheet13!$B22,Approved!$H:$H,"Approved")</f>
        <v>1</v>
      </c>
      <c r="K22" s="687">
        <f>SUMIFS('Login files'!$H:$H,'Login files'!$C:$C,Sheet13!$B22,'Login files'!$I:$I,"Approved")+SUMIFS(Approved!$G:$G,Approved!$E:$E,Sheet13!$B22,Approved!$H:$H,"Approved")</f>
        <v>8.9</v>
      </c>
      <c r="L22" s="684">
        <f t="shared" si="3"/>
        <v>1</v>
      </c>
      <c r="M22" s="725">
        <f t="shared" si="4"/>
        <v>8.9</v>
      </c>
      <c r="N22" s="729">
        <f>COUNTIFS('Login files'!$C:$C,Sheet13!$B22,'Login files'!$I:$I,"Plan Today")</f>
        <v>0</v>
      </c>
      <c r="O22" s="727">
        <f>SUMIFS('Login files'!$H:$H,'Login files'!$C:$C,Sheet13!$B22,'Login files'!$I:$I,"Plan Today")</f>
        <v>0</v>
      </c>
      <c r="P22" s="662">
        <f>COUNTIFS(Approved!$E:$E,Sheet13!$B22,Approved!$H:$H,"Disbursed")</f>
        <v>2</v>
      </c>
      <c r="Q22" s="679">
        <f>SUMIFS(Approved!$G:$G,Approved!$E:$E,Sheet13!$B22,Approved!$H:$H,"Disbursed")</f>
        <v>26.869999999999997</v>
      </c>
    </row>
    <row r="23" spans="2:17">
      <c r="B23" s="607" t="s">
        <v>340</v>
      </c>
      <c r="C23" s="701">
        <f>COUNTIF('Login files'!$C:$C,Sheet13!$B23)</f>
        <v>2</v>
      </c>
      <c r="D23" s="696">
        <f>SUMIFS('Login files'!$H:$H,'Login files'!$C:$C,Sheet13!$B23)</f>
        <v>13</v>
      </c>
      <c r="E23" s="697"/>
      <c r="F23" s="733">
        <f>COUNTIFS('Login files'!$C:$C,Sheet13!$B23,'Login files'!$I:$I,"Documents")</f>
        <v>0</v>
      </c>
      <c r="G23" s="736">
        <f>COUNTIFS('Login files'!$C:$C,Sheet13!$B23,'Login files'!$I:$I,"Login Done")+I9</f>
        <v>2</v>
      </c>
      <c r="H23" s="654">
        <f>SUMIFS('Login files'!$H:$H,'Login files'!$C:$C,Sheet13!$B23,'Login files'!$I:$I,"Login Done")+SUMIFS(Approved!$G:$G,Approved!$E:$E,Sheet13!$B23,Approved!$H:$H,"Under Process")</f>
        <v>13</v>
      </c>
      <c r="I23" s="694"/>
      <c r="J23" s="691">
        <f>COUNTIFS('Login files'!$C:$C,Sheet13!$B23,'Login files'!$I:$I,"Approved")+COUNTIFS(Approved!$E:$E,Sheet13!$B23,Approved!$H:$H,"Approved")</f>
        <v>1</v>
      </c>
      <c r="K23" s="687">
        <f>SUMIFS('Login files'!$H:$H,'Login files'!$C:$C,Sheet13!$B23,'Login files'!$I:$I,"Approved")+SUMIFS(Approved!$G:$G,Approved!$E:$E,Sheet13!$B23,Approved!$H:$H,"Approved")</f>
        <v>14</v>
      </c>
      <c r="L23" s="684">
        <f t="shared" si="3"/>
        <v>3</v>
      </c>
      <c r="M23" s="725">
        <f t="shared" si="4"/>
        <v>27</v>
      </c>
      <c r="N23" s="729">
        <f>COUNTIFS('Login files'!$C:$C,Sheet13!$B23,'Login files'!$I:$I,"Plan Today")</f>
        <v>0</v>
      </c>
      <c r="O23" s="727">
        <f>SUMIFS('Login files'!$H:$H,'Login files'!$C:$C,Sheet13!$B23,'Login files'!$I:$I,"Plan Today")</f>
        <v>0</v>
      </c>
      <c r="P23" s="662">
        <f>COUNTIFS(Approved!$E:$E,Sheet13!$B23,Approved!$H:$H,"Disbursed")</f>
        <v>0</v>
      </c>
      <c r="Q23" s="679">
        <f>SUMIFS(Approved!$G:$G,Approved!$E:$E,Sheet13!$B23,Approved!$H:$H,"Disbursed")</f>
        <v>0</v>
      </c>
    </row>
    <row r="24" spans="2:17">
      <c r="B24" s="606" t="s">
        <v>10</v>
      </c>
      <c r="C24" s="701">
        <f>COUNTIF('Login files'!$C:$C,Sheet13!$B24)</f>
        <v>5</v>
      </c>
      <c r="D24" s="696">
        <f>SUMIFS('Login files'!$H:$H,'Login files'!$C:$C,Sheet13!$B24)</f>
        <v>84</v>
      </c>
      <c r="E24" s="697"/>
      <c r="F24" s="733">
        <f>COUNTIFS('Login files'!$C:$C,Sheet13!$B24,'Login files'!$I:$I,"Documents")</f>
        <v>0</v>
      </c>
      <c r="G24" s="736">
        <f>COUNTIFS('Login files'!$C:$C,Sheet13!$B24,'Login files'!$I:$I,"Login Done")+I10</f>
        <v>6</v>
      </c>
      <c r="H24" s="654">
        <f>SUMIFS('Login files'!$H:$H,'Login files'!$C:$C,Sheet13!$B24,'Login files'!$I:$I,"Login Done")+SUMIFS(Approved!$G:$G,Approved!$E:$E,Sheet13!$B24,Approved!$H:$H,"Under Process")</f>
        <v>58</v>
      </c>
      <c r="I24" s="694"/>
      <c r="J24" s="691">
        <f>COUNTIFS('Login files'!$C:$C,Sheet13!$B24,'Login files'!$I:$I,"Approved")+COUNTIFS(Approved!$E:$E,Sheet13!$B24,Approved!$H:$H,"Approved")</f>
        <v>4</v>
      </c>
      <c r="K24" s="687">
        <f>SUMIFS('Login files'!$H:$H,'Login files'!$C:$C,Sheet13!$B24,'Login files'!$I:$I,"Approved")+SUMIFS(Approved!$G:$G,Approved!$E:$E,Sheet13!$B24,Approved!$H:$H,"Approved")</f>
        <v>77</v>
      </c>
      <c r="L24" s="684">
        <f t="shared" si="3"/>
        <v>10</v>
      </c>
      <c r="M24" s="725">
        <f t="shared" si="4"/>
        <v>135</v>
      </c>
      <c r="N24" s="729">
        <f>COUNTIFS('Login files'!$C:$C,Sheet13!$B24,'Login files'!$I:$I,"Plan Today")</f>
        <v>0</v>
      </c>
      <c r="O24" s="727">
        <f>SUMIFS('Login files'!$H:$H,'Login files'!$C:$C,Sheet13!$B24,'Login files'!$I:$I,"Plan Today")</f>
        <v>0</v>
      </c>
      <c r="P24" s="662">
        <f>COUNTIFS(Approved!$E:$E,Sheet13!$B24,Approved!$H:$H,"Disbursed")</f>
        <v>1</v>
      </c>
      <c r="Q24" s="679">
        <f>SUMIFS(Approved!$G:$G,Approved!$E:$E,Sheet13!$B24,Approved!$H:$H,"Disbursed")</f>
        <v>30</v>
      </c>
    </row>
    <row r="25" spans="2:17">
      <c r="B25" s="606" t="s">
        <v>22</v>
      </c>
      <c r="C25" s="701">
        <f>COUNTIF('Login files'!$C:$C,Sheet13!$B25)</f>
        <v>8</v>
      </c>
      <c r="D25" s="696">
        <f>SUMIFS('Login files'!$H:$H,'Login files'!$C:$C,Sheet13!$B25)</f>
        <v>83</v>
      </c>
      <c r="E25" s="697">
        <v>1</v>
      </c>
      <c r="F25" s="733">
        <f>COUNTIFS('Login files'!$C:$C,Sheet13!$B25,'Login files'!$I:$I,"Documents")</f>
        <v>0</v>
      </c>
      <c r="G25" s="736">
        <f>COUNTIFS('Login files'!$C:$C,Sheet13!$B25,'Login files'!$I:$I,"Login Done")+I11</f>
        <v>1</v>
      </c>
      <c r="H25" s="654">
        <f>SUMIFS('Login files'!$H:$H,'Login files'!$C:$C,Sheet13!$B25,'Login files'!$I:$I,"Login Done")+SUMIFS(Approved!$G:$G,Approved!$E:$E,Sheet13!$B25,Approved!$H:$H,"Under Process")</f>
        <v>41</v>
      </c>
      <c r="I25" s="694"/>
      <c r="J25" s="691">
        <f>COUNTIFS('Login files'!$C:$C,Sheet13!$B25,'Login files'!$I:$I,"Approved")+COUNTIFS(Approved!$E:$E,Sheet13!$B25,Approved!$H:$H,"Approved")</f>
        <v>5</v>
      </c>
      <c r="K25" s="687">
        <f>SUMIFS('Login files'!$H:$H,'Login files'!$C:$C,Sheet13!$B25,'Login files'!$I:$I,"Approved")+SUMIFS(Approved!$G:$G,Approved!$E:$E,Sheet13!$B25,Approved!$H:$H,"Approved")</f>
        <v>79</v>
      </c>
      <c r="L25" s="684">
        <f t="shared" si="3"/>
        <v>6</v>
      </c>
      <c r="M25" s="725">
        <f t="shared" si="4"/>
        <v>120</v>
      </c>
      <c r="N25" s="729">
        <f>COUNTIFS('Login files'!$C:$C,Sheet13!$B25,'Login files'!$I:$I,"Plan Today")</f>
        <v>0</v>
      </c>
      <c r="O25" s="727">
        <f>SUMIFS('Login files'!$H:$H,'Login files'!$C:$C,Sheet13!$B25,'Login files'!$I:$I,"Plan Today")</f>
        <v>0</v>
      </c>
      <c r="P25" s="662">
        <f>COUNTIFS(Approved!$E:$E,Sheet13!$B25,Approved!$H:$H,"Disbursed")</f>
        <v>0</v>
      </c>
      <c r="Q25" s="679">
        <f>SUMIFS(Approved!$G:$G,Approved!$E:$E,Sheet13!$B25,Approved!$H:$H,"Disbursed")</f>
        <v>0</v>
      </c>
    </row>
    <row r="26" spans="2:17">
      <c r="B26" s="606" t="s">
        <v>63</v>
      </c>
      <c r="C26" s="701">
        <f>COUNTIF('Login files'!$C:$C,Sheet13!$B26)</f>
        <v>3</v>
      </c>
      <c r="D26" s="696">
        <f>SUMIFS('Login files'!$H:$H,'Login files'!$C:$C,Sheet13!$B26)</f>
        <v>63</v>
      </c>
      <c r="E26" s="697"/>
      <c r="F26" s="733">
        <f>COUNTIFS('Login files'!$C:$C,Sheet13!$B26,'Login files'!$I:$I,"Documents")</f>
        <v>0</v>
      </c>
      <c r="G26" s="736">
        <f>COUNTIFS('Login files'!$C:$C,Sheet13!$B26,'Login files'!$I:$I,"Login Done")+I12</f>
        <v>1</v>
      </c>
      <c r="H26" s="654">
        <f>SUMIFS('Login files'!$H:$H,'Login files'!$C:$C,Sheet13!$B26,'Login files'!$I:$I,"Login Done")+SUMIFS(Approved!$G:$G,Approved!$E:$E,Sheet13!$B26,Approved!$H:$H,"Under Process")</f>
        <v>0</v>
      </c>
      <c r="I26" s="694"/>
      <c r="J26" s="691">
        <f>COUNTIFS('Login files'!$C:$C,Sheet13!$B26,'Login files'!$I:$I,"Approved")+COUNTIFS(Approved!$E:$E,Sheet13!$B26,Approved!$H:$H,"Approved")</f>
        <v>2</v>
      </c>
      <c r="K26" s="687">
        <f>SUMIFS('Login files'!$H:$H,'Login files'!$C:$C,Sheet13!$B26,'Login files'!$I:$I,"Approved")+SUMIFS(Approved!$G:$G,Approved!$E:$E,Sheet13!$B26,Approved!$H:$H,"Approved")</f>
        <v>45</v>
      </c>
      <c r="L26" s="684">
        <f t="shared" si="3"/>
        <v>3</v>
      </c>
      <c r="M26" s="725">
        <f t="shared" si="4"/>
        <v>45</v>
      </c>
      <c r="N26" s="729">
        <f>COUNTIFS('Login files'!$C:$C,Sheet13!$B26,'Login files'!$I:$I,"Plan Today")</f>
        <v>0</v>
      </c>
      <c r="O26" s="727">
        <f>SUMIFS('Login files'!$H:$H,'Login files'!$C:$C,Sheet13!$B26,'Login files'!$I:$I,"Plan Today")</f>
        <v>0</v>
      </c>
      <c r="P26" s="662">
        <f>COUNTIFS(Approved!$E:$E,Sheet13!$B26,Approved!$H:$H,"Disbursed")</f>
        <v>0</v>
      </c>
      <c r="Q26" s="679">
        <f>SUMIFS(Approved!$G:$G,Approved!$E:$E,Sheet13!$B26,Approved!$H:$H,"Disbursed")</f>
        <v>0</v>
      </c>
    </row>
    <row r="27" spans="2:17">
      <c r="B27" s="606" t="s">
        <v>15</v>
      </c>
      <c r="C27" s="701">
        <f>COUNTIF('Login files'!$C:$C,Sheet13!$B27)</f>
        <v>11</v>
      </c>
      <c r="D27" s="696">
        <f>SUMIFS('Login files'!$H:$H,'Login files'!$C:$C,Sheet13!$B27)</f>
        <v>161</v>
      </c>
      <c r="E27" s="697"/>
      <c r="F27" s="733">
        <f>COUNTIFS('Login files'!$C:$C,Sheet13!$B27,'Login files'!$I:$I,"Documents")</f>
        <v>1</v>
      </c>
      <c r="G27" s="736">
        <f>COUNTIFS('Login files'!$C:$C,Sheet13!$B27,'Login files'!$I:$I,"Login Done")+I13</f>
        <v>9</v>
      </c>
      <c r="H27" s="654">
        <f>SUMIFS('Login files'!$H:$H,'Login files'!$C:$C,Sheet13!$B27,'Login files'!$I:$I,"Login Done")+SUMIFS(Approved!$G:$G,Approved!$E:$E,Sheet13!$B27,Approved!$H:$H,"Under Process")</f>
        <v>137.78</v>
      </c>
      <c r="I27" s="694"/>
      <c r="J27" s="691">
        <f>COUNTIFS('Login files'!$C:$C,Sheet13!$B27,'Login files'!$I:$I,"Approved")+COUNTIFS(Approved!$E:$E,Sheet13!$B27,Approved!$H:$H,"Approved")</f>
        <v>0</v>
      </c>
      <c r="K27" s="687">
        <f>SUMIFS('Login files'!$H:$H,'Login files'!$C:$C,Sheet13!$B27,'Login files'!$I:$I,"Approved")+SUMIFS(Approved!$G:$G,Approved!$E:$E,Sheet13!$B27,Approved!$H:$H,"Approved")</f>
        <v>0</v>
      </c>
      <c r="L27" s="684">
        <f t="shared" si="3"/>
        <v>9</v>
      </c>
      <c r="M27" s="725">
        <f t="shared" si="4"/>
        <v>137.78</v>
      </c>
      <c r="N27" s="729">
        <f>COUNTIFS('Login files'!$C:$C,Sheet13!$B27,'Login files'!$I:$I,"Plan Today")</f>
        <v>0</v>
      </c>
      <c r="O27" s="727">
        <f>SUMIFS('Login files'!$H:$H,'Login files'!$C:$C,Sheet13!$B27,'Login files'!$I:$I,"Plan Today")</f>
        <v>0</v>
      </c>
      <c r="P27" s="662">
        <f>COUNTIFS(Approved!$E:$E,Sheet13!$B27,Approved!$H:$H,"Disbursed")</f>
        <v>2</v>
      </c>
      <c r="Q27" s="679">
        <f>SUMIFS(Approved!$G:$G,Approved!$E:$E,Sheet13!$B27,Approved!$H:$H,"Disbursed")</f>
        <v>32</v>
      </c>
    </row>
    <row r="28" spans="2:17" ht="16.5" thickBot="1">
      <c r="B28" s="608" t="s">
        <v>25</v>
      </c>
      <c r="C28" s="702">
        <f>COUNTIF('Login files'!$C:$C,Sheet13!$B28)</f>
        <v>8</v>
      </c>
      <c r="D28" s="703">
        <f>SUMIFS('Login files'!$H:$H,'Login files'!$C:$C,Sheet13!$B28)</f>
        <v>149</v>
      </c>
      <c r="E28" s="704"/>
      <c r="F28" s="734">
        <f>COUNTIFS('Login files'!$C:$C,Sheet13!$B28,'Login files'!$I:$I,"Documents")</f>
        <v>1</v>
      </c>
      <c r="G28" s="737">
        <f>COUNTIFS('Login files'!$C:$C,Sheet13!$B28,'Login files'!$I:$I,"Login Done")+I14</f>
        <v>6</v>
      </c>
      <c r="H28" s="680">
        <f>SUMIFS('Login files'!$H:$H,'Login files'!$C:$C,Sheet13!$B28,'Login files'!$I:$I,"Login Done")+SUMIFS(Approved!$G:$G,Approved!$E:$E,Sheet13!$B28,Approved!$H:$H,"Under Process")</f>
        <v>45</v>
      </c>
      <c r="I28" s="695"/>
      <c r="J28" s="692">
        <f>COUNTIFS('Login files'!$C:$C,Sheet13!$B28,'Login files'!$I:$I,"Approved")+COUNTIFS(Approved!$E:$E,Sheet13!$B28,Approved!$H:$H,"Approved")</f>
        <v>0</v>
      </c>
      <c r="K28" s="688">
        <f>SUMIFS('Login files'!$H:$H,'Login files'!$C:$C,Sheet13!$B28,'Login files'!$I:$I,"Approved")+SUMIFS(Approved!$G:$G,Approved!$E:$E,Sheet13!$B28,Approved!$H:$H,"Approved")</f>
        <v>0</v>
      </c>
      <c r="L28" s="685">
        <f t="shared" si="3"/>
        <v>6</v>
      </c>
      <c r="M28" s="726">
        <f t="shared" si="4"/>
        <v>45</v>
      </c>
      <c r="N28" s="730">
        <f>COUNTIFS('Login files'!$C:$C,Sheet13!$B28,'Login files'!$I:$I,"Plan Today")</f>
        <v>0</v>
      </c>
      <c r="O28" s="731">
        <f>SUMIFS('Login files'!$H:$H,'Login files'!$C:$C,Sheet13!$B28,'Login files'!$I:$I,"Plan Today")</f>
        <v>0</v>
      </c>
      <c r="P28" s="681">
        <f>COUNTIFS(Approved!$E:$E,Sheet13!$B28,Approved!$H:$H,"Disbursed")</f>
        <v>1</v>
      </c>
      <c r="Q28" s="682">
        <f>SUMIFS(Approved!$G:$G,Approved!$E:$E,Sheet13!$B28,Approved!$H:$H,"Disbursed")</f>
        <v>14</v>
      </c>
    </row>
    <row r="29" spans="2:17" ht="19.5" thickBot="1">
      <c r="B29" s="599" t="s">
        <v>8</v>
      </c>
      <c r="C29" s="669">
        <f t="shared" ref="C29:H29" si="5">SUM(C20:C28)</f>
        <v>51</v>
      </c>
      <c r="D29" s="670">
        <f t="shared" si="5"/>
        <v>778.9</v>
      </c>
      <c r="E29" s="671">
        <f t="shared" si="5"/>
        <v>1</v>
      </c>
      <c r="F29" s="672">
        <f t="shared" si="5"/>
        <v>3</v>
      </c>
      <c r="G29" s="648">
        <f t="shared" si="5"/>
        <v>30</v>
      </c>
      <c r="H29" s="649">
        <f t="shared" si="5"/>
        <v>392.78</v>
      </c>
      <c r="I29" s="673"/>
      <c r="J29" s="652">
        <f t="shared" ref="J29" si="6">SUM(J20:J28)</f>
        <v>19</v>
      </c>
      <c r="K29" s="653">
        <f>SUM(K20:K28)</f>
        <v>335.75</v>
      </c>
      <c r="L29" s="656">
        <f t="shared" ref="L29:P29" si="7">SUM(L20:L28)</f>
        <v>49</v>
      </c>
      <c r="M29" s="657">
        <f t="shared" si="7"/>
        <v>728.53</v>
      </c>
      <c r="N29" s="674">
        <f t="shared" si="7"/>
        <v>2</v>
      </c>
      <c r="O29" s="675">
        <f t="shared" si="7"/>
        <v>43</v>
      </c>
      <c r="P29" s="660">
        <f t="shared" si="7"/>
        <v>12</v>
      </c>
      <c r="Q29" s="661">
        <f>SUM(Q20:Q28)</f>
        <v>170.2</v>
      </c>
    </row>
    <row r="30" spans="2:17" ht="16.5" thickBot="1"/>
    <row r="31" spans="2:17" ht="19.5" thickBot="1">
      <c r="B31" s="851" t="s">
        <v>928</v>
      </c>
      <c r="C31" s="852"/>
      <c r="D31" s="852"/>
      <c r="E31" s="852"/>
      <c r="F31" s="852"/>
      <c r="G31" s="852"/>
      <c r="H31" s="852"/>
      <c r="I31" s="852"/>
      <c r="J31" s="852"/>
      <c r="K31" s="852"/>
      <c r="L31" s="852"/>
      <c r="M31" s="853"/>
    </row>
    <row r="32" spans="2:17" ht="15.75" customHeight="1" thickBot="1">
      <c r="B32" s="837" t="s">
        <v>693</v>
      </c>
      <c r="C32" s="848" t="s">
        <v>672</v>
      </c>
      <c r="D32" s="849"/>
      <c r="E32" s="849"/>
      <c r="F32" s="849"/>
      <c r="G32" s="850"/>
      <c r="H32" s="854" t="s">
        <v>921</v>
      </c>
      <c r="I32" s="855"/>
      <c r="J32" s="855"/>
      <c r="K32" s="855"/>
      <c r="L32" s="855"/>
      <c r="M32" s="856"/>
    </row>
    <row r="33" spans="2:15" ht="63.75" thickBot="1">
      <c r="B33" s="838"/>
      <c r="C33" s="761" t="s">
        <v>934</v>
      </c>
      <c r="D33" s="763" t="s">
        <v>932</v>
      </c>
      <c r="E33" s="763" t="s">
        <v>933</v>
      </c>
      <c r="F33" s="763" t="s">
        <v>938</v>
      </c>
      <c r="G33" s="764" t="s">
        <v>685</v>
      </c>
      <c r="H33" s="761" t="s">
        <v>934</v>
      </c>
      <c r="I33" s="762" t="s">
        <v>935</v>
      </c>
      <c r="J33" s="763" t="s">
        <v>932</v>
      </c>
      <c r="K33" s="763" t="s">
        <v>933</v>
      </c>
      <c r="L33" s="763" t="s">
        <v>936</v>
      </c>
      <c r="M33" s="764" t="s">
        <v>931</v>
      </c>
    </row>
    <row r="34" spans="2:15">
      <c r="B34" s="743" t="s">
        <v>13</v>
      </c>
      <c r="C34" s="749">
        <f>E6/26</f>
        <v>3.0769230769230771</v>
      </c>
      <c r="D34" s="750">
        <v>2</v>
      </c>
      <c r="E34" s="750">
        <v>2</v>
      </c>
      <c r="F34" s="750">
        <v>1</v>
      </c>
      <c r="G34" s="755">
        <f>G20</f>
        <v>4</v>
      </c>
      <c r="H34" s="749">
        <f>D6/26</f>
        <v>2.3076923076923075</v>
      </c>
      <c r="I34" s="757">
        <v>1</v>
      </c>
      <c r="J34" s="750">
        <v>1</v>
      </c>
      <c r="K34" s="750"/>
      <c r="L34" s="750"/>
      <c r="M34" s="755">
        <f>P20</f>
        <v>1</v>
      </c>
    </row>
    <row r="35" spans="2:15">
      <c r="B35" s="744" t="s">
        <v>14</v>
      </c>
      <c r="C35" s="748">
        <f t="shared" ref="C35:C43" si="8">E7/26</f>
        <v>1.7948717948717947</v>
      </c>
      <c r="D35" s="747"/>
      <c r="E35" s="747"/>
      <c r="F35" s="747"/>
      <c r="G35" s="755">
        <f t="shared" ref="G35:G42" si="9">G21</f>
        <v>1</v>
      </c>
      <c r="H35" s="748">
        <f t="shared" ref="H35:H43" si="10">D7/26</f>
        <v>1.3461538461538463</v>
      </c>
      <c r="I35" s="758"/>
      <c r="J35" s="747"/>
      <c r="K35" s="747"/>
      <c r="L35" s="747"/>
      <c r="M35" s="755">
        <f t="shared" ref="M35:M42" si="11">P21</f>
        <v>5</v>
      </c>
    </row>
    <row r="36" spans="2:15">
      <c r="B36" s="745" t="s">
        <v>17</v>
      </c>
      <c r="C36" s="748">
        <f t="shared" si="8"/>
        <v>1.1282051282051282</v>
      </c>
      <c r="D36" s="747"/>
      <c r="E36" s="747"/>
      <c r="F36" s="747"/>
      <c r="G36" s="755">
        <f t="shared" si="9"/>
        <v>0</v>
      </c>
      <c r="H36" s="748">
        <f t="shared" si="10"/>
        <v>0.84615384615384615</v>
      </c>
      <c r="I36" s="758"/>
      <c r="J36" s="747"/>
      <c r="K36" s="747"/>
      <c r="L36" s="747"/>
      <c r="M36" s="755">
        <f t="shared" si="11"/>
        <v>2</v>
      </c>
    </row>
    <row r="37" spans="2:15">
      <c r="B37" s="745" t="s">
        <v>340</v>
      </c>
      <c r="C37" s="748">
        <f t="shared" si="8"/>
        <v>0.5641025641025641</v>
      </c>
      <c r="D37" s="747">
        <v>1</v>
      </c>
      <c r="E37" s="747">
        <v>2</v>
      </c>
      <c r="F37" s="747">
        <v>1</v>
      </c>
      <c r="G37" s="755">
        <f t="shared" si="9"/>
        <v>2</v>
      </c>
      <c r="H37" s="748">
        <f t="shared" si="10"/>
        <v>0.42307692307692307</v>
      </c>
      <c r="I37" s="758"/>
      <c r="J37" s="747">
        <v>1</v>
      </c>
      <c r="K37" s="747"/>
      <c r="L37" s="747"/>
      <c r="M37" s="755">
        <f t="shared" si="11"/>
        <v>0</v>
      </c>
    </row>
    <row r="38" spans="2:15">
      <c r="B38" s="744" t="s">
        <v>10</v>
      </c>
      <c r="C38" s="748">
        <f t="shared" si="8"/>
        <v>2.6666666666666665</v>
      </c>
      <c r="D38" s="747"/>
      <c r="E38" s="747">
        <v>1</v>
      </c>
      <c r="F38" s="747">
        <v>1</v>
      </c>
      <c r="G38" s="755">
        <f t="shared" si="9"/>
        <v>6</v>
      </c>
      <c r="H38" s="748">
        <f t="shared" si="10"/>
        <v>2</v>
      </c>
      <c r="I38" s="758">
        <v>1</v>
      </c>
      <c r="J38" s="747">
        <v>1</v>
      </c>
      <c r="K38" s="747"/>
      <c r="L38" s="747"/>
      <c r="M38" s="755">
        <f t="shared" si="11"/>
        <v>1</v>
      </c>
    </row>
    <row r="39" spans="2:15">
      <c r="B39" s="744" t="s">
        <v>22</v>
      </c>
      <c r="C39" s="748">
        <f t="shared" si="8"/>
        <v>0.8717948717948717</v>
      </c>
      <c r="D39" s="747"/>
      <c r="E39" s="747">
        <v>1</v>
      </c>
      <c r="F39" s="747">
        <v>1</v>
      </c>
      <c r="G39" s="755">
        <f t="shared" si="9"/>
        <v>1</v>
      </c>
      <c r="H39" s="748">
        <f t="shared" si="10"/>
        <v>0.65384615384615385</v>
      </c>
      <c r="I39" s="758">
        <v>1</v>
      </c>
      <c r="J39" s="747"/>
      <c r="K39" s="747"/>
      <c r="L39" s="747"/>
      <c r="M39" s="755">
        <f t="shared" si="11"/>
        <v>0</v>
      </c>
    </row>
    <row r="40" spans="2:15">
      <c r="B40" s="744" t="s">
        <v>63</v>
      </c>
      <c r="C40" s="748">
        <v>0.5</v>
      </c>
      <c r="D40" s="747"/>
      <c r="E40" s="747"/>
      <c r="F40" s="747"/>
      <c r="G40" s="755">
        <f t="shared" si="9"/>
        <v>1</v>
      </c>
      <c r="H40" s="748">
        <f t="shared" si="10"/>
        <v>0.26923076923076922</v>
      </c>
      <c r="I40" s="758">
        <v>1</v>
      </c>
      <c r="J40" s="747"/>
      <c r="K40" s="747"/>
      <c r="L40" s="747"/>
      <c r="M40" s="755">
        <f t="shared" si="11"/>
        <v>0</v>
      </c>
    </row>
    <row r="41" spans="2:15">
      <c r="B41" s="744" t="s">
        <v>15</v>
      </c>
      <c r="C41" s="748">
        <f t="shared" si="8"/>
        <v>1.2307692307692308</v>
      </c>
      <c r="D41" s="747">
        <v>4</v>
      </c>
      <c r="E41" s="747">
        <v>5</v>
      </c>
      <c r="F41" s="747">
        <v>1</v>
      </c>
      <c r="G41" s="755">
        <f t="shared" si="9"/>
        <v>9</v>
      </c>
      <c r="H41" s="748">
        <f t="shared" si="10"/>
        <v>0.92307692307692313</v>
      </c>
      <c r="I41" s="758">
        <v>1</v>
      </c>
      <c r="J41" s="747"/>
      <c r="K41" s="747"/>
      <c r="L41" s="747"/>
      <c r="M41" s="755">
        <f t="shared" si="11"/>
        <v>2</v>
      </c>
    </row>
    <row r="42" spans="2:15" ht="16.5" thickBot="1">
      <c r="B42" s="746" t="s">
        <v>25</v>
      </c>
      <c r="C42" s="751">
        <f t="shared" si="8"/>
        <v>1.9487179487179487</v>
      </c>
      <c r="D42" s="752"/>
      <c r="E42" s="752"/>
      <c r="F42" s="752"/>
      <c r="G42" s="755">
        <f t="shared" si="9"/>
        <v>6</v>
      </c>
      <c r="H42" s="751">
        <f t="shared" si="10"/>
        <v>1.4615384615384615</v>
      </c>
      <c r="I42" s="759"/>
      <c r="J42" s="752"/>
      <c r="K42" s="752"/>
      <c r="L42" s="752"/>
      <c r="M42" s="755">
        <f t="shared" si="11"/>
        <v>1</v>
      </c>
      <c r="O42" s="593">
        <v>12</v>
      </c>
    </row>
    <row r="43" spans="2:15" ht="19.5" thickBot="1">
      <c r="B43" s="738" t="s">
        <v>8</v>
      </c>
      <c r="C43" s="440">
        <f t="shared" si="8"/>
        <v>13.641025641025642</v>
      </c>
      <c r="D43" s="753">
        <f>SUM(D34:D42)</f>
        <v>7</v>
      </c>
      <c r="E43" s="753">
        <f>SUM(E34:E42)</f>
        <v>11</v>
      </c>
      <c r="F43" s="753">
        <f>SUM(F34:F42)</f>
        <v>5</v>
      </c>
      <c r="G43" s="154">
        <f>SUM(G34:G42)</f>
        <v>30</v>
      </c>
      <c r="H43" s="440">
        <f t="shared" si="10"/>
        <v>10.23076923076923</v>
      </c>
      <c r="I43" s="760">
        <f>SUM(I34:I42)</f>
        <v>5</v>
      </c>
      <c r="J43" s="754">
        <f>SUM(J34:J42)</f>
        <v>3</v>
      </c>
      <c r="K43" s="754">
        <f>SUM(K34:K42)</f>
        <v>0</v>
      </c>
      <c r="L43" s="753">
        <f>SUM(L34:L42)</f>
        <v>0</v>
      </c>
      <c r="M43" s="756">
        <f>SUM(M34:M42)</f>
        <v>12</v>
      </c>
    </row>
    <row r="44" spans="2:15">
      <c r="G44" s="593">
        <v>15</v>
      </c>
    </row>
    <row r="48" spans="2:15">
      <c r="H48" s="593">
        <v>10</v>
      </c>
    </row>
  </sheetData>
  <mergeCells count="14">
    <mergeCell ref="B3:I3"/>
    <mergeCell ref="D4:E4"/>
    <mergeCell ref="F4:G4"/>
    <mergeCell ref="H4:I4"/>
    <mergeCell ref="C18:F18"/>
    <mergeCell ref="G18:I18"/>
    <mergeCell ref="B32:B33"/>
    <mergeCell ref="J18:K18"/>
    <mergeCell ref="B17:Q17"/>
    <mergeCell ref="L18:M18"/>
    <mergeCell ref="N18:Q18"/>
    <mergeCell ref="C32:G32"/>
    <mergeCell ref="B31:M31"/>
    <mergeCell ref="H32:M3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2"/>
  <sheetViews>
    <sheetView workbookViewId="0">
      <pane xSplit="4" topLeftCell="F1" activePane="topRight" state="frozen"/>
      <selection pane="topRight" activeCell="G3" sqref="G3:G27"/>
    </sheetView>
  </sheetViews>
  <sheetFormatPr defaultColWidth="9.140625" defaultRowHeight="15"/>
  <cols>
    <col min="1" max="1" width="6.140625" style="37" bestFit="1" customWidth="1"/>
    <col min="2" max="2" width="19" style="37" bestFit="1" customWidth="1"/>
    <col min="3" max="3" width="34.28515625" style="37" bestFit="1" customWidth="1"/>
    <col min="4" max="4" width="37.85546875" style="37" hidden="1" customWidth="1"/>
    <col min="5" max="5" width="25" style="37" customWidth="1"/>
    <col min="6" max="6" width="20.5703125" style="37" customWidth="1"/>
    <col min="7" max="7" width="15" style="37" customWidth="1"/>
    <col min="8" max="8" width="18" style="37" customWidth="1"/>
    <col min="9" max="9" width="25.140625" style="37" customWidth="1"/>
    <col min="10" max="10" width="6.85546875" style="37" customWidth="1"/>
    <col min="11" max="11" width="7.28515625" style="37" customWidth="1"/>
    <col min="12" max="12" width="13.140625" style="37" customWidth="1"/>
    <col min="13" max="13" width="29.85546875" style="37" bestFit="1" customWidth="1"/>
    <col min="14" max="14" width="38.140625" style="37" bestFit="1" customWidth="1"/>
    <col min="15" max="16384" width="9.140625" style="37"/>
  </cols>
  <sheetData>
    <row r="1" spans="1:14">
      <c r="A1" s="554" t="s">
        <v>748</v>
      </c>
      <c r="B1" s="554" t="s">
        <v>209</v>
      </c>
      <c r="C1" s="554" t="s">
        <v>210</v>
      </c>
      <c r="D1" s="554" t="s">
        <v>749</v>
      </c>
      <c r="E1" s="554" t="s">
        <v>916</v>
      </c>
      <c r="F1" s="554" t="s">
        <v>750</v>
      </c>
      <c r="G1" s="554" t="s">
        <v>214</v>
      </c>
      <c r="H1" s="554" t="s">
        <v>212</v>
      </c>
      <c r="I1" s="554" t="s">
        <v>751</v>
      </c>
      <c r="J1" s="554" t="s">
        <v>4</v>
      </c>
      <c r="K1" s="554" t="s">
        <v>5</v>
      </c>
      <c r="L1" s="554" t="s">
        <v>752</v>
      </c>
      <c r="M1" s="552" t="s">
        <v>852</v>
      </c>
    </row>
    <row r="2" spans="1:14" hidden="1">
      <c r="A2" s="552">
        <v>1</v>
      </c>
      <c r="B2" s="552" t="s">
        <v>753</v>
      </c>
      <c r="C2" s="552" t="s">
        <v>754</v>
      </c>
      <c r="D2" s="552" t="s">
        <v>318</v>
      </c>
      <c r="E2" s="592" t="s">
        <v>13</v>
      </c>
      <c r="F2" s="552" t="s">
        <v>641</v>
      </c>
      <c r="G2" s="552">
        <v>20</v>
      </c>
      <c r="H2" s="592" t="s">
        <v>47</v>
      </c>
      <c r="I2" s="552" t="s">
        <v>755</v>
      </c>
      <c r="J2" s="552" t="s">
        <v>699</v>
      </c>
      <c r="K2" s="552" t="s">
        <v>756</v>
      </c>
      <c r="L2" s="552" t="s">
        <v>757</v>
      </c>
      <c r="M2" s="552" t="s">
        <v>851</v>
      </c>
    </row>
    <row r="3" spans="1:14">
      <c r="A3" s="552">
        <v>3</v>
      </c>
      <c r="B3" s="552" t="s">
        <v>760</v>
      </c>
      <c r="C3" s="552" t="s">
        <v>761</v>
      </c>
      <c r="D3" s="552" t="s">
        <v>318</v>
      </c>
      <c r="E3" s="592" t="s">
        <v>13</v>
      </c>
      <c r="F3" s="552" t="s">
        <v>641</v>
      </c>
      <c r="G3" s="552">
        <v>26</v>
      </c>
      <c r="H3" s="552" t="s">
        <v>202</v>
      </c>
      <c r="I3" s="552" t="s">
        <v>755</v>
      </c>
      <c r="J3" s="552" t="s">
        <v>762</v>
      </c>
      <c r="K3" s="555" t="s">
        <v>763</v>
      </c>
      <c r="L3" s="552" t="s">
        <v>757</v>
      </c>
      <c r="M3" s="552" t="s">
        <v>853</v>
      </c>
      <c r="N3" s="766">
        <v>44536</v>
      </c>
    </row>
    <row r="4" spans="1:14" hidden="1">
      <c r="A4" s="552">
        <v>4</v>
      </c>
      <c r="B4" s="230" t="s">
        <v>764</v>
      </c>
      <c r="C4" s="230" t="s">
        <v>765</v>
      </c>
      <c r="D4" s="230" t="s">
        <v>766</v>
      </c>
      <c r="E4" s="230" t="s">
        <v>14</v>
      </c>
      <c r="F4" s="230" t="s">
        <v>641</v>
      </c>
      <c r="G4" s="230">
        <v>18.87</v>
      </c>
      <c r="H4" s="592" t="s">
        <v>47</v>
      </c>
      <c r="I4" s="552" t="s">
        <v>759</v>
      </c>
      <c r="J4" s="552" t="s">
        <v>762</v>
      </c>
      <c r="K4" s="555" t="s">
        <v>767</v>
      </c>
      <c r="L4" s="552" t="s">
        <v>768</v>
      </c>
      <c r="M4" s="552" t="s">
        <v>851</v>
      </c>
    </row>
    <row r="5" spans="1:14">
      <c r="A5" s="552">
        <v>5</v>
      </c>
      <c r="B5" s="230" t="s">
        <v>769</v>
      </c>
      <c r="C5" s="230" t="s">
        <v>770</v>
      </c>
      <c r="D5" s="230" t="s">
        <v>766</v>
      </c>
      <c r="E5" s="230" t="s">
        <v>14</v>
      </c>
      <c r="F5" s="230" t="s">
        <v>641</v>
      </c>
      <c r="G5" s="230">
        <v>20</v>
      </c>
      <c r="H5" s="552" t="s">
        <v>202</v>
      </c>
      <c r="I5" s="552" t="s">
        <v>755</v>
      </c>
      <c r="J5" s="552" t="s">
        <v>771</v>
      </c>
      <c r="K5" s="555" t="s">
        <v>767</v>
      </c>
      <c r="L5" s="552" t="s">
        <v>768</v>
      </c>
      <c r="M5" s="552" t="s">
        <v>853</v>
      </c>
      <c r="N5" s="766">
        <v>44537</v>
      </c>
    </row>
    <row r="6" spans="1:14" hidden="1">
      <c r="A6" s="552">
        <v>7</v>
      </c>
      <c r="B6" s="552" t="s">
        <v>854</v>
      </c>
      <c r="C6" s="552" t="s">
        <v>855</v>
      </c>
      <c r="D6" s="552" t="s">
        <v>766</v>
      </c>
      <c r="E6" s="230" t="s">
        <v>346</v>
      </c>
      <c r="F6" s="552" t="s">
        <v>641</v>
      </c>
      <c r="G6" s="552">
        <v>19.899999999999999</v>
      </c>
      <c r="H6" s="723" t="s">
        <v>161</v>
      </c>
      <c r="I6" s="552" t="s">
        <v>759</v>
      </c>
      <c r="J6" s="552" t="s">
        <v>856</v>
      </c>
      <c r="K6" s="552">
        <v>218</v>
      </c>
      <c r="L6" s="552" t="s">
        <v>857</v>
      </c>
      <c r="M6" s="552" t="s">
        <v>851</v>
      </c>
    </row>
    <row r="7" spans="1:14" hidden="1">
      <c r="A7" s="552">
        <v>8</v>
      </c>
      <c r="B7" s="552" t="s">
        <v>773</v>
      </c>
      <c r="C7" s="552" t="s">
        <v>774</v>
      </c>
      <c r="D7" s="552" t="s">
        <v>766</v>
      </c>
      <c r="E7" s="230" t="s">
        <v>346</v>
      </c>
      <c r="F7" s="552" t="s">
        <v>641</v>
      </c>
      <c r="G7" s="552">
        <v>20</v>
      </c>
      <c r="H7" s="723" t="s">
        <v>161</v>
      </c>
      <c r="I7" s="552" t="s">
        <v>755</v>
      </c>
      <c r="J7" s="552" t="s">
        <v>762</v>
      </c>
      <c r="K7" s="555" t="s">
        <v>767</v>
      </c>
      <c r="L7" s="552" t="s">
        <v>768</v>
      </c>
      <c r="M7" s="552" t="s">
        <v>858</v>
      </c>
    </row>
    <row r="8" spans="1:14" hidden="1">
      <c r="A8" s="552">
        <v>9</v>
      </c>
      <c r="B8" s="230" t="s">
        <v>775</v>
      </c>
      <c r="C8" s="230" t="s">
        <v>776</v>
      </c>
      <c r="D8" s="230" t="s">
        <v>766</v>
      </c>
      <c r="E8" s="230" t="s">
        <v>14</v>
      </c>
      <c r="F8" s="230" t="s">
        <v>772</v>
      </c>
      <c r="G8" s="230">
        <v>6</v>
      </c>
      <c r="H8" s="592" t="s">
        <v>47</v>
      </c>
      <c r="I8" s="552" t="s">
        <v>755</v>
      </c>
      <c r="J8" s="552" t="s">
        <v>777</v>
      </c>
      <c r="K8" s="552" t="s">
        <v>778</v>
      </c>
      <c r="L8" s="552" t="s">
        <v>757</v>
      </c>
      <c r="M8" s="552" t="s">
        <v>851</v>
      </c>
    </row>
    <row r="9" spans="1:14">
      <c r="A9" s="552">
        <v>11</v>
      </c>
      <c r="B9" s="230" t="s">
        <v>780</v>
      </c>
      <c r="C9" s="230" t="s">
        <v>781</v>
      </c>
      <c r="D9" s="230" t="s">
        <v>779</v>
      </c>
      <c r="E9" s="230" t="s">
        <v>917</v>
      </c>
      <c r="F9" s="230" t="s">
        <v>758</v>
      </c>
      <c r="G9" s="230">
        <v>8.9</v>
      </c>
      <c r="H9" s="552" t="s">
        <v>202</v>
      </c>
      <c r="I9" s="552" t="s">
        <v>755</v>
      </c>
      <c r="J9" s="552" t="s">
        <v>782</v>
      </c>
      <c r="K9" s="552" t="s">
        <v>783</v>
      </c>
      <c r="L9" s="552" t="s">
        <v>370</v>
      </c>
      <c r="M9" s="552" t="s">
        <v>853</v>
      </c>
      <c r="N9" s="766">
        <v>44536</v>
      </c>
    </row>
    <row r="10" spans="1:14" hidden="1">
      <c r="A10" s="552">
        <v>12</v>
      </c>
      <c r="B10" s="552" t="s">
        <v>784</v>
      </c>
      <c r="C10" s="552" t="s">
        <v>785</v>
      </c>
      <c r="D10" s="552" t="s">
        <v>766</v>
      </c>
      <c r="E10" s="230" t="s">
        <v>14</v>
      </c>
      <c r="F10" s="552" t="s">
        <v>758</v>
      </c>
      <c r="G10" s="552">
        <v>2.96</v>
      </c>
      <c r="H10" s="592" t="s">
        <v>47</v>
      </c>
      <c r="I10" s="552" t="s">
        <v>755</v>
      </c>
      <c r="J10" s="552" t="s">
        <v>57</v>
      </c>
      <c r="K10" s="552" t="s">
        <v>786</v>
      </c>
      <c r="L10" s="552" t="s">
        <v>768</v>
      </c>
      <c r="M10" s="552" t="s">
        <v>851</v>
      </c>
    </row>
    <row r="11" spans="1:14" hidden="1">
      <c r="A11" s="552">
        <v>13</v>
      </c>
      <c r="B11" s="552" t="s">
        <v>787</v>
      </c>
      <c r="C11" s="552" t="s">
        <v>788</v>
      </c>
      <c r="D11" s="552" t="s">
        <v>766</v>
      </c>
      <c r="E11" s="230" t="s">
        <v>14</v>
      </c>
      <c r="F11" s="552" t="s">
        <v>641</v>
      </c>
      <c r="G11" s="552">
        <v>17</v>
      </c>
      <c r="H11" s="723" t="s">
        <v>202</v>
      </c>
      <c r="I11" s="552" t="s">
        <v>755</v>
      </c>
      <c r="J11" s="552" t="s">
        <v>699</v>
      </c>
      <c r="K11" s="555" t="s">
        <v>789</v>
      </c>
      <c r="L11" s="552" t="s">
        <v>768</v>
      </c>
      <c r="M11" s="552" t="s">
        <v>859</v>
      </c>
    </row>
    <row r="12" spans="1:14" hidden="1">
      <c r="A12" s="552">
        <v>14</v>
      </c>
      <c r="B12" s="230" t="s">
        <v>790</v>
      </c>
      <c r="C12" s="230" t="s">
        <v>791</v>
      </c>
      <c r="D12" s="230" t="s">
        <v>766</v>
      </c>
      <c r="E12" s="230" t="s">
        <v>346</v>
      </c>
      <c r="F12" s="230" t="s">
        <v>758</v>
      </c>
      <c r="G12" s="230">
        <v>8</v>
      </c>
      <c r="H12" s="723" t="s">
        <v>166</v>
      </c>
      <c r="I12" s="552" t="s">
        <v>755</v>
      </c>
      <c r="J12" s="552" t="s">
        <v>782</v>
      </c>
      <c r="K12" s="552" t="s">
        <v>792</v>
      </c>
      <c r="L12" s="552" t="s">
        <v>370</v>
      </c>
      <c r="M12" s="552" t="s">
        <v>860</v>
      </c>
    </row>
    <row r="13" spans="1:14" hidden="1">
      <c r="A13" s="552">
        <v>15</v>
      </c>
      <c r="B13" s="230" t="s">
        <v>793</v>
      </c>
      <c r="C13" s="230" t="s">
        <v>794</v>
      </c>
      <c r="D13" s="230" t="s">
        <v>766</v>
      </c>
      <c r="E13" s="230" t="s">
        <v>14</v>
      </c>
      <c r="F13" s="230" t="s">
        <v>641</v>
      </c>
      <c r="G13" s="230">
        <v>13</v>
      </c>
      <c r="H13" s="592" t="s">
        <v>47</v>
      </c>
      <c r="I13" s="552" t="s">
        <v>755</v>
      </c>
      <c r="J13" s="552" t="s">
        <v>667</v>
      </c>
      <c r="K13" s="555" t="s">
        <v>789</v>
      </c>
      <c r="L13" s="552" t="s">
        <v>757</v>
      </c>
      <c r="M13" s="552" t="s">
        <v>851</v>
      </c>
    </row>
    <row r="14" spans="1:14" hidden="1">
      <c r="A14" s="552">
        <v>16</v>
      </c>
      <c r="B14" s="230" t="s">
        <v>861</v>
      </c>
      <c r="C14" s="230" t="s">
        <v>862</v>
      </c>
      <c r="D14" s="552" t="s">
        <v>779</v>
      </c>
      <c r="E14" s="230" t="s">
        <v>347</v>
      </c>
      <c r="F14" s="230" t="s">
        <v>641</v>
      </c>
      <c r="G14" s="230">
        <v>17</v>
      </c>
      <c r="H14" s="723" t="s">
        <v>166</v>
      </c>
      <c r="I14" s="552" t="s">
        <v>755</v>
      </c>
      <c r="J14" s="552"/>
      <c r="K14" s="552"/>
      <c r="L14" s="552" t="s">
        <v>863</v>
      </c>
      <c r="M14" s="552" t="s">
        <v>860</v>
      </c>
    </row>
    <row r="15" spans="1:14" hidden="1">
      <c r="A15" s="552">
        <v>17</v>
      </c>
      <c r="B15" s="230" t="s">
        <v>795</v>
      </c>
      <c r="C15" s="230" t="s">
        <v>796</v>
      </c>
      <c r="D15" s="552" t="s">
        <v>779</v>
      </c>
      <c r="E15" s="230" t="s">
        <v>917</v>
      </c>
      <c r="F15" s="230" t="s">
        <v>797</v>
      </c>
      <c r="G15" s="230">
        <v>10.130000000000001</v>
      </c>
      <c r="H15" s="592" t="s">
        <v>47</v>
      </c>
      <c r="I15" s="552" t="s">
        <v>755</v>
      </c>
      <c r="J15" s="552" t="s">
        <v>798</v>
      </c>
      <c r="K15" s="552" t="s">
        <v>799</v>
      </c>
      <c r="L15" s="552" t="s">
        <v>370</v>
      </c>
      <c r="M15" s="552" t="s">
        <v>851</v>
      </c>
    </row>
    <row r="16" spans="1:14" hidden="1">
      <c r="A16" s="552">
        <v>18</v>
      </c>
      <c r="B16" s="230" t="s">
        <v>800</v>
      </c>
      <c r="C16" s="230" t="s">
        <v>801</v>
      </c>
      <c r="D16" s="552" t="s">
        <v>318</v>
      </c>
      <c r="E16" s="592" t="s">
        <v>13</v>
      </c>
      <c r="F16" s="230" t="s">
        <v>772</v>
      </c>
      <c r="G16" s="230">
        <v>9.9499999999999993</v>
      </c>
      <c r="H16" s="552" t="s">
        <v>202</v>
      </c>
      <c r="I16" s="552" t="s">
        <v>755</v>
      </c>
      <c r="J16" s="552"/>
      <c r="K16" s="552"/>
      <c r="L16" s="552" t="s">
        <v>370</v>
      </c>
      <c r="M16" s="552" t="s">
        <v>853</v>
      </c>
      <c r="N16" s="37" t="s">
        <v>979</v>
      </c>
    </row>
    <row r="17" spans="1:14">
      <c r="A17" s="552">
        <v>20</v>
      </c>
      <c r="B17" s="230" t="s">
        <v>643</v>
      </c>
      <c r="C17" s="230" t="s">
        <v>644</v>
      </c>
      <c r="D17" s="552" t="s">
        <v>640</v>
      </c>
      <c r="E17" s="592" t="s">
        <v>340</v>
      </c>
      <c r="F17" s="230" t="s">
        <v>641</v>
      </c>
      <c r="G17" s="552">
        <v>14</v>
      </c>
      <c r="H17" s="5" t="s">
        <v>275</v>
      </c>
      <c r="I17" s="765">
        <v>44536</v>
      </c>
      <c r="J17" s="5"/>
      <c r="K17" s="5"/>
      <c r="L17" s="552" t="s">
        <v>863</v>
      </c>
      <c r="M17" s="552" t="s">
        <v>853</v>
      </c>
      <c r="N17" s="766" t="s">
        <v>962</v>
      </c>
    </row>
    <row r="18" spans="1:14" hidden="1">
      <c r="A18" s="552">
        <v>21</v>
      </c>
      <c r="B18" s="552" t="s">
        <v>645</v>
      </c>
      <c r="C18" s="552" t="s">
        <v>646</v>
      </c>
      <c r="D18" s="552" t="s">
        <v>308</v>
      </c>
      <c r="E18" s="592" t="s">
        <v>10</v>
      </c>
      <c r="F18" s="552" t="s">
        <v>647</v>
      </c>
      <c r="G18" s="552">
        <v>30</v>
      </c>
      <c r="H18" s="5" t="s">
        <v>47</v>
      </c>
      <c r="I18" s="5" t="s">
        <v>755</v>
      </c>
      <c r="J18" s="580" t="s">
        <v>668</v>
      </c>
      <c r="K18" s="580">
        <v>218</v>
      </c>
      <c r="L18" s="552" t="s">
        <v>857</v>
      </c>
      <c r="M18" s="552" t="s">
        <v>851</v>
      </c>
    </row>
    <row r="19" spans="1:14" hidden="1">
      <c r="A19" s="552">
        <v>22</v>
      </c>
      <c r="B19" s="552" t="s">
        <v>648</v>
      </c>
      <c r="C19" s="113" t="s">
        <v>649</v>
      </c>
      <c r="D19" s="552" t="s">
        <v>308</v>
      </c>
      <c r="E19" s="592" t="s">
        <v>10</v>
      </c>
      <c r="F19" s="552" t="s">
        <v>641</v>
      </c>
      <c r="G19" s="552">
        <v>19</v>
      </c>
      <c r="H19" s="5" t="s">
        <v>275</v>
      </c>
      <c r="I19" s="765">
        <v>44534</v>
      </c>
      <c r="J19" s="580" t="s">
        <v>382</v>
      </c>
      <c r="K19" s="580" t="s">
        <v>21</v>
      </c>
      <c r="L19" s="552" t="s">
        <v>757</v>
      </c>
      <c r="M19" s="552" t="s">
        <v>853</v>
      </c>
    </row>
    <row r="20" spans="1:14" hidden="1">
      <c r="A20" s="552">
        <v>24</v>
      </c>
      <c r="B20" s="230" t="s">
        <v>654</v>
      </c>
      <c r="C20" s="230" t="s">
        <v>655</v>
      </c>
      <c r="D20" s="230" t="s">
        <v>308</v>
      </c>
      <c r="E20" s="592" t="s">
        <v>10</v>
      </c>
      <c r="F20" s="552" t="s">
        <v>641</v>
      </c>
      <c r="G20" s="552">
        <v>23</v>
      </c>
      <c r="H20" s="5" t="s">
        <v>275</v>
      </c>
      <c r="I20" s="765">
        <v>44536</v>
      </c>
      <c r="J20" s="5" t="s">
        <v>382</v>
      </c>
      <c r="K20" s="5">
        <v>218</v>
      </c>
      <c r="L20" s="552" t="s">
        <v>857</v>
      </c>
      <c r="M20" s="552" t="s">
        <v>853</v>
      </c>
      <c r="N20" s="37" t="s">
        <v>945</v>
      </c>
    </row>
    <row r="21" spans="1:14">
      <c r="A21" s="552">
        <v>25</v>
      </c>
      <c r="B21" s="552" t="s">
        <v>657</v>
      </c>
      <c r="C21" s="552" t="s">
        <v>658</v>
      </c>
      <c r="D21" s="552" t="s">
        <v>659</v>
      </c>
      <c r="E21" s="592" t="s">
        <v>22</v>
      </c>
      <c r="F21" s="552" t="s">
        <v>641</v>
      </c>
      <c r="G21" s="552">
        <v>24</v>
      </c>
      <c r="H21" s="5" t="s">
        <v>275</v>
      </c>
      <c r="I21" s="765">
        <v>44535</v>
      </c>
      <c r="J21" s="580" t="s">
        <v>382</v>
      </c>
      <c r="K21" s="580" t="s">
        <v>625</v>
      </c>
      <c r="L21" s="552" t="s">
        <v>757</v>
      </c>
      <c r="M21" s="552" t="s">
        <v>853</v>
      </c>
      <c r="N21" s="767" t="s">
        <v>952</v>
      </c>
    </row>
    <row r="22" spans="1:14" hidden="1">
      <c r="A22" s="552">
        <v>26</v>
      </c>
      <c r="B22" s="230" t="s">
        <v>661</v>
      </c>
      <c r="C22" s="230" t="s">
        <v>662</v>
      </c>
      <c r="D22" s="230" t="s">
        <v>663</v>
      </c>
      <c r="E22" s="230" t="s">
        <v>15</v>
      </c>
      <c r="F22" s="552" t="s">
        <v>641</v>
      </c>
      <c r="G22" s="552">
        <v>15</v>
      </c>
      <c r="H22" s="5" t="s">
        <v>47</v>
      </c>
      <c r="I22" s="5" t="s">
        <v>759</v>
      </c>
      <c r="J22" s="5" t="s">
        <v>667</v>
      </c>
      <c r="K22" s="5" t="s">
        <v>21</v>
      </c>
      <c r="L22" s="552" t="s">
        <v>757</v>
      </c>
      <c r="M22" s="552" t="s">
        <v>851</v>
      </c>
    </row>
    <row r="23" spans="1:14" hidden="1">
      <c r="A23" s="552">
        <v>27</v>
      </c>
      <c r="B23" s="552" t="s">
        <v>664</v>
      </c>
      <c r="C23" s="552" t="s">
        <v>665</v>
      </c>
      <c r="D23" s="552" t="s">
        <v>663</v>
      </c>
      <c r="E23" s="230" t="s">
        <v>15</v>
      </c>
      <c r="F23" s="552" t="s">
        <v>641</v>
      </c>
      <c r="G23" s="552">
        <v>17</v>
      </c>
      <c r="H23" s="5" t="s">
        <v>47</v>
      </c>
      <c r="I23" s="5" t="s">
        <v>759</v>
      </c>
      <c r="J23" s="5" t="s">
        <v>20</v>
      </c>
      <c r="K23" s="5" t="s">
        <v>21</v>
      </c>
      <c r="L23" s="552" t="s">
        <v>757</v>
      </c>
      <c r="M23" s="552" t="s">
        <v>851</v>
      </c>
    </row>
    <row r="24" spans="1:14" hidden="1">
      <c r="A24" s="552">
        <v>28</v>
      </c>
      <c r="B24" s="552" t="s">
        <v>864</v>
      </c>
      <c r="C24" s="552" t="s">
        <v>865</v>
      </c>
      <c r="D24" s="552" t="s">
        <v>308</v>
      </c>
      <c r="E24" s="592" t="s">
        <v>10</v>
      </c>
      <c r="F24" s="552" t="s">
        <v>641</v>
      </c>
      <c r="G24" s="552">
        <v>17</v>
      </c>
      <c r="H24" s="5" t="s">
        <v>275</v>
      </c>
      <c r="I24" s="5" t="s">
        <v>755</v>
      </c>
      <c r="J24" s="5"/>
      <c r="K24" s="5"/>
      <c r="L24" s="552" t="s">
        <v>863</v>
      </c>
      <c r="M24" s="552" t="s">
        <v>853</v>
      </c>
      <c r="N24" s="37" t="s">
        <v>940</v>
      </c>
    </row>
    <row r="25" spans="1:14" hidden="1">
      <c r="A25" s="552">
        <v>29</v>
      </c>
      <c r="B25" s="288" t="s">
        <v>866</v>
      </c>
      <c r="C25" s="288" t="s">
        <v>867</v>
      </c>
      <c r="D25" s="288" t="s">
        <v>659</v>
      </c>
      <c r="E25" s="592" t="s">
        <v>22</v>
      </c>
      <c r="F25" s="552" t="s">
        <v>11</v>
      </c>
      <c r="G25" s="5">
        <v>30</v>
      </c>
      <c r="H25" s="5" t="s">
        <v>275</v>
      </c>
      <c r="I25" s="5" t="s">
        <v>759</v>
      </c>
      <c r="J25" s="5" t="s">
        <v>868</v>
      </c>
      <c r="K25" s="5" t="s">
        <v>869</v>
      </c>
      <c r="L25" s="552" t="s">
        <v>857</v>
      </c>
      <c r="M25" s="552" t="s">
        <v>853</v>
      </c>
      <c r="N25" s="121" t="s">
        <v>953</v>
      </c>
    </row>
    <row r="26" spans="1:14">
      <c r="A26" s="552">
        <v>30</v>
      </c>
      <c r="B26" s="552" t="s">
        <v>802</v>
      </c>
      <c r="C26" s="552" t="s">
        <v>803</v>
      </c>
      <c r="D26" s="552" t="s">
        <v>663</v>
      </c>
      <c r="E26" s="230" t="s">
        <v>15</v>
      </c>
      <c r="F26" s="552" t="s">
        <v>797</v>
      </c>
      <c r="G26" s="5">
        <v>7.78</v>
      </c>
      <c r="H26" s="705" t="s">
        <v>200</v>
      </c>
      <c r="I26" s="5" t="s">
        <v>755</v>
      </c>
      <c r="J26" s="5" t="s">
        <v>390</v>
      </c>
      <c r="K26" s="5" t="s">
        <v>799</v>
      </c>
      <c r="L26" s="552" t="s">
        <v>370</v>
      </c>
      <c r="M26" s="552" t="s">
        <v>853</v>
      </c>
      <c r="N26" s="37" t="s">
        <v>951</v>
      </c>
    </row>
    <row r="27" spans="1:14">
      <c r="A27" s="552">
        <v>32</v>
      </c>
      <c r="B27" s="552" t="s">
        <v>804</v>
      </c>
      <c r="C27" s="29" t="s">
        <v>805</v>
      </c>
      <c r="D27" s="552" t="s">
        <v>806</v>
      </c>
      <c r="E27" s="592" t="s">
        <v>25</v>
      </c>
      <c r="F27" s="552" t="s">
        <v>641</v>
      </c>
      <c r="G27" s="552">
        <v>15</v>
      </c>
      <c r="H27" s="705" t="s">
        <v>200</v>
      </c>
      <c r="I27" s="5" t="s">
        <v>755</v>
      </c>
      <c r="J27" s="5" t="s">
        <v>699</v>
      </c>
      <c r="K27" s="556" t="s">
        <v>763</v>
      </c>
      <c r="L27" s="552" t="s">
        <v>757</v>
      </c>
      <c r="M27" s="552" t="s">
        <v>853</v>
      </c>
      <c r="N27" s="37" t="s">
        <v>963</v>
      </c>
    </row>
    <row r="28" spans="1:14" hidden="1">
      <c r="A28" s="552">
        <v>33</v>
      </c>
      <c r="B28" s="552" t="s">
        <v>870</v>
      </c>
      <c r="C28" s="552" t="s">
        <v>871</v>
      </c>
      <c r="D28" s="552" t="s">
        <v>659</v>
      </c>
      <c r="E28" s="592" t="s">
        <v>22</v>
      </c>
      <c r="F28" s="552" t="s">
        <v>647</v>
      </c>
      <c r="G28" s="552">
        <v>35</v>
      </c>
      <c r="H28" s="705" t="s">
        <v>200</v>
      </c>
      <c r="I28" s="5" t="s">
        <v>755</v>
      </c>
      <c r="J28" s="5" t="s">
        <v>872</v>
      </c>
      <c r="K28" s="556" t="s">
        <v>767</v>
      </c>
      <c r="L28" s="552" t="s">
        <v>857</v>
      </c>
      <c r="M28" s="552" t="s">
        <v>853</v>
      </c>
      <c r="N28" s="121" t="s">
        <v>954</v>
      </c>
    </row>
    <row r="29" spans="1:14" hidden="1">
      <c r="A29" s="552">
        <v>34</v>
      </c>
      <c r="B29" s="581">
        <v>593126</v>
      </c>
      <c r="C29" s="582" t="s">
        <v>873</v>
      </c>
      <c r="D29" s="552" t="s">
        <v>806</v>
      </c>
      <c r="E29" s="592" t="s">
        <v>25</v>
      </c>
      <c r="F29" s="552" t="s">
        <v>641</v>
      </c>
      <c r="G29" s="552">
        <v>14</v>
      </c>
      <c r="H29" s="592" t="s">
        <v>47</v>
      </c>
      <c r="I29" s="552"/>
      <c r="J29" s="552"/>
      <c r="K29" s="552"/>
      <c r="L29" s="552"/>
      <c r="M29" s="552" t="s">
        <v>851</v>
      </c>
    </row>
    <row r="30" spans="1:14" hidden="1">
      <c r="A30" s="552">
        <v>35</v>
      </c>
      <c r="B30" s="270">
        <v>593200</v>
      </c>
      <c r="C30" s="552" t="s">
        <v>850</v>
      </c>
      <c r="D30" s="230" t="s">
        <v>766</v>
      </c>
      <c r="E30" s="230" t="s">
        <v>14</v>
      </c>
      <c r="F30" s="552" t="s">
        <v>758</v>
      </c>
      <c r="G30" s="552">
        <v>6.5</v>
      </c>
      <c r="H30" s="592" t="s">
        <v>47</v>
      </c>
      <c r="I30" s="552"/>
      <c r="J30" s="552"/>
      <c r="K30" s="552"/>
      <c r="L30" s="552"/>
      <c r="M30" s="552" t="s">
        <v>851</v>
      </c>
    </row>
    <row r="31" spans="1:14" hidden="1">
      <c r="C31" s="37" t="s">
        <v>915</v>
      </c>
      <c r="D31" s="592" t="s">
        <v>779</v>
      </c>
      <c r="E31" s="230" t="s">
        <v>917</v>
      </c>
      <c r="F31" s="37" t="s">
        <v>641</v>
      </c>
      <c r="G31" s="37">
        <v>16.739999999999998</v>
      </c>
      <c r="H31" s="37" t="s">
        <v>47</v>
      </c>
    </row>
    <row r="32" spans="1:14" hidden="1">
      <c r="N32" s="37" t="s">
        <v>75</v>
      </c>
    </row>
  </sheetData>
  <autoFilter ref="A1:N32">
    <filterColumn colId="13">
      <filters>
        <filter val="04-12-2021Agr &amp; Disb."/>
        <filter val="06-12-2021 disb"/>
        <filter val="Co applicant pending 06-12-2021"/>
        <dateGroupItem year="2021" dateTimeGrouping="year"/>
      </filters>
    </filterColumn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"/>
  <sheetViews>
    <sheetView topLeftCell="A2" workbookViewId="0">
      <selection activeCell="D2" sqref="D2"/>
    </sheetView>
  </sheetViews>
  <sheetFormatPr defaultColWidth="11.42578125" defaultRowHeight="15"/>
  <cols>
    <col min="1" max="1" width="10.42578125" bestFit="1" customWidth="1"/>
    <col min="2" max="2" width="8.85546875" customWidth="1"/>
    <col min="3" max="3" width="9.140625" style="1" customWidth="1"/>
    <col min="4" max="4" width="29.140625" style="1" bestFit="1" customWidth="1"/>
    <col min="5" max="8" width="9.140625" style="1" customWidth="1"/>
    <col min="9" max="9" width="11.7109375" style="1" bestFit="1" customWidth="1"/>
    <col min="10" max="10" width="18.140625" style="37" bestFit="1" customWidth="1"/>
    <col min="11" max="12" width="18.140625" style="37" customWidth="1"/>
    <col min="13" max="13" width="38.140625" style="37" bestFit="1" customWidth="1"/>
    <col min="14" max="259" width="8.85546875" customWidth="1"/>
  </cols>
  <sheetData>
    <row r="1" spans="1:27" ht="15.75" thickBot="1"/>
    <row r="2" spans="1:27" ht="16.5" thickBot="1">
      <c r="B2" s="645" t="s">
        <v>807</v>
      </c>
      <c r="C2" s="739"/>
      <c r="D2" s="739"/>
      <c r="E2" s="739"/>
      <c r="F2" s="739"/>
      <c r="G2" s="739"/>
      <c r="H2" s="739"/>
      <c r="I2" s="740"/>
      <c r="N2" s="863" t="s">
        <v>808</v>
      </c>
      <c r="O2" s="786"/>
      <c r="P2" s="786"/>
      <c r="Q2" s="786"/>
      <c r="R2" s="786"/>
      <c r="S2" s="786"/>
      <c r="T2" s="787"/>
      <c r="U2" s="557"/>
      <c r="V2" s="557"/>
      <c r="W2" s="557"/>
      <c r="X2" s="557"/>
      <c r="Y2" s="557"/>
      <c r="Z2" s="557"/>
      <c r="AA2" s="557"/>
    </row>
    <row r="3" spans="1:27" ht="16.5" thickBot="1">
      <c r="A3" t="s">
        <v>43</v>
      </c>
      <c r="B3" s="558" t="s">
        <v>809</v>
      </c>
      <c r="C3" s="741" t="s">
        <v>693</v>
      </c>
      <c r="D3" s="741" t="s">
        <v>3</v>
      </c>
      <c r="E3" s="741" t="s">
        <v>4</v>
      </c>
      <c r="F3" s="741" t="s">
        <v>5</v>
      </c>
      <c r="G3" s="741" t="s">
        <v>6</v>
      </c>
      <c r="H3" s="741" t="s">
        <v>810</v>
      </c>
      <c r="I3" s="742" t="s">
        <v>56</v>
      </c>
      <c r="J3" s="310" t="s">
        <v>725</v>
      </c>
      <c r="K3" s="310" t="s">
        <v>971</v>
      </c>
      <c r="L3" s="310" t="s">
        <v>726</v>
      </c>
      <c r="M3" s="310" t="s">
        <v>192</v>
      </c>
      <c r="N3" s="864" t="s">
        <v>693</v>
      </c>
      <c r="O3" s="867" t="s">
        <v>392</v>
      </c>
      <c r="P3" s="868"/>
      <c r="Q3" s="869" t="s">
        <v>811</v>
      </c>
      <c r="R3" s="870"/>
      <c r="S3" s="873" t="s">
        <v>8</v>
      </c>
      <c r="T3" s="874"/>
      <c r="U3" s="557"/>
      <c r="V3" s="557"/>
      <c r="W3" s="557"/>
      <c r="X3" s="557"/>
      <c r="Y3" s="557"/>
      <c r="Z3" s="557"/>
      <c r="AA3" s="557"/>
    </row>
    <row r="4" spans="1:27" ht="15.75" thickBot="1">
      <c r="B4" s="706">
        <v>1</v>
      </c>
      <c r="C4" s="707" t="s">
        <v>812</v>
      </c>
      <c r="D4" s="707" t="s">
        <v>813</v>
      </c>
      <c r="E4" s="707" t="s">
        <v>11</v>
      </c>
      <c r="F4" s="707" t="s">
        <v>814</v>
      </c>
      <c r="G4" s="707" t="s">
        <v>115</v>
      </c>
      <c r="H4" s="707">
        <v>30</v>
      </c>
      <c r="I4" s="708" t="s">
        <v>287</v>
      </c>
      <c r="J4" s="766"/>
      <c r="K4" s="766">
        <v>44536</v>
      </c>
      <c r="L4" s="766">
        <v>44536</v>
      </c>
      <c r="M4" s="766"/>
      <c r="N4" s="865"/>
      <c r="O4" s="877" t="s">
        <v>816</v>
      </c>
      <c r="P4" s="878"/>
      <c r="Q4" s="871"/>
      <c r="R4" s="872"/>
      <c r="S4" s="875"/>
      <c r="T4" s="876"/>
      <c r="U4" s="557"/>
      <c r="V4" s="557"/>
      <c r="W4" s="557"/>
      <c r="X4" s="557"/>
      <c r="Y4" s="557"/>
      <c r="Z4" s="557"/>
      <c r="AA4" s="557"/>
    </row>
    <row r="5" spans="1:27" ht="15.75" thickBot="1">
      <c r="B5" s="709">
        <v>2</v>
      </c>
      <c r="C5" s="710" t="s">
        <v>22</v>
      </c>
      <c r="D5" s="710" t="s">
        <v>721</v>
      </c>
      <c r="E5" s="710" t="s">
        <v>24</v>
      </c>
      <c r="F5" s="710" t="s">
        <v>30</v>
      </c>
      <c r="G5" s="710" t="s">
        <v>21</v>
      </c>
      <c r="H5" s="710">
        <v>8</v>
      </c>
      <c r="I5" s="711" t="s">
        <v>815</v>
      </c>
      <c r="M5" s="37" t="s">
        <v>958</v>
      </c>
      <c r="N5" s="866"/>
      <c r="O5" s="559" t="s">
        <v>817</v>
      </c>
      <c r="P5" s="560" t="s">
        <v>818</v>
      </c>
      <c r="Q5" s="561" t="s">
        <v>817</v>
      </c>
      <c r="R5" s="562" t="s">
        <v>818</v>
      </c>
      <c r="S5" s="563" t="s">
        <v>817</v>
      </c>
      <c r="T5" s="562" t="s">
        <v>818</v>
      </c>
      <c r="U5" s="557"/>
      <c r="V5" s="557"/>
      <c r="W5" s="557"/>
      <c r="X5" s="557"/>
      <c r="Y5" s="557"/>
      <c r="Z5" s="557"/>
      <c r="AA5" s="557"/>
    </row>
    <row r="6" spans="1:27">
      <c r="B6" s="709">
        <v>3</v>
      </c>
      <c r="C6" s="710" t="s">
        <v>22</v>
      </c>
      <c r="D6" s="710" t="s">
        <v>722</v>
      </c>
      <c r="E6" s="710" t="s">
        <v>24</v>
      </c>
      <c r="F6" s="710" t="s">
        <v>30</v>
      </c>
      <c r="G6" s="710" t="s">
        <v>60</v>
      </c>
      <c r="H6" s="710">
        <v>8</v>
      </c>
      <c r="I6" s="711" t="s">
        <v>815</v>
      </c>
      <c r="J6" s="766">
        <v>44538</v>
      </c>
      <c r="M6" s="37" t="s">
        <v>946</v>
      </c>
      <c r="N6" s="564" t="s">
        <v>13</v>
      </c>
      <c r="O6" s="565">
        <v>2</v>
      </c>
      <c r="P6" s="566">
        <v>23</v>
      </c>
      <c r="Q6" s="567">
        <v>7</v>
      </c>
      <c r="R6" s="566">
        <v>146</v>
      </c>
      <c r="S6" s="565">
        <f>O6+Q6</f>
        <v>9</v>
      </c>
      <c r="T6" s="568">
        <f>P6+R6</f>
        <v>169</v>
      </c>
      <c r="U6" s="557"/>
      <c r="V6" s="557"/>
      <c r="W6" s="557"/>
      <c r="X6" s="557"/>
      <c r="Y6" s="557"/>
      <c r="Z6" s="557"/>
      <c r="AA6" s="557"/>
    </row>
    <row r="7" spans="1:27">
      <c r="B7" s="709">
        <v>4</v>
      </c>
      <c r="C7" s="710" t="s">
        <v>22</v>
      </c>
      <c r="D7" s="710" t="s">
        <v>723</v>
      </c>
      <c r="E7" s="710" t="s">
        <v>19</v>
      </c>
      <c r="F7" s="710" t="s">
        <v>20</v>
      </c>
      <c r="G7" s="710" t="s">
        <v>60</v>
      </c>
      <c r="H7" s="710">
        <v>18</v>
      </c>
      <c r="I7" s="711" t="s">
        <v>815</v>
      </c>
      <c r="J7" s="766">
        <v>44537</v>
      </c>
      <c r="M7" s="37" t="s">
        <v>947</v>
      </c>
      <c r="N7" s="569" t="s">
        <v>14</v>
      </c>
      <c r="O7" s="570">
        <v>8</v>
      </c>
      <c r="P7" s="571">
        <v>64</v>
      </c>
      <c r="Q7" s="572">
        <v>2</v>
      </c>
      <c r="R7" s="571">
        <v>14</v>
      </c>
      <c r="S7" s="565">
        <f t="shared" ref="S7:T14" si="0">O7+Q7</f>
        <v>10</v>
      </c>
      <c r="T7" s="568">
        <f t="shared" si="0"/>
        <v>78</v>
      </c>
      <c r="U7" s="557"/>
      <c r="V7" s="557"/>
      <c r="W7" s="557"/>
      <c r="X7" s="557"/>
      <c r="Y7" s="557"/>
      <c r="Z7" s="557"/>
      <c r="AA7" s="557"/>
    </row>
    <row r="8" spans="1:27">
      <c r="B8" s="709">
        <v>5</v>
      </c>
      <c r="C8" s="710" t="s">
        <v>15</v>
      </c>
      <c r="D8" s="710" t="s">
        <v>819</v>
      </c>
      <c r="E8" s="710" t="s">
        <v>19</v>
      </c>
      <c r="F8" s="710" t="s">
        <v>20</v>
      </c>
      <c r="G8" s="710" t="s">
        <v>374</v>
      </c>
      <c r="H8" s="710">
        <v>18</v>
      </c>
      <c r="I8" s="711" t="s">
        <v>287</v>
      </c>
      <c r="M8" s="37" t="s">
        <v>946</v>
      </c>
      <c r="N8" s="569" t="s">
        <v>17</v>
      </c>
      <c r="O8" s="570">
        <v>2</v>
      </c>
      <c r="P8" s="571">
        <v>26</v>
      </c>
      <c r="Q8" s="572">
        <v>2</v>
      </c>
      <c r="R8" s="571">
        <v>24</v>
      </c>
      <c r="S8" s="565">
        <f t="shared" si="0"/>
        <v>4</v>
      </c>
      <c r="T8" s="568">
        <f t="shared" si="0"/>
        <v>50</v>
      </c>
      <c r="U8" s="557"/>
      <c r="V8" s="557"/>
      <c r="W8" s="557"/>
      <c r="X8" s="557"/>
      <c r="Y8" s="557"/>
      <c r="Z8" s="557"/>
      <c r="AA8" s="557"/>
    </row>
    <row r="9" spans="1:27">
      <c r="B9" s="709">
        <v>6</v>
      </c>
      <c r="C9" s="710" t="s">
        <v>15</v>
      </c>
      <c r="D9" s="710" t="s">
        <v>559</v>
      </c>
      <c r="E9" s="710" t="s">
        <v>24</v>
      </c>
      <c r="F9" s="710" t="s">
        <v>57</v>
      </c>
      <c r="G9" s="710" t="s">
        <v>21</v>
      </c>
      <c r="H9" s="710">
        <v>7</v>
      </c>
      <c r="I9" s="711" t="s">
        <v>918</v>
      </c>
      <c r="J9" s="766">
        <v>44536</v>
      </c>
      <c r="M9" s="37" t="s">
        <v>940</v>
      </c>
      <c r="N9" s="569" t="s">
        <v>340</v>
      </c>
      <c r="O9" s="570">
        <v>2</v>
      </c>
      <c r="P9" s="571">
        <v>34</v>
      </c>
      <c r="Q9" s="572">
        <v>2</v>
      </c>
      <c r="R9" s="571">
        <v>29</v>
      </c>
      <c r="S9" s="565">
        <f t="shared" si="0"/>
        <v>4</v>
      </c>
      <c r="T9" s="568">
        <f t="shared" si="0"/>
        <v>63</v>
      </c>
      <c r="U9" s="557"/>
      <c r="V9" s="557"/>
      <c r="W9" s="557"/>
      <c r="X9" s="557"/>
      <c r="Y9" s="557"/>
      <c r="Z9" s="557"/>
      <c r="AA9" s="557"/>
    </row>
    <row r="10" spans="1:27">
      <c r="B10" s="709">
        <v>7</v>
      </c>
      <c r="C10" s="710" t="s">
        <v>25</v>
      </c>
      <c r="D10" s="710" t="s">
        <v>728</v>
      </c>
      <c r="E10" s="710" t="s">
        <v>19</v>
      </c>
      <c r="F10" s="710" t="s">
        <v>20</v>
      </c>
      <c r="G10" s="710" t="s">
        <v>38</v>
      </c>
      <c r="H10" s="710">
        <v>20</v>
      </c>
      <c r="I10" s="711" t="s">
        <v>47</v>
      </c>
      <c r="M10" s="37" t="s">
        <v>941</v>
      </c>
      <c r="N10" s="569" t="s">
        <v>10</v>
      </c>
      <c r="O10" s="570">
        <v>3</v>
      </c>
      <c r="P10" s="571">
        <v>71</v>
      </c>
      <c r="Q10" s="572">
        <v>5</v>
      </c>
      <c r="R10" s="571">
        <v>86</v>
      </c>
      <c r="S10" s="565">
        <f t="shared" si="0"/>
        <v>8</v>
      </c>
      <c r="T10" s="568">
        <f t="shared" si="0"/>
        <v>157</v>
      </c>
      <c r="U10" s="557"/>
      <c r="V10" s="557"/>
      <c r="W10" s="557"/>
      <c r="X10" s="557"/>
      <c r="Y10" s="557"/>
      <c r="Z10" s="557"/>
      <c r="AA10" s="557"/>
    </row>
    <row r="11" spans="1:27">
      <c r="B11" s="709">
        <v>8</v>
      </c>
      <c r="C11" s="710" t="s">
        <v>14</v>
      </c>
      <c r="D11" s="710" t="s">
        <v>820</v>
      </c>
      <c r="E11" s="710" t="s">
        <v>24</v>
      </c>
      <c r="F11" s="710" t="s">
        <v>57</v>
      </c>
      <c r="G11" s="710" t="s">
        <v>31</v>
      </c>
      <c r="H11" s="710">
        <v>6</v>
      </c>
      <c r="I11" s="711" t="s">
        <v>815</v>
      </c>
      <c r="M11" s="37" t="s">
        <v>907</v>
      </c>
      <c r="N11" s="569" t="s">
        <v>22</v>
      </c>
      <c r="O11" s="570">
        <v>1</v>
      </c>
      <c r="P11" s="571">
        <v>24</v>
      </c>
      <c r="Q11" s="572">
        <v>6</v>
      </c>
      <c r="R11" s="571">
        <v>94</v>
      </c>
      <c r="S11" s="565">
        <f t="shared" si="0"/>
        <v>7</v>
      </c>
      <c r="T11" s="568">
        <f t="shared" si="0"/>
        <v>118</v>
      </c>
      <c r="U11" s="557"/>
      <c r="V11" s="557"/>
      <c r="W11" s="557"/>
      <c r="X11" s="557"/>
      <c r="Y11" s="557"/>
      <c r="Z11" s="557"/>
      <c r="AA11" s="557"/>
    </row>
    <row r="12" spans="1:27">
      <c r="B12" s="709">
        <v>9</v>
      </c>
      <c r="C12" s="710" t="s">
        <v>15</v>
      </c>
      <c r="D12" s="710" t="s">
        <v>821</v>
      </c>
      <c r="E12" s="710" t="s">
        <v>19</v>
      </c>
      <c r="F12" s="710" t="s">
        <v>377</v>
      </c>
      <c r="G12" s="710" t="s">
        <v>60</v>
      </c>
      <c r="H12" s="710">
        <v>18</v>
      </c>
      <c r="I12" s="711" t="s">
        <v>815</v>
      </c>
      <c r="J12" s="766">
        <v>44537</v>
      </c>
      <c r="M12" s="37" t="s">
        <v>973</v>
      </c>
      <c r="N12" s="569" t="s">
        <v>63</v>
      </c>
      <c r="O12" s="570">
        <v>1</v>
      </c>
      <c r="P12" s="571">
        <v>25</v>
      </c>
      <c r="Q12" s="572">
        <v>2</v>
      </c>
      <c r="R12" s="571">
        <v>38</v>
      </c>
      <c r="S12" s="565">
        <f t="shared" si="0"/>
        <v>3</v>
      </c>
      <c r="T12" s="568">
        <f t="shared" si="0"/>
        <v>63</v>
      </c>
      <c r="U12" s="557"/>
      <c r="V12" s="557"/>
      <c r="W12" s="557"/>
      <c r="X12" s="557"/>
      <c r="Y12" s="557"/>
      <c r="Z12" s="557"/>
      <c r="AA12" s="557"/>
    </row>
    <row r="13" spans="1:27">
      <c r="B13" s="709">
        <v>10</v>
      </c>
      <c r="C13" s="710" t="s">
        <v>15</v>
      </c>
      <c r="D13" s="710" t="s">
        <v>822</v>
      </c>
      <c r="E13" s="710" t="s">
        <v>23</v>
      </c>
      <c r="F13" s="710" t="s">
        <v>823</v>
      </c>
      <c r="G13" s="710" t="s">
        <v>824</v>
      </c>
      <c r="H13" s="710">
        <v>6</v>
      </c>
      <c r="I13" s="711" t="s">
        <v>815</v>
      </c>
      <c r="J13" s="766">
        <v>44536</v>
      </c>
      <c r="M13" s="37" t="s">
        <v>974</v>
      </c>
      <c r="N13" s="569" t="s">
        <v>15</v>
      </c>
      <c r="O13" s="570">
        <v>3</v>
      </c>
      <c r="P13" s="571">
        <v>40</v>
      </c>
      <c r="Q13" s="572">
        <v>5</v>
      </c>
      <c r="R13" s="571">
        <v>79</v>
      </c>
      <c r="S13" s="565">
        <f t="shared" si="0"/>
        <v>8</v>
      </c>
      <c r="T13" s="568">
        <f t="shared" si="0"/>
        <v>119</v>
      </c>
      <c r="U13" s="557"/>
      <c r="V13" s="557"/>
      <c r="W13" s="557"/>
      <c r="X13" s="557"/>
      <c r="Y13" s="557"/>
      <c r="Z13" s="557"/>
      <c r="AA13" s="557"/>
    </row>
    <row r="14" spans="1:27" ht="15.75" thickBot="1">
      <c r="B14" s="709">
        <v>11</v>
      </c>
      <c r="C14" s="710" t="s">
        <v>10</v>
      </c>
      <c r="D14" s="710" t="s">
        <v>825</v>
      </c>
      <c r="E14" s="710" t="s">
        <v>102</v>
      </c>
      <c r="F14" s="710"/>
      <c r="G14" s="710"/>
      <c r="H14" s="710">
        <v>20</v>
      </c>
      <c r="I14" s="711" t="s">
        <v>287</v>
      </c>
      <c r="M14" s="37" t="s">
        <v>940</v>
      </c>
      <c r="N14" s="573" t="s">
        <v>25</v>
      </c>
      <c r="O14" s="574"/>
      <c r="P14" s="575"/>
      <c r="Q14" s="576">
        <v>5</v>
      </c>
      <c r="R14" s="575">
        <v>120</v>
      </c>
      <c r="S14" s="565">
        <f t="shared" si="0"/>
        <v>5</v>
      </c>
      <c r="T14" s="568">
        <f t="shared" si="0"/>
        <v>120</v>
      </c>
      <c r="U14" s="557"/>
      <c r="V14" s="557"/>
      <c r="W14" s="557"/>
      <c r="X14" s="557"/>
      <c r="Y14" s="557"/>
      <c r="Z14" s="557"/>
      <c r="AA14" s="557"/>
    </row>
    <row r="15" spans="1:27" ht="16.5" thickBot="1">
      <c r="B15" s="709">
        <v>12</v>
      </c>
      <c r="C15" s="710" t="s">
        <v>348</v>
      </c>
      <c r="D15" s="710" t="s">
        <v>826</v>
      </c>
      <c r="E15" s="710" t="s">
        <v>102</v>
      </c>
      <c r="F15" s="710"/>
      <c r="G15" s="710"/>
      <c r="H15" s="710">
        <v>20</v>
      </c>
      <c r="I15" s="711" t="s">
        <v>168</v>
      </c>
      <c r="M15" s="37" t="s">
        <v>941</v>
      </c>
      <c r="N15" s="551" t="s">
        <v>8</v>
      </c>
      <c r="O15" s="577">
        <f t="shared" ref="O15:T15" si="1">SUM(O6:O14)</f>
        <v>22</v>
      </c>
      <c r="P15" s="578">
        <f t="shared" si="1"/>
        <v>307</v>
      </c>
      <c r="Q15" s="579">
        <f t="shared" si="1"/>
        <v>36</v>
      </c>
      <c r="R15" s="578">
        <f t="shared" si="1"/>
        <v>630</v>
      </c>
      <c r="S15" s="577">
        <f t="shared" si="1"/>
        <v>58</v>
      </c>
      <c r="T15" s="578">
        <f t="shared" si="1"/>
        <v>937</v>
      </c>
      <c r="U15" s="557"/>
      <c r="V15" s="557"/>
      <c r="W15" s="557"/>
      <c r="X15" s="557"/>
      <c r="Y15" s="557"/>
      <c r="Z15" s="557"/>
      <c r="AA15" s="557"/>
    </row>
    <row r="16" spans="1:27">
      <c r="B16" s="709">
        <v>13</v>
      </c>
      <c r="C16" s="710" t="s">
        <v>13</v>
      </c>
      <c r="D16" s="710" t="s">
        <v>827</v>
      </c>
      <c r="E16" s="710" t="s">
        <v>19</v>
      </c>
      <c r="F16" s="710" t="s">
        <v>828</v>
      </c>
      <c r="G16" s="710" t="s">
        <v>21</v>
      </c>
      <c r="H16" s="710">
        <v>24</v>
      </c>
      <c r="I16" s="711" t="s">
        <v>71</v>
      </c>
      <c r="L16" s="766">
        <v>44534</v>
      </c>
      <c r="M16" s="37" t="s">
        <v>908</v>
      </c>
      <c r="N16" s="557"/>
      <c r="O16" s="557"/>
      <c r="P16" s="557"/>
      <c r="Q16" s="557"/>
      <c r="R16" s="557"/>
      <c r="S16" s="557"/>
      <c r="T16" s="557"/>
      <c r="U16" s="557"/>
      <c r="V16" s="557"/>
      <c r="W16" s="557"/>
      <c r="X16" s="557"/>
      <c r="Y16" s="557"/>
      <c r="Z16" s="557"/>
      <c r="AA16" s="557"/>
    </row>
    <row r="17" spans="2:27">
      <c r="B17" s="709">
        <v>14</v>
      </c>
      <c r="C17" s="710" t="s">
        <v>14</v>
      </c>
      <c r="D17" s="710" t="s">
        <v>829</v>
      </c>
      <c r="E17" s="710" t="s">
        <v>24</v>
      </c>
      <c r="F17" s="710" t="s">
        <v>30</v>
      </c>
      <c r="G17" s="710" t="s">
        <v>38</v>
      </c>
      <c r="H17" s="710">
        <v>7</v>
      </c>
      <c r="I17" s="711" t="s">
        <v>918</v>
      </c>
      <c r="M17" s="37" t="s">
        <v>907</v>
      </c>
      <c r="N17" s="557"/>
      <c r="O17" s="557"/>
      <c r="P17" s="557"/>
      <c r="Q17" s="557"/>
      <c r="R17" s="557"/>
      <c r="S17" s="557"/>
      <c r="T17" s="557"/>
      <c r="U17" s="557"/>
      <c r="V17" s="557"/>
      <c r="W17" s="557"/>
      <c r="X17" s="557"/>
      <c r="Y17" s="557"/>
      <c r="Z17" s="557"/>
      <c r="AA17" s="557"/>
    </row>
    <row r="18" spans="2:27">
      <c r="B18" s="709">
        <v>15</v>
      </c>
      <c r="C18" s="710" t="s">
        <v>984</v>
      </c>
      <c r="D18" s="710" t="s">
        <v>830</v>
      </c>
      <c r="E18" s="710" t="s">
        <v>19</v>
      </c>
      <c r="F18" s="710" t="s">
        <v>27</v>
      </c>
      <c r="G18" s="710" t="s">
        <v>115</v>
      </c>
      <c r="H18" s="710">
        <v>22</v>
      </c>
      <c r="I18" s="711" t="s">
        <v>168</v>
      </c>
      <c r="M18" s="37" t="s">
        <v>959</v>
      </c>
      <c r="N18" s="557"/>
      <c r="O18" s="557"/>
      <c r="P18" s="557"/>
      <c r="Q18" s="557"/>
      <c r="R18" s="557"/>
      <c r="S18" s="557"/>
      <c r="T18" s="557"/>
      <c r="U18" s="557"/>
      <c r="V18" s="557"/>
      <c r="W18" s="557"/>
      <c r="X18" s="557"/>
      <c r="Y18" s="557"/>
      <c r="Z18" s="557"/>
      <c r="AA18" s="557"/>
    </row>
    <row r="19" spans="2:27">
      <c r="B19" s="709">
        <v>16</v>
      </c>
      <c r="C19" s="710" t="s">
        <v>340</v>
      </c>
      <c r="D19" s="710" t="s">
        <v>913</v>
      </c>
      <c r="E19" s="710" t="s">
        <v>23</v>
      </c>
      <c r="F19" s="710" t="s">
        <v>777</v>
      </c>
      <c r="G19" s="710" t="s">
        <v>21</v>
      </c>
      <c r="H19" s="710">
        <v>7</v>
      </c>
      <c r="I19" s="711" t="s">
        <v>287</v>
      </c>
      <c r="J19" s="766">
        <v>44534</v>
      </c>
      <c r="M19" s="37" t="s">
        <v>19</v>
      </c>
      <c r="N19" s="557"/>
      <c r="O19" s="557"/>
      <c r="P19" s="557"/>
      <c r="Q19" s="557"/>
      <c r="R19" s="557"/>
      <c r="S19" s="557"/>
      <c r="T19" s="557"/>
      <c r="U19" s="557"/>
      <c r="V19" s="557"/>
      <c r="W19" s="557"/>
      <c r="X19" s="557"/>
      <c r="Y19" s="557"/>
      <c r="Z19" s="557"/>
      <c r="AA19" s="557"/>
    </row>
    <row r="20" spans="2:27">
      <c r="B20" s="709">
        <v>18</v>
      </c>
      <c r="C20" s="710" t="s">
        <v>13</v>
      </c>
      <c r="D20" s="710" t="s">
        <v>831</v>
      </c>
      <c r="E20" s="710" t="s">
        <v>19</v>
      </c>
      <c r="F20" s="710" t="s">
        <v>382</v>
      </c>
      <c r="G20" s="710" t="s">
        <v>21</v>
      </c>
      <c r="H20" s="710">
        <v>20</v>
      </c>
      <c r="I20" s="711" t="s">
        <v>287</v>
      </c>
      <c r="J20" s="766">
        <v>44536</v>
      </c>
    </row>
    <row r="21" spans="2:27">
      <c r="B21" s="709">
        <v>19</v>
      </c>
      <c r="C21" s="710" t="s">
        <v>524</v>
      </c>
      <c r="D21" s="710" t="s">
        <v>832</v>
      </c>
      <c r="E21" s="710" t="s">
        <v>19</v>
      </c>
      <c r="F21" s="710" t="s">
        <v>50</v>
      </c>
      <c r="G21" s="710" t="s">
        <v>115</v>
      </c>
      <c r="H21" s="710">
        <v>16</v>
      </c>
      <c r="I21" s="711" t="s">
        <v>168</v>
      </c>
      <c r="M21" s="37" t="s">
        <v>977</v>
      </c>
    </row>
    <row r="22" spans="2:27">
      <c r="B22" s="709">
        <v>20</v>
      </c>
      <c r="C22" s="710" t="s">
        <v>10</v>
      </c>
      <c r="D22" s="710" t="s">
        <v>833</v>
      </c>
      <c r="E22" s="710" t="s">
        <v>19</v>
      </c>
      <c r="F22" s="710" t="s">
        <v>20</v>
      </c>
      <c r="G22" s="710" t="s">
        <v>389</v>
      </c>
      <c r="H22" s="710">
        <v>18</v>
      </c>
      <c r="I22" s="711" t="s">
        <v>275</v>
      </c>
      <c r="L22" s="766">
        <v>44534</v>
      </c>
    </row>
    <row r="23" spans="2:27">
      <c r="B23" s="709">
        <v>21</v>
      </c>
      <c r="C23" s="710" t="s">
        <v>10</v>
      </c>
      <c r="D23" s="710" t="s">
        <v>834</v>
      </c>
      <c r="E23" s="710" t="s">
        <v>23</v>
      </c>
      <c r="F23" s="710" t="s">
        <v>777</v>
      </c>
      <c r="G23" s="710" t="s">
        <v>942</v>
      </c>
      <c r="H23" s="710">
        <v>8</v>
      </c>
      <c r="I23" s="711" t="s">
        <v>815</v>
      </c>
      <c r="M23" s="37" t="s">
        <v>943</v>
      </c>
    </row>
    <row r="24" spans="2:27">
      <c r="B24" s="709">
        <v>22</v>
      </c>
      <c r="C24" s="710" t="s">
        <v>362</v>
      </c>
      <c r="D24" s="710" t="s">
        <v>835</v>
      </c>
      <c r="E24" s="710" t="s">
        <v>19</v>
      </c>
      <c r="F24" s="710" t="s">
        <v>836</v>
      </c>
      <c r="G24" s="710"/>
      <c r="H24" s="710">
        <v>18</v>
      </c>
      <c r="I24" s="711" t="s">
        <v>815</v>
      </c>
    </row>
    <row r="25" spans="2:27">
      <c r="B25" s="709">
        <v>23</v>
      </c>
      <c r="C25" s="710" t="s">
        <v>25</v>
      </c>
      <c r="D25" s="712" t="s">
        <v>837</v>
      </c>
      <c r="E25" s="710" t="s">
        <v>11</v>
      </c>
      <c r="F25" s="710" t="s">
        <v>838</v>
      </c>
      <c r="G25" s="710" t="s">
        <v>115</v>
      </c>
      <c r="H25" s="710">
        <v>30</v>
      </c>
      <c r="I25" s="711" t="s">
        <v>815</v>
      </c>
      <c r="M25" s="37" t="s">
        <v>964</v>
      </c>
    </row>
    <row r="26" spans="2:27">
      <c r="B26" s="709">
        <v>26</v>
      </c>
      <c r="C26" s="710" t="s">
        <v>25</v>
      </c>
      <c r="D26" s="710" t="s">
        <v>841</v>
      </c>
      <c r="E26" s="710" t="s">
        <v>11</v>
      </c>
      <c r="F26" s="710" t="s">
        <v>842</v>
      </c>
      <c r="G26" s="710"/>
      <c r="H26" s="710">
        <v>30</v>
      </c>
      <c r="I26" s="711" t="s">
        <v>287</v>
      </c>
      <c r="M26" s="37" t="s">
        <v>976</v>
      </c>
    </row>
    <row r="27" spans="2:27">
      <c r="B27" s="709">
        <v>27</v>
      </c>
      <c r="C27" s="710" t="s">
        <v>362</v>
      </c>
      <c r="D27" s="710" t="s">
        <v>843</v>
      </c>
      <c r="E27" s="710" t="s">
        <v>19</v>
      </c>
      <c r="F27" s="710" t="s">
        <v>382</v>
      </c>
      <c r="G27" s="710" t="s">
        <v>389</v>
      </c>
      <c r="H27" s="710">
        <v>20</v>
      </c>
      <c r="I27" s="711" t="s">
        <v>275</v>
      </c>
      <c r="K27" s="766">
        <v>44534</v>
      </c>
      <c r="L27" s="766">
        <v>44534</v>
      </c>
    </row>
    <row r="28" spans="2:27">
      <c r="B28" s="709">
        <v>28</v>
      </c>
      <c r="C28" s="710" t="s">
        <v>22</v>
      </c>
      <c r="D28" s="710" t="s">
        <v>844</v>
      </c>
      <c r="E28" s="710" t="s">
        <v>19</v>
      </c>
      <c r="F28" s="710" t="s">
        <v>50</v>
      </c>
      <c r="G28" s="710" t="s">
        <v>115</v>
      </c>
      <c r="H28" s="710">
        <v>18</v>
      </c>
      <c r="I28" s="711" t="s">
        <v>815</v>
      </c>
      <c r="M28" s="37" t="s">
        <v>972</v>
      </c>
    </row>
    <row r="29" spans="2:27">
      <c r="B29" s="709">
        <v>29</v>
      </c>
      <c r="C29" s="710" t="s">
        <v>363</v>
      </c>
      <c r="D29" s="710" t="s">
        <v>839</v>
      </c>
      <c r="E29" s="710" t="s">
        <v>11</v>
      </c>
      <c r="F29" s="710" t="s">
        <v>381</v>
      </c>
      <c r="G29" s="710" t="s">
        <v>115</v>
      </c>
      <c r="H29" s="710">
        <v>25</v>
      </c>
      <c r="I29" s="711" t="s">
        <v>167</v>
      </c>
    </row>
    <row r="30" spans="2:27">
      <c r="B30" s="709">
        <v>30</v>
      </c>
      <c r="C30" s="710" t="s">
        <v>25</v>
      </c>
      <c r="D30" s="710" t="s">
        <v>845</v>
      </c>
      <c r="E30" s="710" t="s">
        <v>19</v>
      </c>
      <c r="F30" s="710" t="s">
        <v>48</v>
      </c>
      <c r="G30" s="710" t="s">
        <v>966</v>
      </c>
      <c r="H30" s="710">
        <v>20</v>
      </c>
      <c r="I30" s="711" t="s">
        <v>918</v>
      </c>
      <c r="M30" s="37" t="s">
        <v>908</v>
      </c>
    </row>
    <row r="31" spans="2:27">
      <c r="B31" s="709">
        <v>32</v>
      </c>
      <c r="C31" s="710" t="s">
        <v>524</v>
      </c>
      <c r="D31" s="710" t="s">
        <v>155</v>
      </c>
      <c r="E31" s="710" t="s">
        <v>19</v>
      </c>
      <c r="F31" s="710" t="s">
        <v>33</v>
      </c>
      <c r="G31" s="710" t="s">
        <v>21</v>
      </c>
      <c r="H31" s="710">
        <v>18</v>
      </c>
      <c r="I31" s="711" t="s">
        <v>168</v>
      </c>
      <c r="M31" s="37" t="s">
        <v>972</v>
      </c>
    </row>
    <row r="32" spans="2:27">
      <c r="B32" s="709">
        <v>33</v>
      </c>
      <c r="C32" s="710" t="s">
        <v>13</v>
      </c>
      <c r="D32" s="710" t="s">
        <v>909</v>
      </c>
      <c r="E32" s="710" t="s">
        <v>19</v>
      </c>
      <c r="F32" s="710" t="s">
        <v>20</v>
      </c>
      <c r="G32" s="710" t="s">
        <v>846</v>
      </c>
      <c r="H32" s="710">
        <v>18</v>
      </c>
      <c r="I32" s="711" t="s">
        <v>287</v>
      </c>
      <c r="K32" s="766">
        <v>44536</v>
      </c>
      <c r="L32" s="766">
        <v>44536</v>
      </c>
    </row>
    <row r="33" spans="1:16">
      <c r="B33" s="709">
        <v>34</v>
      </c>
      <c r="C33" s="710" t="s">
        <v>13</v>
      </c>
      <c r="D33" s="710" t="s">
        <v>847</v>
      </c>
      <c r="E33" s="710" t="s">
        <v>19</v>
      </c>
      <c r="F33" s="710" t="s">
        <v>382</v>
      </c>
      <c r="G33" s="710" t="s">
        <v>115</v>
      </c>
      <c r="H33" s="710">
        <v>25</v>
      </c>
      <c r="I33" s="711" t="s">
        <v>287</v>
      </c>
      <c r="K33" s="766"/>
      <c r="M33" s="37" t="s">
        <v>978</v>
      </c>
    </row>
    <row r="34" spans="1:16">
      <c r="B34" s="709">
        <v>35</v>
      </c>
      <c r="C34" s="710" t="s">
        <v>347</v>
      </c>
      <c r="D34" s="710" t="s">
        <v>848</v>
      </c>
      <c r="E34" s="710" t="s">
        <v>23</v>
      </c>
      <c r="F34" s="710" t="s">
        <v>777</v>
      </c>
      <c r="G34" s="710" t="s">
        <v>21</v>
      </c>
      <c r="H34" s="710">
        <v>9</v>
      </c>
      <c r="I34" s="711" t="s">
        <v>168</v>
      </c>
    </row>
    <row r="35" spans="1:16">
      <c r="B35" s="709">
        <v>36</v>
      </c>
      <c r="C35" s="710" t="s">
        <v>347</v>
      </c>
      <c r="D35" s="710" t="s">
        <v>849</v>
      </c>
      <c r="E35" s="710" t="s">
        <v>19</v>
      </c>
      <c r="F35" s="710" t="s">
        <v>48</v>
      </c>
      <c r="G35" s="710" t="s">
        <v>21</v>
      </c>
      <c r="H35" s="710">
        <v>15</v>
      </c>
      <c r="I35" s="711" t="s">
        <v>168</v>
      </c>
      <c r="N35" s="25"/>
      <c r="O35" t="s">
        <v>15</v>
      </c>
      <c r="P35">
        <v>3</v>
      </c>
    </row>
    <row r="36" spans="1:16">
      <c r="B36" s="709">
        <v>37</v>
      </c>
      <c r="C36" s="710" t="s">
        <v>10</v>
      </c>
      <c r="D36" s="712" t="s">
        <v>939</v>
      </c>
      <c r="E36" s="710" t="s">
        <v>19</v>
      </c>
      <c r="F36" s="710" t="s">
        <v>840</v>
      </c>
      <c r="G36" s="710" t="s">
        <v>121</v>
      </c>
      <c r="H36" s="710">
        <v>20</v>
      </c>
      <c r="I36" s="711" t="s">
        <v>287</v>
      </c>
      <c r="J36" s="121"/>
      <c r="K36" s="767">
        <v>44535</v>
      </c>
      <c r="L36" s="767">
        <v>44536</v>
      </c>
      <c r="M36" s="121"/>
    </row>
    <row r="37" spans="1:16">
      <c r="B37" s="709">
        <v>39</v>
      </c>
      <c r="C37" s="710" t="s">
        <v>25</v>
      </c>
      <c r="D37" s="710" t="s">
        <v>895</v>
      </c>
      <c r="E37" s="710" t="s">
        <v>24</v>
      </c>
      <c r="F37" s="710" t="s">
        <v>30</v>
      </c>
      <c r="G37" s="710" t="s">
        <v>970</v>
      </c>
      <c r="H37" s="710">
        <v>7</v>
      </c>
      <c r="I37" s="711" t="s">
        <v>967</v>
      </c>
      <c r="K37" s="766">
        <v>44536</v>
      </c>
      <c r="L37" s="766">
        <v>44536</v>
      </c>
      <c r="M37" s="37" t="s">
        <v>965</v>
      </c>
    </row>
    <row r="38" spans="1:16">
      <c r="B38" s="709">
        <v>40</v>
      </c>
      <c r="C38" s="710" t="s">
        <v>358</v>
      </c>
      <c r="D38" s="710" t="s">
        <v>874</v>
      </c>
      <c r="E38" s="710" t="s">
        <v>23</v>
      </c>
      <c r="F38" s="710"/>
      <c r="G38" s="710"/>
      <c r="H38" s="710">
        <v>12.17</v>
      </c>
      <c r="I38" s="711" t="s">
        <v>167</v>
      </c>
    </row>
    <row r="39" spans="1:16">
      <c r="B39" s="709">
        <v>41</v>
      </c>
      <c r="C39" s="710" t="s">
        <v>363</v>
      </c>
      <c r="D39" s="710" t="s">
        <v>875</v>
      </c>
      <c r="E39" s="710" t="s">
        <v>11</v>
      </c>
      <c r="F39" s="710" t="s">
        <v>381</v>
      </c>
      <c r="G39" s="710" t="s">
        <v>115</v>
      </c>
      <c r="H39" s="710">
        <v>36.04</v>
      </c>
      <c r="I39" s="711" t="s">
        <v>167</v>
      </c>
    </row>
    <row r="40" spans="1:16">
      <c r="B40" s="709">
        <v>42</v>
      </c>
      <c r="C40" s="710" t="s">
        <v>13</v>
      </c>
      <c r="D40" s="710" t="s">
        <v>876</v>
      </c>
      <c r="E40" s="710" t="s">
        <v>19</v>
      </c>
      <c r="F40" s="710" t="s">
        <v>382</v>
      </c>
      <c r="G40" s="710" t="s">
        <v>21</v>
      </c>
      <c r="H40" s="710">
        <v>24.9</v>
      </c>
      <c r="I40" s="711" t="s">
        <v>275</v>
      </c>
      <c r="M40" s="37" t="s">
        <v>980</v>
      </c>
    </row>
    <row r="41" spans="1:16">
      <c r="B41" s="709">
        <v>45</v>
      </c>
      <c r="C41" s="713" t="s">
        <v>13</v>
      </c>
      <c r="D41" s="713" t="s">
        <v>912</v>
      </c>
      <c r="E41" s="710" t="s">
        <v>19</v>
      </c>
      <c r="F41" s="713" t="s">
        <v>382</v>
      </c>
      <c r="G41" s="713" t="s">
        <v>21</v>
      </c>
      <c r="H41" s="713">
        <v>19</v>
      </c>
      <c r="I41" s="711" t="s">
        <v>71</v>
      </c>
      <c r="J41" s="766"/>
      <c r="K41" s="766">
        <v>44534</v>
      </c>
      <c r="L41" s="766">
        <v>44536</v>
      </c>
    </row>
    <row r="42" spans="1:16">
      <c r="A42" s="309">
        <v>44533</v>
      </c>
      <c r="B42" s="709">
        <v>44</v>
      </c>
      <c r="C42" s="710" t="s">
        <v>14</v>
      </c>
      <c r="D42" s="713" t="s">
        <v>923</v>
      </c>
      <c r="E42" s="713" t="s">
        <v>19</v>
      </c>
      <c r="F42" s="713" t="s">
        <v>911</v>
      </c>
      <c r="G42" s="713" t="s">
        <v>38</v>
      </c>
      <c r="H42" s="713">
        <v>14</v>
      </c>
      <c r="I42" s="714" t="s">
        <v>275</v>
      </c>
    </row>
    <row r="43" spans="1:16">
      <c r="A43" s="309">
        <v>44533</v>
      </c>
      <c r="B43" s="709">
        <v>46</v>
      </c>
      <c r="C43" s="713" t="s">
        <v>63</v>
      </c>
      <c r="D43" s="713" t="s">
        <v>891</v>
      </c>
      <c r="E43" s="713" t="s">
        <v>11</v>
      </c>
      <c r="F43" s="713" t="s">
        <v>838</v>
      </c>
      <c r="G43" s="713" t="s">
        <v>914</v>
      </c>
      <c r="H43" s="713">
        <v>25</v>
      </c>
      <c r="I43" s="714" t="s">
        <v>275</v>
      </c>
    </row>
    <row r="44" spans="1:16">
      <c r="A44" s="309">
        <v>44533</v>
      </c>
      <c r="B44" s="709">
        <v>47</v>
      </c>
      <c r="C44" s="713" t="s">
        <v>15</v>
      </c>
      <c r="D44" s="713" t="s">
        <v>948</v>
      </c>
      <c r="E44" s="713" t="s">
        <v>23</v>
      </c>
      <c r="F44" s="713" t="s">
        <v>910</v>
      </c>
      <c r="G44" s="713" t="s">
        <v>949</v>
      </c>
      <c r="H44" s="713">
        <v>7</v>
      </c>
      <c r="I44" s="714" t="s">
        <v>287</v>
      </c>
      <c r="J44" s="766">
        <v>44534</v>
      </c>
      <c r="K44" s="766"/>
      <c r="L44" s="766"/>
      <c r="M44" s="766"/>
    </row>
    <row r="45" spans="1:16">
      <c r="A45" s="309">
        <v>44533</v>
      </c>
      <c r="B45" s="709">
        <v>48</v>
      </c>
      <c r="C45" s="713" t="s">
        <v>15</v>
      </c>
      <c r="D45" s="713" t="s">
        <v>937</v>
      </c>
      <c r="E45" s="713" t="s">
        <v>23</v>
      </c>
      <c r="F45" s="713" t="s">
        <v>910</v>
      </c>
      <c r="G45" s="713"/>
      <c r="H45" s="713">
        <v>8</v>
      </c>
      <c r="I45" s="714" t="s">
        <v>287</v>
      </c>
      <c r="M45" s="37" t="s">
        <v>950</v>
      </c>
    </row>
    <row r="46" spans="1:16">
      <c r="A46" s="309">
        <v>44533</v>
      </c>
      <c r="B46" s="709">
        <v>49</v>
      </c>
      <c r="C46" s="713" t="s">
        <v>22</v>
      </c>
      <c r="D46" s="713" t="s">
        <v>919</v>
      </c>
      <c r="E46" s="713" t="s">
        <v>24</v>
      </c>
      <c r="F46" s="713" t="s">
        <v>927</v>
      </c>
      <c r="G46" s="713" t="s">
        <v>38</v>
      </c>
      <c r="H46" s="713">
        <v>6</v>
      </c>
      <c r="I46" s="714" t="s">
        <v>341</v>
      </c>
      <c r="K46" s="766">
        <v>44537</v>
      </c>
      <c r="L46" s="766">
        <v>44537</v>
      </c>
    </row>
    <row r="47" spans="1:16">
      <c r="A47" s="309">
        <v>44533</v>
      </c>
      <c r="B47" s="709">
        <v>50</v>
      </c>
      <c r="C47" s="713" t="s">
        <v>22</v>
      </c>
      <c r="D47" s="713" t="s">
        <v>920</v>
      </c>
      <c r="E47" s="713" t="s">
        <v>24</v>
      </c>
      <c r="F47" s="713" t="s">
        <v>30</v>
      </c>
      <c r="G47" s="713" t="s">
        <v>38</v>
      </c>
      <c r="H47" s="713">
        <v>7</v>
      </c>
      <c r="I47" s="714" t="s">
        <v>275</v>
      </c>
      <c r="K47" s="766">
        <v>44534</v>
      </c>
      <c r="L47" s="766">
        <v>44534</v>
      </c>
    </row>
    <row r="48" spans="1:16" ht="15.75" thickBot="1">
      <c r="A48" s="309">
        <v>44533</v>
      </c>
      <c r="B48" s="717">
        <v>51</v>
      </c>
      <c r="C48" s="715" t="s">
        <v>25</v>
      </c>
      <c r="D48" s="715" t="s">
        <v>925</v>
      </c>
      <c r="E48" s="715" t="s">
        <v>23</v>
      </c>
      <c r="F48" s="715" t="s">
        <v>777</v>
      </c>
      <c r="G48" s="715" t="s">
        <v>975</v>
      </c>
      <c r="H48" s="715">
        <v>8</v>
      </c>
      <c r="I48" s="716" t="s">
        <v>815</v>
      </c>
      <c r="J48" s="766">
        <v>44536</v>
      </c>
    </row>
    <row r="49" spans="1:13">
      <c r="A49" s="309">
        <v>44533</v>
      </c>
      <c r="B49" s="709">
        <v>52</v>
      </c>
      <c r="C49" s="1" t="s">
        <v>14</v>
      </c>
      <c r="D49" s="1" t="s">
        <v>922</v>
      </c>
      <c r="E49" s="1" t="s">
        <v>19</v>
      </c>
      <c r="F49" s="1" t="s">
        <v>382</v>
      </c>
      <c r="G49" s="1" t="s">
        <v>115</v>
      </c>
      <c r="H49" s="1">
        <v>15</v>
      </c>
      <c r="I49" s="714" t="s">
        <v>287</v>
      </c>
      <c r="M49" s="37" t="s">
        <v>981</v>
      </c>
    </row>
    <row r="50" spans="1:13" ht="15.75" thickBot="1">
      <c r="A50" s="309">
        <v>44533</v>
      </c>
      <c r="B50" s="717">
        <v>53</v>
      </c>
      <c r="C50" s="1" t="s">
        <v>10</v>
      </c>
      <c r="D50" s="1" t="s">
        <v>944</v>
      </c>
      <c r="E50" s="1" t="s">
        <v>19</v>
      </c>
      <c r="F50" s="1" t="s">
        <v>924</v>
      </c>
      <c r="H50" s="1">
        <v>18</v>
      </c>
      <c r="I50" s="714" t="s">
        <v>287</v>
      </c>
      <c r="J50" s="766">
        <v>44534</v>
      </c>
      <c r="K50" s="766"/>
      <c r="L50" s="766"/>
      <c r="M50" s="766"/>
    </row>
    <row r="51" spans="1:13">
      <c r="A51" s="309">
        <v>44533</v>
      </c>
      <c r="B51" s="709">
        <v>54</v>
      </c>
      <c r="C51" s="1" t="s">
        <v>22</v>
      </c>
      <c r="D51" s="1" t="s">
        <v>955</v>
      </c>
      <c r="E51" s="1" t="s">
        <v>19</v>
      </c>
      <c r="F51" s="1" t="s">
        <v>828</v>
      </c>
      <c r="G51" s="1" t="s">
        <v>956</v>
      </c>
      <c r="H51" s="1">
        <v>18</v>
      </c>
      <c r="I51" s="714" t="s">
        <v>275</v>
      </c>
      <c r="K51" s="766">
        <v>44536</v>
      </c>
      <c r="L51" s="766">
        <v>44536</v>
      </c>
    </row>
    <row r="52" spans="1:13" ht="15.75" thickBot="1">
      <c r="A52" s="309">
        <v>44533</v>
      </c>
      <c r="B52" s="717">
        <v>55</v>
      </c>
      <c r="C52" s="1" t="s">
        <v>22</v>
      </c>
      <c r="D52" s="1" t="s">
        <v>926</v>
      </c>
      <c r="E52" s="1" t="s">
        <v>19</v>
      </c>
      <c r="F52" s="1" t="s">
        <v>382</v>
      </c>
      <c r="G52" s="1" t="s">
        <v>115</v>
      </c>
      <c r="I52" s="714" t="s">
        <v>275</v>
      </c>
      <c r="M52" s="37" t="s">
        <v>957</v>
      </c>
    </row>
    <row r="53" spans="1:13">
      <c r="A53" s="309">
        <v>44534</v>
      </c>
      <c r="B53" s="709">
        <v>56</v>
      </c>
      <c r="C53" s="1" t="s">
        <v>13</v>
      </c>
      <c r="D53" s="1" t="s">
        <v>100</v>
      </c>
      <c r="E53" s="1" t="s">
        <v>19</v>
      </c>
      <c r="F53" s="1" t="s">
        <v>48</v>
      </c>
      <c r="G53" s="1" t="s">
        <v>21</v>
      </c>
      <c r="H53" s="1">
        <v>20</v>
      </c>
      <c r="I53" s="714" t="s">
        <v>287</v>
      </c>
      <c r="J53" s="766">
        <v>44534</v>
      </c>
    </row>
    <row r="54" spans="1:13" ht="15.75" thickBot="1">
      <c r="A54" s="309">
        <v>44534</v>
      </c>
      <c r="B54" s="717">
        <v>57</v>
      </c>
      <c r="C54" s="713" t="s">
        <v>15</v>
      </c>
      <c r="D54" s="1" t="s">
        <v>929</v>
      </c>
      <c r="E54" s="1" t="s">
        <v>19</v>
      </c>
      <c r="F54" s="1" t="s">
        <v>20</v>
      </c>
      <c r="G54" s="1" t="s">
        <v>930</v>
      </c>
      <c r="H54" s="1">
        <v>20</v>
      </c>
      <c r="I54" s="714" t="s">
        <v>287</v>
      </c>
      <c r="J54" s="766">
        <v>44534</v>
      </c>
      <c r="K54" s="766"/>
      <c r="L54" s="766"/>
      <c r="M54" s="766"/>
    </row>
    <row r="55" spans="1:13">
      <c r="A55" s="309">
        <v>44534</v>
      </c>
      <c r="B55" s="709">
        <v>58</v>
      </c>
      <c r="C55" s="713" t="s">
        <v>15</v>
      </c>
      <c r="D55" s="1" t="s">
        <v>929</v>
      </c>
      <c r="E55" s="1" t="s">
        <v>19</v>
      </c>
      <c r="F55" s="1" t="s">
        <v>20</v>
      </c>
      <c r="G55" s="1" t="s">
        <v>930</v>
      </c>
      <c r="H55" s="1">
        <v>20</v>
      </c>
      <c r="I55" s="714" t="s">
        <v>287</v>
      </c>
      <c r="J55" s="766">
        <v>44534</v>
      </c>
      <c r="K55" s="766"/>
      <c r="L55" s="766"/>
      <c r="M55" s="766"/>
    </row>
    <row r="56" spans="1:13" ht="15.75" thickBot="1">
      <c r="A56" s="309">
        <v>44534</v>
      </c>
      <c r="B56" s="717">
        <v>59</v>
      </c>
      <c r="C56" s="713" t="s">
        <v>15</v>
      </c>
      <c r="D56" s="1" t="s">
        <v>929</v>
      </c>
      <c r="E56" s="1" t="s">
        <v>19</v>
      </c>
      <c r="F56" s="1" t="s">
        <v>20</v>
      </c>
      <c r="G56" s="1" t="s">
        <v>930</v>
      </c>
      <c r="H56" s="1">
        <v>20</v>
      </c>
      <c r="I56" s="714" t="s">
        <v>287</v>
      </c>
      <c r="J56" s="766">
        <v>44534</v>
      </c>
      <c r="K56" s="766"/>
      <c r="L56" s="766"/>
      <c r="M56" s="766"/>
    </row>
    <row r="57" spans="1:13">
      <c r="A57" s="309">
        <v>44534</v>
      </c>
      <c r="B57" s="709">
        <v>60</v>
      </c>
      <c r="C57" s="713" t="s">
        <v>15</v>
      </c>
      <c r="D57" s="1" t="s">
        <v>929</v>
      </c>
      <c r="E57" s="1" t="s">
        <v>24</v>
      </c>
      <c r="F57" s="1" t="s">
        <v>57</v>
      </c>
      <c r="G57" s="1" t="s">
        <v>21</v>
      </c>
      <c r="H57" s="1">
        <v>7</v>
      </c>
      <c r="I57" s="714" t="s">
        <v>287</v>
      </c>
      <c r="J57" s="766">
        <v>44534</v>
      </c>
      <c r="K57" s="766"/>
      <c r="L57" s="766"/>
      <c r="M57" s="766"/>
    </row>
    <row r="58" spans="1:13" ht="15.75" thickBot="1">
      <c r="A58" s="309">
        <v>44534</v>
      </c>
      <c r="B58" s="717">
        <v>61</v>
      </c>
      <c r="C58" s="1" t="s">
        <v>340</v>
      </c>
      <c r="D58" s="1" t="s">
        <v>960</v>
      </c>
      <c r="E58" s="1" t="s">
        <v>24</v>
      </c>
      <c r="F58" s="1" t="s">
        <v>961</v>
      </c>
      <c r="G58" s="1" t="s">
        <v>60</v>
      </c>
      <c r="H58" s="1">
        <v>6</v>
      </c>
      <c r="I58" s="714" t="s">
        <v>287</v>
      </c>
      <c r="J58" s="766">
        <v>44534</v>
      </c>
    </row>
    <row r="59" spans="1:13" ht="15.75" thickBot="1">
      <c r="C59" s="1" t="s">
        <v>25</v>
      </c>
      <c r="D59" s="1" t="s">
        <v>968</v>
      </c>
      <c r="E59" s="1" t="s">
        <v>19</v>
      </c>
      <c r="F59" s="1" t="s">
        <v>27</v>
      </c>
      <c r="G59" s="1" t="s">
        <v>389</v>
      </c>
      <c r="H59" s="1">
        <v>16</v>
      </c>
      <c r="I59" s="716" t="s">
        <v>815</v>
      </c>
    </row>
    <row r="60" spans="1:13" ht="15.75" thickBot="1">
      <c r="C60" s="1" t="s">
        <v>25</v>
      </c>
      <c r="D60" s="1" t="s">
        <v>969</v>
      </c>
      <c r="E60" s="1" t="s">
        <v>19</v>
      </c>
      <c r="F60" s="1" t="s">
        <v>116</v>
      </c>
      <c r="G60" s="1" t="s">
        <v>21</v>
      </c>
      <c r="H60" s="1">
        <v>18</v>
      </c>
      <c r="I60" s="716" t="s">
        <v>815</v>
      </c>
    </row>
    <row r="61" spans="1:13">
      <c r="C61" s="710" t="s">
        <v>17</v>
      </c>
      <c r="D61" s="1" t="s">
        <v>983</v>
      </c>
      <c r="E61" s="1" t="s">
        <v>24</v>
      </c>
      <c r="F61" s="1" t="s">
        <v>57</v>
      </c>
      <c r="H61" s="1">
        <v>7.5</v>
      </c>
      <c r="I61" s="1" t="s">
        <v>815</v>
      </c>
      <c r="J61" s="766">
        <v>44536</v>
      </c>
    </row>
    <row r="62" spans="1:13">
      <c r="C62" s="710" t="s">
        <v>17</v>
      </c>
      <c r="D62" s="1" t="s">
        <v>982</v>
      </c>
      <c r="E62" s="1" t="s">
        <v>19</v>
      </c>
      <c r="H62" s="1">
        <v>18</v>
      </c>
      <c r="I62" s="1" t="s">
        <v>967</v>
      </c>
      <c r="J62" s="766">
        <v>44536</v>
      </c>
    </row>
    <row r="63" spans="1:13">
      <c r="C63" s="710" t="s">
        <v>17</v>
      </c>
      <c r="D63" s="1" t="s">
        <v>386</v>
      </c>
      <c r="E63" s="1" t="s">
        <v>24</v>
      </c>
      <c r="F63" s="1" t="s">
        <v>57</v>
      </c>
      <c r="G63" s="1" t="s">
        <v>21</v>
      </c>
      <c r="H63" s="1">
        <v>7.5</v>
      </c>
      <c r="I63" s="1" t="s">
        <v>967</v>
      </c>
      <c r="J63" s="766">
        <v>44536</v>
      </c>
    </row>
    <row r="64" spans="1:13">
      <c r="D64" s="1" t="s">
        <v>986</v>
      </c>
    </row>
    <row r="71" spans="9:10">
      <c r="I71" s="1" t="s">
        <v>726</v>
      </c>
      <c r="J71" s="37" t="s">
        <v>725</v>
      </c>
    </row>
    <row r="72" spans="9:10">
      <c r="I72" s="1">
        <v>115</v>
      </c>
    </row>
    <row r="73" spans="9:10">
      <c r="I73" s="1">
        <v>187</v>
      </c>
    </row>
    <row r="74" spans="9:10">
      <c r="I74" s="1">
        <f>SUBTOTAL(9,I72:I73)</f>
        <v>302</v>
      </c>
      <c r="J74" s="37">
        <v>235</v>
      </c>
    </row>
    <row r="75" spans="9:10">
      <c r="I75" s="1">
        <v>170</v>
      </c>
    </row>
  </sheetData>
  <mergeCells count="6">
    <mergeCell ref="N2:T2"/>
    <mergeCell ref="N3:N5"/>
    <mergeCell ref="O3:P3"/>
    <mergeCell ref="Q3:R4"/>
    <mergeCell ref="S3:T4"/>
    <mergeCell ref="O4:P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workbookViewId="0">
      <selection activeCell="F1" sqref="F1"/>
    </sheetView>
  </sheetViews>
  <sheetFormatPr defaultColWidth="11.42578125" defaultRowHeight="15"/>
  <cols>
    <col min="1" max="1" width="8.85546875" customWidth="1"/>
    <col min="2" max="2" width="10.42578125" bestFit="1" customWidth="1"/>
    <col min="3" max="3" width="7.7109375" bestFit="1" customWidth="1"/>
    <col min="4" max="4" width="9.42578125" bestFit="1" customWidth="1"/>
    <col min="5" max="5" width="25.140625" bestFit="1" customWidth="1"/>
    <col min="6" max="6" width="8.7109375" bestFit="1" customWidth="1"/>
    <col min="7" max="7" width="9" bestFit="1" customWidth="1"/>
    <col min="8" max="8" width="6.42578125" bestFit="1" customWidth="1"/>
    <col min="9" max="9" width="8.140625" bestFit="1" customWidth="1"/>
    <col min="10" max="10" width="15.28515625" customWidth="1"/>
    <col min="11" max="11" width="23.42578125" bestFit="1" customWidth="1"/>
    <col min="12" max="256" width="8.85546875" customWidth="1"/>
  </cols>
  <sheetData>
    <row r="1" spans="2:11" ht="15.75">
      <c r="B1" s="101" t="s">
        <v>43</v>
      </c>
      <c r="C1" s="101" t="s">
        <v>1</v>
      </c>
      <c r="D1" s="101" t="s">
        <v>2</v>
      </c>
      <c r="E1" s="101" t="s">
        <v>3</v>
      </c>
      <c r="F1" s="101" t="s">
        <v>4</v>
      </c>
      <c r="G1" s="101" t="s">
        <v>7</v>
      </c>
      <c r="H1" s="80" t="s">
        <v>5</v>
      </c>
      <c r="I1" s="80" t="s">
        <v>6</v>
      </c>
      <c r="J1" s="77" t="s">
        <v>75</v>
      </c>
    </row>
    <row r="2" spans="2:11">
      <c r="B2" s="2"/>
      <c r="C2" s="2" t="s">
        <v>9</v>
      </c>
      <c r="D2" s="2" t="s">
        <v>15</v>
      </c>
      <c r="E2" s="2" t="s">
        <v>16</v>
      </c>
      <c r="F2" s="2" t="s">
        <v>19</v>
      </c>
      <c r="G2" s="3">
        <v>25</v>
      </c>
      <c r="H2" s="3"/>
      <c r="I2" s="3"/>
      <c r="J2" s="2" t="s">
        <v>12</v>
      </c>
      <c r="K2" s="8" t="s">
        <v>178</v>
      </c>
    </row>
    <row r="3" spans="2:11">
      <c r="B3" s="2"/>
      <c r="C3" s="2" t="s">
        <v>9</v>
      </c>
      <c r="D3" s="2" t="s">
        <v>15</v>
      </c>
      <c r="E3" s="2" t="s">
        <v>18</v>
      </c>
      <c r="F3" s="2" t="s">
        <v>19</v>
      </c>
      <c r="G3" s="3">
        <v>18</v>
      </c>
      <c r="H3" s="3"/>
      <c r="I3" s="3"/>
      <c r="J3" s="2" t="s">
        <v>12</v>
      </c>
      <c r="K3" s="8" t="s">
        <v>179</v>
      </c>
    </row>
    <row r="4" spans="2:11">
      <c r="B4" s="2"/>
      <c r="C4" s="2" t="s">
        <v>36</v>
      </c>
      <c r="D4" s="5" t="s">
        <v>13</v>
      </c>
      <c r="E4" s="5" t="s">
        <v>40</v>
      </c>
      <c r="F4" s="5" t="s">
        <v>19</v>
      </c>
      <c r="G4" s="113">
        <v>12</v>
      </c>
      <c r="H4" s="5" t="s">
        <v>48</v>
      </c>
      <c r="I4" s="5" t="s">
        <v>124</v>
      </c>
      <c r="J4" s="2" t="s">
        <v>71</v>
      </c>
      <c r="K4" s="8" t="s">
        <v>172</v>
      </c>
    </row>
    <row r="5" spans="2:11">
      <c r="B5" s="2"/>
      <c r="C5" s="2" t="s">
        <v>36</v>
      </c>
      <c r="D5" s="5" t="s">
        <v>13</v>
      </c>
      <c r="E5" s="5" t="s">
        <v>54</v>
      </c>
      <c r="F5" s="5" t="s">
        <v>19</v>
      </c>
      <c r="G5" s="113">
        <v>19</v>
      </c>
      <c r="H5" s="5"/>
      <c r="I5" s="5"/>
      <c r="J5" s="2" t="s">
        <v>12</v>
      </c>
      <c r="K5" s="8" t="s">
        <v>53</v>
      </c>
    </row>
    <row r="6" spans="2:11">
      <c r="B6" s="10">
        <v>44264</v>
      </c>
      <c r="C6" s="2" t="s">
        <v>36</v>
      </c>
      <c r="D6" s="5" t="s">
        <v>10</v>
      </c>
      <c r="E6" s="5" t="s">
        <v>45</v>
      </c>
      <c r="F6" s="5" t="s">
        <v>19</v>
      </c>
      <c r="G6" s="5">
        <v>20</v>
      </c>
      <c r="H6" s="5"/>
      <c r="I6" s="5"/>
      <c r="J6" s="2" t="s">
        <v>12</v>
      </c>
      <c r="K6" s="9" t="s">
        <v>172</v>
      </c>
    </row>
    <row r="7" spans="2:11">
      <c r="B7" s="10">
        <v>44270</v>
      </c>
      <c r="C7" s="2" t="s">
        <v>36</v>
      </c>
      <c r="D7" s="5" t="s">
        <v>15</v>
      </c>
      <c r="E7" s="5" t="s">
        <v>72</v>
      </c>
      <c r="F7" s="5" t="s">
        <v>19</v>
      </c>
      <c r="G7" s="113">
        <v>18</v>
      </c>
      <c r="H7" s="5" t="s">
        <v>59</v>
      </c>
      <c r="I7" s="5" t="s">
        <v>118</v>
      </c>
      <c r="J7" s="2" t="s">
        <v>12</v>
      </c>
      <c r="K7" s="9" t="s">
        <v>182</v>
      </c>
    </row>
    <row r="8" spans="2:11">
      <c r="B8" s="10">
        <v>44270</v>
      </c>
      <c r="C8" s="2" t="s">
        <v>36</v>
      </c>
      <c r="D8" s="5" t="s">
        <v>15</v>
      </c>
      <c r="E8" s="5" t="s">
        <v>206</v>
      </c>
      <c r="F8" s="5" t="s">
        <v>11</v>
      </c>
      <c r="G8" s="113">
        <v>28</v>
      </c>
      <c r="H8" s="5"/>
      <c r="I8" s="5"/>
      <c r="J8" s="2" t="s">
        <v>12</v>
      </c>
      <c r="K8" s="9" t="s">
        <v>182</v>
      </c>
    </row>
    <row r="9" spans="2:11">
      <c r="B9" s="10">
        <v>44279</v>
      </c>
      <c r="C9" s="2" t="s">
        <v>36</v>
      </c>
      <c r="D9" s="5" t="s">
        <v>15</v>
      </c>
      <c r="E9" s="5" t="s">
        <v>105</v>
      </c>
      <c r="F9" s="5" t="s">
        <v>19</v>
      </c>
      <c r="G9" s="113">
        <v>18</v>
      </c>
      <c r="H9" s="5"/>
      <c r="I9" s="5"/>
      <c r="J9" s="2" t="s">
        <v>12</v>
      </c>
      <c r="K9" s="8" t="s">
        <v>179</v>
      </c>
    </row>
    <row r="10" spans="2:11">
      <c r="B10" s="10">
        <v>44273</v>
      </c>
      <c r="C10" s="2" t="s">
        <v>36</v>
      </c>
      <c r="D10" s="5" t="s">
        <v>15</v>
      </c>
      <c r="E10" s="5" t="s">
        <v>79</v>
      </c>
      <c r="F10" s="5" t="s">
        <v>19</v>
      </c>
      <c r="G10" s="113">
        <v>15</v>
      </c>
      <c r="H10" s="5"/>
      <c r="I10" s="5"/>
      <c r="J10" s="2" t="s">
        <v>12</v>
      </c>
      <c r="K10" s="9" t="s">
        <v>179</v>
      </c>
    </row>
    <row r="11" spans="2:11">
      <c r="B11" s="10">
        <v>44274</v>
      </c>
      <c r="C11" s="2" t="s">
        <v>36</v>
      </c>
      <c r="D11" s="5" t="s">
        <v>14</v>
      </c>
      <c r="E11" s="2" t="s">
        <v>92</v>
      </c>
      <c r="F11" s="5" t="s">
        <v>19</v>
      </c>
      <c r="G11" s="113">
        <v>20</v>
      </c>
      <c r="H11" s="5"/>
      <c r="I11" s="5"/>
      <c r="J11" s="2" t="s">
        <v>12</v>
      </c>
      <c r="K11" s="8" t="s">
        <v>53</v>
      </c>
    </row>
    <row r="12" spans="2:11">
      <c r="B12" s="70">
        <v>44277</v>
      </c>
      <c r="C12" s="2" t="s">
        <v>36</v>
      </c>
      <c r="D12" s="5" t="s">
        <v>13</v>
      </c>
      <c r="E12" s="4" t="s">
        <v>100</v>
      </c>
      <c r="F12" s="4" t="s">
        <v>11</v>
      </c>
      <c r="G12" s="71">
        <v>25</v>
      </c>
      <c r="H12" s="71"/>
      <c r="I12" s="71"/>
      <c r="J12" s="2" t="s">
        <v>12</v>
      </c>
      <c r="K12" s="9" t="s">
        <v>186</v>
      </c>
    </row>
    <row r="13" spans="2:11">
      <c r="B13" s="10">
        <v>44280</v>
      </c>
      <c r="C13" s="2" t="s">
        <v>36</v>
      </c>
      <c r="D13" s="5" t="s">
        <v>10</v>
      </c>
      <c r="E13" s="5" t="s">
        <v>122</v>
      </c>
      <c r="F13" s="5" t="s">
        <v>19</v>
      </c>
      <c r="G13" s="5">
        <v>17</v>
      </c>
      <c r="H13" s="5"/>
      <c r="I13" s="5"/>
      <c r="J13" s="2" t="s">
        <v>12</v>
      </c>
      <c r="K13" s="8" t="s">
        <v>176</v>
      </c>
    </row>
    <row r="14" spans="2:11">
      <c r="B14" s="10">
        <v>44281</v>
      </c>
      <c r="C14" s="2" t="s">
        <v>36</v>
      </c>
      <c r="D14" s="5" t="s">
        <v>10</v>
      </c>
      <c r="E14" s="5" t="s">
        <v>108</v>
      </c>
      <c r="F14" s="5" t="s">
        <v>19</v>
      </c>
      <c r="G14" s="113">
        <v>15</v>
      </c>
      <c r="H14" s="5"/>
      <c r="I14" s="5"/>
      <c r="J14" s="2" t="s">
        <v>12</v>
      </c>
      <c r="K14" s="8" t="s">
        <v>53</v>
      </c>
    </row>
    <row r="15" spans="2:11">
      <c r="B15" s="10">
        <v>44281</v>
      </c>
      <c r="C15" s="2" t="s">
        <v>36</v>
      </c>
      <c r="D15" s="5" t="s">
        <v>10</v>
      </c>
      <c r="E15" s="5" t="s">
        <v>109</v>
      </c>
      <c r="F15" s="5" t="s">
        <v>19</v>
      </c>
      <c r="G15" s="113">
        <v>15</v>
      </c>
      <c r="H15" s="5"/>
      <c r="I15" s="5"/>
      <c r="J15" s="2" t="s">
        <v>12</v>
      </c>
      <c r="K15" s="9" t="s">
        <v>177</v>
      </c>
    </row>
    <row r="16" spans="2:11">
      <c r="B16" s="10">
        <v>44281</v>
      </c>
      <c r="C16" s="2" t="s">
        <v>36</v>
      </c>
      <c r="D16" s="5" t="s">
        <v>25</v>
      </c>
      <c r="E16" s="5" t="s">
        <v>113</v>
      </c>
      <c r="F16" s="5" t="s">
        <v>19</v>
      </c>
      <c r="G16" s="113">
        <v>20</v>
      </c>
      <c r="H16" s="5" t="s">
        <v>132</v>
      </c>
      <c r="I16" s="5" t="s">
        <v>133</v>
      </c>
      <c r="J16" s="2" t="s">
        <v>71</v>
      </c>
      <c r="K16" s="8" t="s">
        <v>130</v>
      </c>
    </row>
    <row r="18" spans="2:12">
      <c r="B18" s="10">
        <v>44281</v>
      </c>
      <c r="C18" s="2" t="s">
        <v>36</v>
      </c>
      <c r="D18" s="5" t="s">
        <v>17</v>
      </c>
      <c r="E18" s="5" t="s">
        <v>111</v>
      </c>
      <c r="F18" s="5" t="s">
        <v>23</v>
      </c>
      <c r="G18" s="113">
        <v>10</v>
      </c>
      <c r="H18" s="5"/>
      <c r="I18" s="5"/>
      <c r="J18" s="2" t="s">
        <v>12</v>
      </c>
      <c r="K18" t="s">
        <v>178</v>
      </c>
    </row>
    <row r="19" spans="2:12">
      <c r="B19" s="10">
        <v>44279</v>
      </c>
      <c r="C19" s="2" t="s">
        <v>36</v>
      </c>
      <c r="D19" s="5" t="s">
        <v>17</v>
      </c>
      <c r="E19" s="5" t="s">
        <v>103</v>
      </c>
      <c r="F19" s="5" t="s">
        <v>23</v>
      </c>
      <c r="G19" s="113" t="s">
        <v>37</v>
      </c>
      <c r="H19" s="4" t="s">
        <v>51</v>
      </c>
      <c r="I19" s="5">
        <v>9</v>
      </c>
      <c r="J19" s="2" t="s">
        <v>12</v>
      </c>
      <c r="K19" s="5"/>
      <c r="L19" s="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AD92"/>
  <sheetViews>
    <sheetView showGridLines="0" workbookViewId="0">
      <selection activeCell="B96" sqref="B96"/>
    </sheetView>
  </sheetViews>
  <sheetFormatPr defaultColWidth="11.42578125" defaultRowHeight="15"/>
  <cols>
    <col min="1" max="2" width="8.85546875" customWidth="1"/>
    <col min="3" max="3" width="11.42578125" bestFit="1" customWidth="1"/>
    <col min="4" max="4" width="9.140625" style="1" customWidth="1"/>
    <col min="5" max="5" width="9.42578125" style="1" bestFit="1" customWidth="1"/>
    <col min="6" max="6" width="27.42578125" style="1" bestFit="1" customWidth="1"/>
    <col min="7" max="7" width="9.140625" style="1" customWidth="1"/>
    <col min="8" max="9" width="11.42578125" style="1" hidden="1" customWidth="1"/>
    <col min="10" max="10" width="9" style="1" bestFit="1" customWidth="1"/>
    <col min="11" max="12" width="9" style="1" customWidth="1"/>
    <col min="13" max="13" width="26.85546875" style="1" bestFit="1" customWidth="1"/>
    <col min="14" max="14" width="20.140625" style="8" bestFit="1" customWidth="1"/>
    <col min="15" max="15" width="11" bestFit="1" customWidth="1"/>
    <col min="16" max="16" width="10.7109375" bestFit="1" customWidth="1"/>
    <col min="17" max="17" width="8.85546875" customWidth="1"/>
    <col min="18" max="18" width="11.28515625" customWidth="1"/>
    <col min="19" max="19" width="10.42578125" customWidth="1"/>
    <col min="20" max="20" width="1" customWidth="1"/>
    <col min="21" max="21" width="11.7109375" customWidth="1"/>
    <col min="22" max="22" width="11.7109375" hidden="1" customWidth="1"/>
    <col min="23" max="23" width="20" customWidth="1"/>
    <col min="24" max="24" width="10.7109375" hidden="1" customWidth="1"/>
    <col min="25" max="25" width="9.85546875" customWidth="1"/>
    <col min="26" max="26" width="10.7109375" hidden="1" customWidth="1"/>
    <col min="27" max="27" width="9.140625" customWidth="1"/>
    <col min="28" max="28" width="9.140625" hidden="1" customWidth="1"/>
    <col min="29" max="29" width="10.140625" customWidth="1"/>
    <col min="30" max="30" width="0.140625" customWidth="1"/>
    <col min="31" max="256" width="8.85546875" customWidth="1"/>
  </cols>
  <sheetData>
    <row r="1" spans="2:30" ht="15.75" thickBot="1"/>
    <row r="2" spans="2:30" ht="16.5" thickBot="1">
      <c r="B2" s="775" t="s">
        <v>127</v>
      </c>
      <c r="C2" s="776"/>
      <c r="D2" s="776"/>
      <c r="E2" s="776"/>
      <c r="F2" s="776"/>
      <c r="G2" s="776"/>
      <c r="H2" s="776"/>
      <c r="I2" s="776"/>
      <c r="J2" s="776"/>
      <c r="K2" s="776"/>
      <c r="L2" s="776"/>
      <c r="M2" s="777"/>
      <c r="P2" s="775" t="s">
        <v>163</v>
      </c>
      <c r="Q2" s="776"/>
      <c r="R2" s="776"/>
      <c r="S2" s="776"/>
      <c r="T2" s="776"/>
      <c r="U2" s="776"/>
      <c r="V2" s="776"/>
      <c r="W2" s="776"/>
      <c r="X2" s="776"/>
      <c r="Y2" s="776"/>
      <c r="Z2" s="776"/>
      <c r="AA2" s="776"/>
      <c r="AB2" s="776"/>
      <c r="AC2" s="777"/>
      <c r="AD2" s="82"/>
    </row>
    <row r="3" spans="2:30" s="37" customFormat="1" ht="51" customHeight="1" thickBot="1">
      <c r="B3" s="100" t="s">
        <v>0</v>
      </c>
      <c r="C3" s="101" t="s">
        <v>43</v>
      </c>
      <c r="D3" s="101" t="s">
        <v>1</v>
      </c>
      <c r="E3" s="101" t="s">
        <v>2</v>
      </c>
      <c r="F3" s="101" t="s">
        <v>3</v>
      </c>
      <c r="G3" s="101" t="s">
        <v>4</v>
      </c>
      <c r="H3" s="101" t="s">
        <v>5</v>
      </c>
      <c r="I3" s="101" t="s">
        <v>6</v>
      </c>
      <c r="J3" s="101" t="s">
        <v>7</v>
      </c>
      <c r="K3" s="80" t="s">
        <v>5</v>
      </c>
      <c r="L3" s="80" t="s">
        <v>6</v>
      </c>
      <c r="M3" s="77" t="s">
        <v>75</v>
      </c>
      <c r="N3" s="37" t="s">
        <v>56</v>
      </c>
      <c r="P3" s="75" t="s">
        <v>2</v>
      </c>
      <c r="Q3" s="61" t="s">
        <v>128</v>
      </c>
      <c r="R3" s="62" t="s">
        <v>129</v>
      </c>
      <c r="S3" s="63" t="s">
        <v>95</v>
      </c>
      <c r="T3" s="23"/>
      <c r="U3" s="64" t="s">
        <v>125</v>
      </c>
      <c r="V3" s="64" t="s">
        <v>97</v>
      </c>
      <c r="W3" s="65" t="s">
        <v>98</v>
      </c>
      <c r="X3" s="65" t="s">
        <v>97</v>
      </c>
      <c r="Y3" s="66" t="s">
        <v>47</v>
      </c>
      <c r="Z3" s="66" t="s">
        <v>97</v>
      </c>
      <c r="AA3" s="67" t="s">
        <v>96</v>
      </c>
      <c r="AB3" s="72" t="s">
        <v>97</v>
      </c>
      <c r="AC3" s="81" t="s">
        <v>126</v>
      </c>
      <c r="AD3" s="83"/>
    </row>
    <row r="4" spans="2:30" hidden="1">
      <c r="B4" s="2">
        <v>1</v>
      </c>
      <c r="C4" s="2"/>
      <c r="D4" s="2" t="s">
        <v>9</v>
      </c>
      <c r="E4" s="2" t="s">
        <v>15</v>
      </c>
      <c r="F4" s="2" t="s">
        <v>16</v>
      </c>
      <c r="G4" s="2" t="s">
        <v>19</v>
      </c>
      <c r="H4" s="2" t="s">
        <v>59</v>
      </c>
      <c r="I4" s="2" t="s">
        <v>28</v>
      </c>
      <c r="J4" s="3">
        <v>25</v>
      </c>
      <c r="K4" s="3"/>
      <c r="L4" s="3"/>
      <c r="M4" s="2" t="s">
        <v>12</v>
      </c>
      <c r="N4" s="8" t="s">
        <v>178</v>
      </c>
      <c r="P4" s="54" t="s">
        <v>13</v>
      </c>
      <c r="Q4" s="99">
        <f t="shared" ref="Q4:Q12" si="0">COUNTIFS($E:$E,$P4,$D:$D,"Mar")+COUNTIFS($E:$E,$P4,$D:$D,"Feb")</f>
        <v>6</v>
      </c>
      <c r="R4" s="55">
        <f t="shared" ref="R4:R12" si="1">COUNTIFS($E:$E,$P4,$D:$D,"Apr")</f>
        <v>4</v>
      </c>
      <c r="S4" s="56"/>
      <c r="T4" s="22"/>
      <c r="U4" s="57">
        <f t="shared" ref="U4:U12" si="2">SUMIFS($J:$J,$E:$E,$P4,$M:$M,"Login done ")</f>
        <v>157.80000000000001</v>
      </c>
      <c r="V4" s="57">
        <f t="shared" ref="V4:V12" si="3">COUNTIFS($E:$E,$P4,$M:$M,"Login done ")</f>
        <v>8</v>
      </c>
      <c r="W4" s="58">
        <f t="shared" ref="W4:W12" si="4">SUMIFS($J:$J,$E:$E,$P4,$M:$M,"Login Today")</f>
        <v>11</v>
      </c>
      <c r="X4" s="58">
        <f t="shared" ref="X4:X12" si="5">COUNTIFS($E:$E,$P4,$M:$M,"Login Today")</f>
        <v>1</v>
      </c>
      <c r="Y4" s="59">
        <f t="shared" ref="Y4:Y12" si="6">SUMIFS($J:$J,$E:$E,$P4,$M:$M,"Disbursed")</f>
        <v>0</v>
      </c>
      <c r="Z4" s="59">
        <f t="shared" ref="Z4:Z12" si="7">COUNTIFS($E:$E,$P4,$M:$M,"Disbursed")</f>
        <v>0</v>
      </c>
      <c r="AA4" s="60">
        <f t="shared" ref="AA4:AA12" si="8">SUMIFS($J:$J,$E:$E,$P4,$M:$M,"Plan Today")</f>
        <v>12</v>
      </c>
      <c r="AB4" s="73">
        <f t="shared" ref="AB4:AB12" si="9">COUNTIFS($E:$E,$P4,$M:$M,"Plan Today")</f>
        <v>1</v>
      </c>
      <c r="AC4" s="102">
        <v>128</v>
      </c>
      <c r="AD4" s="83"/>
    </row>
    <row r="5" spans="2:30" hidden="1">
      <c r="B5" s="2">
        <v>2</v>
      </c>
      <c r="C5" s="2"/>
      <c r="D5" s="2" t="s">
        <v>9</v>
      </c>
      <c r="E5" s="2" t="s">
        <v>15</v>
      </c>
      <c r="F5" s="2" t="s">
        <v>18</v>
      </c>
      <c r="G5" s="2" t="s">
        <v>19</v>
      </c>
      <c r="H5" s="2" t="s">
        <v>20</v>
      </c>
      <c r="I5" s="2" t="s">
        <v>21</v>
      </c>
      <c r="J5" s="3">
        <v>18</v>
      </c>
      <c r="K5" s="3"/>
      <c r="L5" s="3"/>
      <c r="M5" s="2" t="s">
        <v>12</v>
      </c>
      <c r="N5" s="8" t="s">
        <v>179</v>
      </c>
      <c r="P5" s="32" t="s">
        <v>14</v>
      </c>
      <c r="Q5" s="99">
        <f t="shared" si="0"/>
        <v>8</v>
      </c>
      <c r="R5" s="55">
        <f t="shared" si="1"/>
        <v>6</v>
      </c>
      <c r="S5" s="41"/>
      <c r="T5" s="19"/>
      <c r="U5" s="43">
        <f t="shared" si="2"/>
        <v>130.5</v>
      </c>
      <c r="V5" s="57">
        <f t="shared" si="3"/>
        <v>11</v>
      </c>
      <c r="W5" s="46">
        <f t="shared" si="4"/>
        <v>49</v>
      </c>
      <c r="X5" s="58">
        <f t="shared" si="5"/>
        <v>3</v>
      </c>
      <c r="Y5" s="27">
        <f t="shared" si="6"/>
        <v>0</v>
      </c>
      <c r="Z5" s="59">
        <f t="shared" si="7"/>
        <v>0</v>
      </c>
      <c r="AA5" s="51">
        <f t="shared" si="8"/>
        <v>0</v>
      </c>
      <c r="AB5" s="73">
        <f t="shared" si="9"/>
        <v>0</v>
      </c>
      <c r="AC5" s="103">
        <v>97</v>
      </c>
      <c r="AD5" s="83"/>
    </row>
    <row r="6" spans="2:30" hidden="1">
      <c r="B6" s="2">
        <v>3</v>
      </c>
      <c r="C6" s="2"/>
      <c r="D6" s="2" t="s">
        <v>9</v>
      </c>
      <c r="E6" s="2" t="s">
        <v>10</v>
      </c>
      <c r="F6" s="13" t="s">
        <v>49</v>
      </c>
      <c r="G6" s="2" t="s">
        <v>19</v>
      </c>
      <c r="H6" s="2"/>
      <c r="I6" s="15"/>
      <c r="J6" s="3">
        <v>18.25</v>
      </c>
      <c r="K6" s="3"/>
      <c r="L6" s="3"/>
      <c r="M6" s="2" t="s">
        <v>168</v>
      </c>
      <c r="N6" s="8" t="s">
        <v>168</v>
      </c>
      <c r="P6" s="33" t="s">
        <v>17</v>
      </c>
      <c r="Q6" s="99">
        <f t="shared" si="0"/>
        <v>4</v>
      </c>
      <c r="R6" s="55">
        <f t="shared" si="1"/>
        <v>1</v>
      </c>
      <c r="S6" s="41"/>
      <c r="T6" s="19"/>
      <c r="U6" s="43">
        <f t="shared" si="2"/>
        <v>76.03</v>
      </c>
      <c r="V6" s="57">
        <f t="shared" si="3"/>
        <v>5</v>
      </c>
      <c r="W6" s="46">
        <f t="shared" si="4"/>
        <v>0</v>
      </c>
      <c r="X6" s="58">
        <f t="shared" si="5"/>
        <v>0</v>
      </c>
      <c r="Y6" s="27">
        <f t="shared" si="6"/>
        <v>0</v>
      </c>
      <c r="Z6" s="59">
        <f t="shared" si="7"/>
        <v>0</v>
      </c>
      <c r="AA6" s="51">
        <f t="shared" si="8"/>
        <v>0</v>
      </c>
      <c r="AB6" s="73">
        <f t="shared" si="9"/>
        <v>0</v>
      </c>
      <c r="AC6" s="103">
        <v>65.599999999999994</v>
      </c>
      <c r="AD6" s="83"/>
    </row>
    <row r="7" spans="2:30" hidden="1">
      <c r="B7" s="2">
        <v>4</v>
      </c>
      <c r="C7" s="2"/>
      <c r="D7" s="2" t="s">
        <v>36</v>
      </c>
      <c r="E7" s="2" t="s">
        <v>15</v>
      </c>
      <c r="F7" s="2" t="s">
        <v>29</v>
      </c>
      <c r="G7" s="2" t="s">
        <v>24</v>
      </c>
      <c r="H7" s="2" t="s">
        <v>30</v>
      </c>
      <c r="I7" s="15" t="s">
        <v>31</v>
      </c>
      <c r="J7" s="3">
        <v>7</v>
      </c>
      <c r="K7" s="3"/>
      <c r="L7" s="3"/>
      <c r="M7" s="2" t="s">
        <v>12</v>
      </c>
      <c r="N7" s="8" t="s">
        <v>161</v>
      </c>
      <c r="P7" s="33" t="s">
        <v>88</v>
      </c>
      <c r="Q7" s="99">
        <f t="shared" si="0"/>
        <v>0</v>
      </c>
      <c r="R7" s="55">
        <f t="shared" si="1"/>
        <v>0</v>
      </c>
      <c r="S7" s="41"/>
      <c r="T7" s="19"/>
      <c r="U7" s="43">
        <f t="shared" si="2"/>
        <v>0</v>
      </c>
      <c r="V7" s="57">
        <f t="shared" si="3"/>
        <v>0</v>
      </c>
      <c r="W7" s="46">
        <f t="shared" si="4"/>
        <v>0</v>
      </c>
      <c r="X7" s="58">
        <f t="shared" si="5"/>
        <v>0</v>
      </c>
      <c r="Y7" s="27">
        <f t="shared" si="6"/>
        <v>0</v>
      </c>
      <c r="Z7" s="59">
        <f t="shared" si="7"/>
        <v>0</v>
      </c>
      <c r="AA7" s="51">
        <f t="shared" si="8"/>
        <v>0</v>
      </c>
      <c r="AB7" s="73">
        <f t="shared" si="9"/>
        <v>0</v>
      </c>
      <c r="AC7" s="103">
        <v>0</v>
      </c>
      <c r="AD7" s="83"/>
    </row>
    <row r="8" spans="2:30" hidden="1">
      <c r="B8" s="2">
        <v>5</v>
      </c>
      <c r="C8" s="2"/>
      <c r="D8" s="2" t="s">
        <v>9</v>
      </c>
      <c r="E8" s="2" t="s">
        <v>10</v>
      </c>
      <c r="F8" s="3" t="s">
        <v>32</v>
      </c>
      <c r="G8" s="3" t="s">
        <v>19</v>
      </c>
      <c r="H8" s="2" t="s">
        <v>33</v>
      </c>
      <c r="I8" s="15" t="s">
        <v>34</v>
      </c>
      <c r="J8" s="3">
        <v>18</v>
      </c>
      <c r="K8" s="3"/>
      <c r="L8" s="3"/>
      <c r="M8" s="2" t="s">
        <v>168</v>
      </c>
      <c r="P8" s="32" t="s">
        <v>10</v>
      </c>
      <c r="Q8" s="99">
        <f t="shared" si="0"/>
        <v>14</v>
      </c>
      <c r="R8" s="55">
        <f t="shared" si="1"/>
        <v>0</v>
      </c>
      <c r="S8" s="41"/>
      <c r="T8" s="19"/>
      <c r="U8" s="43">
        <f t="shared" si="2"/>
        <v>194.25</v>
      </c>
      <c r="V8" s="57">
        <f t="shared" si="3"/>
        <v>12</v>
      </c>
      <c r="W8" s="46">
        <f t="shared" si="4"/>
        <v>0</v>
      </c>
      <c r="X8" s="58">
        <f t="shared" si="5"/>
        <v>0</v>
      </c>
      <c r="Y8" s="27">
        <f t="shared" si="6"/>
        <v>0</v>
      </c>
      <c r="Z8" s="59">
        <f t="shared" si="7"/>
        <v>0</v>
      </c>
      <c r="AA8" s="51">
        <f t="shared" si="8"/>
        <v>0</v>
      </c>
      <c r="AB8" s="73">
        <f t="shared" si="9"/>
        <v>0</v>
      </c>
      <c r="AC8" s="103">
        <v>230.5</v>
      </c>
      <c r="AD8" s="83"/>
    </row>
    <row r="9" spans="2:30" hidden="1">
      <c r="B9" s="2">
        <v>6</v>
      </c>
      <c r="C9" s="2"/>
      <c r="D9" s="2" t="s">
        <v>9</v>
      </c>
      <c r="E9" s="2" t="s">
        <v>22</v>
      </c>
      <c r="F9" s="3" t="s">
        <v>164</v>
      </c>
      <c r="G9" s="3"/>
      <c r="H9" s="2"/>
      <c r="I9" s="15"/>
      <c r="J9" s="7">
        <v>3</v>
      </c>
      <c r="K9" s="3"/>
      <c r="L9" s="3"/>
      <c r="M9" s="2" t="s">
        <v>12</v>
      </c>
      <c r="P9" s="32" t="s">
        <v>22</v>
      </c>
      <c r="Q9" s="99">
        <f t="shared" si="0"/>
        <v>6</v>
      </c>
      <c r="R9" s="55">
        <f t="shared" si="1"/>
        <v>4</v>
      </c>
      <c r="S9" s="41"/>
      <c r="T9" s="19"/>
      <c r="U9" s="43">
        <f t="shared" si="2"/>
        <v>116</v>
      </c>
      <c r="V9" s="57">
        <f t="shared" si="3"/>
        <v>7</v>
      </c>
      <c r="W9" s="46">
        <f t="shared" si="4"/>
        <v>32</v>
      </c>
      <c r="X9" s="58">
        <f t="shared" si="5"/>
        <v>2</v>
      </c>
      <c r="Y9" s="27">
        <f t="shared" si="6"/>
        <v>0</v>
      </c>
      <c r="Z9" s="59">
        <f t="shared" si="7"/>
        <v>0</v>
      </c>
      <c r="AA9" s="51">
        <f t="shared" si="8"/>
        <v>15</v>
      </c>
      <c r="AB9" s="73">
        <f t="shared" si="9"/>
        <v>1</v>
      </c>
      <c r="AC9" s="103">
        <v>84</v>
      </c>
      <c r="AD9" s="83"/>
    </row>
    <row r="10" spans="2:30" hidden="1">
      <c r="B10" s="2">
        <v>7</v>
      </c>
      <c r="C10" s="28"/>
      <c r="D10" s="2" t="s">
        <v>36</v>
      </c>
      <c r="E10" s="29" t="s">
        <v>22</v>
      </c>
      <c r="F10" s="29" t="s">
        <v>39</v>
      </c>
      <c r="G10" s="29" t="s">
        <v>24</v>
      </c>
      <c r="H10" s="29" t="s">
        <v>58</v>
      </c>
      <c r="I10" s="29" t="s">
        <v>26</v>
      </c>
      <c r="J10" s="30">
        <v>6</v>
      </c>
      <c r="K10" s="30"/>
      <c r="L10" s="30"/>
      <c r="M10" s="2" t="s">
        <v>12</v>
      </c>
      <c r="N10" s="8" t="s">
        <v>165</v>
      </c>
      <c r="P10" s="32" t="s">
        <v>63</v>
      </c>
      <c r="Q10" s="99">
        <f t="shared" si="0"/>
        <v>2</v>
      </c>
      <c r="R10" s="55">
        <f t="shared" si="1"/>
        <v>1</v>
      </c>
      <c r="S10" s="41"/>
      <c r="T10" s="19"/>
      <c r="U10" s="43">
        <f t="shared" si="2"/>
        <v>56.5</v>
      </c>
      <c r="V10" s="57">
        <f t="shared" si="3"/>
        <v>3</v>
      </c>
      <c r="W10" s="46">
        <f t="shared" si="4"/>
        <v>0</v>
      </c>
      <c r="X10" s="58">
        <f t="shared" si="5"/>
        <v>0</v>
      </c>
      <c r="Y10" s="27">
        <f t="shared" si="6"/>
        <v>0</v>
      </c>
      <c r="Z10" s="59">
        <f t="shared" si="7"/>
        <v>0</v>
      </c>
      <c r="AA10" s="51">
        <f t="shared" si="8"/>
        <v>0</v>
      </c>
      <c r="AB10" s="73">
        <f t="shared" si="9"/>
        <v>0</v>
      </c>
      <c r="AC10" s="103">
        <v>43</v>
      </c>
      <c r="AD10" s="83"/>
    </row>
    <row r="11" spans="2:30" hidden="1">
      <c r="B11" s="2">
        <v>8</v>
      </c>
      <c r="C11" s="2"/>
      <c r="D11" s="2" t="s">
        <v>36</v>
      </c>
      <c r="E11" s="5" t="s">
        <v>13</v>
      </c>
      <c r="F11" s="5" t="s">
        <v>40</v>
      </c>
      <c r="G11" s="5" t="s">
        <v>19</v>
      </c>
      <c r="H11" s="2"/>
      <c r="I11" s="2"/>
      <c r="J11" s="5">
        <v>12</v>
      </c>
      <c r="K11" s="5" t="s">
        <v>48</v>
      </c>
      <c r="L11" s="5" t="s">
        <v>124</v>
      </c>
      <c r="M11" s="2" t="s">
        <v>71</v>
      </c>
      <c r="N11" s="8" t="s">
        <v>172</v>
      </c>
      <c r="P11" s="32" t="s">
        <v>15</v>
      </c>
      <c r="Q11" s="99">
        <f t="shared" si="0"/>
        <v>11</v>
      </c>
      <c r="R11" s="55">
        <f t="shared" si="1"/>
        <v>3</v>
      </c>
      <c r="S11" s="41"/>
      <c r="T11" s="19"/>
      <c r="U11" s="43">
        <f t="shared" si="2"/>
        <v>208.5</v>
      </c>
      <c r="V11" s="57">
        <f t="shared" si="3"/>
        <v>13</v>
      </c>
      <c r="W11" s="46">
        <f t="shared" si="4"/>
        <v>0</v>
      </c>
      <c r="X11" s="58">
        <f t="shared" si="5"/>
        <v>0</v>
      </c>
      <c r="Y11" s="27">
        <f t="shared" si="6"/>
        <v>0</v>
      </c>
      <c r="Z11" s="59">
        <f t="shared" si="7"/>
        <v>0</v>
      </c>
      <c r="AA11" s="51">
        <f t="shared" si="8"/>
        <v>15</v>
      </c>
      <c r="AB11" s="73">
        <f t="shared" si="9"/>
        <v>1</v>
      </c>
      <c r="AC11" s="103">
        <v>152</v>
      </c>
      <c r="AD11" s="83"/>
    </row>
    <row r="12" spans="2:30">
      <c r="B12" s="2">
        <v>9</v>
      </c>
      <c r="C12" s="2"/>
      <c r="D12" s="2" t="s">
        <v>36</v>
      </c>
      <c r="E12" s="5" t="s">
        <v>14</v>
      </c>
      <c r="F12" s="5" t="s">
        <v>41</v>
      </c>
      <c r="G12" s="5" t="s">
        <v>24</v>
      </c>
      <c r="H12" s="4" t="s">
        <v>57</v>
      </c>
      <c r="I12" s="4" t="s">
        <v>38</v>
      </c>
      <c r="J12" s="5">
        <v>7</v>
      </c>
      <c r="K12" s="5"/>
      <c r="L12" s="5"/>
      <c r="M12" s="2" t="s">
        <v>12</v>
      </c>
      <c r="N12" s="9" t="s">
        <v>183</v>
      </c>
      <c r="P12" s="34" t="s">
        <v>25</v>
      </c>
      <c r="Q12" s="99">
        <f t="shared" si="0"/>
        <v>8</v>
      </c>
      <c r="R12" s="55">
        <f t="shared" si="1"/>
        <v>0</v>
      </c>
      <c r="S12" s="42">
        <v>4</v>
      </c>
      <c r="T12" s="20"/>
      <c r="U12" s="44">
        <f t="shared" si="2"/>
        <v>97</v>
      </c>
      <c r="V12" s="57">
        <f t="shared" si="3"/>
        <v>7</v>
      </c>
      <c r="W12" s="47">
        <f t="shared" si="4"/>
        <v>0</v>
      </c>
      <c r="X12" s="58">
        <f t="shared" si="5"/>
        <v>0</v>
      </c>
      <c r="Y12" s="49">
        <f t="shared" si="6"/>
        <v>0</v>
      </c>
      <c r="Z12" s="59">
        <f t="shared" si="7"/>
        <v>0</v>
      </c>
      <c r="AA12" s="52">
        <f t="shared" si="8"/>
        <v>20</v>
      </c>
      <c r="AB12" s="73">
        <f t="shared" si="9"/>
        <v>1</v>
      </c>
      <c r="AC12" s="21">
        <v>234</v>
      </c>
      <c r="AD12" s="83"/>
    </row>
    <row r="13" spans="2:30" ht="15.75" hidden="1" thickBot="1">
      <c r="B13" s="2">
        <v>10</v>
      </c>
      <c r="C13" s="2"/>
      <c r="D13" s="2" t="s">
        <v>36</v>
      </c>
      <c r="E13" s="5" t="s">
        <v>13</v>
      </c>
      <c r="F13" s="5" t="s">
        <v>54</v>
      </c>
      <c r="G13" s="5" t="s">
        <v>19</v>
      </c>
      <c r="H13" s="4"/>
      <c r="I13" s="16"/>
      <c r="J13" s="5">
        <v>19</v>
      </c>
      <c r="K13" s="5"/>
      <c r="L13" s="5"/>
      <c r="M13" s="2" t="s">
        <v>12</v>
      </c>
      <c r="N13" s="8" t="s">
        <v>53</v>
      </c>
      <c r="P13" s="36" t="s">
        <v>8</v>
      </c>
      <c r="Q13" s="39">
        <f>SUM(Q4:Q12)</f>
        <v>59</v>
      </c>
      <c r="R13" s="40">
        <f>SUM(R4:R12)</f>
        <v>19</v>
      </c>
      <c r="S13" s="26">
        <f>SUM(S4:S12)</f>
        <v>4</v>
      </c>
      <c r="T13" s="23"/>
      <c r="U13" s="45">
        <f t="shared" ref="U13:AB13" si="10">SUM(U4:U12)</f>
        <v>1036.58</v>
      </c>
      <c r="V13" s="45">
        <f t="shared" si="10"/>
        <v>66</v>
      </c>
      <c r="W13" s="48">
        <f t="shared" si="10"/>
        <v>92</v>
      </c>
      <c r="X13" s="48">
        <f t="shared" si="10"/>
        <v>6</v>
      </c>
      <c r="Y13" s="50">
        <f t="shared" si="10"/>
        <v>0</v>
      </c>
      <c r="Z13" s="50">
        <f t="shared" si="10"/>
        <v>0</v>
      </c>
      <c r="AA13" s="53">
        <f t="shared" si="10"/>
        <v>62</v>
      </c>
      <c r="AB13" s="74">
        <f t="shared" si="10"/>
        <v>4</v>
      </c>
      <c r="AC13" s="24">
        <f>SUM(AC4:AC12)</f>
        <v>1034.0999999999999</v>
      </c>
      <c r="AD13" s="83"/>
    </row>
    <row r="14" spans="2:30" ht="15.75" hidden="1" thickBot="1">
      <c r="B14" s="2">
        <v>11</v>
      </c>
      <c r="C14" s="2"/>
      <c r="D14" s="2" t="s">
        <v>36</v>
      </c>
      <c r="E14" s="5" t="s">
        <v>10</v>
      </c>
      <c r="F14" s="5" t="s">
        <v>44</v>
      </c>
      <c r="G14" s="5" t="s">
        <v>19</v>
      </c>
      <c r="H14" s="4" t="s">
        <v>35</v>
      </c>
      <c r="I14" s="4" t="s">
        <v>34</v>
      </c>
      <c r="J14" s="5">
        <v>21</v>
      </c>
      <c r="K14" s="5"/>
      <c r="L14" s="5"/>
      <c r="M14" s="2" t="s">
        <v>12</v>
      </c>
      <c r="N14" s="8" t="s">
        <v>173</v>
      </c>
      <c r="P14" s="35" t="s">
        <v>97</v>
      </c>
      <c r="Q14" s="768">
        <f>Q13+R13</f>
        <v>78</v>
      </c>
      <c r="R14" s="769"/>
      <c r="S14" s="68"/>
      <c r="T14" s="38"/>
      <c r="U14" s="773">
        <f>COUNTIFS($M:$M,"Login done ")</f>
        <v>66</v>
      </c>
      <c r="V14" s="774"/>
      <c r="W14" s="773">
        <f>COUNTIFS($M:$M,"Login Today")</f>
        <v>6</v>
      </c>
      <c r="X14" s="774"/>
      <c r="Y14" s="773">
        <f>COUNTIFS($M:$M,"Disbursed")</f>
        <v>0</v>
      </c>
      <c r="Z14" s="774"/>
      <c r="AA14" s="773">
        <f>COUNTIFS($M:$M,"Plan Today")</f>
        <v>4</v>
      </c>
      <c r="AB14" s="774"/>
      <c r="AC14" s="69">
        <f>U14+W14+Y14+AA14</f>
        <v>76</v>
      </c>
      <c r="AD14" s="84"/>
    </row>
    <row r="15" spans="2:30" hidden="1">
      <c r="B15" s="2">
        <v>12</v>
      </c>
      <c r="C15" s="2"/>
      <c r="D15" s="2" t="s">
        <v>36</v>
      </c>
      <c r="E15" s="5" t="s">
        <v>10</v>
      </c>
      <c r="F15" s="5" t="s">
        <v>55</v>
      </c>
      <c r="G15" s="5" t="s">
        <v>19</v>
      </c>
      <c r="H15" s="4" t="s">
        <v>59</v>
      </c>
      <c r="I15" s="4" t="s">
        <v>26</v>
      </c>
      <c r="J15" s="5">
        <v>24</v>
      </c>
      <c r="K15" s="5"/>
      <c r="L15" s="5"/>
      <c r="M15" s="2" t="s">
        <v>12</v>
      </c>
      <c r="N15" s="8" t="s">
        <v>174</v>
      </c>
    </row>
    <row r="16" spans="2:30" hidden="1">
      <c r="B16" s="2">
        <v>13</v>
      </c>
      <c r="C16" s="98">
        <v>44264</v>
      </c>
      <c r="D16" s="95"/>
      <c r="E16" s="96" t="s">
        <v>160</v>
      </c>
      <c r="F16" s="96" t="s">
        <v>52</v>
      </c>
      <c r="G16" s="96" t="s">
        <v>19</v>
      </c>
      <c r="H16" s="97" t="s">
        <v>48</v>
      </c>
      <c r="I16" s="97"/>
      <c r="J16" s="96">
        <v>17</v>
      </c>
      <c r="K16" s="96"/>
      <c r="L16" s="96"/>
      <c r="M16" s="95" t="s">
        <v>161</v>
      </c>
    </row>
    <row r="17" spans="2:15" hidden="1">
      <c r="B17" s="2">
        <v>14</v>
      </c>
      <c r="C17" s="10">
        <v>44264</v>
      </c>
      <c r="D17" s="2" t="s">
        <v>36</v>
      </c>
      <c r="E17" s="5" t="s">
        <v>10</v>
      </c>
      <c r="F17" s="5" t="s">
        <v>45</v>
      </c>
      <c r="G17" s="5" t="s">
        <v>19</v>
      </c>
      <c r="H17" s="4" t="s">
        <v>27</v>
      </c>
      <c r="I17" s="4" t="s">
        <v>60</v>
      </c>
      <c r="J17" s="5">
        <v>20</v>
      </c>
      <c r="K17" s="5"/>
      <c r="L17" s="5"/>
      <c r="M17" s="2" t="s">
        <v>12</v>
      </c>
      <c r="N17" s="9" t="s">
        <v>172</v>
      </c>
    </row>
    <row r="18" spans="2:15" hidden="1">
      <c r="B18" s="2">
        <v>15</v>
      </c>
      <c r="C18" s="31">
        <v>44267</v>
      </c>
      <c r="D18" s="2" t="s">
        <v>36</v>
      </c>
      <c r="E18" s="30" t="s">
        <v>22</v>
      </c>
      <c r="F18" s="30" t="s">
        <v>46</v>
      </c>
      <c r="G18" s="30" t="s">
        <v>19</v>
      </c>
      <c r="H18" s="29"/>
      <c r="I18" s="29"/>
      <c r="J18" s="30">
        <v>18</v>
      </c>
      <c r="K18" s="30"/>
      <c r="L18" s="30"/>
      <c r="M18" s="2" t="s">
        <v>12</v>
      </c>
      <c r="N18" s="8" t="s">
        <v>166</v>
      </c>
    </row>
    <row r="19" spans="2:15">
      <c r="B19" s="2">
        <v>16</v>
      </c>
      <c r="C19" s="10">
        <v>44267</v>
      </c>
      <c r="D19" s="2" t="s">
        <v>36</v>
      </c>
      <c r="E19" s="5" t="s">
        <v>14</v>
      </c>
      <c r="F19" s="3" t="s">
        <v>62</v>
      </c>
      <c r="G19" s="5" t="s">
        <v>19</v>
      </c>
      <c r="H19" s="4"/>
      <c r="I19" s="4"/>
      <c r="J19" s="5">
        <v>12</v>
      </c>
      <c r="K19" s="5"/>
      <c r="L19" s="5"/>
      <c r="M19" s="2" t="s">
        <v>12</v>
      </c>
      <c r="N19" s="9" t="s">
        <v>188</v>
      </c>
    </row>
    <row r="20" spans="2:15">
      <c r="B20" s="2">
        <v>17</v>
      </c>
      <c r="C20" s="10">
        <v>44267</v>
      </c>
      <c r="D20" s="2" t="s">
        <v>36</v>
      </c>
      <c r="E20" s="5" t="s">
        <v>14</v>
      </c>
      <c r="F20" s="5" t="s">
        <v>42</v>
      </c>
      <c r="G20" s="5" t="s">
        <v>23</v>
      </c>
      <c r="H20" s="4"/>
      <c r="I20" s="4"/>
      <c r="J20" s="5">
        <v>7</v>
      </c>
      <c r="K20" s="5"/>
      <c r="L20" s="5"/>
      <c r="M20" s="2" t="s">
        <v>12</v>
      </c>
      <c r="N20" s="8" t="s">
        <v>189</v>
      </c>
    </row>
    <row r="21" spans="2:15" hidden="1">
      <c r="B21" s="2">
        <v>18</v>
      </c>
      <c r="C21" s="10">
        <v>44267</v>
      </c>
      <c r="D21" s="2" t="s">
        <v>36</v>
      </c>
      <c r="E21" s="5" t="s">
        <v>25</v>
      </c>
      <c r="F21" s="5" t="s">
        <v>64</v>
      </c>
      <c r="G21" s="5" t="s">
        <v>19</v>
      </c>
      <c r="H21" s="4" t="s">
        <v>27</v>
      </c>
      <c r="I21" s="16" t="s">
        <v>115</v>
      </c>
      <c r="J21" s="5">
        <v>18</v>
      </c>
      <c r="K21" s="5"/>
      <c r="L21" s="5"/>
      <c r="M21" s="2" t="s">
        <v>12</v>
      </c>
      <c r="N21" s="8" t="s">
        <v>141</v>
      </c>
    </row>
    <row r="22" spans="2:15" hidden="1">
      <c r="B22" s="2">
        <v>19</v>
      </c>
      <c r="C22" s="10">
        <v>44266</v>
      </c>
      <c r="D22" s="2" t="s">
        <v>36</v>
      </c>
      <c r="E22" s="5" t="s">
        <v>15</v>
      </c>
      <c r="F22" s="5" t="s">
        <v>61</v>
      </c>
      <c r="G22" s="5" t="s">
        <v>19</v>
      </c>
      <c r="H22" s="4" t="s">
        <v>116</v>
      </c>
      <c r="I22" s="16" t="s">
        <v>21</v>
      </c>
      <c r="J22" s="5">
        <v>17</v>
      </c>
      <c r="K22" s="5"/>
      <c r="L22" s="5"/>
      <c r="M22" s="2" t="s">
        <v>12</v>
      </c>
      <c r="N22" s="9" t="s">
        <v>180</v>
      </c>
    </row>
    <row r="23" spans="2:15" hidden="1">
      <c r="B23" s="2">
        <v>20</v>
      </c>
      <c r="C23" s="10">
        <v>44267</v>
      </c>
      <c r="D23" s="2" t="s">
        <v>36</v>
      </c>
      <c r="E23" s="5" t="s">
        <v>10</v>
      </c>
      <c r="F23" s="5" t="s">
        <v>66</v>
      </c>
      <c r="G23" s="5" t="s">
        <v>23</v>
      </c>
      <c r="H23" s="4"/>
      <c r="I23" s="16"/>
      <c r="J23" s="5">
        <v>9.25</v>
      </c>
      <c r="K23" s="5"/>
      <c r="L23" s="5"/>
      <c r="M23" s="2" t="s">
        <v>12</v>
      </c>
      <c r="N23" t="s">
        <v>166</v>
      </c>
    </row>
    <row r="24" spans="2:15" hidden="1">
      <c r="B24" s="2">
        <v>21</v>
      </c>
      <c r="C24" s="10">
        <v>44268</v>
      </c>
      <c r="D24" s="2" t="s">
        <v>36</v>
      </c>
      <c r="E24" s="5" t="s">
        <v>25</v>
      </c>
      <c r="F24" s="3" t="s">
        <v>65</v>
      </c>
      <c r="G24" s="5" t="s">
        <v>11</v>
      </c>
      <c r="H24" s="4" t="s">
        <v>117</v>
      </c>
      <c r="I24" s="4" t="s">
        <v>118</v>
      </c>
      <c r="J24" s="5">
        <v>25</v>
      </c>
      <c r="K24" s="5"/>
      <c r="L24" s="5"/>
      <c r="M24" s="2" t="s">
        <v>12</v>
      </c>
      <c r="N24" s="9" t="s">
        <v>142</v>
      </c>
    </row>
    <row r="25" spans="2:15" hidden="1">
      <c r="B25" s="2">
        <v>22</v>
      </c>
      <c r="C25" s="10">
        <v>44268</v>
      </c>
      <c r="D25" s="2" t="s">
        <v>36</v>
      </c>
      <c r="E25" s="5" t="s">
        <v>15</v>
      </c>
      <c r="F25" s="3" t="s">
        <v>69</v>
      </c>
      <c r="G25" s="5" t="s">
        <v>11</v>
      </c>
      <c r="H25" s="4"/>
      <c r="I25" s="4"/>
      <c r="J25" s="5">
        <v>28</v>
      </c>
      <c r="K25" s="5"/>
      <c r="L25" s="5"/>
      <c r="M25" s="2" t="s">
        <v>12</v>
      </c>
      <c r="N25" s="9"/>
    </row>
    <row r="26" spans="2:15" hidden="1">
      <c r="B26" s="2">
        <v>23</v>
      </c>
      <c r="C26" s="10">
        <v>44268</v>
      </c>
      <c r="D26" s="2" t="s">
        <v>36</v>
      </c>
      <c r="E26" s="5" t="s">
        <v>10</v>
      </c>
      <c r="F26" s="3" t="s">
        <v>70</v>
      </c>
      <c r="G26" s="5" t="s">
        <v>11</v>
      </c>
      <c r="H26" s="4"/>
      <c r="I26" s="4"/>
      <c r="J26" s="5">
        <v>30</v>
      </c>
      <c r="K26" s="5"/>
      <c r="L26" s="5"/>
      <c r="M26" s="2" t="s">
        <v>12</v>
      </c>
      <c r="N26" t="s">
        <v>166</v>
      </c>
      <c r="O26" s="25"/>
    </row>
    <row r="27" spans="2:15" hidden="1">
      <c r="B27" s="2">
        <v>24</v>
      </c>
      <c r="C27" s="10">
        <v>44268</v>
      </c>
      <c r="D27" s="2" t="s">
        <v>36</v>
      </c>
      <c r="E27" s="5" t="s">
        <v>63</v>
      </c>
      <c r="F27" s="3" t="s">
        <v>67</v>
      </c>
      <c r="G27" s="5" t="s">
        <v>11</v>
      </c>
      <c r="H27" s="4"/>
      <c r="I27" s="4"/>
      <c r="J27" s="5">
        <v>28</v>
      </c>
      <c r="K27" s="5"/>
      <c r="L27" s="5"/>
      <c r="M27" s="2" t="s">
        <v>12</v>
      </c>
      <c r="N27" s="9" t="s">
        <v>167</v>
      </c>
    </row>
    <row r="28" spans="2:15" hidden="1">
      <c r="B28" s="2">
        <v>25</v>
      </c>
      <c r="C28" s="10">
        <v>44270</v>
      </c>
      <c r="D28" s="2" t="s">
        <v>36</v>
      </c>
      <c r="E28" s="5" t="s">
        <v>25</v>
      </c>
      <c r="F28" s="5" t="s">
        <v>73</v>
      </c>
      <c r="G28" s="5" t="s">
        <v>24</v>
      </c>
      <c r="H28" s="4" t="s">
        <v>30</v>
      </c>
      <c r="I28" s="4" t="s">
        <v>21</v>
      </c>
      <c r="J28" s="5">
        <v>6</v>
      </c>
      <c r="K28" s="5"/>
      <c r="L28" s="5"/>
      <c r="M28" s="2" t="s">
        <v>12</v>
      </c>
      <c r="N28" s="9"/>
    </row>
    <row r="29" spans="2:15" hidden="1">
      <c r="B29" s="2">
        <v>26</v>
      </c>
      <c r="C29" s="10">
        <v>44270</v>
      </c>
      <c r="D29" s="2" t="s">
        <v>36</v>
      </c>
      <c r="E29" s="5" t="s">
        <v>25</v>
      </c>
      <c r="F29" s="5" t="s">
        <v>68</v>
      </c>
      <c r="G29" s="5" t="s">
        <v>24</v>
      </c>
      <c r="H29" s="4"/>
      <c r="I29" s="4"/>
      <c r="J29" s="5">
        <v>6</v>
      </c>
      <c r="K29" s="5"/>
      <c r="L29" s="5"/>
      <c r="M29" s="2" t="s">
        <v>12</v>
      </c>
      <c r="N29" s="9" t="s">
        <v>144</v>
      </c>
      <c r="O29" s="25"/>
    </row>
    <row r="30" spans="2:15">
      <c r="B30" s="2">
        <v>27</v>
      </c>
      <c r="C30" s="10">
        <v>44270</v>
      </c>
      <c r="D30" s="2" t="s">
        <v>36</v>
      </c>
      <c r="E30" s="5" t="s">
        <v>14</v>
      </c>
      <c r="F30" s="5" t="s">
        <v>74</v>
      </c>
      <c r="G30" s="5" t="s">
        <v>24</v>
      </c>
      <c r="H30" s="4"/>
      <c r="I30" s="4"/>
      <c r="J30" s="5">
        <v>6</v>
      </c>
      <c r="K30" s="5"/>
      <c r="L30" s="5"/>
      <c r="M30" s="2" t="s">
        <v>12</v>
      </c>
      <c r="N30" s="9" t="s">
        <v>161</v>
      </c>
    </row>
    <row r="31" spans="2:15" hidden="1">
      <c r="B31" s="2">
        <v>28</v>
      </c>
      <c r="C31" s="10">
        <v>44270</v>
      </c>
      <c r="D31" s="2" t="s">
        <v>36</v>
      </c>
      <c r="E31" s="5" t="s">
        <v>15</v>
      </c>
      <c r="F31" s="5" t="s">
        <v>72</v>
      </c>
      <c r="G31" s="5" t="s">
        <v>19</v>
      </c>
      <c r="H31" s="4"/>
      <c r="I31" s="4"/>
      <c r="J31" s="5">
        <v>18</v>
      </c>
      <c r="K31" s="5" t="s">
        <v>59</v>
      </c>
      <c r="L31" s="5" t="s">
        <v>118</v>
      </c>
      <c r="M31" s="2" t="s">
        <v>12</v>
      </c>
      <c r="N31" s="9" t="s">
        <v>182</v>
      </c>
    </row>
    <row r="32" spans="2:15" hidden="1">
      <c r="B32" s="2"/>
      <c r="C32" s="10">
        <v>44270</v>
      </c>
      <c r="D32" s="2" t="s">
        <v>36</v>
      </c>
      <c r="E32" s="5" t="s">
        <v>15</v>
      </c>
      <c r="F32" s="5" t="s">
        <v>181</v>
      </c>
      <c r="G32" s="5" t="s">
        <v>11</v>
      </c>
      <c r="H32" s="4"/>
      <c r="I32" s="4"/>
      <c r="J32" s="5">
        <v>22</v>
      </c>
      <c r="K32" s="5"/>
      <c r="L32" s="5"/>
      <c r="M32" s="2" t="s">
        <v>12</v>
      </c>
      <c r="N32" s="9" t="s">
        <v>182</v>
      </c>
    </row>
    <row r="33" spans="2:15" hidden="1">
      <c r="B33" s="2">
        <v>29</v>
      </c>
      <c r="C33" s="10">
        <v>44271</v>
      </c>
      <c r="D33" s="2" t="s">
        <v>36</v>
      </c>
      <c r="E33" s="5" t="s">
        <v>15</v>
      </c>
      <c r="F33" s="2" t="s">
        <v>76</v>
      </c>
      <c r="G33" s="5" t="s">
        <v>24</v>
      </c>
      <c r="H33" s="4"/>
      <c r="I33" s="4"/>
      <c r="J33" s="14">
        <v>6</v>
      </c>
      <c r="K33" s="5"/>
      <c r="L33" s="5"/>
      <c r="M33" s="2" t="s">
        <v>12</v>
      </c>
      <c r="N33" s="9"/>
    </row>
    <row r="34" spans="2:15">
      <c r="B34" s="2">
        <v>30</v>
      </c>
      <c r="C34" s="10">
        <v>44271</v>
      </c>
      <c r="D34" s="2" t="s">
        <v>36</v>
      </c>
      <c r="E34" s="5" t="s">
        <v>14</v>
      </c>
      <c r="F34" s="2" t="s">
        <v>78</v>
      </c>
      <c r="G34" s="5" t="s">
        <v>19</v>
      </c>
      <c r="H34" s="4"/>
      <c r="I34" s="4"/>
      <c r="J34" s="5">
        <v>20</v>
      </c>
      <c r="K34" s="5"/>
      <c r="L34" s="5"/>
      <c r="M34" s="2" t="s">
        <v>12</v>
      </c>
      <c r="N34" s="9" t="s">
        <v>180</v>
      </c>
    </row>
    <row r="35" spans="2:15" hidden="1">
      <c r="B35" s="2">
        <v>31</v>
      </c>
      <c r="C35" s="94">
        <v>44271</v>
      </c>
      <c r="D35" s="95"/>
      <c r="E35" s="96" t="s">
        <v>160</v>
      </c>
      <c r="F35" s="96" t="s">
        <v>77</v>
      </c>
      <c r="G35" s="96" t="s">
        <v>11</v>
      </c>
      <c r="H35" s="97" t="s">
        <v>119</v>
      </c>
      <c r="I35" s="97" t="s">
        <v>115</v>
      </c>
      <c r="J35" s="96">
        <v>35</v>
      </c>
      <c r="K35" s="96"/>
      <c r="L35" s="96"/>
      <c r="M35" s="95" t="s">
        <v>161</v>
      </c>
      <c r="N35" s="9" t="s">
        <v>143</v>
      </c>
    </row>
    <row r="36" spans="2:15" hidden="1">
      <c r="B36" s="2">
        <v>32</v>
      </c>
      <c r="C36" s="10">
        <v>44244</v>
      </c>
      <c r="D36" s="2" t="s">
        <v>36</v>
      </c>
      <c r="E36" s="5" t="s">
        <v>25</v>
      </c>
      <c r="F36" s="2" t="s">
        <v>80</v>
      </c>
      <c r="G36" s="5" t="s">
        <v>24</v>
      </c>
      <c r="H36" s="4"/>
      <c r="I36" s="4"/>
      <c r="J36" s="5">
        <v>6</v>
      </c>
      <c r="K36" s="5"/>
      <c r="L36" s="5"/>
      <c r="M36" s="2" t="s">
        <v>12</v>
      </c>
      <c r="N36" s="9"/>
    </row>
    <row r="37" spans="2:15" hidden="1">
      <c r="B37" s="2">
        <v>33</v>
      </c>
      <c r="N37" s="9" t="s">
        <v>173</v>
      </c>
      <c r="O37" s="25"/>
    </row>
    <row r="38" spans="2:15" hidden="1">
      <c r="B38" s="2">
        <v>34</v>
      </c>
      <c r="C38" s="10">
        <v>44279</v>
      </c>
      <c r="D38" s="2" t="s">
        <v>36</v>
      </c>
      <c r="E38" s="5" t="s">
        <v>17</v>
      </c>
      <c r="F38" s="5" t="s">
        <v>101</v>
      </c>
      <c r="G38" s="5" t="s">
        <v>102</v>
      </c>
      <c r="H38" s="4"/>
      <c r="I38" s="4"/>
      <c r="J38" s="5">
        <v>15</v>
      </c>
      <c r="K38" s="5"/>
      <c r="L38" s="5"/>
      <c r="M38" s="2" t="s">
        <v>12</v>
      </c>
      <c r="N38" s="9" t="s">
        <v>190</v>
      </c>
    </row>
    <row r="39" spans="2:15" hidden="1">
      <c r="B39" s="2">
        <v>35</v>
      </c>
      <c r="C39" s="94">
        <v>44280</v>
      </c>
      <c r="D39" s="95"/>
      <c r="E39" s="96" t="s">
        <v>160</v>
      </c>
      <c r="F39" s="96" t="s">
        <v>104</v>
      </c>
      <c r="G39" s="96" t="s">
        <v>11</v>
      </c>
      <c r="H39" s="97"/>
      <c r="I39" s="97"/>
      <c r="J39" s="96">
        <v>30</v>
      </c>
      <c r="K39" s="96"/>
      <c r="L39" s="96"/>
      <c r="M39" s="95" t="s">
        <v>161</v>
      </c>
      <c r="N39" s="8" t="s">
        <v>131</v>
      </c>
    </row>
    <row r="40" spans="2:15" hidden="1">
      <c r="B40" s="2">
        <v>36</v>
      </c>
      <c r="C40" s="10">
        <v>44245</v>
      </c>
      <c r="D40" s="2" t="s">
        <v>36</v>
      </c>
      <c r="E40" s="5" t="s">
        <v>83</v>
      </c>
      <c r="F40" s="2" t="s">
        <v>84</v>
      </c>
      <c r="G40" s="5" t="s">
        <v>23</v>
      </c>
      <c r="H40" s="4"/>
      <c r="I40" s="4"/>
      <c r="J40" s="5">
        <v>12</v>
      </c>
      <c r="K40" s="5"/>
      <c r="L40" s="5"/>
      <c r="M40" s="2" t="s">
        <v>12</v>
      </c>
      <c r="N40" s="9"/>
    </row>
    <row r="41" spans="2:15" hidden="1">
      <c r="B41" s="2">
        <v>37</v>
      </c>
      <c r="C41" s="10">
        <v>44273</v>
      </c>
      <c r="D41" s="2" t="s">
        <v>36</v>
      </c>
      <c r="E41" s="5" t="s">
        <v>13</v>
      </c>
      <c r="F41" s="2" t="s">
        <v>85</v>
      </c>
      <c r="G41" s="5" t="s">
        <v>19</v>
      </c>
      <c r="H41" s="4"/>
      <c r="I41" s="4"/>
      <c r="J41" s="5">
        <v>18</v>
      </c>
      <c r="K41" s="5"/>
      <c r="L41" s="5"/>
      <c r="M41" s="2" t="s">
        <v>12</v>
      </c>
      <c r="N41" s="8" t="s">
        <v>185</v>
      </c>
    </row>
    <row r="42" spans="2:15" hidden="1">
      <c r="B42" s="2">
        <v>38</v>
      </c>
      <c r="C42" s="10">
        <v>44273</v>
      </c>
      <c r="D42" s="2" t="s">
        <v>36</v>
      </c>
      <c r="E42" s="5" t="s">
        <v>22</v>
      </c>
      <c r="F42" s="5" t="s">
        <v>86</v>
      </c>
      <c r="G42" s="5" t="s">
        <v>23</v>
      </c>
      <c r="H42" s="4"/>
      <c r="I42" s="4"/>
      <c r="J42" s="5">
        <v>8</v>
      </c>
      <c r="K42" s="5"/>
      <c r="L42" s="5"/>
      <c r="M42" s="2" t="s">
        <v>12</v>
      </c>
      <c r="N42" s="9" t="s">
        <v>168</v>
      </c>
    </row>
    <row r="43" spans="2:15" hidden="1">
      <c r="B43" s="2">
        <v>39</v>
      </c>
      <c r="C43" s="10">
        <v>44273</v>
      </c>
      <c r="D43" s="2" t="s">
        <v>36</v>
      </c>
      <c r="E43" s="5" t="s">
        <v>63</v>
      </c>
      <c r="F43" s="5" t="s">
        <v>82</v>
      </c>
      <c r="G43" s="5" t="s">
        <v>19</v>
      </c>
      <c r="H43" s="4"/>
      <c r="I43" s="4"/>
      <c r="J43" s="5">
        <v>15</v>
      </c>
      <c r="K43" s="5"/>
      <c r="L43" s="5"/>
      <c r="M43" s="2" t="s">
        <v>12</v>
      </c>
      <c r="N43" s="9" t="s">
        <v>141</v>
      </c>
    </row>
    <row r="44" spans="2:15" hidden="1">
      <c r="B44" s="2">
        <v>40</v>
      </c>
      <c r="C44" s="10">
        <v>44274</v>
      </c>
      <c r="D44" s="2" t="s">
        <v>36</v>
      </c>
      <c r="E44" s="5" t="s">
        <v>25</v>
      </c>
      <c r="F44" s="2" t="s">
        <v>87</v>
      </c>
      <c r="G44" s="5" t="s">
        <v>11</v>
      </c>
      <c r="H44" s="4"/>
      <c r="I44" s="4"/>
      <c r="J44" s="5">
        <v>30</v>
      </c>
      <c r="K44" s="5"/>
      <c r="L44" s="5"/>
      <c r="M44" s="2" t="s">
        <v>12</v>
      </c>
      <c r="N44" s="8" t="s">
        <v>146</v>
      </c>
    </row>
    <row r="45" spans="2:15" hidden="1">
      <c r="B45" s="2">
        <v>41</v>
      </c>
      <c r="C45" s="10">
        <v>44279</v>
      </c>
      <c r="D45" s="2" t="s">
        <v>36</v>
      </c>
      <c r="E45" s="5" t="s">
        <v>15</v>
      </c>
      <c r="F45" s="5" t="s">
        <v>105</v>
      </c>
      <c r="G45" s="5" t="s">
        <v>19</v>
      </c>
      <c r="H45" s="4" t="s">
        <v>120</v>
      </c>
      <c r="I45" s="4" t="s">
        <v>21</v>
      </c>
      <c r="J45" s="5">
        <v>18</v>
      </c>
      <c r="K45" s="5"/>
      <c r="L45" s="5"/>
      <c r="M45" s="2" t="s">
        <v>12</v>
      </c>
      <c r="N45" s="8" t="s">
        <v>179</v>
      </c>
    </row>
    <row r="46" spans="2:15" hidden="1">
      <c r="B46" s="2">
        <v>42</v>
      </c>
      <c r="C46" s="10">
        <v>44273</v>
      </c>
      <c r="D46" s="2" t="s">
        <v>36</v>
      </c>
      <c r="E46" s="5" t="s">
        <v>15</v>
      </c>
      <c r="F46" s="5" t="s">
        <v>79</v>
      </c>
      <c r="G46" s="5" t="s">
        <v>19</v>
      </c>
      <c r="H46" s="4" t="s">
        <v>20</v>
      </c>
      <c r="I46" s="4" t="s">
        <v>21</v>
      </c>
      <c r="J46" s="5">
        <v>15</v>
      </c>
      <c r="K46" s="5"/>
      <c r="L46" s="5"/>
      <c r="M46" s="2" t="s">
        <v>12</v>
      </c>
      <c r="N46" s="9" t="s">
        <v>179</v>
      </c>
    </row>
    <row r="47" spans="2:15" hidden="1">
      <c r="B47" s="2">
        <v>43</v>
      </c>
      <c r="C47" s="10">
        <v>44275</v>
      </c>
      <c r="D47" s="2" t="s">
        <v>36</v>
      </c>
      <c r="E47" s="5" t="s">
        <v>10</v>
      </c>
      <c r="F47" s="2" t="s">
        <v>89</v>
      </c>
      <c r="G47" s="5" t="s">
        <v>23</v>
      </c>
      <c r="H47" s="4"/>
      <c r="I47" s="4"/>
      <c r="J47" s="5">
        <v>6</v>
      </c>
      <c r="K47" s="5"/>
      <c r="L47" s="5"/>
      <c r="M47" s="2" t="s">
        <v>12</v>
      </c>
      <c r="N47" s="8" t="s">
        <v>175</v>
      </c>
    </row>
    <row r="48" spans="2:15" hidden="1">
      <c r="B48" s="2">
        <v>44</v>
      </c>
      <c r="C48" s="10">
        <v>44276</v>
      </c>
      <c r="D48" s="2" t="s">
        <v>36</v>
      </c>
      <c r="E48" s="5" t="s">
        <v>10</v>
      </c>
      <c r="F48" s="2" t="s">
        <v>90</v>
      </c>
      <c r="G48" s="5"/>
      <c r="H48" s="4"/>
      <c r="I48" s="4"/>
      <c r="J48" s="5">
        <v>15</v>
      </c>
      <c r="K48" s="5"/>
      <c r="L48" s="5"/>
      <c r="M48" s="2" t="s">
        <v>12</v>
      </c>
      <c r="N48" s="8" t="s">
        <v>166</v>
      </c>
    </row>
    <row r="49" spans="2:14">
      <c r="B49" s="2">
        <v>45</v>
      </c>
      <c r="C49" s="10">
        <v>44275</v>
      </c>
      <c r="D49" s="2" t="s">
        <v>36</v>
      </c>
      <c r="E49" s="5" t="s">
        <v>14</v>
      </c>
      <c r="F49" s="2" t="s">
        <v>91</v>
      </c>
      <c r="G49" s="5" t="s">
        <v>23</v>
      </c>
      <c r="H49" s="4"/>
      <c r="I49" s="4"/>
      <c r="J49" s="5">
        <v>9</v>
      </c>
      <c r="K49" s="5"/>
      <c r="L49" s="5"/>
      <c r="M49" s="2" t="s">
        <v>12</v>
      </c>
      <c r="N49" s="8" t="s">
        <v>141</v>
      </c>
    </row>
    <row r="50" spans="2:14">
      <c r="B50" s="2">
        <v>46</v>
      </c>
      <c r="C50" s="10">
        <v>44274</v>
      </c>
      <c r="D50" s="2" t="s">
        <v>36</v>
      </c>
      <c r="E50" s="5" t="s">
        <v>14</v>
      </c>
      <c r="F50" s="2" t="s">
        <v>92</v>
      </c>
      <c r="G50" s="5" t="s">
        <v>19</v>
      </c>
      <c r="H50" s="4"/>
      <c r="I50" s="4"/>
      <c r="J50" s="5">
        <v>20</v>
      </c>
      <c r="K50" s="5"/>
      <c r="L50" s="5"/>
      <c r="M50" s="2" t="s">
        <v>12</v>
      </c>
      <c r="N50" s="8" t="s">
        <v>53</v>
      </c>
    </row>
    <row r="51" spans="2:14">
      <c r="B51" s="2">
        <v>47</v>
      </c>
      <c r="C51" s="10">
        <v>44274</v>
      </c>
      <c r="D51" s="2" t="s">
        <v>36</v>
      </c>
      <c r="E51" s="5" t="s">
        <v>14</v>
      </c>
      <c r="F51" s="2" t="s">
        <v>93</v>
      </c>
      <c r="G51" s="5" t="s">
        <v>19</v>
      </c>
      <c r="H51" s="4" t="s">
        <v>50</v>
      </c>
      <c r="I51" s="4" t="s">
        <v>121</v>
      </c>
      <c r="J51" s="5">
        <v>16</v>
      </c>
      <c r="K51" s="5"/>
      <c r="L51" s="5"/>
      <c r="M51" s="2" t="s">
        <v>12</v>
      </c>
    </row>
    <row r="52" spans="2:14" hidden="1">
      <c r="B52" s="2">
        <v>48</v>
      </c>
      <c r="C52" s="10">
        <v>44278</v>
      </c>
      <c r="D52" s="2" t="s">
        <v>36</v>
      </c>
      <c r="E52" s="5" t="s">
        <v>22</v>
      </c>
      <c r="F52" s="5" t="s">
        <v>99</v>
      </c>
      <c r="G52" s="5" t="s">
        <v>11</v>
      </c>
      <c r="H52" s="4"/>
      <c r="I52" s="4"/>
      <c r="J52" s="5">
        <v>25</v>
      </c>
      <c r="K52" s="5"/>
      <c r="L52" s="5"/>
      <c r="M52" s="2" t="s">
        <v>12</v>
      </c>
      <c r="N52" s="8" t="s">
        <v>169</v>
      </c>
    </row>
    <row r="53" spans="2:14" hidden="1">
      <c r="B53" s="2">
        <v>49</v>
      </c>
      <c r="C53" s="10">
        <v>44274</v>
      </c>
      <c r="D53" s="2" t="s">
        <v>36</v>
      </c>
      <c r="E53" s="5" t="s">
        <v>13</v>
      </c>
      <c r="F53" s="2" t="s">
        <v>94</v>
      </c>
      <c r="G53" s="5" t="s">
        <v>19</v>
      </c>
      <c r="H53" s="4"/>
      <c r="I53" s="4"/>
      <c r="J53" s="5">
        <v>21</v>
      </c>
      <c r="K53" s="5"/>
      <c r="L53" s="5"/>
      <c r="M53" s="2" t="s">
        <v>12</v>
      </c>
      <c r="N53" s="8" t="s">
        <v>185</v>
      </c>
    </row>
    <row r="54" spans="2:14" hidden="1">
      <c r="B54" s="2">
        <v>50</v>
      </c>
      <c r="C54" s="70">
        <v>44277</v>
      </c>
      <c r="D54" s="2" t="s">
        <v>36</v>
      </c>
      <c r="E54" s="5" t="s">
        <v>13</v>
      </c>
      <c r="F54" s="4" t="s">
        <v>100</v>
      </c>
      <c r="G54" s="4" t="s">
        <v>11</v>
      </c>
      <c r="H54" s="71"/>
      <c r="I54" s="71"/>
      <c r="J54" s="71">
        <v>25</v>
      </c>
      <c r="K54" s="71"/>
      <c r="L54" s="71"/>
      <c r="M54" s="2" t="s">
        <v>12</v>
      </c>
      <c r="N54" s="9" t="s">
        <v>186</v>
      </c>
    </row>
    <row r="55" spans="2:14" hidden="1">
      <c r="B55" s="2">
        <v>51</v>
      </c>
      <c r="C55" s="10">
        <v>44244</v>
      </c>
      <c r="D55" s="2" t="s">
        <v>36</v>
      </c>
      <c r="E55" s="5" t="s">
        <v>17</v>
      </c>
      <c r="F55" s="2" t="s">
        <v>81</v>
      </c>
      <c r="G55" s="5" t="s">
        <v>19</v>
      </c>
      <c r="H55" s="4"/>
      <c r="I55" s="4"/>
      <c r="J55" s="5">
        <v>21.6</v>
      </c>
      <c r="K55" s="5"/>
      <c r="L55" s="5"/>
      <c r="M55" s="2" t="s">
        <v>12</v>
      </c>
      <c r="N55" s="8" t="s">
        <v>141</v>
      </c>
    </row>
    <row r="56" spans="2:14" hidden="1">
      <c r="B56" s="2">
        <v>52</v>
      </c>
      <c r="C56" s="10">
        <v>44280</v>
      </c>
      <c r="D56" s="2" t="s">
        <v>36</v>
      </c>
      <c r="E56" s="5" t="s">
        <v>10</v>
      </c>
      <c r="F56" s="5" t="s">
        <v>122</v>
      </c>
      <c r="G56" s="5" t="s">
        <v>19</v>
      </c>
      <c r="H56" s="4"/>
      <c r="I56" s="4"/>
      <c r="J56" s="5">
        <v>17</v>
      </c>
      <c r="K56" s="5"/>
      <c r="L56" s="5"/>
      <c r="M56" s="2" t="s">
        <v>12</v>
      </c>
      <c r="N56" s="8" t="s">
        <v>176</v>
      </c>
    </row>
    <row r="57" spans="2:14" hidden="1">
      <c r="B57" s="2">
        <v>53</v>
      </c>
      <c r="C57" s="94">
        <v>44280</v>
      </c>
      <c r="D57" s="95"/>
      <c r="E57" s="96" t="s">
        <v>160</v>
      </c>
      <c r="F57" s="95" t="s">
        <v>107</v>
      </c>
      <c r="G57" s="96" t="s">
        <v>11</v>
      </c>
      <c r="H57" s="97"/>
      <c r="I57" s="97"/>
      <c r="J57" s="96">
        <v>35</v>
      </c>
      <c r="K57" s="96"/>
      <c r="L57" s="96"/>
      <c r="M57" s="95" t="s">
        <v>161</v>
      </c>
      <c r="N57" s="8" t="s">
        <v>131</v>
      </c>
    </row>
    <row r="58" spans="2:14" hidden="1">
      <c r="B58" s="2">
        <v>54</v>
      </c>
      <c r="C58" s="10">
        <v>44281</v>
      </c>
      <c r="D58" s="2" t="s">
        <v>36</v>
      </c>
      <c r="E58" s="5" t="s">
        <v>10</v>
      </c>
      <c r="F58" s="5" t="s">
        <v>108</v>
      </c>
      <c r="G58" s="5" t="s">
        <v>19</v>
      </c>
      <c r="H58" s="4"/>
      <c r="I58" s="4"/>
      <c r="J58" s="5">
        <v>15</v>
      </c>
      <c r="K58" s="5"/>
      <c r="L58" s="5"/>
      <c r="M58" s="2" t="s">
        <v>12</v>
      </c>
      <c r="N58" s="8" t="s">
        <v>53</v>
      </c>
    </row>
    <row r="59" spans="2:14" hidden="1">
      <c r="B59" s="2">
        <v>55</v>
      </c>
      <c r="C59" s="10">
        <v>44281</v>
      </c>
      <c r="D59" s="2" t="s">
        <v>36</v>
      </c>
      <c r="E59" s="5" t="s">
        <v>10</v>
      </c>
      <c r="F59" s="5" t="s">
        <v>109</v>
      </c>
      <c r="G59" s="5" t="s">
        <v>19</v>
      </c>
      <c r="H59" s="4"/>
      <c r="I59" s="4"/>
      <c r="J59" s="5">
        <v>15</v>
      </c>
      <c r="K59" s="5"/>
      <c r="L59" s="5"/>
      <c r="M59" s="2" t="s">
        <v>12</v>
      </c>
      <c r="N59" s="9" t="s">
        <v>177</v>
      </c>
    </row>
    <row r="60" spans="2:14" hidden="1">
      <c r="B60" s="2">
        <v>56</v>
      </c>
      <c r="C60" s="10">
        <v>44281</v>
      </c>
      <c r="D60" s="2" t="s">
        <v>36</v>
      </c>
      <c r="E60" s="5" t="s">
        <v>10</v>
      </c>
      <c r="F60" s="5" t="s">
        <v>110</v>
      </c>
      <c r="G60" s="5" t="s">
        <v>23</v>
      </c>
      <c r="H60" s="4"/>
      <c r="I60" s="4"/>
      <c r="J60" s="5">
        <v>10</v>
      </c>
      <c r="K60" s="5"/>
      <c r="L60" s="5"/>
      <c r="M60" s="2" t="s">
        <v>12</v>
      </c>
      <c r="N60" s="8" t="s">
        <v>166</v>
      </c>
    </row>
    <row r="61" spans="2:14" hidden="1">
      <c r="B61" s="2">
        <v>57</v>
      </c>
      <c r="C61" s="10">
        <v>44281</v>
      </c>
      <c r="D61" s="2" t="s">
        <v>36</v>
      </c>
      <c r="E61" s="5" t="s">
        <v>25</v>
      </c>
      <c r="F61" s="5" t="s">
        <v>112</v>
      </c>
      <c r="G61" s="5" t="s">
        <v>24</v>
      </c>
      <c r="H61" s="4"/>
      <c r="I61" s="4"/>
      <c r="J61" s="5">
        <v>6</v>
      </c>
      <c r="K61" s="5"/>
      <c r="L61" s="5"/>
      <c r="M61" s="2" t="s">
        <v>12</v>
      </c>
      <c r="N61" s="8" t="s">
        <v>145</v>
      </c>
    </row>
    <row r="62" spans="2:14" hidden="1">
      <c r="B62" s="2">
        <v>58</v>
      </c>
      <c r="C62" s="10">
        <v>44281</v>
      </c>
      <c r="D62" s="2" t="s">
        <v>36</v>
      </c>
      <c r="E62" s="5" t="s">
        <v>25</v>
      </c>
      <c r="F62" s="5" t="s">
        <v>113</v>
      </c>
      <c r="G62" s="5" t="s">
        <v>19</v>
      </c>
      <c r="H62" s="4"/>
      <c r="I62" s="4"/>
      <c r="J62" s="5">
        <v>20</v>
      </c>
      <c r="K62" s="5" t="s">
        <v>132</v>
      </c>
      <c r="L62" s="5" t="s">
        <v>133</v>
      </c>
      <c r="M62" s="2" t="s">
        <v>71</v>
      </c>
      <c r="N62" s="8" t="s">
        <v>130</v>
      </c>
    </row>
    <row r="63" spans="2:14" hidden="1">
      <c r="B63" s="2">
        <v>59</v>
      </c>
      <c r="C63" s="10">
        <v>44281</v>
      </c>
      <c r="D63" s="2" t="s">
        <v>36</v>
      </c>
      <c r="E63" s="5" t="s">
        <v>13</v>
      </c>
      <c r="F63" s="5" t="s">
        <v>106</v>
      </c>
      <c r="G63" s="5" t="s">
        <v>19</v>
      </c>
      <c r="H63" s="4"/>
      <c r="I63" s="4"/>
      <c r="J63" s="14">
        <v>18</v>
      </c>
      <c r="K63" s="5"/>
      <c r="L63" s="5"/>
      <c r="M63" s="2" t="s">
        <v>12</v>
      </c>
      <c r="N63" s="8" t="s">
        <v>187</v>
      </c>
    </row>
    <row r="64" spans="2:14" hidden="1">
      <c r="B64" s="2">
        <v>60</v>
      </c>
      <c r="C64" s="10">
        <v>44435</v>
      </c>
      <c r="D64" s="2" t="s">
        <v>36</v>
      </c>
      <c r="E64" s="5" t="s">
        <v>22</v>
      </c>
      <c r="F64" s="5" t="s">
        <v>114</v>
      </c>
      <c r="G64" s="5" t="s">
        <v>19</v>
      </c>
      <c r="H64" s="4"/>
      <c r="I64" s="4"/>
      <c r="J64" s="5">
        <v>24</v>
      </c>
      <c r="K64" s="5"/>
      <c r="L64" s="5"/>
      <c r="M64" s="2" t="s">
        <v>12</v>
      </c>
      <c r="N64" s="8" t="s">
        <v>141</v>
      </c>
    </row>
    <row r="65" spans="2:14" hidden="1">
      <c r="B65" s="2">
        <v>61</v>
      </c>
      <c r="C65" s="10">
        <v>44435</v>
      </c>
      <c r="D65" s="2" t="s">
        <v>36</v>
      </c>
      <c r="E65" s="5" t="s">
        <v>17</v>
      </c>
      <c r="F65" s="5" t="s">
        <v>123</v>
      </c>
      <c r="G65" s="5" t="s">
        <v>23</v>
      </c>
      <c r="H65" s="4" t="s">
        <v>37</v>
      </c>
      <c r="I65" s="4" t="s">
        <v>51</v>
      </c>
      <c r="J65" s="5">
        <v>10</v>
      </c>
      <c r="K65" s="5"/>
      <c r="L65" s="5"/>
      <c r="M65" s="2" t="s">
        <v>12</v>
      </c>
    </row>
    <row r="66" spans="2:14" hidden="1">
      <c r="B66" s="2">
        <v>62</v>
      </c>
      <c r="C66" s="10">
        <v>44435</v>
      </c>
      <c r="D66" s="2" t="s">
        <v>36</v>
      </c>
      <c r="E66" s="5" t="s">
        <v>15</v>
      </c>
      <c r="F66" s="5" t="s">
        <v>184</v>
      </c>
      <c r="G66" s="5" t="s">
        <v>19</v>
      </c>
      <c r="H66" s="4"/>
      <c r="I66" s="4"/>
      <c r="J66" s="5">
        <v>15</v>
      </c>
      <c r="K66" s="5"/>
      <c r="L66" s="5"/>
      <c r="M66" s="2" t="s">
        <v>71</v>
      </c>
      <c r="N66" t="s">
        <v>172</v>
      </c>
    </row>
    <row r="67" spans="2:14" hidden="1">
      <c r="B67" s="2">
        <v>63</v>
      </c>
      <c r="C67" s="10">
        <v>44281</v>
      </c>
      <c r="D67" s="2" t="s">
        <v>36</v>
      </c>
      <c r="E67" s="5" t="s">
        <v>17</v>
      </c>
      <c r="F67" s="5" t="s">
        <v>111</v>
      </c>
      <c r="G67" s="5" t="s">
        <v>23</v>
      </c>
      <c r="H67" s="4"/>
      <c r="I67" s="4"/>
      <c r="J67" s="5">
        <v>10</v>
      </c>
      <c r="K67" s="5"/>
      <c r="L67" s="5"/>
      <c r="M67" s="2" t="s">
        <v>12</v>
      </c>
      <c r="N67" t="s">
        <v>178</v>
      </c>
    </row>
    <row r="68" spans="2:14" hidden="1">
      <c r="B68" s="2">
        <v>64</v>
      </c>
      <c r="C68" s="85">
        <v>44289</v>
      </c>
      <c r="D68" s="2" t="s">
        <v>134</v>
      </c>
      <c r="E68" s="2" t="s">
        <v>15</v>
      </c>
      <c r="F68" s="2" t="s">
        <v>139</v>
      </c>
      <c r="G68" s="2" t="s">
        <v>24</v>
      </c>
      <c r="H68" s="2"/>
      <c r="I68" s="2"/>
      <c r="J68" s="2">
        <v>7</v>
      </c>
      <c r="K68" s="2"/>
      <c r="L68" s="2"/>
      <c r="M68" s="2" t="s">
        <v>12</v>
      </c>
      <c r="N68"/>
    </row>
    <row r="69" spans="2:14" hidden="1">
      <c r="B69" s="2">
        <v>65</v>
      </c>
      <c r="C69" s="85">
        <v>44289</v>
      </c>
      <c r="D69" s="2" t="s">
        <v>134</v>
      </c>
      <c r="E69" s="2" t="s">
        <v>15</v>
      </c>
      <c r="F69" s="2" t="s">
        <v>140</v>
      </c>
      <c r="G69" s="2" t="s">
        <v>11</v>
      </c>
      <c r="H69" s="2"/>
      <c r="I69" s="2"/>
      <c r="J69" s="2">
        <v>24</v>
      </c>
      <c r="K69" s="2"/>
      <c r="L69" s="2"/>
      <c r="M69" s="2" t="s">
        <v>12</v>
      </c>
      <c r="N69"/>
    </row>
    <row r="70" spans="2:14" hidden="1">
      <c r="B70" s="2">
        <v>66</v>
      </c>
      <c r="C70" s="85">
        <v>44289</v>
      </c>
      <c r="D70" s="2" t="s">
        <v>134</v>
      </c>
      <c r="E70" s="2" t="s">
        <v>22</v>
      </c>
      <c r="F70" s="2" t="s">
        <v>138</v>
      </c>
      <c r="G70" s="2" t="s">
        <v>19</v>
      </c>
      <c r="H70" s="2"/>
      <c r="I70" s="2"/>
      <c r="J70" s="2">
        <v>15</v>
      </c>
      <c r="K70" s="2"/>
      <c r="L70" s="2"/>
      <c r="M70" s="2" t="s">
        <v>71</v>
      </c>
      <c r="N70" t="s">
        <v>172</v>
      </c>
    </row>
    <row r="71" spans="2:14" hidden="1">
      <c r="B71" s="2">
        <v>67</v>
      </c>
      <c r="C71" s="85">
        <v>44289</v>
      </c>
      <c r="D71" s="2" t="s">
        <v>134</v>
      </c>
      <c r="E71" s="2" t="s">
        <v>13</v>
      </c>
      <c r="F71" s="2" t="s">
        <v>136</v>
      </c>
      <c r="G71" s="2" t="s">
        <v>19</v>
      </c>
      <c r="H71" s="2"/>
      <c r="I71" s="2"/>
      <c r="J71" s="2">
        <v>25</v>
      </c>
      <c r="K71" s="2" t="s">
        <v>59</v>
      </c>
      <c r="L71" s="2" t="s">
        <v>34</v>
      </c>
      <c r="M71" s="2" t="s">
        <v>12</v>
      </c>
      <c r="N71" s="8" t="s">
        <v>53</v>
      </c>
    </row>
    <row r="72" spans="2:14" hidden="1">
      <c r="B72" s="2">
        <v>68</v>
      </c>
      <c r="C72" s="85">
        <v>44291</v>
      </c>
      <c r="D72" s="2" t="s">
        <v>134</v>
      </c>
      <c r="E72" s="2" t="s">
        <v>63</v>
      </c>
      <c r="F72" s="2" t="s">
        <v>171</v>
      </c>
      <c r="G72" s="2" t="s">
        <v>19</v>
      </c>
      <c r="H72" s="2"/>
      <c r="I72" s="2"/>
      <c r="J72" s="2">
        <v>13.5</v>
      </c>
      <c r="K72" s="2"/>
      <c r="L72" s="2"/>
      <c r="M72" s="2" t="s">
        <v>12</v>
      </c>
      <c r="N72" t="s">
        <v>172</v>
      </c>
    </row>
    <row r="73" spans="2:14" hidden="1">
      <c r="B73" s="2">
        <v>69</v>
      </c>
      <c r="C73" s="10">
        <v>44291</v>
      </c>
      <c r="D73" s="4" t="s">
        <v>134</v>
      </c>
      <c r="E73" s="4" t="s">
        <v>22</v>
      </c>
      <c r="F73" s="4" t="s">
        <v>137</v>
      </c>
      <c r="G73" s="4" t="s">
        <v>11</v>
      </c>
      <c r="H73" s="4"/>
      <c r="I73" s="4"/>
      <c r="J73" s="4">
        <v>32</v>
      </c>
      <c r="K73" s="4"/>
      <c r="L73" s="4"/>
      <c r="M73" s="2" t="s">
        <v>12</v>
      </c>
      <c r="N73" t="s">
        <v>170</v>
      </c>
    </row>
    <row r="74" spans="2:14" hidden="1">
      <c r="B74" s="2">
        <v>70</v>
      </c>
      <c r="C74" s="10">
        <v>44291</v>
      </c>
      <c r="D74" s="4" t="s">
        <v>134</v>
      </c>
      <c r="E74" s="4" t="s">
        <v>17</v>
      </c>
      <c r="F74" s="2" t="s">
        <v>149</v>
      </c>
      <c r="G74" s="2" t="s">
        <v>19</v>
      </c>
      <c r="H74" s="2"/>
      <c r="I74" s="2"/>
      <c r="J74" s="2">
        <v>19.43</v>
      </c>
      <c r="K74" s="2"/>
      <c r="L74" s="2"/>
      <c r="M74" s="2" t="s">
        <v>12</v>
      </c>
      <c r="N74" t="s">
        <v>191</v>
      </c>
    </row>
    <row r="75" spans="2:14">
      <c r="B75" s="2">
        <v>71</v>
      </c>
      <c r="C75" s="10">
        <v>44291</v>
      </c>
      <c r="D75" s="4" t="s">
        <v>134</v>
      </c>
      <c r="E75" s="4" t="s">
        <v>14</v>
      </c>
      <c r="F75" s="2" t="s">
        <v>150</v>
      </c>
      <c r="G75" s="2" t="s">
        <v>19</v>
      </c>
      <c r="H75" s="2"/>
      <c r="I75" s="2"/>
      <c r="J75" s="2">
        <v>12.5</v>
      </c>
      <c r="K75" s="2"/>
      <c r="L75" s="2"/>
      <c r="M75" s="2" t="s">
        <v>12</v>
      </c>
      <c r="N75"/>
    </row>
    <row r="76" spans="2:14">
      <c r="B76" s="2">
        <v>72</v>
      </c>
      <c r="C76" s="10">
        <v>44291</v>
      </c>
      <c r="D76" s="4" t="s">
        <v>134</v>
      </c>
      <c r="E76" s="4" t="s">
        <v>14</v>
      </c>
      <c r="F76" s="2" t="s">
        <v>151</v>
      </c>
      <c r="G76" s="2" t="s">
        <v>19</v>
      </c>
      <c r="H76" s="2"/>
      <c r="I76" s="2"/>
      <c r="J76" s="2">
        <v>15</v>
      </c>
      <c r="K76" s="2"/>
      <c r="L76" s="2"/>
      <c r="M76" s="2" t="s">
        <v>12</v>
      </c>
      <c r="N76"/>
    </row>
    <row r="77" spans="2:14" hidden="1">
      <c r="B77" s="2">
        <v>73</v>
      </c>
      <c r="C77" s="10">
        <v>44291</v>
      </c>
      <c r="D77" s="4" t="s">
        <v>134</v>
      </c>
      <c r="E77" s="4" t="s">
        <v>15</v>
      </c>
      <c r="F77" s="2" t="s">
        <v>162</v>
      </c>
      <c r="G77" s="2" t="s">
        <v>24</v>
      </c>
      <c r="H77" s="2"/>
      <c r="I77" s="2"/>
      <c r="J77" s="2">
        <v>3.5</v>
      </c>
      <c r="K77" s="2"/>
      <c r="L77" s="2"/>
      <c r="M77" s="2" t="s">
        <v>12</v>
      </c>
      <c r="N77"/>
    </row>
    <row r="78" spans="2:14">
      <c r="B78" s="2">
        <v>74</v>
      </c>
      <c r="C78" s="10">
        <v>44291</v>
      </c>
      <c r="D78" s="4" t="s">
        <v>134</v>
      </c>
      <c r="E78" s="4" t="s">
        <v>14</v>
      </c>
      <c r="F78" s="2" t="s">
        <v>152</v>
      </c>
      <c r="G78" s="2" t="s">
        <v>24</v>
      </c>
      <c r="H78" s="2"/>
      <c r="I78" s="2"/>
      <c r="J78" s="2">
        <v>6</v>
      </c>
      <c r="K78" s="2"/>
      <c r="L78" s="2"/>
      <c r="M78" s="2" t="s">
        <v>12</v>
      </c>
      <c r="N78"/>
    </row>
    <row r="79" spans="2:14" hidden="1">
      <c r="B79" s="2">
        <v>75</v>
      </c>
      <c r="C79" s="10">
        <v>44258</v>
      </c>
      <c r="D79" s="4" t="s">
        <v>134</v>
      </c>
      <c r="E79" s="4" t="s">
        <v>13</v>
      </c>
      <c r="F79" s="2" t="s">
        <v>156</v>
      </c>
      <c r="G79" s="2" t="s">
        <v>19</v>
      </c>
      <c r="H79" s="2"/>
      <c r="I79" s="2"/>
      <c r="J79" s="2">
        <v>26</v>
      </c>
      <c r="K79" s="2"/>
      <c r="L79" s="2"/>
      <c r="M79" s="2" t="s">
        <v>12</v>
      </c>
      <c r="N79"/>
    </row>
    <row r="80" spans="2:14" ht="15.75" hidden="1" thickBot="1">
      <c r="B80" s="2">
        <v>76</v>
      </c>
      <c r="C80" s="92">
        <v>44291</v>
      </c>
      <c r="D80" s="93" t="s">
        <v>134</v>
      </c>
      <c r="E80" s="93" t="s">
        <v>13</v>
      </c>
      <c r="F80" s="91" t="s">
        <v>157</v>
      </c>
      <c r="G80" s="91" t="s">
        <v>23</v>
      </c>
      <c r="H80" s="91"/>
      <c r="I80" s="91"/>
      <c r="J80" s="91">
        <v>5.8</v>
      </c>
      <c r="K80" s="91"/>
      <c r="L80" s="91"/>
      <c r="M80" s="2" t="s">
        <v>12</v>
      </c>
      <c r="N80"/>
    </row>
    <row r="81" spans="2:14" hidden="1">
      <c r="I81" s="8"/>
      <c r="J81" s="76">
        <f>SUM(J4:J80)</f>
        <v>1251.83</v>
      </c>
      <c r="K81" s="76"/>
      <c r="L81" s="76"/>
    </row>
    <row r="82" spans="2:14">
      <c r="I82" s="8"/>
      <c r="J82" s="76"/>
      <c r="K82" s="76"/>
      <c r="L82" s="76"/>
    </row>
    <row r="83" spans="2:14" ht="15.75" thickBot="1"/>
    <row r="84" spans="2:14" ht="16.5" thickBot="1">
      <c r="B84" s="775" t="s">
        <v>127</v>
      </c>
      <c r="C84" s="776"/>
      <c r="D84" s="776"/>
      <c r="E84" s="776"/>
      <c r="F84" s="776"/>
      <c r="G84" s="776"/>
      <c r="H84" s="776"/>
      <c r="I84" s="776"/>
      <c r="J84" s="776"/>
      <c r="K84" s="776"/>
      <c r="L84" s="776"/>
      <c r="M84" s="777"/>
      <c r="N84"/>
    </row>
    <row r="85" spans="2:14" ht="16.5" thickBot="1">
      <c r="B85" s="100" t="s">
        <v>0</v>
      </c>
      <c r="C85" s="101" t="s">
        <v>43</v>
      </c>
      <c r="D85" s="101" t="s">
        <v>1</v>
      </c>
      <c r="E85" s="101" t="s">
        <v>2</v>
      </c>
      <c r="F85" s="101" t="s">
        <v>3</v>
      </c>
      <c r="G85" s="101" t="s">
        <v>4</v>
      </c>
      <c r="H85" s="101" t="s">
        <v>5</v>
      </c>
      <c r="I85" s="101" t="s">
        <v>6</v>
      </c>
      <c r="J85" s="101" t="s">
        <v>7</v>
      </c>
      <c r="K85" s="80" t="s">
        <v>5</v>
      </c>
      <c r="L85" s="80" t="s">
        <v>6</v>
      </c>
      <c r="M85" s="77" t="s">
        <v>75</v>
      </c>
      <c r="N85"/>
    </row>
    <row r="86" spans="2:14">
      <c r="B86" s="78">
        <v>1</v>
      </c>
      <c r="C86" s="86">
        <v>44292</v>
      </c>
      <c r="D86" s="87" t="s">
        <v>134</v>
      </c>
      <c r="E86" s="87" t="s">
        <v>22</v>
      </c>
      <c r="F86" s="79" t="s">
        <v>147</v>
      </c>
      <c r="G86" s="79" t="s">
        <v>23</v>
      </c>
      <c r="H86" s="79"/>
      <c r="I86" s="79"/>
      <c r="J86" s="79">
        <v>8</v>
      </c>
      <c r="K86" s="79"/>
      <c r="L86" s="79"/>
      <c r="M86" s="88" t="s">
        <v>135</v>
      </c>
      <c r="N86"/>
    </row>
    <row r="87" spans="2:14" ht="15.75" thickBot="1">
      <c r="B87" s="17">
        <v>2</v>
      </c>
      <c r="C87" s="10">
        <v>44292</v>
      </c>
      <c r="D87" s="4" t="s">
        <v>134</v>
      </c>
      <c r="E87" s="4" t="s">
        <v>22</v>
      </c>
      <c r="F87" s="4" t="s">
        <v>148</v>
      </c>
      <c r="G87" s="4" t="s">
        <v>19</v>
      </c>
      <c r="H87" s="4"/>
      <c r="I87" s="4"/>
      <c r="J87" s="4">
        <v>24</v>
      </c>
      <c r="K87" s="4"/>
      <c r="L87" s="4"/>
      <c r="M87" s="18" t="s">
        <v>135</v>
      </c>
      <c r="N87"/>
    </row>
    <row r="88" spans="2:14">
      <c r="B88" s="78">
        <v>3</v>
      </c>
      <c r="C88" s="10">
        <v>44292</v>
      </c>
      <c r="D88" s="4" t="s">
        <v>134</v>
      </c>
      <c r="E88" s="4" t="s">
        <v>14</v>
      </c>
      <c r="F88" s="2" t="s">
        <v>153</v>
      </c>
      <c r="G88" s="2" t="s">
        <v>23</v>
      </c>
      <c r="H88" s="2"/>
      <c r="I88" s="2"/>
      <c r="J88" s="2">
        <v>9</v>
      </c>
      <c r="K88" s="2"/>
      <c r="L88" s="2"/>
      <c r="M88" s="18" t="s">
        <v>135</v>
      </c>
      <c r="N88"/>
    </row>
    <row r="89" spans="2:14" ht="15.75" thickBot="1">
      <c r="B89" s="17">
        <v>4</v>
      </c>
      <c r="C89" s="10">
        <v>44292</v>
      </c>
      <c r="D89" s="4" t="s">
        <v>134</v>
      </c>
      <c r="E89" s="4" t="s">
        <v>14</v>
      </c>
      <c r="F89" s="2" t="s">
        <v>154</v>
      </c>
      <c r="G89" s="2" t="s">
        <v>19</v>
      </c>
      <c r="H89" s="2"/>
      <c r="I89" s="2"/>
      <c r="J89" s="2">
        <v>20</v>
      </c>
      <c r="K89" s="2"/>
      <c r="L89" s="2"/>
      <c r="M89" s="18" t="s">
        <v>135</v>
      </c>
      <c r="N89"/>
    </row>
    <row r="90" spans="2:14">
      <c r="B90" s="78">
        <v>5</v>
      </c>
      <c r="C90" s="10">
        <v>44292</v>
      </c>
      <c r="D90" s="4" t="s">
        <v>134</v>
      </c>
      <c r="E90" s="4" t="s">
        <v>14</v>
      </c>
      <c r="F90" s="2" t="s">
        <v>155</v>
      </c>
      <c r="G90" s="2" t="s">
        <v>19</v>
      </c>
      <c r="H90" s="2"/>
      <c r="I90" s="2"/>
      <c r="J90" s="2">
        <v>20</v>
      </c>
      <c r="K90" s="2"/>
      <c r="L90" s="2"/>
      <c r="M90" s="18" t="s">
        <v>135</v>
      </c>
    </row>
    <row r="91" spans="2:14" ht="15.75" thickBot="1">
      <c r="B91" s="17">
        <v>6</v>
      </c>
      <c r="C91" s="89">
        <v>44292</v>
      </c>
      <c r="D91" s="90" t="s">
        <v>134</v>
      </c>
      <c r="E91" s="12" t="s">
        <v>158</v>
      </c>
      <c r="F91" s="12" t="s">
        <v>159</v>
      </c>
      <c r="G91" s="12" t="s">
        <v>19</v>
      </c>
      <c r="H91" s="12"/>
      <c r="I91" s="12"/>
      <c r="J91" s="12">
        <v>11</v>
      </c>
      <c r="K91" s="12"/>
      <c r="L91" s="12"/>
      <c r="M91" s="18" t="s">
        <v>135</v>
      </c>
    </row>
    <row r="92" spans="2:14">
      <c r="J92" s="1">
        <f>SUM(J86:J91)</f>
        <v>92</v>
      </c>
    </row>
  </sheetData>
  <autoFilter ref="B3:N81">
    <filterColumn colId="3">
      <filters>
        <filter val="YKT"/>
      </filters>
    </filterColumn>
  </autoFilter>
  <mergeCells count="8">
    <mergeCell ref="B84:M84"/>
    <mergeCell ref="B2:M2"/>
    <mergeCell ref="P2:AC2"/>
    <mergeCell ref="Q14:R14"/>
    <mergeCell ref="U14:V14"/>
    <mergeCell ref="W14:X14"/>
    <mergeCell ref="Y14:Z14"/>
    <mergeCell ref="AA14:AB14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J20"/>
  <sheetViews>
    <sheetView workbookViewId="0">
      <selection activeCell="H4" sqref="H4:H20"/>
    </sheetView>
  </sheetViews>
  <sheetFormatPr defaultColWidth="9.140625" defaultRowHeight="15"/>
  <cols>
    <col min="1" max="2" width="9.140625" style="132"/>
    <col min="3" max="3" width="5.28515625" style="132" bestFit="1" customWidth="1"/>
    <col min="4" max="4" width="7" style="132" customWidth="1"/>
    <col min="5" max="5" width="36.42578125" style="132" bestFit="1" customWidth="1"/>
    <col min="6" max="6" width="30.28515625" style="132" bestFit="1" customWidth="1"/>
    <col min="7" max="7" width="15.7109375" style="132" bestFit="1" customWidth="1"/>
    <col min="8" max="8" width="35.85546875" style="132" bestFit="1" customWidth="1"/>
    <col min="9" max="9" width="14.7109375" style="132" bestFit="1" customWidth="1"/>
    <col min="10" max="10" width="7.42578125" style="132" bestFit="1" customWidth="1"/>
    <col min="11" max="16384" width="9.140625" style="132"/>
  </cols>
  <sheetData>
    <row r="2" spans="3:10" ht="15.75" thickBot="1"/>
    <row r="3" spans="3:10" ht="15.75" thickBot="1">
      <c r="C3" s="133" t="s">
        <v>208</v>
      </c>
      <c r="D3" s="134" t="s">
        <v>209</v>
      </c>
      <c r="E3" s="134" t="s">
        <v>210</v>
      </c>
      <c r="F3" s="134" t="s">
        <v>211</v>
      </c>
      <c r="G3" s="134" t="s">
        <v>212</v>
      </c>
      <c r="H3" s="134" t="s">
        <v>213</v>
      </c>
      <c r="I3" s="134" t="s">
        <v>214</v>
      </c>
      <c r="J3" s="134" t="s">
        <v>215</v>
      </c>
    </row>
    <row r="4" spans="3:10" ht="15.75" thickBot="1">
      <c r="C4" s="135">
        <v>1</v>
      </c>
      <c r="D4" s="136">
        <v>562980</v>
      </c>
      <c r="E4" s="137" t="s">
        <v>216</v>
      </c>
      <c r="F4" s="137" t="s">
        <v>217</v>
      </c>
      <c r="G4" s="137" t="s">
        <v>218</v>
      </c>
      <c r="H4" s="137" t="s">
        <v>219</v>
      </c>
      <c r="I4" s="136">
        <v>2300000</v>
      </c>
      <c r="J4" s="137" t="s">
        <v>220</v>
      </c>
    </row>
    <row r="5" spans="3:10" ht="15.75" thickBot="1">
      <c r="C5" s="135">
        <v>2</v>
      </c>
      <c r="D5" s="136">
        <v>562984</v>
      </c>
      <c r="E5" s="137" t="s">
        <v>221</v>
      </c>
      <c r="F5" s="137" t="s">
        <v>222</v>
      </c>
      <c r="G5" s="137" t="s">
        <v>223</v>
      </c>
      <c r="H5" s="137" t="s">
        <v>224</v>
      </c>
      <c r="I5" s="136">
        <v>1500000</v>
      </c>
      <c r="J5" s="137" t="s">
        <v>220</v>
      </c>
    </row>
    <row r="6" spans="3:10" ht="15.75" thickBot="1">
      <c r="C6" s="135">
        <v>3</v>
      </c>
      <c r="D6" s="136">
        <v>562989</v>
      </c>
      <c r="E6" s="137" t="s">
        <v>225</v>
      </c>
      <c r="F6" s="137" t="s">
        <v>217</v>
      </c>
      <c r="G6" s="137" t="s">
        <v>202</v>
      </c>
      <c r="H6" s="137" t="s">
        <v>226</v>
      </c>
      <c r="I6" s="136">
        <v>1200000</v>
      </c>
      <c r="J6" s="137" t="s">
        <v>220</v>
      </c>
    </row>
    <row r="7" spans="3:10" ht="15.75" thickBot="1">
      <c r="C7" s="135">
        <v>4</v>
      </c>
      <c r="D7" s="136">
        <v>562994</v>
      </c>
      <c r="E7" s="137" t="s">
        <v>227</v>
      </c>
      <c r="F7" s="137" t="s">
        <v>228</v>
      </c>
      <c r="G7" s="137" t="s">
        <v>229</v>
      </c>
      <c r="H7" s="137" t="s">
        <v>229</v>
      </c>
      <c r="I7" s="136">
        <v>840000</v>
      </c>
      <c r="J7" s="137" t="s">
        <v>220</v>
      </c>
    </row>
    <row r="8" spans="3:10" ht="15.75" thickBot="1">
      <c r="C8" s="135">
        <v>5</v>
      </c>
      <c r="D8" s="136">
        <v>563178</v>
      </c>
      <c r="E8" s="137" t="s">
        <v>230</v>
      </c>
      <c r="F8" s="137" t="s">
        <v>217</v>
      </c>
      <c r="G8" s="137" t="s">
        <v>231</v>
      </c>
      <c r="H8" s="137" t="s">
        <v>226</v>
      </c>
      <c r="I8" s="136">
        <v>1500000</v>
      </c>
      <c r="J8" s="137" t="s">
        <v>220</v>
      </c>
    </row>
    <row r="9" spans="3:10" ht="15.75" thickBot="1">
      <c r="C9" s="135">
        <v>6</v>
      </c>
      <c r="D9" s="136">
        <v>563054</v>
      </c>
      <c r="E9" s="137" t="s">
        <v>232</v>
      </c>
      <c r="F9" s="137" t="s">
        <v>233</v>
      </c>
      <c r="G9" s="137" t="s">
        <v>202</v>
      </c>
      <c r="H9" s="137" t="s">
        <v>226</v>
      </c>
      <c r="I9" s="136">
        <v>1500000</v>
      </c>
      <c r="J9" s="137" t="s">
        <v>220</v>
      </c>
    </row>
    <row r="10" spans="3:10" ht="15.75" hidden="1" thickBot="1">
      <c r="C10" s="135">
        <v>7</v>
      </c>
      <c r="D10" s="136">
        <v>562592</v>
      </c>
      <c r="E10" s="137" t="s">
        <v>234</v>
      </c>
      <c r="F10" s="137" t="s">
        <v>235</v>
      </c>
      <c r="G10" s="137" t="s">
        <v>218</v>
      </c>
      <c r="H10" s="137" t="s">
        <v>236</v>
      </c>
      <c r="I10" s="136">
        <v>670000</v>
      </c>
      <c r="J10" s="137" t="s">
        <v>237</v>
      </c>
    </row>
    <row r="11" spans="3:10" ht="15.75" thickBot="1">
      <c r="C11" s="135">
        <v>8</v>
      </c>
      <c r="D11" s="136">
        <v>563181</v>
      </c>
      <c r="E11" s="137" t="s">
        <v>238</v>
      </c>
      <c r="F11" s="137" t="s">
        <v>239</v>
      </c>
      <c r="G11" s="137" t="s">
        <v>240</v>
      </c>
      <c r="H11" s="137" t="s">
        <v>226</v>
      </c>
      <c r="I11" s="136">
        <v>2000000</v>
      </c>
      <c r="J11" s="137" t="s">
        <v>220</v>
      </c>
    </row>
    <row r="12" spans="3:10" ht="15.75" hidden="1" thickBot="1">
      <c r="C12" s="135">
        <v>9</v>
      </c>
      <c r="D12" s="136">
        <v>562275</v>
      </c>
      <c r="E12" s="137" t="s">
        <v>241</v>
      </c>
      <c r="F12" s="137" t="s">
        <v>233</v>
      </c>
      <c r="G12" s="137" t="s">
        <v>218</v>
      </c>
      <c r="H12" s="137" t="s">
        <v>219</v>
      </c>
      <c r="I12" s="136">
        <v>2200000</v>
      </c>
      <c r="J12" s="137" t="s">
        <v>237</v>
      </c>
    </row>
    <row r="13" spans="3:10" ht="15.75" thickBot="1">
      <c r="C13" s="135">
        <v>10</v>
      </c>
      <c r="D13" s="136">
        <v>563316</v>
      </c>
      <c r="E13" s="137" t="s">
        <v>242</v>
      </c>
      <c r="F13" s="137" t="s">
        <v>233</v>
      </c>
      <c r="G13" s="137" t="s">
        <v>240</v>
      </c>
      <c r="H13" s="137" t="s">
        <v>243</v>
      </c>
      <c r="I13" s="136">
        <v>2000000</v>
      </c>
      <c r="J13" s="137" t="s">
        <v>220</v>
      </c>
    </row>
    <row r="14" spans="3:10" ht="15.75" hidden="1" thickBot="1">
      <c r="C14" s="135">
        <v>11</v>
      </c>
      <c r="D14" s="136">
        <v>559464</v>
      </c>
      <c r="E14" s="137" t="s">
        <v>244</v>
      </c>
      <c r="F14" s="137" t="s">
        <v>233</v>
      </c>
      <c r="G14" s="137" t="s">
        <v>202</v>
      </c>
      <c r="H14" s="137" t="s">
        <v>236</v>
      </c>
      <c r="I14" s="136">
        <v>2629000</v>
      </c>
      <c r="J14" s="137" t="s">
        <v>237</v>
      </c>
    </row>
    <row r="15" spans="3:10" ht="15.75" hidden="1" thickBot="1">
      <c r="C15" s="135">
        <v>12</v>
      </c>
      <c r="D15" s="136">
        <v>562381</v>
      </c>
      <c r="E15" s="137" t="s">
        <v>245</v>
      </c>
      <c r="F15" s="137" t="s">
        <v>233</v>
      </c>
      <c r="G15" s="137" t="s">
        <v>218</v>
      </c>
      <c r="H15" s="137" t="s">
        <v>226</v>
      </c>
      <c r="I15" s="136">
        <v>2000000</v>
      </c>
      <c r="J15" s="137" t="s">
        <v>237</v>
      </c>
    </row>
    <row r="16" spans="3:10" ht="15.75" hidden="1" thickBot="1">
      <c r="C16" s="135">
        <v>13</v>
      </c>
      <c r="D16" s="136">
        <v>559187</v>
      </c>
      <c r="E16" s="137" t="s">
        <v>246</v>
      </c>
      <c r="F16" s="137" t="s">
        <v>247</v>
      </c>
      <c r="G16" s="137" t="s">
        <v>202</v>
      </c>
      <c r="H16" s="137" t="s">
        <v>248</v>
      </c>
      <c r="I16" s="136">
        <v>2200000</v>
      </c>
      <c r="J16" s="137" t="s">
        <v>237</v>
      </c>
    </row>
    <row r="17" spans="3:10" ht="15.75" hidden="1" thickBot="1">
      <c r="C17" s="135">
        <v>14</v>
      </c>
      <c r="D17" s="136">
        <v>562232</v>
      </c>
      <c r="E17" s="137" t="s">
        <v>249</v>
      </c>
      <c r="F17" s="137" t="s">
        <v>250</v>
      </c>
      <c r="G17" s="137" t="s">
        <v>218</v>
      </c>
      <c r="H17" s="137" t="s">
        <v>248</v>
      </c>
      <c r="I17" s="136">
        <v>1500000</v>
      </c>
      <c r="J17" s="137" t="s">
        <v>237</v>
      </c>
    </row>
    <row r="18" spans="3:10" ht="15.75" thickBot="1">
      <c r="C18" s="135">
        <v>15</v>
      </c>
      <c r="D18" s="136">
        <v>563331</v>
      </c>
      <c r="E18" s="137" t="s">
        <v>251</v>
      </c>
      <c r="F18" s="137" t="s">
        <v>247</v>
      </c>
      <c r="G18" s="137" t="s">
        <v>240</v>
      </c>
      <c r="H18" s="137" t="s">
        <v>243</v>
      </c>
      <c r="I18" s="136">
        <v>2000000</v>
      </c>
      <c r="J18" s="137" t="s">
        <v>220</v>
      </c>
    </row>
    <row r="19" spans="3:10" ht="15.75" thickBot="1">
      <c r="C19" s="135">
        <v>16</v>
      </c>
      <c r="D19" s="136">
        <v>563335</v>
      </c>
      <c r="E19" s="137" t="s">
        <v>252</v>
      </c>
      <c r="F19" s="137" t="s">
        <v>233</v>
      </c>
      <c r="G19" s="137" t="s">
        <v>240</v>
      </c>
      <c r="H19" s="137" t="s">
        <v>226</v>
      </c>
      <c r="I19" s="136">
        <v>2000000</v>
      </c>
      <c r="J19" s="137" t="s">
        <v>220</v>
      </c>
    </row>
    <row r="20" spans="3:10" ht="15.75" thickBot="1">
      <c r="C20" s="135">
        <v>17</v>
      </c>
      <c r="D20" s="136">
        <v>563339</v>
      </c>
      <c r="E20" s="137" t="s">
        <v>253</v>
      </c>
      <c r="F20" s="137" t="s">
        <v>233</v>
      </c>
      <c r="G20" s="137" t="s">
        <v>240</v>
      </c>
      <c r="H20" s="137" t="s">
        <v>226</v>
      </c>
      <c r="I20" s="136">
        <v>2348000</v>
      </c>
      <c r="J20" s="137" t="s">
        <v>220</v>
      </c>
    </row>
  </sheetData>
  <autoFilter ref="C3:J20">
    <filterColumn colId="7">
      <filters>
        <filter val="APRIL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V65536"/>
    </sheetView>
  </sheetViews>
  <sheetFormatPr defaultColWidth="9.140625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3"/>
  <sheetViews>
    <sheetView workbookViewId="0">
      <selection activeCell="H17" sqref="H17"/>
    </sheetView>
  </sheetViews>
  <sheetFormatPr defaultColWidth="11.42578125" defaultRowHeight="15"/>
  <cols>
    <col min="1" max="3" width="8.85546875" customWidth="1"/>
    <col min="4" max="4" width="10.42578125" bestFit="1" customWidth="1"/>
    <col min="5" max="5" width="10.42578125" customWidth="1"/>
    <col min="6" max="6" width="1.28515625" customWidth="1"/>
    <col min="7" max="7" width="11.42578125" bestFit="1" customWidth="1"/>
    <col min="8" max="8" width="10.7109375" customWidth="1"/>
    <col min="9" max="256" width="8.85546875" customWidth="1"/>
  </cols>
  <sheetData>
    <row r="3" spans="3:12" ht="15.75" thickBot="1"/>
    <row r="4" spans="3:12" ht="16.5" thickBot="1">
      <c r="C4" s="775" t="s">
        <v>270</v>
      </c>
      <c r="D4" s="776"/>
      <c r="E4" s="776"/>
      <c r="F4" s="776"/>
      <c r="G4" s="776"/>
      <c r="H4" s="777"/>
    </row>
    <row r="5" spans="3:12" ht="15.75" thickBot="1">
      <c r="C5" s="151" t="s">
        <v>269</v>
      </c>
      <c r="D5" s="149" t="s">
        <v>43</v>
      </c>
      <c r="E5" s="149" t="s">
        <v>261</v>
      </c>
      <c r="F5" s="779"/>
      <c r="G5" s="149" t="s">
        <v>43</v>
      </c>
      <c r="H5" s="150" t="s">
        <v>261</v>
      </c>
    </row>
    <row r="6" spans="3:12">
      <c r="C6" s="123"/>
      <c r="D6" s="147" t="s">
        <v>263</v>
      </c>
      <c r="E6" s="147">
        <v>530</v>
      </c>
      <c r="F6" s="780"/>
      <c r="G6" s="147" t="s">
        <v>263</v>
      </c>
      <c r="H6" s="148">
        <v>530</v>
      </c>
    </row>
    <row r="7" spans="3:12">
      <c r="C7" s="17" t="s">
        <v>257</v>
      </c>
      <c r="D7" s="4" t="s">
        <v>264</v>
      </c>
      <c r="E7" s="4">
        <v>1676</v>
      </c>
      <c r="F7" s="780"/>
      <c r="G7" s="781" t="s">
        <v>268</v>
      </c>
      <c r="H7" s="783">
        <v>2495</v>
      </c>
    </row>
    <row r="8" spans="3:12">
      <c r="C8" s="17" t="s">
        <v>258</v>
      </c>
      <c r="D8" s="4" t="s">
        <v>265</v>
      </c>
      <c r="E8" s="4">
        <v>1830</v>
      </c>
      <c r="F8" s="780"/>
      <c r="G8" s="781"/>
      <c r="H8" s="783"/>
    </row>
    <row r="9" spans="3:12">
      <c r="C9" s="17" t="s">
        <v>259</v>
      </c>
      <c r="D9" s="4" t="s">
        <v>266</v>
      </c>
      <c r="E9" s="4">
        <v>2282</v>
      </c>
      <c r="F9" s="780"/>
      <c r="G9" s="781" t="s">
        <v>262</v>
      </c>
      <c r="H9" s="783">
        <v>4586</v>
      </c>
      <c r="L9">
        <f>2207-531</f>
        <v>1676</v>
      </c>
    </row>
    <row r="10" spans="3:12" ht="15.75" thickBot="1">
      <c r="C10" s="152" t="s">
        <v>260</v>
      </c>
      <c r="D10" s="153" t="s">
        <v>267</v>
      </c>
      <c r="E10" s="153">
        <v>1293</v>
      </c>
      <c r="F10" s="780"/>
      <c r="G10" s="782"/>
      <c r="H10" s="784"/>
    </row>
    <row r="11" spans="3:12" ht="16.5" thickBot="1">
      <c r="C11" s="770" t="s">
        <v>8</v>
      </c>
      <c r="D11" s="778"/>
      <c r="E11" s="154">
        <f>SUM(E6:E10)</f>
        <v>7611</v>
      </c>
      <c r="F11" s="155"/>
      <c r="G11" s="151"/>
      <c r="H11" s="154">
        <f>SUM(H6:H10)</f>
        <v>7611</v>
      </c>
    </row>
    <row r="12" spans="3:12">
      <c r="I12">
        <v>2207</v>
      </c>
      <c r="K12">
        <f>1830-819</f>
        <v>1011</v>
      </c>
    </row>
    <row r="13" spans="3:12">
      <c r="I13">
        <v>819</v>
      </c>
    </row>
  </sheetData>
  <mergeCells count="7">
    <mergeCell ref="C11:D11"/>
    <mergeCell ref="C4:H4"/>
    <mergeCell ref="F5:F10"/>
    <mergeCell ref="G7:G8"/>
    <mergeCell ref="G9:G10"/>
    <mergeCell ref="H7:H8"/>
    <mergeCell ref="H9:H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3"/>
  <sheetViews>
    <sheetView workbookViewId="0">
      <selection activeCell="F4" sqref="F4:F22"/>
    </sheetView>
  </sheetViews>
  <sheetFormatPr defaultColWidth="11.42578125" defaultRowHeight="15"/>
  <cols>
    <col min="1" max="1" width="8.85546875" customWidth="1"/>
    <col min="2" max="2" width="5.42578125" bestFit="1" customWidth="1"/>
    <col min="3" max="3" width="23.7109375" bestFit="1" customWidth="1"/>
    <col min="4" max="4" width="8.7109375" bestFit="1" customWidth="1"/>
    <col min="5" max="5" width="6" bestFit="1" customWidth="1"/>
    <col min="6" max="6" width="10.85546875" bestFit="1" customWidth="1"/>
    <col min="7" max="7" width="20.140625" bestFit="1" customWidth="1"/>
    <col min="8" max="256" width="8.85546875" customWidth="1"/>
  </cols>
  <sheetData>
    <row r="4" spans="2:7">
      <c r="B4" t="s">
        <v>13</v>
      </c>
      <c r="C4" t="s">
        <v>280</v>
      </c>
      <c r="D4" t="s">
        <v>19</v>
      </c>
      <c r="E4">
        <v>23</v>
      </c>
      <c r="F4" t="s">
        <v>287</v>
      </c>
    </row>
    <row r="5" spans="2:7">
      <c r="B5" t="s">
        <v>13</v>
      </c>
      <c r="C5" t="s">
        <v>274</v>
      </c>
      <c r="D5" t="s">
        <v>11</v>
      </c>
      <c r="E5">
        <v>19</v>
      </c>
      <c r="F5" t="s">
        <v>275</v>
      </c>
      <c r="G5" t="s">
        <v>276</v>
      </c>
    </row>
    <row r="6" spans="2:7">
      <c r="B6" t="s">
        <v>13</v>
      </c>
      <c r="C6" t="s">
        <v>277</v>
      </c>
      <c r="D6" t="s">
        <v>23</v>
      </c>
      <c r="E6">
        <v>4.5</v>
      </c>
      <c r="F6" t="s">
        <v>47</v>
      </c>
    </row>
    <row r="7" spans="2:7">
      <c r="B7" t="s">
        <v>13</v>
      </c>
      <c r="C7" t="s">
        <v>278</v>
      </c>
      <c r="D7" t="s">
        <v>23</v>
      </c>
      <c r="E7">
        <v>8.5</v>
      </c>
      <c r="F7" t="s">
        <v>47</v>
      </c>
    </row>
    <row r="8" spans="2:7">
      <c r="B8" t="s">
        <v>13</v>
      </c>
      <c r="C8" t="s">
        <v>279</v>
      </c>
      <c r="D8" t="s">
        <v>19</v>
      </c>
      <c r="E8">
        <v>19</v>
      </c>
      <c r="F8" t="s">
        <v>275</v>
      </c>
      <c r="G8" t="s">
        <v>276</v>
      </c>
    </row>
    <row r="9" spans="2:7">
      <c r="B9" t="s">
        <v>14</v>
      </c>
      <c r="C9" t="s">
        <v>281</v>
      </c>
      <c r="D9" t="s">
        <v>19</v>
      </c>
      <c r="E9">
        <v>21.9</v>
      </c>
      <c r="F9" t="s">
        <v>167</v>
      </c>
    </row>
    <row r="10" spans="2:7">
      <c r="B10" t="s">
        <v>14</v>
      </c>
      <c r="C10" t="s">
        <v>282</v>
      </c>
      <c r="D10" t="s">
        <v>23</v>
      </c>
      <c r="E10">
        <v>7.5</v>
      </c>
      <c r="F10" t="s">
        <v>47</v>
      </c>
    </row>
    <row r="11" spans="2:7">
      <c r="B11" t="s">
        <v>14</v>
      </c>
      <c r="C11" t="s">
        <v>283</v>
      </c>
      <c r="D11" t="s">
        <v>284</v>
      </c>
      <c r="E11">
        <v>5</v>
      </c>
      <c r="F11" t="s">
        <v>47</v>
      </c>
    </row>
    <row r="12" spans="2:7">
      <c r="B12" t="s">
        <v>14</v>
      </c>
      <c r="C12" t="s">
        <v>285</v>
      </c>
      <c r="D12" t="s">
        <v>284</v>
      </c>
      <c r="E12">
        <v>7.5</v>
      </c>
      <c r="F12" t="s">
        <v>167</v>
      </c>
    </row>
    <row r="13" spans="2:7">
      <c r="B13" t="s">
        <v>14</v>
      </c>
      <c r="C13" t="s">
        <v>286</v>
      </c>
      <c r="D13" t="s">
        <v>11</v>
      </c>
      <c r="E13">
        <v>24</v>
      </c>
      <c r="F13" t="s">
        <v>287</v>
      </c>
    </row>
    <row r="14" spans="2:7">
      <c r="B14" t="s">
        <v>289</v>
      </c>
      <c r="C14" t="s">
        <v>288</v>
      </c>
      <c r="D14" t="s">
        <v>24</v>
      </c>
      <c r="E14">
        <v>8</v>
      </c>
      <c r="F14" t="s">
        <v>167</v>
      </c>
    </row>
    <row r="15" spans="2:7">
      <c r="B15" t="s">
        <v>289</v>
      </c>
      <c r="C15" t="s">
        <v>290</v>
      </c>
      <c r="D15" t="s">
        <v>19</v>
      </c>
      <c r="E15">
        <v>22.19</v>
      </c>
      <c r="F15" t="s">
        <v>47</v>
      </c>
    </row>
    <row r="16" spans="2:7">
      <c r="B16" t="s">
        <v>289</v>
      </c>
      <c r="C16" t="s">
        <v>291</v>
      </c>
      <c r="D16" t="s">
        <v>19</v>
      </c>
      <c r="E16">
        <v>24</v>
      </c>
      <c r="F16" t="s">
        <v>287</v>
      </c>
    </row>
    <row r="17" spans="2:6">
      <c r="B17" t="s">
        <v>289</v>
      </c>
      <c r="C17" t="s">
        <v>292</v>
      </c>
      <c r="D17" t="s">
        <v>24</v>
      </c>
      <c r="E17">
        <v>8.7899999999999991</v>
      </c>
      <c r="F17" t="s">
        <v>47</v>
      </c>
    </row>
    <row r="18" spans="2:6">
      <c r="B18" t="s">
        <v>289</v>
      </c>
      <c r="C18" t="s">
        <v>293</v>
      </c>
      <c r="D18" t="s">
        <v>23</v>
      </c>
      <c r="E18">
        <v>10.4</v>
      </c>
      <c r="F18" t="s">
        <v>275</v>
      </c>
    </row>
    <row r="19" spans="2:6">
      <c r="B19" t="s">
        <v>289</v>
      </c>
      <c r="C19" t="s">
        <v>294</v>
      </c>
      <c r="D19" t="s">
        <v>19</v>
      </c>
      <c r="E19">
        <v>4</v>
      </c>
      <c r="F19" t="s">
        <v>275</v>
      </c>
    </row>
    <row r="20" spans="2:6">
      <c r="B20" t="s">
        <v>289</v>
      </c>
      <c r="C20" t="s">
        <v>295</v>
      </c>
      <c r="D20" t="s">
        <v>19</v>
      </c>
      <c r="E20">
        <v>7.5</v>
      </c>
      <c r="F20" t="s">
        <v>47</v>
      </c>
    </row>
    <row r="21" spans="2:6">
      <c r="B21" t="s">
        <v>289</v>
      </c>
      <c r="C21" t="s">
        <v>296</v>
      </c>
      <c r="D21" t="s">
        <v>24</v>
      </c>
      <c r="E21">
        <v>8.1</v>
      </c>
      <c r="F21" t="s">
        <v>287</v>
      </c>
    </row>
    <row r="22" spans="2:6">
      <c r="B22" t="s">
        <v>289</v>
      </c>
      <c r="C22" t="s">
        <v>297</v>
      </c>
      <c r="D22" t="s">
        <v>24</v>
      </c>
      <c r="E22">
        <v>8.1</v>
      </c>
      <c r="F22" t="s">
        <v>167</v>
      </c>
    </row>
    <row r="23" spans="2:6">
      <c r="B23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workbookViewId="0">
      <selection activeCell="F11" sqref="F11"/>
    </sheetView>
  </sheetViews>
  <sheetFormatPr defaultColWidth="11.42578125" defaultRowHeight="15"/>
  <cols>
    <col min="1" max="1" width="8.85546875" customWidth="1"/>
    <col min="2" max="2" width="5" bestFit="1" customWidth="1"/>
    <col min="3" max="3" width="19" bestFit="1" customWidth="1"/>
    <col min="4" max="4" width="21.42578125" bestFit="1" customWidth="1"/>
    <col min="5" max="5" width="15.42578125" bestFit="1" customWidth="1"/>
    <col min="6" max="6" width="49.7109375" bestFit="1" customWidth="1"/>
    <col min="7" max="7" width="41.7109375" bestFit="1" customWidth="1"/>
    <col min="8" max="256" width="8.85546875" customWidth="1"/>
  </cols>
  <sheetData>
    <row r="3" spans="2:7" ht="15.75" thickBot="1">
      <c r="B3" s="167">
        <v>33</v>
      </c>
      <c r="C3" s="168" t="s">
        <v>305</v>
      </c>
      <c r="D3" s="168" t="s">
        <v>306</v>
      </c>
      <c r="E3" s="169">
        <v>44350.45722222222</v>
      </c>
      <c r="F3" s="168" t="s">
        <v>307</v>
      </c>
      <c r="G3" s="168" t="s">
        <v>308</v>
      </c>
    </row>
    <row r="4" spans="2:7" ht="15.75" thickBot="1">
      <c r="B4" s="167">
        <v>101</v>
      </c>
      <c r="C4" s="168" t="s">
        <v>309</v>
      </c>
      <c r="D4" s="168" t="s">
        <v>310</v>
      </c>
      <c r="E4" s="169">
        <v>44351.461655092593</v>
      </c>
      <c r="F4" s="168" t="s">
        <v>311</v>
      </c>
      <c r="G4" s="168" t="s">
        <v>308</v>
      </c>
    </row>
    <row r="5" spans="2:7" ht="15.75" thickBot="1">
      <c r="B5" s="170">
        <v>358</v>
      </c>
      <c r="C5" s="171" t="s">
        <v>312</v>
      </c>
      <c r="D5" s="171" t="s">
        <v>313</v>
      </c>
      <c r="E5" s="172">
        <v>44350.572511574072</v>
      </c>
      <c r="F5" s="171" t="s">
        <v>314</v>
      </c>
      <c r="G5" s="171" t="s">
        <v>308</v>
      </c>
    </row>
    <row r="6" spans="2:7" ht="15.75" thickBot="1">
      <c r="B6" s="170">
        <v>376</v>
      </c>
      <c r="C6" s="171" t="s">
        <v>315</v>
      </c>
      <c r="D6" s="171" t="s">
        <v>316</v>
      </c>
      <c r="E6" s="172">
        <v>44363.490868055553</v>
      </c>
      <c r="F6" s="171" t="s">
        <v>317</v>
      </c>
      <c r="G6" s="171" t="s">
        <v>318</v>
      </c>
    </row>
    <row r="7" spans="2:7" ht="15.75" thickBot="1">
      <c r="B7" s="170">
        <v>622</v>
      </c>
      <c r="C7" s="171" t="s">
        <v>319</v>
      </c>
      <c r="D7" s="171" t="s">
        <v>320</v>
      </c>
      <c r="E7" s="172">
        <v>44368.628240740742</v>
      </c>
      <c r="F7" s="171" t="s">
        <v>321</v>
      </c>
      <c r="G7" s="171" t="s">
        <v>308</v>
      </c>
    </row>
    <row r="8" spans="2:7" ht="15.75" thickBot="1">
      <c r="B8" s="170">
        <v>836</v>
      </c>
      <c r="C8" s="171" t="s">
        <v>322</v>
      </c>
      <c r="D8" s="171" t="s">
        <v>323</v>
      </c>
      <c r="E8" s="172">
        <v>44361.513819444444</v>
      </c>
      <c r="F8" s="171" t="s">
        <v>324</v>
      </c>
      <c r="G8" s="171" t="s">
        <v>318</v>
      </c>
    </row>
    <row r="9" spans="2:7" ht="15.75" thickBot="1">
      <c r="B9" s="170">
        <v>1134</v>
      </c>
      <c r="C9" s="171" t="s">
        <v>325</v>
      </c>
      <c r="D9" s="171" t="s">
        <v>326</v>
      </c>
      <c r="E9" s="172">
        <v>44358.492592592593</v>
      </c>
      <c r="F9" s="171" t="s">
        <v>327</v>
      </c>
      <c r="G9" s="171" t="s">
        <v>308</v>
      </c>
    </row>
    <row r="10" spans="2:7" ht="15.75" thickBot="1">
      <c r="B10" s="170">
        <v>1220</v>
      </c>
      <c r="C10" s="171" t="s">
        <v>328</v>
      </c>
      <c r="D10" s="171" t="s">
        <v>329</v>
      </c>
      <c r="E10" s="172">
        <v>44368.665949074071</v>
      </c>
      <c r="F10" s="171" t="s">
        <v>330</v>
      </c>
      <c r="G10" s="171" t="s">
        <v>308</v>
      </c>
    </row>
    <row r="11" spans="2:7" ht="15.75" thickBot="1">
      <c r="B11" s="170">
        <v>1486</v>
      </c>
      <c r="C11" s="171" t="s">
        <v>331</v>
      </c>
      <c r="D11" s="171" t="s">
        <v>332</v>
      </c>
      <c r="E11" s="172">
        <v>44370.721307870372</v>
      </c>
      <c r="G11" s="171" t="s">
        <v>334</v>
      </c>
    </row>
    <row r="12" spans="2:7" ht="15.75" thickBot="1">
      <c r="B12" s="170">
        <v>1498</v>
      </c>
      <c r="C12" s="171" t="s">
        <v>335</v>
      </c>
      <c r="D12" s="171" t="s">
        <v>336</v>
      </c>
      <c r="E12" s="172">
        <v>44370.64203703704</v>
      </c>
      <c r="F12" s="171" t="s">
        <v>337</v>
      </c>
      <c r="G12" s="171" t="s">
        <v>308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Final Sheet</vt:lpstr>
      <vt:lpstr>Sheet1</vt:lpstr>
      <vt:lpstr>Sheet2</vt:lpstr>
      <vt:lpstr>Mail Sheet (2)</vt:lpstr>
      <vt:lpstr>Sheet3</vt:lpstr>
      <vt:lpstr>Sheet4</vt:lpstr>
      <vt:lpstr>Sheet5</vt:lpstr>
      <vt:lpstr>Sheet6</vt:lpstr>
      <vt:lpstr>Sheet7</vt:lpstr>
      <vt:lpstr>21 Approved Cases</vt:lpstr>
      <vt:lpstr>6 under login</vt:lpstr>
      <vt:lpstr>17 Yet to login by 30th jun'21</vt:lpstr>
      <vt:lpstr>Oct Final Dashboard (4)</vt:lpstr>
      <vt:lpstr>Nov Final Dashboard</vt:lpstr>
      <vt:lpstr>Oct Work Sheet</vt:lpstr>
      <vt:lpstr>Sheet9</vt:lpstr>
      <vt:lpstr>Sheet10</vt:lpstr>
      <vt:lpstr>Sheet11</vt:lpstr>
      <vt:lpstr>Sheet12</vt:lpstr>
      <vt:lpstr>Sheet8</vt:lpstr>
      <vt:lpstr>Sheet13</vt:lpstr>
      <vt:lpstr>Approved</vt:lpstr>
      <vt:lpstr>Login files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HR</cp:lastModifiedBy>
  <cp:lastPrinted>2021-10-25T06:46:39Z</cp:lastPrinted>
  <dcterms:created xsi:type="dcterms:W3CDTF">2021-03-04T06:43:05Z</dcterms:created>
  <dcterms:modified xsi:type="dcterms:W3CDTF">2021-12-05T00:38:25Z</dcterms:modified>
</cp:coreProperties>
</file>