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365" firstSheet="1" activeTab="1"/>
  </bookViews>
  <sheets>
    <sheet name="Jayendra sir" sheetId="13" state="hidden" r:id="rId1"/>
    <sheet name="01st - 6th" sheetId="29" r:id="rId2"/>
    <sheet name="09th ~ 13th" sheetId="35" state="hidden" r:id="rId3"/>
    <sheet name="Best GM" sheetId="30" state="hidden" r:id="rId4"/>
    <sheet name="###" sheetId="24" state="hidden" r:id="rId5"/>
    <sheet name="Consl" sheetId="12" state="hidden" r:id="rId6"/>
    <sheet name="Total " sheetId="34" state="hidden" r:id="rId7"/>
    <sheet name="16th~21st" sheetId="36" state="hidden" r:id="rId8"/>
    <sheet name="20th ~ 24th" sheetId="37" state="hidden" r:id="rId9"/>
    <sheet name="26th ~ 31st (2)" sheetId="39" state="hidden" r:id="rId10"/>
  </sheets>
  <definedNames>
    <definedName name="_xlnm.Print_Area" localSheetId="1">'01st - 6th'!$B$2:$O$17</definedName>
    <definedName name="_xlnm.Print_Area" localSheetId="7">'16th~21st'!$B$2:$P$16</definedName>
  </definedNames>
  <calcPr calcId="152511"/>
  <fileRecoveryPr autoRecover="0"/>
</workbook>
</file>

<file path=xl/calcChain.xml><?xml version="1.0" encoding="utf-8"?>
<calcChain xmlns="http://schemas.openxmlformats.org/spreadsheetml/2006/main">
  <c r="AA9" i="35" l="1"/>
  <c r="AA10" i="35"/>
  <c r="AA11" i="35"/>
  <c r="AA13" i="35"/>
  <c r="AA15" i="35"/>
  <c r="AA16" i="35"/>
  <c r="AA17" i="35"/>
  <c r="R9" i="35"/>
  <c r="X18" i="35"/>
  <c r="X19" i="35" s="1"/>
  <c r="Y18" i="35"/>
  <c r="Y19" i="35" s="1"/>
  <c r="Z18" i="35"/>
  <c r="Z19" i="35" s="1"/>
  <c r="W18" i="35"/>
  <c r="W19" i="35" s="1"/>
  <c r="X12" i="35"/>
  <c r="AA12" i="35" s="1"/>
  <c r="Y12" i="35"/>
  <c r="Z12" i="35"/>
  <c r="W12" i="35"/>
  <c r="H15" i="35"/>
  <c r="G15" i="35"/>
  <c r="H10" i="35"/>
  <c r="H16" i="35" s="1"/>
  <c r="G10" i="35"/>
  <c r="G16" i="35" s="1"/>
  <c r="Z22" i="35"/>
  <c r="L14" i="35"/>
  <c r="H9" i="29"/>
  <c r="H12" i="29"/>
  <c r="I12" i="29" s="1"/>
  <c r="K4" i="29"/>
  <c r="K12" i="29"/>
  <c r="K13" i="29"/>
  <c r="K14" i="29"/>
  <c r="K15" i="29"/>
  <c r="K11" i="29"/>
  <c r="K5" i="29"/>
  <c r="K6" i="29"/>
  <c r="K7" i="29"/>
  <c r="K8" i="29"/>
  <c r="K9" i="29"/>
  <c r="H4" i="29"/>
  <c r="J4" i="29" s="1"/>
  <c r="H5" i="29"/>
  <c r="I5" i="29" s="1"/>
  <c r="H6" i="29"/>
  <c r="I6" i="29" s="1"/>
  <c r="H7" i="29"/>
  <c r="I7" i="29" s="1"/>
  <c r="H8" i="29"/>
  <c r="I8" i="29" s="1"/>
  <c r="L10" i="29"/>
  <c r="H11" i="29"/>
  <c r="I11" i="29" s="1"/>
  <c r="H13" i="29"/>
  <c r="I13" i="29" s="1"/>
  <c r="H14" i="29"/>
  <c r="I14" i="29" s="1"/>
  <c r="L15" i="29"/>
  <c r="L16" i="29" s="1"/>
  <c r="C16" i="29"/>
  <c r="D16" i="29"/>
  <c r="E16" i="29"/>
  <c r="F16" i="29"/>
  <c r="G16" i="29"/>
  <c r="AA18" i="35" l="1"/>
  <c r="AA19" i="35" s="1"/>
  <c r="K10" i="29"/>
  <c r="K16" i="29" s="1"/>
  <c r="J9" i="29"/>
  <c r="I9" i="29"/>
  <c r="H10" i="29"/>
  <c r="J10" i="29" s="1"/>
  <c r="J7" i="29"/>
  <c r="J5" i="29"/>
  <c r="J8" i="29"/>
  <c r="J6" i="29"/>
  <c r="I4" i="29"/>
  <c r="H15" i="29"/>
  <c r="J14" i="29"/>
  <c r="J13" i="29"/>
  <c r="J12" i="29"/>
  <c r="J11" i="29"/>
  <c r="V14" i="36"/>
  <c r="V13" i="36"/>
  <c r="V12" i="36"/>
  <c r="W12" i="36" s="1"/>
  <c r="V11" i="36"/>
  <c r="V4" i="36"/>
  <c r="W4" i="36" s="1"/>
  <c r="Q9" i="36"/>
  <c r="Q10" i="36" s="1"/>
  <c r="Q11" i="36"/>
  <c r="Q15" i="36" s="1"/>
  <c r="H11" i="36"/>
  <c r="Q16" i="36" l="1"/>
  <c r="W15" i="36"/>
  <c r="I10" i="29"/>
  <c r="I15" i="29"/>
  <c r="H16" i="29"/>
  <c r="J15" i="29"/>
  <c r="J16" i="29" s="1"/>
  <c r="F16" i="36"/>
  <c r="N14" i="29" l="1"/>
  <c r="N4" i="29"/>
  <c r="I16" i="29"/>
  <c r="L5" i="36"/>
  <c r="C15" i="36"/>
  <c r="C10" i="36"/>
  <c r="D10" i="37"/>
  <c r="D16" i="37" s="1"/>
  <c r="E10" i="37"/>
  <c r="E16" i="37" s="1"/>
  <c r="F16" i="37"/>
  <c r="C10" i="37"/>
  <c r="C16" i="37" s="1"/>
  <c r="G16" i="37"/>
  <c r="H16" i="36"/>
  <c r="G16" i="36"/>
  <c r="I38" i="39"/>
  <c r="H38" i="39"/>
  <c r="G38" i="39"/>
  <c r="L27" i="39"/>
  <c r="H27" i="39"/>
  <c r="Q22" i="39"/>
  <c r="N21" i="39"/>
  <c r="Y17" i="39"/>
  <c r="I16" i="39"/>
  <c r="H16" i="39"/>
  <c r="G16" i="39"/>
  <c r="F16" i="39"/>
  <c r="E16" i="39"/>
  <c r="D16" i="39"/>
  <c r="N15" i="39"/>
  <c r="M15" i="39"/>
  <c r="M14" i="39"/>
  <c r="J14" i="39"/>
  <c r="K14" i="39" s="1"/>
  <c r="M13" i="39"/>
  <c r="J13" i="39"/>
  <c r="K13" i="39" s="1"/>
  <c r="M12" i="39"/>
  <c r="J12" i="39"/>
  <c r="K12" i="39" s="1"/>
  <c r="M11" i="39"/>
  <c r="J11" i="39"/>
  <c r="K11" i="39" s="1"/>
  <c r="N10" i="39"/>
  <c r="N16" i="39" s="1"/>
  <c r="M10" i="39"/>
  <c r="J10" i="39"/>
  <c r="K10" i="39" s="1"/>
  <c r="C16" i="39"/>
  <c r="M9" i="39"/>
  <c r="J9" i="39"/>
  <c r="K9" i="39" s="1"/>
  <c r="M8" i="39"/>
  <c r="J8" i="39"/>
  <c r="L8" i="39" s="1"/>
  <c r="M7" i="39"/>
  <c r="J7" i="39"/>
  <c r="K7" i="39" s="1"/>
  <c r="M6" i="39"/>
  <c r="J6" i="39"/>
  <c r="K6" i="39" s="1"/>
  <c r="M5" i="39"/>
  <c r="J5" i="39"/>
  <c r="K5" i="39" s="1"/>
  <c r="M4" i="39"/>
  <c r="J4" i="39"/>
  <c r="K4" i="39" s="1"/>
  <c r="S19" i="37"/>
  <c r="Q22" i="37"/>
  <c r="H38" i="37"/>
  <c r="I38" i="37"/>
  <c r="G38" i="37"/>
  <c r="N21" i="37"/>
  <c r="J9" i="37"/>
  <c r="O14" i="29" l="1"/>
  <c r="O15" i="29" s="1"/>
  <c r="N15" i="29"/>
  <c r="O4" i="29"/>
  <c r="O10" i="29" s="1"/>
  <c r="N10" i="29"/>
  <c r="C16" i="36"/>
  <c r="H16" i="37"/>
  <c r="I16" i="37"/>
  <c r="J10" i="37"/>
  <c r="K10" i="37" s="1"/>
  <c r="K8" i="39"/>
  <c r="L12" i="39"/>
  <c r="M16" i="39"/>
  <c r="H17" i="39"/>
  <c r="L7" i="39"/>
  <c r="L10" i="39"/>
  <c r="L11" i="39"/>
  <c r="L14" i="39"/>
  <c r="L4" i="39"/>
  <c r="L6" i="39"/>
  <c r="J15" i="39"/>
  <c r="K15" i="39" s="1"/>
  <c r="L5" i="39"/>
  <c r="L9" i="39"/>
  <c r="L13" i="39"/>
  <c r="J16" i="39"/>
  <c r="K16" i="39" s="1"/>
  <c r="N16" i="29" l="1"/>
  <c r="O16" i="29"/>
  <c r="J16" i="37"/>
  <c r="L15" i="39"/>
  <c r="L16" i="39" s="1"/>
  <c r="P4" i="39"/>
  <c r="P14" i="39"/>
  <c r="D10" i="36"/>
  <c r="D15" i="36"/>
  <c r="Q4" i="39" l="1"/>
  <c r="Q10" i="39" s="1"/>
  <c r="P10" i="39"/>
  <c r="Q14" i="39"/>
  <c r="Q15" i="39" s="1"/>
  <c r="P15" i="39"/>
  <c r="E16" i="35"/>
  <c r="J12" i="37"/>
  <c r="J13" i="37"/>
  <c r="J14" i="37"/>
  <c r="J11" i="37"/>
  <c r="J5" i="37"/>
  <c r="J6" i="37"/>
  <c r="J7" i="37"/>
  <c r="J8" i="37"/>
  <c r="J4" i="37"/>
  <c r="K4" i="37" s="1"/>
  <c r="J15" i="37" l="1"/>
  <c r="Q16" i="39"/>
  <c r="P16" i="39"/>
  <c r="G37" i="35"/>
  <c r="H37" i="35"/>
  <c r="F37" i="35"/>
  <c r="L14" i="36"/>
  <c r="V13" i="37" l="1"/>
  <c r="U14" i="37"/>
  <c r="Y17" i="37"/>
  <c r="L27" i="37"/>
  <c r="H27" i="37"/>
  <c r="N15" i="37"/>
  <c r="R15" i="37"/>
  <c r="M15" i="37"/>
  <c r="M14" i="37"/>
  <c r="K14" i="37"/>
  <c r="M13" i="37"/>
  <c r="K13" i="37"/>
  <c r="M12" i="37"/>
  <c r="K12" i="37"/>
  <c r="M11" i="37"/>
  <c r="K11" i="37"/>
  <c r="N10" i="37"/>
  <c r="N16" i="37" s="1"/>
  <c r="M16" i="37"/>
  <c r="M9" i="37"/>
  <c r="L9" i="37"/>
  <c r="M8" i="37"/>
  <c r="L8" i="37"/>
  <c r="M7" i="37"/>
  <c r="L7" i="37"/>
  <c r="M6" i="37"/>
  <c r="L6" i="37"/>
  <c r="M5" i="37"/>
  <c r="L5" i="37"/>
  <c r="M4" i="37"/>
  <c r="K27" i="36"/>
  <c r="M15" i="36"/>
  <c r="I14" i="36"/>
  <c r="L13" i="36"/>
  <c r="I13" i="36"/>
  <c r="L12" i="36"/>
  <c r="I12" i="36"/>
  <c r="L11" i="36"/>
  <c r="I11" i="36"/>
  <c r="M10" i="36"/>
  <c r="M16" i="36" s="1"/>
  <c r="D16" i="36"/>
  <c r="L9" i="36"/>
  <c r="I9" i="36"/>
  <c r="R9" i="36" s="1"/>
  <c r="S9" i="36" s="1"/>
  <c r="L8" i="36"/>
  <c r="I8" i="36"/>
  <c r="L7" i="36"/>
  <c r="I7" i="36"/>
  <c r="L6" i="36"/>
  <c r="I6" i="36"/>
  <c r="I5" i="36"/>
  <c r="L4" i="36"/>
  <c r="I4" i="36"/>
  <c r="K27" i="35"/>
  <c r="G27" i="35"/>
  <c r="M15" i="35"/>
  <c r="D15" i="35"/>
  <c r="I14" i="35"/>
  <c r="K14" i="35" s="1"/>
  <c r="L13" i="35"/>
  <c r="I13" i="35"/>
  <c r="J13" i="35" s="1"/>
  <c r="L12" i="35"/>
  <c r="I12" i="35"/>
  <c r="K12" i="35" s="1"/>
  <c r="L11" i="35"/>
  <c r="I11" i="35"/>
  <c r="K11" i="35" s="1"/>
  <c r="M10" i="35"/>
  <c r="D10" i="35"/>
  <c r="C16" i="35"/>
  <c r="L9" i="35"/>
  <c r="I9" i="35"/>
  <c r="K9" i="35" s="1"/>
  <c r="L8" i="35"/>
  <c r="I8" i="35"/>
  <c r="K8" i="35" s="1"/>
  <c r="L7" i="35"/>
  <c r="I7" i="35"/>
  <c r="K7" i="35" s="1"/>
  <c r="L6" i="35"/>
  <c r="I6" i="35"/>
  <c r="K6" i="35" s="1"/>
  <c r="L5" i="35"/>
  <c r="I5" i="35"/>
  <c r="K5" i="35" s="1"/>
  <c r="L4" i="35"/>
  <c r="I4" i="35"/>
  <c r="K4" i="35" s="1"/>
  <c r="AE14" i="34"/>
  <c r="Z14" i="34"/>
  <c r="T14" i="34"/>
  <c r="O14" i="34"/>
  <c r="I15" i="36" l="1"/>
  <c r="I10" i="36"/>
  <c r="K6" i="36"/>
  <c r="R6" i="36"/>
  <c r="S6" i="36" s="1"/>
  <c r="K8" i="36"/>
  <c r="R8" i="36"/>
  <c r="S8" i="36" s="1"/>
  <c r="K5" i="36"/>
  <c r="R5" i="36"/>
  <c r="S5" i="36" s="1"/>
  <c r="K7" i="36"/>
  <c r="R7" i="36"/>
  <c r="S7" i="36" s="1"/>
  <c r="J4" i="36"/>
  <c r="R4" i="36"/>
  <c r="K12" i="36"/>
  <c r="R12" i="36"/>
  <c r="S12" i="36" s="1"/>
  <c r="J14" i="36"/>
  <c r="R14" i="36"/>
  <c r="S14" i="36" s="1"/>
  <c r="K11" i="36"/>
  <c r="R11" i="36"/>
  <c r="J13" i="36"/>
  <c r="R13" i="36"/>
  <c r="S13" i="36" s="1"/>
  <c r="K9" i="36"/>
  <c r="J9" i="36"/>
  <c r="J14" i="35"/>
  <c r="M16" i="35"/>
  <c r="D16" i="35"/>
  <c r="R4" i="37"/>
  <c r="R7" i="37"/>
  <c r="R12" i="37"/>
  <c r="R11" i="37"/>
  <c r="R8" i="37"/>
  <c r="R13" i="37"/>
  <c r="R9" i="37"/>
  <c r="R5" i="37"/>
  <c r="R14" i="37"/>
  <c r="R6" i="37"/>
  <c r="K8" i="37"/>
  <c r="H17" i="37"/>
  <c r="K6" i="37"/>
  <c r="K5" i="37"/>
  <c r="K7" i="37"/>
  <c r="K9" i="37"/>
  <c r="K15" i="37"/>
  <c r="M10" i="37"/>
  <c r="L11" i="37"/>
  <c r="L12" i="37"/>
  <c r="L13" i="37"/>
  <c r="L14" i="37"/>
  <c r="L4" i="37"/>
  <c r="E16" i="36"/>
  <c r="L16" i="36"/>
  <c r="L15" i="36"/>
  <c r="J15" i="36"/>
  <c r="J5" i="36"/>
  <c r="J6" i="36"/>
  <c r="J7" i="36"/>
  <c r="J8" i="36"/>
  <c r="L10" i="36"/>
  <c r="J11" i="36"/>
  <c r="J12" i="36"/>
  <c r="K13" i="36"/>
  <c r="K14" i="36"/>
  <c r="K4" i="36"/>
  <c r="J10" i="36"/>
  <c r="F16" i="35"/>
  <c r="L16" i="35" s="1"/>
  <c r="L15" i="35"/>
  <c r="I15" i="35"/>
  <c r="J15" i="35" s="1"/>
  <c r="J12" i="35"/>
  <c r="J4" i="35"/>
  <c r="J5" i="35"/>
  <c r="J6" i="35"/>
  <c r="J7" i="35"/>
  <c r="J8" i="35"/>
  <c r="J9" i="35"/>
  <c r="L10" i="35"/>
  <c r="J11" i="35"/>
  <c r="K13" i="35"/>
  <c r="K15" i="35" s="1"/>
  <c r="I10" i="35"/>
  <c r="J10" i="35" s="1"/>
  <c r="J14" i="34"/>
  <c r="I14" i="34"/>
  <c r="K14" i="34"/>
  <c r="H14" i="34"/>
  <c r="R15" i="36" l="1"/>
  <c r="S4" i="36"/>
  <c r="R10" i="36"/>
  <c r="I16" i="36"/>
  <c r="J16" i="36" s="1"/>
  <c r="S11" i="36"/>
  <c r="G17" i="35"/>
  <c r="R16" i="37"/>
  <c r="I16" i="35"/>
  <c r="J16" i="35" s="1"/>
  <c r="G17" i="36"/>
  <c r="R10" i="37"/>
  <c r="L10" i="37"/>
  <c r="L15" i="37"/>
  <c r="K10" i="36"/>
  <c r="K15" i="36"/>
  <c r="K10" i="35"/>
  <c r="K16" i="35" s="1"/>
  <c r="AK17" i="34"/>
  <c r="AF14" i="34"/>
  <c r="AD14" i="34"/>
  <c r="AK14" i="34" s="1"/>
  <c r="AL14" i="34" s="1"/>
  <c r="AC14" i="34"/>
  <c r="AA14" i="34"/>
  <c r="X14" i="34"/>
  <c r="W14" i="34"/>
  <c r="S14" i="34"/>
  <c r="R14" i="34"/>
  <c r="P14" i="34"/>
  <c r="N14" i="34"/>
  <c r="M14" i="34"/>
  <c r="G14" i="34"/>
  <c r="C14" i="34"/>
  <c r="E14" i="34" s="1"/>
  <c r="F14" i="34" s="1"/>
  <c r="B14" i="34"/>
  <c r="AK13" i="34"/>
  <c r="AL13" i="34" s="1"/>
  <c r="Y13" i="34"/>
  <c r="E13" i="34"/>
  <c r="F13" i="34" s="1"/>
  <c r="D13" i="34"/>
  <c r="AK12" i="34"/>
  <c r="AL12" i="34" s="1"/>
  <c r="AI12" i="34"/>
  <c r="AH12" i="34"/>
  <c r="E12" i="34"/>
  <c r="F12" i="34" s="1"/>
  <c r="D12" i="34"/>
  <c r="AK11" i="34"/>
  <c r="AL11" i="34" s="1"/>
  <c r="AI11" i="34"/>
  <c r="AH11" i="34"/>
  <c r="E11" i="34"/>
  <c r="F11" i="34" s="1"/>
  <c r="D11" i="34"/>
  <c r="AK10" i="34"/>
  <c r="AL10" i="34" s="1"/>
  <c r="AI10" i="34"/>
  <c r="AH10" i="34"/>
  <c r="Y10" i="34"/>
  <c r="E10" i="34"/>
  <c r="F10" i="34" s="1"/>
  <c r="D10" i="34"/>
  <c r="AK9" i="34"/>
  <c r="AL9" i="34" s="1"/>
  <c r="AI9" i="34"/>
  <c r="AH9" i="34"/>
  <c r="Y9" i="34"/>
  <c r="E9" i="34"/>
  <c r="F9" i="34" s="1"/>
  <c r="D9" i="34"/>
  <c r="AK8" i="34"/>
  <c r="AL8" i="34" s="1"/>
  <c r="E8" i="34"/>
  <c r="F8" i="34" s="1"/>
  <c r="D8" i="34"/>
  <c r="AK7" i="34"/>
  <c r="AL7" i="34" s="1"/>
  <c r="AI7" i="34"/>
  <c r="AH7" i="34"/>
  <c r="E7" i="34"/>
  <c r="F7" i="34" s="1"/>
  <c r="D7" i="34"/>
  <c r="AK6" i="34"/>
  <c r="AL6" i="34" s="1"/>
  <c r="AI6" i="34"/>
  <c r="AH6" i="34"/>
  <c r="E6" i="34"/>
  <c r="F6" i="34" s="1"/>
  <c r="D6" i="34"/>
  <c r="AK5" i="34"/>
  <c r="AL5" i="34" s="1"/>
  <c r="E5" i="34"/>
  <c r="F5" i="34" s="1"/>
  <c r="D5" i="34"/>
  <c r="AL4" i="34"/>
  <c r="AK4" i="34"/>
  <c r="AI4" i="34"/>
  <c r="AH4" i="34"/>
  <c r="Y4" i="34"/>
  <c r="U4" i="34"/>
  <c r="U14" i="34" s="1"/>
  <c r="F4" i="34"/>
  <c r="E4" i="34"/>
  <c r="D4" i="34"/>
  <c r="R16" i="36" l="1"/>
  <c r="AI14" i="34"/>
  <c r="O4" i="35"/>
  <c r="O10" i="35" s="1"/>
  <c r="K16" i="37"/>
  <c r="P4" i="37"/>
  <c r="P10" i="37" s="1"/>
  <c r="P14" i="37"/>
  <c r="Q14" i="37" s="1"/>
  <c r="Q15" i="37" s="1"/>
  <c r="O14" i="35"/>
  <c r="P14" i="35" s="1"/>
  <c r="P15" i="35" s="1"/>
  <c r="O4" i="36"/>
  <c r="O14" i="36"/>
  <c r="O15" i="36" s="1"/>
  <c r="K16" i="36"/>
  <c r="L16" i="37"/>
  <c r="Y14" i="34"/>
  <c r="D14" i="34"/>
  <c r="AH14" i="34"/>
  <c r="P4" i="35" l="1"/>
  <c r="P10" i="35" s="1"/>
  <c r="P16" i="35" s="1"/>
  <c r="Q4" i="37"/>
  <c r="Q10" i="37" s="1"/>
  <c r="Q16" i="37" s="1"/>
  <c r="O15" i="35"/>
  <c r="O16" i="35" s="1"/>
  <c r="P15" i="37"/>
  <c r="P16" i="37" s="1"/>
  <c r="P4" i="36"/>
  <c r="P10" i="36" s="1"/>
  <c r="O10" i="36"/>
  <c r="O16" i="36" s="1"/>
  <c r="P14" i="36"/>
  <c r="P15" i="36" s="1"/>
  <c r="P16" i="36" l="1"/>
  <c r="F17" i="29"/>
  <c r="P17" i="30" l="1"/>
  <c r="P18" i="30" s="1"/>
  <c r="O14" i="30"/>
  <c r="N14" i="30"/>
  <c r="M14" i="30"/>
  <c r="P14" i="30" s="1"/>
  <c r="Q14" i="30" s="1"/>
  <c r="L14" i="30"/>
  <c r="K14" i="30"/>
  <c r="J14" i="30"/>
  <c r="S14" i="30" s="1"/>
  <c r="G14" i="30"/>
  <c r="F14" i="30"/>
  <c r="E14" i="30"/>
  <c r="D14" i="30"/>
  <c r="C14" i="30"/>
  <c r="S13" i="30"/>
  <c r="P13" i="30"/>
  <c r="R13" i="30" s="1"/>
  <c r="H13" i="30"/>
  <c r="S12" i="30"/>
  <c r="P12" i="30"/>
  <c r="R12" i="30" s="1"/>
  <c r="H12" i="30"/>
  <c r="U12" i="30" s="1"/>
  <c r="S11" i="30"/>
  <c r="P11" i="30"/>
  <c r="R11" i="30" s="1"/>
  <c r="H11" i="30"/>
  <c r="S10" i="30"/>
  <c r="P10" i="30"/>
  <c r="R10" i="30" s="1"/>
  <c r="H10" i="30"/>
  <c r="O9" i="30"/>
  <c r="N9" i="30"/>
  <c r="N15" i="30" s="1"/>
  <c r="M9" i="30"/>
  <c r="L9" i="30"/>
  <c r="L15" i="30" s="1"/>
  <c r="K9" i="30"/>
  <c r="K15" i="30" s="1"/>
  <c r="J9" i="30"/>
  <c r="J15" i="30" s="1"/>
  <c r="G9" i="30"/>
  <c r="F9" i="30"/>
  <c r="E9" i="30"/>
  <c r="E15" i="30" s="1"/>
  <c r="D9" i="30"/>
  <c r="C9" i="30"/>
  <c r="S8" i="30"/>
  <c r="R8" i="30"/>
  <c r="Q8" i="30"/>
  <c r="H8" i="30"/>
  <c r="U8" i="30" s="1"/>
  <c r="S7" i="30"/>
  <c r="R7" i="30"/>
  <c r="Q7" i="30"/>
  <c r="H7" i="30"/>
  <c r="U7" i="30" s="1"/>
  <c r="S6" i="30"/>
  <c r="R6" i="30"/>
  <c r="Q6" i="30"/>
  <c r="H6" i="30"/>
  <c r="U6" i="30" s="1"/>
  <c r="S5" i="30"/>
  <c r="R5" i="30"/>
  <c r="Q5" i="30"/>
  <c r="H5" i="30"/>
  <c r="U5" i="30" s="1"/>
  <c r="S4" i="30"/>
  <c r="R4" i="30"/>
  <c r="Q4" i="30"/>
  <c r="H4" i="30"/>
  <c r="U4" i="30" s="1"/>
  <c r="S3" i="30"/>
  <c r="R3" i="30"/>
  <c r="Q3" i="30"/>
  <c r="H3" i="30"/>
  <c r="H9" i="30" s="1"/>
  <c r="C15" i="30" l="1"/>
  <c r="G15" i="30"/>
  <c r="M15" i="30"/>
  <c r="S15" i="30"/>
  <c r="I5" i="30"/>
  <c r="T5" i="30" s="1"/>
  <c r="R14" i="30"/>
  <c r="U11" i="30"/>
  <c r="U13" i="30"/>
  <c r="O15" i="30"/>
  <c r="P15" i="30" s="1"/>
  <c r="Q15" i="30" s="1"/>
  <c r="D15" i="30"/>
  <c r="F15" i="30"/>
  <c r="H14" i="30"/>
  <c r="I14" i="30" s="1"/>
  <c r="T14" i="30" s="1"/>
  <c r="I3" i="30"/>
  <c r="T3" i="30" s="1"/>
  <c r="I7" i="30"/>
  <c r="T7" i="30" s="1"/>
  <c r="U3" i="30"/>
  <c r="M16" i="30"/>
  <c r="I9" i="30"/>
  <c r="F16" i="30"/>
  <c r="I4" i="30"/>
  <c r="T4" i="30" s="1"/>
  <c r="I6" i="30"/>
  <c r="T6" i="30" s="1"/>
  <c r="I8" i="30"/>
  <c r="T8" i="30" s="1"/>
  <c r="S9" i="30"/>
  <c r="I10" i="30"/>
  <c r="Q10" i="30"/>
  <c r="U10" i="30"/>
  <c r="I11" i="30"/>
  <c r="Q11" i="30"/>
  <c r="I12" i="30"/>
  <c r="Q12" i="30"/>
  <c r="I13" i="30"/>
  <c r="Q13" i="30"/>
  <c r="P9" i="30"/>
  <c r="Q9" i="30" s="1"/>
  <c r="U14" i="30" l="1"/>
  <c r="H15" i="30"/>
  <c r="T13" i="30"/>
  <c r="T11" i="30"/>
  <c r="T12" i="30"/>
  <c r="U15" i="30"/>
  <c r="I15" i="30"/>
  <c r="T15" i="30" s="1"/>
  <c r="T9" i="30"/>
  <c r="R9" i="30"/>
  <c r="R15" i="30" s="1"/>
  <c r="T10" i="30"/>
  <c r="U9" i="30"/>
  <c r="H15" i="24" l="1"/>
  <c r="G15" i="24"/>
  <c r="F15" i="24"/>
  <c r="E15" i="24"/>
  <c r="D15" i="24"/>
  <c r="C15" i="24"/>
  <c r="L14" i="24"/>
  <c r="I14" i="24"/>
  <c r="K14" i="24" s="1"/>
  <c r="L13" i="24"/>
  <c r="I13" i="24"/>
  <c r="J13" i="24" s="1"/>
  <c r="L12" i="24"/>
  <c r="I12" i="24"/>
  <c r="K12" i="24" s="1"/>
  <c r="P11" i="24"/>
  <c r="L11" i="24"/>
  <c r="I11" i="24"/>
  <c r="K11" i="24" s="1"/>
  <c r="H10" i="24"/>
  <c r="G10" i="24"/>
  <c r="G16" i="24" s="1"/>
  <c r="F10" i="24"/>
  <c r="E10" i="24"/>
  <c r="D10" i="24"/>
  <c r="C10" i="24"/>
  <c r="C16" i="24" s="1"/>
  <c r="L9" i="24"/>
  <c r="I9" i="24"/>
  <c r="J9" i="24" s="1"/>
  <c r="L8" i="24"/>
  <c r="I8" i="24"/>
  <c r="K8" i="24" s="1"/>
  <c r="L7" i="24"/>
  <c r="I7" i="24"/>
  <c r="J7" i="24" s="1"/>
  <c r="T6" i="24"/>
  <c r="L6" i="24"/>
  <c r="I6" i="24"/>
  <c r="K6" i="24" s="1"/>
  <c r="Y5" i="24"/>
  <c r="R5" i="24"/>
  <c r="T5" i="24" s="1"/>
  <c r="T8" i="24" s="1"/>
  <c r="T9" i="24" s="1"/>
  <c r="Q5" i="24"/>
  <c r="L5" i="24"/>
  <c r="I5" i="24"/>
  <c r="J5" i="24" s="1"/>
  <c r="Y4" i="24"/>
  <c r="Q4" i="24"/>
  <c r="L4" i="24"/>
  <c r="I4" i="24"/>
  <c r="M8" i="24" l="1"/>
  <c r="N5" i="24"/>
  <c r="N9" i="24"/>
  <c r="F16" i="24"/>
  <c r="L16" i="24" s="1"/>
  <c r="M12" i="24"/>
  <c r="M14" i="24"/>
  <c r="L15" i="24"/>
  <c r="N6" i="24"/>
  <c r="N13" i="24"/>
  <c r="H16" i="24"/>
  <c r="N11" i="24"/>
  <c r="I10" i="24"/>
  <c r="N10" i="24" s="1"/>
  <c r="M6" i="24"/>
  <c r="N4" i="24"/>
  <c r="N12" i="24"/>
  <c r="N14" i="24"/>
  <c r="E16" i="24"/>
  <c r="N7" i="24"/>
  <c r="D16" i="24"/>
  <c r="N8" i="24"/>
  <c r="J6" i="24"/>
  <c r="J8" i="24"/>
  <c r="G17" i="24"/>
  <c r="J11" i="24"/>
  <c r="J12" i="24"/>
  <c r="J4" i="24"/>
  <c r="J14" i="24"/>
  <c r="M11" i="24"/>
  <c r="K5" i="24"/>
  <c r="M5" i="24" s="1"/>
  <c r="R6" i="24"/>
  <c r="K7" i="24"/>
  <c r="M7" i="24" s="1"/>
  <c r="K4" i="24"/>
  <c r="M4" i="24" s="1"/>
  <c r="K9" i="24"/>
  <c r="M9" i="24" s="1"/>
  <c r="K10" i="24"/>
  <c r="K13" i="24"/>
  <c r="M13" i="24" s="1"/>
  <c r="I15" i="24"/>
  <c r="J15" i="24" s="1"/>
  <c r="L10" i="24"/>
  <c r="J10" i="24" l="1"/>
  <c r="N15" i="24"/>
  <c r="I16" i="24"/>
  <c r="M10" i="24"/>
  <c r="K15" i="24"/>
  <c r="M15" i="24" s="1"/>
  <c r="J16" i="24" l="1"/>
  <c r="N16" i="24"/>
  <c r="K16" i="24"/>
  <c r="M16" i="24" s="1"/>
  <c r="W16" i="12" l="1"/>
  <c r="W11" i="12"/>
  <c r="U6" i="12"/>
  <c r="X6" i="12" s="1"/>
  <c r="U7" i="12"/>
  <c r="X7" i="12" s="1"/>
  <c r="U8" i="12"/>
  <c r="X8" i="12" s="1"/>
  <c r="U9" i="12"/>
  <c r="X9" i="12" s="1"/>
  <c r="U10" i="12"/>
  <c r="X10" i="12" s="1"/>
  <c r="U12" i="12"/>
  <c r="X12" i="12" s="1"/>
  <c r="U13" i="12"/>
  <c r="V13" i="12" s="1"/>
  <c r="U14" i="12"/>
  <c r="X14" i="12" s="1"/>
  <c r="U15" i="12"/>
  <c r="V15" i="12" s="1"/>
  <c r="U5" i="12"/>
  <c r="X5" i="12" s="1"/>
  <c r="S5" i="12"/>
  <c r="R5" i="12"/>
  <c r="W17" i="12" l="1"/>
  <c r="V12" i="12"/>
  <c r="V14" i="12"/>
  <c r="X15" i="12"/>
  <c r="X13" i="12"/>
  <c r="X11" i="12"/>
  <c r="V5" i="12"/>
  <c r="V7" i="12"/>
  <c r="V9" i="12"/>
  <c r="V6" i="12"/>
  <c r="V8" i="12"/>
  <c r="V10" i="12"/>
  <c r="X16" i="12" l="1"/>
  <c r="X17" i="12" s="1"/>
  <c r="G5" i="12"/>
  <c r="G6" i="12"/>
  <c r="G7" i="12"/>
  <c r="G8" i="12"/>
  <c r="G9" i="12"/>
  <c r="G10" i="12"/>
  <c r="M5" i="13"/>
  <c r="N5" i="13" s="1"/>
  <c r="O15" i="13"/>
  <c r="P15" i="13" s="1"/>
  <c r="O14" i="13"/>
  <c r="P14" i="13" s="1"/>
  <c r="O13" i="13"/>
  <c r="P13" i="13" s="1"/>
  <c r="O12" i="13"/>
  <c r="P12" i="13" s="1"/>
  <c r="O10" i="13"/>
  <c r="P10" i="13" s="1"/>
  <c r="O9" i="13"/>
  <c r="P9" i="13" s="1"/>
  <c r="O8" i="13"/>
  <c r="P8" i="13" s="1"/>
  <c r="O7" i="13"/>
  <c r="P7" i="13" s="1"/>
  <c r="O6" i="13"/>
  <c r="P6" i="13" s="1"/>
  <c r="O5" i="13"/>
  <c r="P5" i="13" s="1"/>
  <c r="M15" i="13"/>
  <c r="N15" i="13" s="1"/>
  <c r="M14" i="13"/>
  <c r="N14" i="13" s="1"/>
  <c r="M13" i="13"/>
  <c r="N13" i="13" s="1"/>
  <c r="M12" i="13"/>
  <c r="N12" i="13" s="1"/>
  <c r="M10" i="13"/>
  <c r="N10" i="13" s="1"/>
  <c r="M9" i="13"/>
  <c r="N9" i="13" s="1"/>
  <c r="M8" i="13"/>
  <c r="N8" i="13" s="1"/>
  <c r="M7" i="13"/>
  <c r="N7" i="13" s="1"/>
  <c r="M6" i="13"/>
  <c r="N6" i="13" s="1"/>
  <c r="L16" i="13"/>
  <c r="L11" i="13"/>
  <c r="K16" i="13"/>
  <c r="K11" i="13"/>
  <c r="J16" i="13"/>
  <c r="J11" i="13"/>
  <c r="I16" i="13"/>
  <c r="I11" i="13"/>
  <c r="F11" i="13"/>
  <c r="F16" i="13"/>
  <c r="G11" i="13"/>
  <c r="G16" i="13"/>
  <c r="E16" i="13"/>
  <c r="D16" i="13"/>
  <c r="E11" i="13"/>
  <c r="D11" i="13"/>
  <c r="D17" i="13" s="1"/>
  <c r="S15" i="12"/>
  <c r="S14" i="12"/>
  <c r="S13" i="12"/>
  <c r="S12" i="12"/>
  <c r="S10" i="12"/>
  <c r="S9" i="12"/>
  <c r="S8" i="12"/>
  <c r="S7" i="12"/>
  <c r="S6" i="12"/>
  <c r="E17" i="13" l="1"/>
  <c r="F17" i="13"/>
  <c r="J17" i="13"/>
  <c r="L17" i="13"/>
  <c r="M16" i="13"/>
  <c r="N16" i="13" s="1"/>
  <c r="O16" i="13"/>
  <c r="P16" i="13" s="1"/>
  <c r="I17" i="13"/>
  <c r="O17" i="13"/>
  <c r="P17" i="13" s="1"/>
  <c r="K17" i="13"/>
  <c r="M17" i="13" s="1"/>
  <c r="O11" i="13"/>
  <c r="P11" i="13" s="1"/>
  <c r="M11" i="13"/>
  <c r="N11" i="13" s="1"/>
  <c r="G17" i="13"/>
  <c r="N17" i="13" l="1"/>
  <c r="O19" i="13"/>
  <c r="O16" i="12" l="1"/>
  <c r="P16" i="12"/>
  <c r="Q16" i="12"/>
  <c r="T16" i="12"/>
  <c r="O11" i="12"/>
  <c r="O17" i="12" s="1"/>
  <c r="P11" i="12"/>
  <c r="Q11" i="12"/>
  <c r="T11" i="12"/>
  <c r="T17" i="12" s="1"/>
  <c r="R15" i="12"/>
  <c r="R14" i="12"/>
  <c r="R13" i="12"/>
  <c r="R12" i="12"/>
  <c r="R10" i="12"/>
  <c r="R9" i="12"/>
  <c r="R8" i="12"/>
  <c r="R7" i="12"/>
  <c r="R6" i="12"/>
  <c r="N16" i="12"/>
  <c r="N11" i="12"/>
  <c r="U16" i="12" l="1"/>
  <c r="V16" i="12" s="1"/>
  <c r="Q17" i="12"/>
  <c r="U17" i="12" s="1"/>
  <c r="U11" i="12"/>
  <c r="V11" i="12" s="1"/>
  <c r="S16" i="12"/>
  <c r="N17" i="12"/>
  <c r="S11" i="12"/>
  <c r="R11" i="12"/>
  <c r="R16" i="12"/>
  <c r="P17" i="12"/>
  <c r="H15" i="12"/>
  <c r="H14" i="12"/>
  <c r="H13" i="12"/>
  <c r="H12" i="12"/>
  <c r="H10" i="12"/>
  <c r="H9" i="12"/>
  <c r="H8" i="12"/>
  <c r="H7" i="12"/>
  <c r="H6" i="12"/>
  <c r="H5" i="12"/>
  <c r="I16" i="12"/>
  <c r="F16" i="12"/>
  <c r="E16" i="12"/>
  <c r="D16" i="12"/>
  <c r="G16" i="12" s="1"/>
  <c r="G15" i="12"/>
  <c r="G14" i="12"/>
  <c r="G13" i="12"/>
  <c r="G12" i="12"/>
  <c r="I11" i="12"/>
  <c r="I17" i="12" s="1"/>
  <c r="F11" i="12"/>
  <c r="E11" i="12"/>
  <c r="E17" i="12" s="1"/>
  <c r="D11" i="12"/>
  <c r="S17" i="12" l="1"/>
  <c r="V17" i="12"/>
  <c r="G11" i="12"/>
  <c r="R17" i="12"/>
  <c r="H16" i="12"/>
  <c r="H11" i="12"/>
  <c r="Q18" i="12"/>
  <c r="D17" i="12"/>
  <c r="H17" i="12" s="1"/>
  <c r="F17" i="12"/>
  <c r="F18" i="12" s="1"/>
  <c r="G17" i="12" l="1"/>
</calcChain>
</file>

<file path=xl/sharedStrings.xml><?xml version="1.0" encoding="utf-8"?>
<sst xmlns="http://schemas.openxmlformats.org/spreadsheetml/2006/main" count="455" uniqueCount="141">
  <si>
    <t>Total</t>
  </si>
  <si>
    <t>Old&amp;CF</t>
  </si>
  <si>
    <t>Location</t>
  </si>
  <si>
    <t>Plan</t>
  </si>
  <si>
    <t>AP Total</t>
  </si>
  <si>
    <t>Actual</t>
  </si>
  <si>
    <t>Reflected</t>
  </si>
  <si>
    <t>Ref</t>
  </si>
  <si>
    <t>Vijayawada</t>
  </si>
  <si>
    <t>Guntur</t>
  </si>
  <si>
    <t>Ongole</t>
  </si>
  <si>
    <t>Rajahmundry</t>
  </si>
  <si>
    <t>Kakinada</t>
  </si>
  <si>
    <t>Vizag</t>
  </si>
  <si>
    <t>RKT-Hyd</t>
  </si>
  <si>
    <t>Khammam</t>
  </si>
  <si>
    <t>YKT-Uppal</t>
  </si>
  <si>
    <t>YKT-Hyderguda</t>
  </si>
  <si>
    <t>Radha Group Collection Report</t>
  </si>
  <si>
    <t xml:space="preserve">OLD&amp;CF </t>
  </si>
  <si>
    <t>TG Total</t>
  </si>
  <si>
    <t>Group</t>
  </si>
  <si>
    <t>Overall Reflection(Day reflectin+old)</t>
  </si>
  <si>
    <t>OLD</t>
  </si>
  <si>
    <t>Target</t>
  </si>
  <si>
    <t>Total Week Collection Rept</t>
  </si>
  <si>
    <t xml:space="preserve">Gap (Ref-Plan)
</t>
  </si>
  <si>
    <t xml:space="preserve">Gap (Tgt-Act)
</t>
  </si>
  <si>
    <t>Act Rep</t>
  </si>
  <si>
    <t xml:space="preserve">Gap (Tgt-Ref)
</t>
  </si>
  <si>
    <t xml:space="preserve">Gap (Plan-Act)
</t>
  </si>
  <si>
    <t>Ref&amp;Old</t>
  </si>
  <si>
    <t>Overall Ref</t>
  </si>
  <si>
    <t>Act Rep%</t>
  </si>
  <si>
    <t>Act Ref</t>
  </si>
  <si>
    <t>Ref%</t>
  </si>
  <si>
    <t>Overall Act rept</t>
  </si>
  <si>
    <t>Exptd Week O/S</t>
  </si>
  <si>
    <t>18th Dec</t>
  </si>
  <si>
    <t>19th Dec</t>
  </si>
  <si>
    <t>14th~17th Dec</t>
  </si>
  <si>
    <t>18th Plan</t>
  </si>
  <si>
    <t>19th Plan</t>
  </si>
  <si>
    <t>18th Ref</t>
  </si>
  <si>
    <t>19th Ref</t>
  </si>
  <si>
    <t>Dec'20 3rd Week Collection Rept</t>
  </si>
  <si>
    <t>Saturday</t>
  </si>
  <si>
    <t>Overall Reflection</t>
  </si>
  <si>
    <t>Same day Ref</t>
  </si>
  <si>
    <t xml:space="preserve">Gap (Tgt-overall Ref)
</t>
  </si>
  <si>
    <t>Rec&amp;23/12</t>
  </si>
  <si>
    <t>Group Total</t>
  </si>
  <si>
    <t>Coastal AP Total</t>
  </si>
  <si>
    <t>Telangana Total</t>
  </si>
  <si>
    <t>28/12~29/12 Collection Report</t>
  </si>
  <si>
    <t>Day wise revised plan</t>
  </si>
  <si>
    <t>Day Reflection</t>
  </si>
  <si>
    <t>% Of Ach</t>
  </si>
  <si>
    <t>Gap       (Target To Ref)</t>
  </si>
  <si>
    <t>Gap       (Target  To Actual)</t>
  </si>
  <si>
    <t>Basic*40% HRA</t>
  </si>
  <si>
    <t>Gross sal</t>
  </si>
  <si>
    <t>Basi</t>
  </si>
  <si>
    <t>1440Company</t>
  </si>
  <si>
    <t>2800 Saving</t>
  </si>
  <si>
    <t>PF</t>
  </si>
  <si>
    <t>Buss pass below 15000</t>
  </si>
  <si>
    <t>HRA</t>
  </si>
  <si>
    <t>ESI</t>
  </si>
  <si>
    <t>Petrol</t>
  </si>
  <si>
    <t>PT</t>
  </si>
  <si>
    <t>Other allowances</t>
  </si>
  <si>
    <t>Total Deductions</t>
  </si>
  <si>
    <t>Net salary</t>
  </si>
  <si>
    <t>Plan For 4 Days</t>
  </si>
  <si>
    <t>ACT to REF</t>
  </si>
  <si>
    <t>Radha Group  Jan 18th~23rd  Collection Report</t>
  </si>
  <si>
    <t>Gap to tgt</t>
  </si>
  <si>
    <t>Today Ref</t>
  </si>
  <si>
    <t>4th Week Ach%</t>
  </si>
  <si>
    <t>5th Week Ach%</t>
  </si>
  <si>
    <t>Jan'21  4th &amp;5th Week  Collection Avg</t>
  </si>
  <si>
    <t>Avg Ach%</t>
  </si>
  <si>
    <t>Received Collection</t>
  </si>
  <si>
    <t>Achv%</t>
  </si>
  <si>
    <t>Cont%</t>
  </si>
  <si>
    <t>Incentive Amount</t>
  </si>
  <si>
    <t>Head Office Incentive</t>
  </si>
  <si>
    <t>S NO</t>
  </si>
  <si>
    <t>Name</t>
  </si>
  <si>
    <t>Jan'21 5th week Incentive</t>
  </si>
  <si>
    <t>J.Parvathi</t>
  </si>
  <si>
    <t>Prasad</t>
  </si>
  <si>
    <t>Subbarao</t>
  </si>
  <si>
    <t>Ravi</t>
  </si>
  <si>
    <t>P.Chandra Sekhar</t>
  </si>
  <si>
    <t>Aparna</t>
  </si>
  <si>
    <t>Ch.Jayendra</t>
  </si>
  <si>
    <t>Lakshmi</t>
  </si>
  <si>
    <t>Jan 4th Week</t>
  </si>
  <si>
    <t>TGT</t>
  </si>
  <si>
    <t>Ach%</t>
  </si>
  <si>
    <t>Cnt% if 20Cr</t>
  </si>
  <si>
    <t>Wd 20Cr(4lkh)</t>
  </si>
  <si>
    <t>Cnt%</t>
  </si>
  <si>
    <t>Incentive amount</t>
  </si>
  <si>
    <t>Collection</t>
  </si>
  <si>
    <t>RG Incentive Report-21</t>
  </si>
  <si>
    <t>Feb 1st&amp;2nd Week Total</t>
  </si>
  <si>
    <t xml:space="preserve">Feb-2nd week(5 lakh) Achv-85% </t>
  </si>
  <si>
    <t>Feb-1st week(4 lakh) Achv-100%</t>
  </si>
  <si>
    <t>Plan For 5 Days</t>
  </si>
  <si>
    <t>Jan 3rd  Week</t>
  </si>
  <si>
    <t>Feb-3rd week(5 lakh) Achv-100%</t>
  </si>
  <si>
    <t xml:space="preserve">Feb-4th week(1% of collectin) </t>
  </si>
  <si>
    <t>Same wk</t>
  </si>
  <si>
    <t>Feb 1st</t>
  </si>
  <si>
    <t>Cont 1%</t>
  </si>
  <si>
    <t xml:space="preserve">Incentive </t>
  </si>
  <si>
    <t>Tgt</t>
  </si>
  <si>
    <t>19th</t>
  </si>
  <si>
    <t>Reflection</t>
  </si>
  <si>
    <t>20th</t>
  </si>
  <si>
    <t>22nd</t>
  </si>
  <si>
    <t>23rd</t>
  </si>
  <si>
    <t>Hyderguda Plan Vs Actuals</t>
  </si>
  <si>
    <t>Revised Target</t>
  </si>
  <si>
    <t>plan</t>
  </si>
  <si>
    <t>old</t>
  </si>
  <si>
    <t>Indus</t>
  </si>
  <si>
    <t>Radha Group  26th ~ 31st  July  Collection Report</t>
  </si>
  <si>
    <t>Radha Group  20th  ~ 24th Sep  Collection Report</t>
  </si>
  <si>
    <t>Radha Group  Oct 25th ~ 30th (Week 4) Collection Report</t>
  </si>
  <si>
    <t>Do RECV</t>
  </si>
  <si>
    <t>ACH %</t>
  </si>
  <si>
    <t>J Parvathi</t>
  </si>
  <si>
    <t>GM</t>
  </si>
  <si>
    <t>Sales Team</t>
  </si>
  <si>
    <t>Calculation</t>
  </si>
  <si>
    <t>Radha Group Nov 1st ~6th Collection Report</t>
  </si>
  <si>
    <t>Radha Group Nov 8th  to 12th  Collection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</si>
</sst>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(* #,##0.00_);_(* \(#,##0.00\);_(* &quot;-&quot;??_);_(@_)"/>
    <numFmt numFmtId="165" formatCode="_(* #,##0_);_(* \(#,##0\);_(* &quot;-&quot;??_);_(@_)"/>
    <numFmt numFmtId="166" formatCode="_(* #,##0.00000_);_(* \(#,##0.00000\);_(* &quot;-&quot;??_);_(@_)"/>
  </numFmts>
  <fonts count="5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b/>
      <sz val="18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8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6"/>
      <color rgb="FFFF0000"/>
      <name val="Calibri"/>
      <family val="2"/>
      <scheme val="minor"/>
    </font>
    <font>
      <b/>
      <sz val="26"/>
      <color theme="2" tint="-0.749992370372631"/>
      <name val="Calibri"/>
      <family val="2"/>
      <scheme val="minor"/>
    </font>
    <font>
      <sz val="26"/>
      <name val="Calibri"/>
      <family val="2"/>
      <scheme val="minor"/>
    </font>
    <font>
      <b/>
      <sz val="26"/>
      <name val="Calibri"/>
      <family val="2"/>
      <scheme val="minor"/>
    </font>
    <font>
      <b/>
      <sz val="26"/>
      <color theme="5" tint="-0.499984740745262"/>
      <name val="Calibri"/>
      <family val="2"/>
      <scheme val="minor"/>
    </font>
    <font>
      <b/>
      <sz val="28"/>
      <color theme="5" tint="-0.499984740745262"/>
      <name val="Calibri"/>
      <family val="2"/>
      <scheme val="minor"/>
    </font>
    <font>
      <b/>
      <sz val="36"/>
      <color theme="5" tint="-0.499984740745262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36"/>
      <name val="Calibri"/>
      <family val="2"/>
      <scheme val="minor"/>
    </font>
    <font>
      <b/>
      <sz val="36"/>
      <color rgb="FFFF0000"/>
      <name val="Calibri"/>
      <family val="2"/>
      <scheme val="minor"/>
    </font>
    <font>
      <sz val="36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5" tint="-0.499984740745262"/>
      <name val="Calibri"/>
      <family val="2"/>
      <scheme val="minor"/>
    </font>
    <font>
      <sz val="2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rgb="FF0070C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7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9" fontId="8" fillId="0" borderId="0" applyFont="0" applyFill="0" applyBorder="0" applyAlignment="0" applyProtection="0"/>
    <xf numFmtId="164" fontId="8" fillId="0" borderId="0" applyFont="0" applyFill="0" applyBorder="0" applyAlignment="0" applyProtection="0"/>
  </cellStyleXfs>
  <cellXfs count="874">
    <xf numFmtId="0" fontId="0" fillId="0" borderId="0" xfId="0"/>
    <xf numFmtId="0" fontId="2" fillId="0" borderId="0" xfId="0" applyFont="1"/>
    <xf numFmtId="0" fontId="4" fillId="0" borderId="0" xfId="0" applyFont="1"/>
    <xf numFmtId="0" fontId="7" fillId="0" borderId="0" xfId="0" applyFont="1"/>
    <xf numFmtId="1" fontId="0" fillId="0" borderId="0" xfId="0" applyNumberFormat="1"/>
    <xf numFmtId="0" fontId="10" fillId="8" borderId="14" xfId="0" applyFont="1" applyFill="1" applyBorder="1" applyAlignment="1">
      <alignment horizontal="center" vertical="center"/>
    </xf>
    <xf numFmtId="0" fontId="10" fillId="8" borderId="13" xfId="0" applyFont="1" applyFill="1" applyBorder="1" applyAlignment="1">
      <alignment horizontal="center" vertical="center" wrapText="1"/>
    </xf>
    <xf numFmtId="0" fontId="10" fillId="8" borderId="23" xfId="0" applyFont="1" applyFill="1" applyBorder="1" applyAlignment="1">
      <alignment horizontal="center" vertical="center" wrapText="1"/>
    </xf>
    <xf numFmtId="0" fontId="10" fillId="8" borderId="16" xfId="0" applyFont="1" applyFill="1" applyBorder="1" applyAlignment="1">
      <alignment horizontal="center" vertical="center" wrapText="1"/>
    </xf>
    <xf numFmtId="1" fontId="10" fillId="0" borderId="4" xfId="2" applyNumberFormat="1" applyFont="1" applyBorder="1" applyAlignment="1">
      <alignment horizontal="center" vertical="center"/>
    </xf>
    <xf numFmtId="1" fontId="10" fillId="0" borderId="1" xfId="2" applyNumberFormat="1" applyFont="1" applyBorder="1" applyAlignment="1">
      <alignment horizontal="center" vertical="center"/>
    </xf>
    <xf numFmtId="1" fontId="10" fillId="0" borderId="2" xfId="2" applyNumberFormat="1" applyFont="1" applyBorder="1" applyAlignment="1">
      <alignment horizontal="center" vertical="center"/>
    </xf>
    <xf numFmtId="1" fontId="10" fillId="0" borderId="5" xfId="2" applyNumberFormat="1" applyFont="1" applyBorder="1" applyAlignment="1">
      <alignment horizontal="center" vertical="center"/>
    </xf>
    <xf numFmtId="1" fontId="10" fillId="0" borderId="13" xfId="2" applyNumberFormat="1" applyFont="1" applyBorder="1" applyAlignment="1">
      <alignment horizontal="center" vertical="center"/>
    </xf>
    <xf numFmtId="1" fontId="10" fillId="0" borderId="39" xfId="2" applyNumberFormat="1" applyFont="1" applyBorder="1" applyAlignment="1">
      <alignment horizontal="center" vertical="center"/>
    </xf>
    <xf numFmtId="1" fontId="10" fillId="11" borderId="4" xfId="2" applyNumberFormat="1" applyFont="1" applyFill="1" applyBorder="1" applyAlignment="1">
      <alignment horizontal="center" vertical="center"/>
    </xf>
    <xf numFmtId="1" fontId="10" fillId="11" borderId="45" xfId="2" applyNumberFormat="1" applyFont="1" applyFill="1" applyBorder="1" applyAlignment="1">
      <alignment horizontal="center" vertical="center"/>
    </xf>
    <xf numFmtId="1" fontId="10" fillId="12" borderId="4" xfId="2" applyNumberFormat="1" applyFont="1" applyFill="1" applyBorder="1" applyAlignment="1">
      <alignment horizontal="center" vertical="center"/>
    </xf>
    <xf numFmtId="0" fontId="2" fillId="12" borderId="0" xfId="0" applyFont="1" applyFill="1"/>
    <xf numFmtId="1" fontId="10" fillId="5" borderId="6" xfId="2" applyNumberFormat="1" applyFont="1" applyFill="1" applyBorder="1" applyAlignment="1">
      <alignment horizontal="center" vertical="center"/>
    </xf>
    <xf numFmtId="1" fontId="10" fillId="3" borderId="6" xfId="2" applyNumberFormat="1" applyFont="1" applyFill="1" applyBorder="1" applyAlignment="1">
      <alignment horizontal="center" vertical="center"/>
    </xf>
    <xf numFmtId="1" fontId="10" fillId="0" borderId="50" xfId="2" applyNumberFormat="1" applyFont="1" applyBorder="1" applyAlignment="1">
      <alignment horizontal="center" vertical="center"/>
    </xf>
    <xf numFmtId="1" fontId="10" fillId="12" borderId="22" xfId="2" applyNumberFormat="1" applyFont="1" applyFill="1" applyBorder="1" applyAlignment="1">
      <alignment horizontal="center" vertical="center"/>
    </xf>
    <xf numFmtId="0" fontId="1" fillId="0" borderId="0" xfId="0" applyFont="1"/>
    <xf numFmtId="0" fontId="10" fillId="6" borderId="52" xfId="0" applyFont="1" applyFill="1" applyBorder="1" applyAlignment="1">
      <alignment horizontal="center" vertical="center" wrapText="1"/>
    </xf>
    <xf numFmtId="1" fontId="10" fillId="12" borderId="21" xfId="2" applyNumberFormat="1" applyFont="1" applyFill="1" applyBorder="1" applyAlignment="1">
      <alignment horizontal="center" vertical="center"/>
    </xf>
    <xf numFmtId="1" fontId="10" fillId="12" borderId="26" xfId="2" applyNumberFormat="1" applyFont="1" applyFill="1" applyBorder="1" applyAlignment="1">
      <alignment horizontal="center" vertical="center"/>
    </xf>
    <xf numFmtId="1" fontId="10" fillId="3" borderId="43" xfId="2" applyNumberFormat="1" applyFont="1" applyFill="1" applyBorder="1" applyAlignment="1">
      <alignment horizontal="center" vertical="center"/>
    </xf>
    <xf numFmtId="0" fontId="10" fillId="15" borderId="47" xfId="0" applyFont="1" applyFill="1" applyBorder="1" applyAlignment="1">
      <alignment horizontal="center" vertical="center" wrapText="1"/>
    </xf>
    <xf numFmtId="1" fontId="10" fillId="15" borderId="41" xfId="2" applyNumberFormat="1" applyFont="1" applyFill="1" applyBorder="1" applyAlignment="1">
      <alignment horizontal="center" vertical="center"/>
    </xf>
    <xf numFmtId="1" fontId="9" fillId="3" borderId="41" xfId="2" applyNumberFormat="1" applyFont="1" applyFill="1" applyBorder="1" applyAlignment="1">
      <alignment horizontal="center" vertical="center"/>
    </xf>
    <xf numFmtId="1" fontId="10" fillId="16" borderId="43" xfId="2" applyNumberFormat="1" applyFont="1" applyFill="1" applyBorder="1" applyAlignment="1">
      <alignment horizontal="center" vertical="center"/>
    </xf>
    <xf numFmtId="1" fontId="10" fillId="2" borderId="43" xfId="2" applyNumberFormat="1" applyFont="1" applyFill="1" applyBorder="1" applyAlignment="1">
      <alignment horizontal="center" vertical="center"/>
    </xf>
    <xf numFmtId="0" fontId="10" fillId="16" borderId="52" xfId="0" applyFont="1" applyFill="1" applyBorder="1" applyAlignment="1">
      <alignment horizontal="center" vertical="center" wrapText="1"/>
    </xf>
    <xf numFmtId="9" fontId="0" fillId="0" borderId="0" xfId="1" applyFont="1"/>
    <xf numFmtId="9" fontId="10" fillId="6" borderId="52" xfId="1" applyFont="1" applyFill="1" applyBorder="1" applyAlignment="1">
      <alignment horizontal="center" vertical="center" wrapText="1"/>
    </xf>
    <xf numFmtId="9" fontId="10" fillId="2" borderId="43" xfId="1" applyFont="1" applyFill="1" applyBorder="1" applyAlignment="1">
      <alignment horizontal="center" vertical="center"/>
    </xf>
    <xf numFmtId="9" fontId="10" fillId="16" borderId="43" xfId="1" applyFont="1" applyFill="1" applyBorder="1" applyAlignment="1">
      <alignment horizontal="center" vertical="center"/>
    </xf>
    <xf numFmtId="1" fontId="12" fillId="0" borderId="14" xfId="2" applyNumberFormat="1" applyFont="1" applyBorder="1" applyAlignment="1">
      <alignment horizontal="center" vertical="center"/>
    </xf>
    <xf numFmtId="1" fontId="12" fillId="0" borderId="13" xfId="2" applyNumberFormat="1" applyFont="1" applyBorder="1" applyAlignment="1">
      <alignment horizontal="center" vertical="center"/>
    </xf>
    <xf numFmtId="1" fontId="12" fillId="0" borderId="16" xfId="2" applyNumberFormat="1" applyFont="1" applyBorder="1" applyAlignment="1">
      <alignment horizontal="center" vertical="center"/>
    </xf>
    <xf numFmtId="9" fontId="12" fillId="0" borderId="16" xfId="1" applyFont="1" applyBorder="1" applyAlignment="1">
      <alignment horizontal="center" vertical="center"/>
    </xf>
    <xf numFmtId="1" fontId="12" fillId="0" borderId="1" xfId="2" applyNumberFormat="1" applyFont="1" applyBorder="1" applyAlignment="1">
      <alignment horizontal="center" vertical="center"/>
    </xf>
    <xf numFmtId="1" fontId="12" fillId="0" borderId="5" xfId="2" applyNumberFormat="1" applyFont="1" applyBorder="1" applyAlignment="1">
      <alignment horizontal="center" vertical="center"/>
    </xf>
    <xf numFmtId="1" fontId="12" fillId="0" borderId="4" xfId="2" applyNumberFormat="1" applyFont="1" applyBorder="1" applyAlignment="1">
      <alignment horizontal="center" vertical="center"/>
    </xf>
    <xf numFmtId="9" fontId="12" fillId="0" borderId="5" xfId="1" applyFont="1" applyBorder="1" applyAlignment="1">
      <alignment horizontal="center" vertical="center"/>
    </xf>
    <xf numFmtId="1" fontId="12" fillId="0" borderId="39" xfId="2" applyNumberFormat="1" applyFont="1" applyBorder="1" applyAlignment="1">
      <alignment horizontal="center" vertical="center"/>
    </xf>
    <xf numFmtId="1" fontId="12" fillId="0" borderId="56" xfId="2" applyNumberFormat="1" applyFont="1" applyBorder="1" applyAlignment="1">
      <alignment horizontal="center" vertical="center"/>
    </xf>
    <xf numFmtId="1" fontId="12" fillId="0" borderId="35" xfId="2" applyNumberFormat="1" applyFont="1" applyBorder="1" applyAlignment="1">
      <alignment horizontal="center" vertical="center"/>
    </xf>
    <xf numFmtId="9" fontId="12" fillId="0" borderId="56" xfId="1" applyFont="1" applyBorder="1" applyAlignment="1">
      <alignment horizontal="center" vertical="center"/>
    </xf>
    <xf numFmtId="1" fontId="12" fillId="17" borderId="14" xfId="2" applyNumberFormat="1" applyFont="1" applyFill="1" applyBorder="1" applyAlignment="1">
      <alignment horizontal="center" vertical="center"/>
    </xf>
    <xf numFmtId="1" fontId="12" fillId="17" borderId="36" xfId="2" applyNumberFormat="1" applyFont="1" applyFill="1" applyBorder="1" applyAlignment="1">
      <alignment horizontal="center" vertical="center"/>
    </xf>
    <xf numFmtId="1" fontId="10" fillId="17" borderId="41" xfId="2" applyNumberFormat="1" applyFont="1" applyFill="1" applyBorder="1" applyAlignment="1">
      <alignment horizontal="center" vertical="center"/>
    </xf>
    <xf numFmtId="0" fontId="10" fillId="8" borderId="43" xfId="0" applyFont="1" applyFill="1" applyBorder="1" applyAlignment="1">
      <alignment horizontal="center" vertical="center" wrapText="1"/>
    </xf>
    <xf numFmtId="1" fontId="10" fillId="7" borderId="43" xfId="2" applyNumberFormat="1" applyFont="1" applyFill="1" applyBorder="1" applyAlignment="1">
      <alignment horizontal="center" vertical="center"/>
    </xf>
    <xf numFmtId="0" fontId="10" fillId="13" borderId="41" xfId="0" applyFont="1" applyFill="1" applyBorder="1" applyAlignment="1">
      <alignment horizontal="center" vertical="center" wrapText="1"/>
    </xf>
    <xf numFmtId="0" fontId="10" fillId="13" borderId="43" xfId="0" applyFont="1" applyFill="1" applyBorder="1" applyAlignment="1">
      <alignment horizontal="center" vertical="center" wrapText="1"/>
    </xf>
    <xf numFmtId="0" fontId="10" fillId="5" borderId="43" xfId="0" applyFont="1" applyFill="1" applyBorder="1" applyAlignment="1">
      <alignment horizontal="center" vertical="center" wrapText="1"/>
    </xf>
    <xf numFmtId="1" fontId="10" fillId="13" borderId="41" xfId="2" applyNumberFormat="1" applyFont="1" applyFill="1" applyBorder="1" applyAlignment="1">
      <alignment horizontal="center" vertical="center"/>
    </xf>
    <xf numFmtId="1" fontId="10" fillId="13" borderId="45" xfId="2" applyNumberFormat="1" applyFont="1" applyFill="1" applyBorder="1" applyAlignment="1">
      <alignment horizontal="center" vertical="center"/>
    </xf>
    <xf numFmtId="1" fontId="10" fillId="5" borderId="43" xfId="2" applyNumberFormat="1" applyFont="1" applyFill="1" applyBorder="1" applyAlignment="1">
      <alignment horizontal="center" vertical="center"/>
    </xf>
    <xf numFmtId="0" fontId="10" fillId="8" borderId="41" xfId="0" applyFont="1" applyFill="1" applyBorder="1" applyAlignment="1">
      <alignment horizontal="center" vertical="center"/>
    </xf>
    <xf numFmtId="0" fontId="10" fillId="18" borderId="52" xfId="0" applyFont="1" applyFill="1" applyBorder="1" applyAlignment="1">
      <alignment horizontal="center" vertical="center" wrapText="1"/>
    </xf>
    <xf numFmtId="1" fontId="12" fillId="6" borderId="16" xfId="2" applyNumberFormat="1" applyFont="1" applyFill="1" applyBorder="1" applyAlignment="1">
      <alignment horizontal="center" vertical="center"/>
    </xf>
    <xf numFmtId="1" fontId="12" fillId="6" borderId="51" xfId="2" applyNumberFormat="1" applyFont="1" applyFill="1" applyBorder="1" applyAlignment="1">
      <alignment horizontal="center" vertical="center"/>
    </xf>
    <xf numFmtId="1" fontId="12" fillId="6" borderId="5" xfId="2" applyNumberFormat="1" applyFont="1" applyFill="1" applyBorder="1" applyAlignment="1">
      <alignment horizontal="center" vertical="center"/>
    </xf>
    <xf numFmtId="1" fontId="12" fillId="6" borderId="56" xfId="2" applyNumberFormat="1" applyFont="1" applyFill="1" applyBorder="1" applyAlignment="1">
      <alignment horizontal="center" vertical="center"/>
    </xf>
    <xf numFmtId="1" fontId="12" fillId="2" borderId="16" xfId="2" applyNumberFormat="1" applyFont="1" applyFill="1" applyBorder="1" applyAlignment="1">
      <alignment horizontal="center" vertical="center"/>
    </xf>
    <xf numFmtId="1" fontId="12" fillId="2" borderId="5" xfId="2" applyNumberFormat="1" applyFont="1" applyFill="1" applyBorder="1" applyAlignment="1">
      <alignment horizontal="center" vertical="center"/>
    </xf>
    <xf numFmtId="1" fontId="12" fillId="2" borderId="56" xfId="2" applyNumberFormat="1" applyFont="1" applyFill="1" applyBorder="1" applyAlignment="1">
      <alignment horizontal="center" vertical="center"/>
    </xf>
    <xf numFmtId="1" fontId="10" fillId="15" borderId="43" xfId="2" applyNumberFormat="1" applyFont="1" applyFill="1" applyBorder="1" applyAlignment="1">
      <alignment horizontal="center" vertical="center"/>
    </xf>
    <xf numFmtId="1" fontId="10" fillId="15" borderId="45" xfId="2" applyNumberFormat="1" applyFont="1" applyFill="1" applyBorder="1" applyAlignment="1">
      <alignment horizontal="center" vertical="center"/>
    </xf>
    <xf numFmtId="9" fontId="10" fillId="15" borderId="43" xfId="1" applyFont="1" applyFill="1" applyBorder="1" applyAlignment="1">
      <alignment horizontal="center" vertical="center"/>
    </xf>
    <xf numFmtId="9" fontId="10" fillId="12" borderId="26" xfId="1" applyFont="1" applyFill="1" applyBorder="1" applyAlignment="1">
      <alignment horizontal="center" vertical="center"/>
    </xf>
    <xf numFmtId="1" fontId="9" fillId="15" borderId="41" xfId="2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8" borderId="55" xfId="0" applyFont="1" applyFill="1" applyBorder="1" applyAlignment="1">
      <alignment horizontal="center" vertical="center"/>
    </xf>
    <xf numFmtId="0" fontId="11" fillId="8" borderId="53" xfId="0" applyFont="1" applyFill="1" applyBorder="1" applyAlignment="1">
      <alignment horizontal="center" vertical="center" wrapText="1"/>
    </xf>
    <xf numFmtId="0" fontId="11" fillId="8" borderId="55" xfId="0" applyFont="1" applyFill="1" applyBorder="1" applyAlignment="1">
      <alignment horizontal="center" vertical="center" wrapText="1"/>
    </xf>
    <xf numFmtId="0" fontId="11" fillId="7" borderId="13" xfId="0" applyFont="1" applyFill="1" applyBorder="1" applyAlignment="1">
      <alignment horizontal="center" vertical="center" wrapText="1"/>
    </xf>
    <xf numFmtId="0" fontId="11" fillId="8" borderId="57" xfId="0" applyFont="1" applyFill="1" applyBorder="1" applyAlignment="1">
      <alignment horizontal="center" vertical="center" wrapText="1"/>
    </xf>
    <xf numFmtId="1" fontId="10" fillId="11" borderId="42" xfId="2" applyNumberFormat="1" applyFont="1" applyFill="1" applyBorder="1" applyAlignment="1">
      <alignment horizontal="center" vertical="center"/>
    </xf>
    <xf numFmtId="1" fontId="10" fillId="7" borderId="53" xfId="2" applyNumberFormat="1" applyFont="1" applyFill="1" applyBorder="1" applyAlignment="1">
      <alignment horizontal="center" vertical="center"/>
    </xf>
    <xf numFmtId="1" fontId="10" fillId="3" borderId="53" xfId="2" applyNumberFormat="1" applyFont="1" applyFill="1" applyBorder="1" applyAlignment="1">
      <alignment horizontal="center" vertical="center"/>
    </xf>
    <xf numFmtId="1" fontId="10" fillId="3" borderId="57" xfId="2" applyNumberFormat="1" applyFont="1" applyFill="1" applyBorder="1" applyAlignment="1">
      <alignment horizontal="center" vertical="center"/>
    </xf>
    <xf numFmtId="1" fontId="10" fillId="12" borderId="45" xfId="2" applyNumberFormat="1" applyFont="1" applyFill="1" applyBorder="1" applyAlignment="1">
      <alignment horizontal="center" vertical="center"/>
    </xf>
    <xf numFmtId="1" fontId="10" fillId="12" borderId="42" xfId="2" applyNumberFormat="1" applyFont="1" applyFill="1" applyBorder="1" applyAlignment="1">
      <alignment horizontal="center" vertical="center"/>
    </xf>
    <xf numFmtId="0" fontId="11" fillId="8" borderId="13" xfId="0" applyFont="1" applyFill="1" applyBorder="1" applyAlignment="1">
      <alignment horizontal="center" vertical="center"/>
    </xf>
    <xf numFmtId="1" fontId="10" fillId="0" borderId="48" xfId="2" applyNumberFormat="1" applyFont="1" applyBorder="1" applyAlignment="1">
      <alignment horizontal="center" vertical="center"/>
    </xf>
    <xf numFmtId="1" fontId="10" fillId="0" borderId="40" xfId="2" applyNumberFormat="1" applyFont="1" applyBorder="1" applyAlignment="1">
      <alignment horizontal="center" vertical="center"/>
    </xf>
    <xf numFmtId="1" fontId="10" fillId="0" borderId="59" xfId="2" applyNumberFormat="1" applyFont="1" applyBorder="1" applyAlignment="1">
      <alignment horizontal="center" vertical="center"/>
    </xf>
    <xf numFmtId="1" fontId="10" fillId="11" borderId="12" xfId="2" applyNumberFormat="1" applyFont="1" applyFill="1" applyBorder="1" applyAlignment="1">
      <alignment horizontal="center" vertical="center"/>
    </xf>
    <xf numFmtId="1" fontId="10" fillId="12" borderId="12" xfId="2" applyNumberFormat="1" applyFont="1" applyFill="1" applyBorder="1" applyAlignment="1">
      <alignment horizontal="center" vertical="center"/>
    </xf>
    <xf numFmtId="1" fontId="3" fillId="5" borderId="30" xfId="0" applyNumberFormat="1" applyFont="1" applyFill="1" applyBorder="1" applyAlignment="1">
      <alignment horizontal="center" vertical="center"/>
    </xf>
    <xf numFmtId="0" fontId="11" fillId="8" borderId="41" xfId="0" applyFont="1" applyFill="1" applyBorder="1" applyAlignment="1">
      <alignment horizontal="center" vertical="center" wrapText="1"/>
    </xf>
    <xf numFmtId="1" fontId="10" fillId="0" borderId="14" xfId="2" applyNumberFormat="1" applyFont="1" applyBorder="1" applyAlignment="1">
      <alignment horizontal="center" vertical="center"/>
    </xf>
    <xf numFmtId="1" fontId="10" fillId="0" borderId="35" xfId="2" applyNumberFormat="1" applyFont="1" applyBorder="1" applyAlignment="1">
      <alignment horizontal="center" vertical="center"/>
    </xf>
    <xf numFmtId="1" fontId="10" fillId="11" borderId="41" xfId="2" applyNumberFormat="1" applyFont="1" applyFill="1" applyBorder="1" applyAlignment="1">
      <alignment horizontal="center" vertical="center"/>
    </xf>
    <xf numFmtId="1" fontId="10" fillId="12" borderId="41" xfId="2" applyNumberFormat="1" applyFont="1" applyFill="1" applyBorder="1" applyAlignment="1">
      <alignment horizontal="center" vertical="center"/>
    </xf>
    <xf numFmtId="1" fontId="3" fillId="5" borderId="37" xfId="0" applyNumberFormat="1" applyFont="1" applyFill="1" applyBorder="1" applyAlignment="1">
      <alignment horizontal="center" vertical="center"/>
    </xf>
    <xf numFmtId="0" fontId="11" fillId="7" borderId="12" xfId="0" applyFont="1" applyFill="1" applyBorder="1" applyAlignment="1">
      <alignment horizontal="center" vertical="center" wrapText="1"/>
    </xf>
    <xf numFmtId="0" fontId="11" fillId="19" borderId="12" xfId="0" applyFont="1" applyFill="1" applyBorder="1" applyAlignment="1">
      <alignment horizontal="center" vertical="center" wrapText="1"/>
    </xf>
    <xf numFmtId="16" fontId="11" fillId="19" borderId="12" xfId="0" applyNumberFormat="1" applyFont="1" applyFill="1" applyBorder="1" applyAlignment="1">
      <alignment horizontal="center" vertical="center" wrapText="1"/>
    </xf>
    <xf numFmtId="0" fontId="15" fillId="0" borderId="0" xfId="0" applyFont="1"/>
    <xf numFmtId="0" fontId="16" fillId="0" borderId="0" xfId="0" applyFont="1"/>
    <xf numFmtId="0" fontId="17" fillId="10" borderId="41" xfId="0" applyNumberFormat="1" applyFont="1" applyFill="1" applyBorder="1" applyAlignment="1">
      <alignment horizontal="center" vertical="center" wrapText="1"/>
    </xf>
    <xf numFmtId="0" fontId="17" fillId="10" borderId="45" xfId="0" applyNumberFormat="1" applyFont="1" applyFill="1" applyBorder="1" applyAlignment="1">
      <alignment horizontal="center" vertical="center"/>
    </xf>
    <xf numFmtId="0" fontId="17" fillId="10" borderId="41" xfId="0" applyNumberFormat="1" applyFont="1" applyFill="1" applyBorder="1" applyAlignment="1">
      <alignment horizontal="center" vertical="center"/>
    </xf>
    <xf numFmtId="0" fontId="17" fillId="10" borderId="43" xfId="0" applyFont="1" applyFill="1" applyBorder="1" applyAlignment="1">
      <alignment horizontal="center" vertical="center" wrapText="1"/>
    </xf>
    <xf numFmtId="0" fontId="18" fillId="0" borderId="0" xfId="0" applyFont="1"/>
    <xf numFmtId="1" fontId="17" fillId="10" borderId="1" xfId="0" applyNumberFormat="1" applyFont="1" applyFill="1" applyBorder="1" applyAlignment="1">
      <alignment horizontal="center" vertical="center"/>
    </xf>
    <xf numFmtId="9" fontId="17" fillId="10" borderId="4" xfId="1" applyFont="1" applyFill="1" applyBorder="1" applyAlignment="1">
      <alignment horizontal="center" vertical="center"/>
    </xf>
    <xf numFmtId="1" fontId="17" fillId="20" borderId="1" xfId="0" applyNumberFormat="1" applyFont="1" applyFill="1" applyBorder="1" applyAlignment="1">
      <alignment horizontal="center" vertical="center"/>
    </xf>
    <xf numFmtId="9" fontId="17" fillId="20" borderId="4" xfId="1" applyFont="1" applyFill="1" applyBorder="1" applyAlignment="1">
      <alignment horizontal="center" vertical="center"/>
    </xf>
    <xf numFmtId="1" fontId="16" fillId="0" borderId="0" xfId="0" applyNumberFormat="1" applyFont="1"/>
    <xf numFmtId="1" fontId="19" fillId="3" borderId="6" xfId="0" applyNumberFormat="1" applyFont="1" applyFill="1" applyBorder="1" applyAlignment="1">
      <alignment horizontal="center" vertical="center"/>
    </xf>
    <xf numFmtId="1" fontId="19" fillId="3" borderId="7" xfId="0" applyNumberFormat="1" applyFont="1" applyFill="1" applyBorder="1" applyAlignment="1">
      <alignment horizontal="center" vertical="center"/>
    </xf>
    <xf numFmtId="0" fontId="22" fillId="0" borderId="0" xfId="0" applyFont="1"/>
    <xf numFmtId="0" fontId="13" fillId="9" borderId="10" xfId="0" applyFont="1" applyFill="1" applyBorder="1" applyAlignment="1">
      <alignment horizontal="center" vertical="center"/>
    </xf>
    <xf numFmtId="0" fontId="14" fillId="9" borderId="41" xfId="0" applyFont="1" applyFill="1" applyBorder="1" applyAlignment="1">
      <alignment horizontal="center" vertical="center" wrapText="1"/>
    </xf>
    <xf numFmtId="0" fontId="13" fillId="10" borderId="45" xfId="0" applyNumberFormat="1" applyFont="1" applyFill="1" applyBorder="1" applyAlignment="1">
      <alignment horizontal="center" vertical="center" wrapText="1"/>
    </xf>
    <xf numFmtId="0" fontId="13" fillId="10" borderId="42" xfId="0" applyNumberFormat="1" applyFont="1" applyFill="1" applyBorder="1" applyAlignment="1">
      <alignment horizontal="center" vertical="center"/>
    </xf>
    <xf numFmtId="0" fontId="13" fillId="10" borderId="41" xfId="0" applyNumberFormat="1" applyFont="1" applyFill="1" applyBorder="1" applyAlignment="1">
      <alignment horizontal="center" vertical="center" wrapText="1"/>
    </xf>
    <xf numFmtId="0" fontId="13" fillId="10" borderId="45" xfId="0" applyNumberFormat="1" applyFont="1" applyFill="1" applyBorder="1" applyAlignment="1">
      <alignment horizontal="center" vertical="center"/>
    </xf>
    <xf numFmtId="0" fontId="13" fillId="10" borderId="41" xfId="0" applyNumberFormat="1" applyFont="1" applyFill="1" applyBorder="1" applyAlignment="1">
      <alignment horizontal="center" vertical="center"/>
    </xf>
    <xf numFmtId="0" fontId="13" fillId="10" borderId="43" xfId="0" applyFont="1" applyFill="1" applyBorder="1" applyAlignment="1">
      <alignment horizontal="center" vertical="center" wrapText="1"/>
    </xf>
    <xf numFmtId="0" fontId="6" fillId="0" borderId="0" xfId="0" applyFont="1"/>
    <xf numFmtId="0" fontId="13" fillId="0" borderId="34" xfId="0" applyFont="1" applyBorder="1" applyAlignment="1">
      <alignment horizontal="right" vertical="center"/>
    </xf>
    <xf numFmtId="0" fontId="13" fillId="0" borderId="24" xfId="0" applyFont="1" applyBorder="1" applyAlignment="1">
      <alignment horizontal="right" vertical="center"/>
    </xf>
    <xf numFmtId="0" fontId="15" fillId="0" borderId="60" xfId="0" applyFont="1" applyBorder="1"/>
    <xf numFmtId="0" fontId="15" fillId="0" borderId="66" xfId="0" applyFont="1" applyBorder="1"/>
    <xf numFmtId="0" fontId="15" fillId="0" borderId="47" xfId="0" applyFont="1" applyBorder="1"/>
    <xf numFmtId="0" fontId="13" fillId="10" borderId="24" xfId="0" applyFont="1" applyFill="1" applyBorder="1" applyAlignment="1">
      <alignment horizontal="right" vertical="center"/>
    </xf>
    <xf numFmtId="0" fontId="13" fillId="20" borderId="24" xfId="0" applyFont="1" applyFill="1" applyBorder="1" applyAlignment="1">
      <alignment horizontal="right" vertical="center"/>
    </xf>
    <xf numFmtId="0" fontId="13" fillId="5" borderId="24" xfId="0" applyFont="1" applyFill="1" applyBorder="1" applyAlignment="1">
      <alignment horizontal="right" vertical="center"/>
    </xf>
    <xf numFmtId="1" fontId="15" fillId="0" borderId="0" xfId="0" applyNumberFormat="1" applyFont="1"/>
    <xf numFmtId="0" fontId="2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4" fillId="0" borderId="36" xfId="0" applyFont="1" applyBorder="1" applyAlignment="1">
      <alignment horizontal="center" vertical="center"/>
    </xf>
    <xf numFmtId="1" fontId="26" fillId="0" borderId="50" xfId="0" applyNumberFormat="1" applyFont="1" applyBorder="1" applyAlignment="1">
      <alignment horizontal="center" vertical="center"/>
    </xf>
    <xf numFmtId="1" fontId="26" fillId="0" borderId="64" xfId="0" applyNumberFormat="1" applyFont="1" applyBorder="1" applyAlignment="1">
      <alignment horizontal="center" vertical="center"/>
    </xf>
    <xf numFmtId="1" fontId="26" fillId="21" borderId="36" xfId="0" applyNumberFormat="1" applyFont="1" applyFill="1" applyBorder="1" applyAlignment="1">
      <alignment horizontal="center" vertical="center" wrapText="1"/>
    </xf>
    <xf numFmtId="1" fontId="26" fillId="21" borderId="50" xfId="0" applyNumberFormat="1" applyFont="1" applyFill="1" applyBorder="1" applyAlignment="1">
      <alignment horizontal="center" vertical="center"/>
    </xf>
    <xf numFmtId="9" fontId="27" fillId="0" borderId="36" xfId="1" applyFont="1" applyBorder="1" applyAlignment="1">
      <alignment horizontal="center" vertical="center"/>
    </xf>
    <xf numFmtId="0" fontId="24" fillId="0" borderId="61" xfId="0" applyFont="1" applyBorder="1" applyAlignment="1">
      <alignment horizontal="center" vertical="center"/>
    </xf>
    <xf numFmtId="1" fontId="26" fillId="0" borderId="63" xfId="0" applyNumberFormat="1" applyFont="1" applyBorder="1" applyAlignment="1">
      <alignment horizontal="center" vertical="center"/>
    </xf>
    <xf numFmtId="1" fontId="26" fillId="0" borderId="65" xfId="0" applyNumberFormat="1" applyFont="1" applyBorder="1" applyAlignment="1">
      <alignment horizontal="center" vertical="center"/>
    </xf>
    <xf numFmtId="1" fontId="26" fillId="21" borderId="61" xfId="0" applyNumberFormat="1" applyFont="1" applyFill="1" applyBorder="1" applyAlignment="1">
      <alignment horizontal="center" vertical="center"/>
    </xf>
    <xf numFmtId="1" fontId="26" fillId="21" borderId="63" xfId="0" applyNumberFormat="1" applyFont="1" applyFill="1" applyBorder="1" applyAlignment="1">
      <alignment horizontal="center" vertical="center"/>
    </xf>
    <xf numFmtId="9" fontId="27" fillId="0" borderId="61" xfId="1" applyFont="1" applyBorder="1" applyAlignment="1">
      <alignment horizontal="center" vertical="center"/>
    </xf>
    <xf numFmtId="1" fontId="26" fillId="21" borderId="36" xfId="0" applyNumberFormat="1" applyFont="1" applyFill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1" fontId="26" fillId="0" borderId="13" xfId="0" applyNumberFormat="1" applyFont="1" applyBorder="1" applyAlignment="1">
      <alignment horizontal="center" vertical="center"/>
    </xf>
    <xf numFmtId="1" fontId="26" fillId="0" borderId="15" xfId="0" applyNumberFormat="1" applyFont="1" applyBorder="1" applyAlignment="1">
      <alignment horizontal="center" vertical="center"/>
    </xf>
    <xf numFmtId="1" fontId="26" fillId="21" borderId="14" xfId="0" applyNumberFormat="1" applyFont="1" applyFill="1" applyBorder="1" applyAlignment="1">
      <alignment horizontal="center" vertical="center"/>
    </xf>
    <xf numFmtId="1" fontId="26" fillId="21" borderId="13" xfId="0" applyNumberFormat="1" applyFont="1" applyFill="1" applyBorder="1" applyAlignment="1">
      <alignment horizontal="center" vertical="center"/>
    </xf>
    <xf numFmtId="9" fontId="27" fillId="0" borderId="14" xfId="1" applyFont="1" applyBorder="1" applyAlignment="1">
      <alignment horizontal="center" vertical="center"/>
    </xf>
    <xf numFmtId="0" fontId="24" fillId="10" borderId="4" xfId="0" applyFont="1" applyFill="1" applyBorder="1" applyAlignment="1">
      <alignment horizontal="center" vertical="center"/>
    </xf>
    <xf numFmtId="0" fontId="25" fillId="10" borderId="5" xfId="0" applyFont="1" applyFill="1" applyBorder="1" applyAlignment="1">
      <alignment horizontal="center" vertical="center"/>
    </xf>
    <xf numFmtId="1" fontId="27" fillId="10" borderId="1" xfId="0" applyNumberFormat="1" applyFont="1" applyFill="1" applyBorder="1" applyAlignment="1">
      <alignment horizontal="center" vertical="center"/>
    </xf>
    <xf numFmtId="1" fontId="27" fillId="10" borderId="2" xfId="0" applyNumberFormat="1" applyFont="1" applyFill="1" applyBorder="1" applyAlignment="1">
      <alignment horizontal="center" vertical="center"/>
    </xf>
    <xf numFmtId="1" fontId="27" fillId="10" borderId="4" xfId="0" applyNumberFormat="1" applyFont="1" applyFill="1" applyBorder="1" applyAlignment="1">
      <alignment horizontal="center" vertical="center"/>
    </xf>
    <xf numFmtId="0" fontId="27" fillId="10" borderId="1" xfId="0" applyFont="1" applyFill="1" applyBorder="1" applyAlignment="1">
      <alignment horizontal="center" vertical="center"/>
    </xf>
    <xf numFmtId="9" fontId="27" fillId="10" borderId="4" xfId="1" applyFont="1" applyFill="1" applyBorder="1" applyAlignment="1">
      <alignment horizontal="center" vertical="center"/>
    </xf>
    <xf numFmtId="0" fontId="24" fillId="0" borderId="35" xfId="0" applyFont="1" applyBorder="1" applyAlignment="1">
      <alignment horizontal="center" vertical="center"/>
    </xf>
    <xf numFmtId="1" fontId="26" fillId="0" borderId="39" xfId="0" applyNumberFormat="1" applyFont="1" applyBorder="1" applyAlignment="1">
      <alignment horizontal="center" vertical="center"/>
    </xf>
    <xf numFmtId="1" fontId="26" fillId="0" borderId="58" xfId="0" applyNumberFormat="1" applyFont="1" applyBorder="1" applyAlignment="1">
      <alignment horizontal="center" vertical="center"/>
    </xf>
    <xf numFmtId="1" fontId="26" fillId="21" borderId="35" xfId="0" applyNumberFormat="1" applyFont="1" applyFill="1" applyBorder="1" applyAlignment="1">
      <alignment horizontal="center" vertical="center"/>
    </xf>
    <xf numFmtId="1" fontId="26" fillId="21" borderId="39" xfId="0" applyNumberFormat="1" applyFont="1" applyFill="1" applyBorder="1" applyAlignment="1">
      <alignment horizontal="center" vertical="center"/>
    </xf>
    <xf numFmtId="9" fontId="27" fillId="0" borderId="35" xfId="1" applyFont="1" applyBorder="1" applyAlignment="1">
      <alignment horizontal="center" vertical="center"/>
    </xf>
    <xf numFmtId="0" fontId="24" fillId="20" borderId="4" xfId="0" applyFont="1" applyFill="1" applyBorder="1" applyAlignment="1">
      <alignment horizontal="center" vertical="center"/>
    </xf>
    <xf numFmtId="1" fontId="27" fillId="20" borderId="1" xfId="0" applyNumberFormat="1" applyFont="1" applyFill="1" applyBorder="1" applyAlignment="1">
      <alignment horizontal="center" vertical="center"/>
    </xf>
    <xf numFmtId="1" fontId="27" fillId="20" borderId="2" xfId="0" applyNumberFormat="1" applyFont="1" applyFill="1" applyBorder="1" applyAlignment="1">
      <alignment horizontal="center" vertical="center"/>
    </xf>
    <xf numFmtId="1" fontId="27" fillId="20" borderId="4" xfId="0" applyNumberFormat="1" applyFont="1" applyFill="1" applyBorder="1" applyAlignment="1">
      <alignment horizontal="center" vertical="center"/>
    </xf>
    <xf numFmtId="9" fontId="27" fillId="20" borderId="4" xfId="1" applyFont="1" applyFill="1" applyBorder="1" applyAlignment="1">
      <alignment horizontal="center" vertical="center"/>
    </xf>
    <xf numFmtId="1" fontId="24" fillId="5" borderId="7" xfId="0" applyNumberFormat="1" applyFont="1" applyFill="1" applyBorder="1" applyAlignment="1">
      <alignment horizontal="center" vertical="center"/>
    </xf>
    <xf numFmtId="1" fontId="27" fillId="5" borderId="7" xfId="0" applyNumberFormat="1" applyFont="1" applyFill="1" applyBorder="1" applyAlignment="1">
      <alignment horizontal="center" vertical="center"/>
    </xf>
    <xf numFmtId="1" fontId="27" fillId="5" borderId="17" xfId="0" applyNumberFormat="1" applyFont="1" applyFill="1" applyBorder="1" applyAlignment="1">
      <alignment horizontal="center" vertical="center"/>
    </xf>
    <xf numFmtId="9" fontId="27" fillId="5" borderId="6" xfId="1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4" fillId="9" borderId="43" xfId="0" applyFont="1" applyFill="1" applyBorder="1" applyAlignment="1">
      <alignment horizontal="center" vertical="center" wrapText="1"/>
    </xf>
    <xf numFmtId="1" fontId="24" fillId="0" borderId="51" xfId="0" applyNumberFormat="1" applyFont="1" applyBorder="1" applyAlignment="1">
      <alignment horizontal="center" vertical="center"/>
    </xf>
    <xf numFmtId="0" fontId="24" fillId="0" borderId="62" xfId="0" applyFont="1" applyBorder="1" applyAlignment="1">
      <alignment horizontal="center" vertical="center"/>
    </xf>
    <xf numFmtId="0" fontId="24" fillId="0" borderId="51" xfId="0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24" fillId="0" borderId="56" xfId="0" applyFont="1" applyBorder="1" applyAlignment="1">
      <alignment horizontal="center" vertical="center"/>
    </xf>
    <xf numFmtId="0" fontId="24" fillId="0" borderId="62" xfId="0" applyFont="1" applyBorder="1" applyAlignment="1">
      <alignment horizontal="center" vertical="center" wrapText="1"/>
    </xf>
    <xf numFmtId="0" fontId="24" fillId="20" borderId="5" xfId="0" applyFont="1" applyFill="1" applyBorder="1" applyAlignment="1">
      <alignment horizontal="center" vertical="center"/>
    </xf>
    <xf numFmtId="0" fontId="24" fillId="5" borderId="8" xfId="0" applyFont="1" applyFill="1" applyBorder="1" applyAlignment="1">
      <alignment horizontal="center" vertical="center"/>
    </xf>
    <xf numFmtId="0" fontId="28" fillId="10" borderId="45" xfId="0" applyNumberFormat="1" applyFont="1" applyFill="1" applyBorder="1" applyAlignment="1">
      <alignment horizontal="center" vertical="center" wrapText="1"/>
    </xf>
    <xf numFmtId="1" fontId="30" fillId="5" borderId="7" xfId="0" applyNumberFormat="1" applyFont="1" applyFill="1" applyBorder="1" applyAlignment="1">
      <alignment horizontal="center" vertical="center"/>
    </xf>
    <xf numFmtId="1" fontId="29" fillId="20" borderId="1" xfId="0" applyNumberFormat="1" applyFont="1" applyFill="1" applyBorder="1" applyAlignment="1">
      <alignment horizontal="center" vertical="center"/>
    </xf>
    <xf numFmtId="0" fontId="29" fillId="10" borderId="1" xfId="0" applyFont="1" applyFill="1" applyBorder="1" applyAlignment="1">
      <alignment horizontal="center" vertical="center"/>
    </xf>
    <xf numFmtId="1" fontId="29" fillId="13" borderId="50" xfId="0" applyNumberFormat="1" applyFont="1" applyFill="1" applyBorder="1" applyAlignment="1">
      <alignment horizontal="center" vertical="center"/>
    </xf>
    <xf numFmtId="1" fontId="29" fillId="13" borderId="63" xfId="0" applyNumberFormat="1" applyFont="1" applyFill="1" applyBorder="1" applyAlignment="1">
      <alignment horizontal="center" vertical="center"/>
    </xf>
    <xf numFmtId="1" fontId="29" fillId="13" borderId="13" xfId="0" applyNumberFormat="1" applyFont="1" applyFill="1" applyBorder="1" applyAlignment="1">
      <alignment horizontal="center" vertical="center"/>
    </xf>
    <xf numFmtId="1" fontId="29" fillId="13" borderId="39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" fontId="15" fillId="0" borderId="0" xfId="0" applyNumberFormat="1" applyFont="1" applyAlignment="1">
      <alignment horizontal="center"/>
    </xf>
    <xf numFmtId="0" fontId="23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9" fontId="15" fillId="0" borderId="0" xfId="1" applyFont="1"/>
    <xf numFmtId="0" fontId="20" fillId="0" borderId="0" xfId="0" applyFont="1"/>
    <xf numFmtId="0" fontId="20" fillId="0" borderId="0" xfId="0" applyFont="1" applyAlignment="1">
      <alignment horizontal="center"/>
    </xf>
    <xf numFmtId="0" fontId="33" fillId="0" borderId="36" xfId="0" applyFont="1" applyBorder="1" applyAlignment="1">
      <alignment horizontal="center" vertical="center"/>
    </xf>
    <xf numFmtId="1" fontId="34" fillId="0" borderId="50" xfId="0" applyNumberFormat="1" applyFont="1" applyBorder="1" applyAlignment="1">
      <alignment horizontal="center" vertical="center"/>
    </xf>
    <xf numFmtId="1" fontId="34" fillId="0" borderId="64" xfId="0" applyNumberFormat="1" applyFont="1" applyBorder="1" applyAlignment="1">
      <alignment horizontal="center" vertical="center"/>
    </xf>
    <xf numFmtId="1" fontId="34" fillId="21" borderId="36" xfId="0" applyNumberFormat="1" applyFont="1" applyFill="1" applyBorder="1" applyAlignment="1">
      <alignment horizontal="center" vertical="center" wrapText="1"/>
    </xf>
    <xf numFmtId="1" fontId="34" fillId="21" borderId="50" xfId="0" applyNumberFormat="1" applyFont="1" applyFill="1" applyBorder="1" applyAlignment="1">
      <alignment horizontal="center" vertical="center"/>
    </xf>
    <xf numFmtId="9" fontId="32" fillId="0" borderId="36" xfId="1" applyFont="1" applyBorder="1" applyAlignment="1">
      <alignment horizontal="center" vertical="center"/>
    </xf>
    <xf numFmtId="0" fontId="33" fillId="0" borderId="61" xfId="0" applyFont="1" applyBorder="1" applyAlignment="1">
      <alignment horizontal="center" vertical="center"/>
    </xf>
    <xf numFmtId="1" fontId="34" fillId="0" borderId="63" xfId="0" applyNumberFormat="1" applyFont="1" applyBorder="1" applyAlignment="1">
      <alignment horizontal="center" vertical="center"/>
    </xf>
    <xf numFmtId="1" fontId="34" fillId="0" borderId="65" xfId="0" applyNumberFormat="1" applyFont="1" applyBorder="1" applyAlignment="1">
      <alignment horizontal="center" vertical="center"/>
    </xf>
    <xf numFmtId="1" fontId="34" fillId="21" borderId="61" xfId="0" applyNumberFormat="1" applyFont="1" applyFill="1" applyBorder="1" applyAlignment="1">
      <alignment horizontal="center" vertical="center"/>
    </xf>
    <xf numFmtId="1" fontId="34" fillId="21" borderId="63" xfId="0" applyNumberFormat="1" applyFont="1" applyFill="1" applyBorder="1" applyAlignment="1">
      <alignment horizontal="center" vertical="center"/>
    </xf>
    <xf numFmtId="9" fontId="32" fillId="0" borderId="61" xfId="1" applyFont="1" applyBorder="1" applyAlignment="1">
      <alignment horizontal="center" vertical="center"/>
    </xf>
    <xf numFmtId="1" fontId="34" fillId="21" borderId="36" xfId="0" applyNumberFormat="1" applyFont="1" applyFill="1" applyBorder="1" applyAlignment="1">
      <alignment horizontal="center" vertical="center"/>
    </xf>
    <xf numFmtId="0" fontId="33" fillId="0" borderId="14" xfId="0" applyFont="1" applyBorder="1" applyAlignment="1">
      <alignment horizontal="center" vertical="center"/>
    </xf>
    <xf numFmtId="1" fontId="34" fillId="0" borderId="13" xfId="0" applyNumberFormat="1" applyFont="1" applyBorder="1" applyAlignment="1">
      <alignment horizontal="center" vertical="center"/>
    </xf>
    <xf numFmtId="1" fontId="34" fillId="0" borderId="15" xfId="0" applyNumberFormat="1" applyFont="1" applyBorder="1" applyAlignment="1">
      <alignment horizontal="center" vertical="center"/>
    </xf>
    <xf numFmtId="1" fontId="34" fillId="21" borderId="14" xfId="0" applyNumberFormat="1" applyFont="1" applyFill="1" applyBorder="1" applyAlignment="1">
      <alignment horizontal="center" vertical="center"/>
    </xf>
    <xf numFmtId="1" fontId="34" fillId="21" borderId="13" xfId="0" applyNumberFormat="1" applyFont="1" applyFill="1" applyBorder="1" applyAlignment="1">
      <alignment horizontal="center" vertical="center"/>
    </xf>
    <xf numFmtId="9" fontId="32" fillId="0" borderId="14" xfId="1" applyFont="1" applyBorder="1" applyAlignment="1">
      <alignment horizontal="center" vertical="center"/>
    </xf>
    <xf numFmtId="1" fontId="20" fillId="0" borderId="0" xfId="0" applyNumberFormat="1" applyFont="1"/>
    <xf numFmtId="0" fontId="33" fillId="10" borderId="4" xfId="0" applyFont="1" applyFill="1" applyBorder="1" applyAlignment="1">
      <alignment horizontal="center" vertical="center"/>
    </xf>
    <xf numFmtId="1" fontId="32" fillId="10" borderId="1" xfId="0" applyNumberFormat="1" applyFont="1" applyFill="1" applyBorder="1" applyAlignment="1">
      <alignment horizontal="center" vertical="center"/>
    </xf>
    <xf numFmtId="1" fontId="32" fillId="10" borderId="2" xfId="0" applyNumberFormat="1" applyFont="1" applyFill="1" applyBorder="1" applyAlignment="1">
      <alignment horizontal="center" vertical="center"/>
    </xf>
    <xf numFmtId="1" fontId="32" fillId="10" borderId="4" xfId="0" applyNumberFormat="1" applyFont="1" applyFill="1" applyBorder="1" applyAlignment="1">
      <alignment horizontal="center" vertical="center"/>
    </xf>
    <xf numFmtId="0" fontId="32" fillId="10" borderId="1" xfId="0" applyFont="1" applyFill="1" applyBorder="1" applyAlignment="1">
      <alignment horizontal="center" vertical="center"/>
    </xf>
    <xf numFmtId="0" fontId="30" fillId="10" borderId="1" xfId="0" applyFont="1" applyFill="1" applyBorder="1" applyAlignment="1">
      <alignment horizontal="center" vertical="center"/>
    </xf>
    <xf numFmtId="9" fontId="32" fillId="10" borderId="4" xfId="1" applyFont="1" applyFill="1" applyBorder="1" applyAlignment="1">
      <alignment horizontal="center" vertical="center"/>
    </xf>
    <xf numFmtId="0" fontId="33" fillId="0" borderId="35" xfId="0" applyFont="1" applyBorder="1" applyAlignment="1">
      <alignment horizontal="center" vertical="center"/>
    </xf>
    <xf numFmtId="1" fontId="34" fillId="0" borderId="39" xfId="0" applyNumberFormat="1" applyFont="1" applyBorder="1" applyAlignment="1">
      <alignment horizontal="center" vertical="center"/>
    </xf>
    <xf numFmtId="1" fontId="34" fillId="0" borderId="58" xfId="0" applyNumberFormat="1" applyFont="1" applyBorder="1" applyAlignment="1">
      <alignment horizontal="center" vertical="center"/>
    </xf>
    <xf numFmtId="1" fontId="34" fillId="21" borderId="35" xfId="0" applyNumberFormat="1" applyFont="1" applyFill="1" applyBorder="1" applyAlignment="1">
      <alignment horizontal="center" vertical="center"/>
    </xf>
    <xf numFmtId="1" fontId="34" fillId="21" borderId="39" xfId="0" applyNumberFormat="1" applyFont="1" applyFill="1" applyBorder="1" applyAlignment="1">
      <alignment horizontal="center" vertical="center"/>
    </xf>
    <xf numFmtId="9" fontId="32" fillId="0" borderId="35" xfId="1" applyFont="1" applyBorder="1" applyAlignment="1">
      <alignment horizontal="center" vertical="center"/>
    </xf>
    <xf numFmtId="9" fontId="20" fillId="0" borderId="0" xfId="1" applyFont="1"/>
    <xf numFmtId="0" fontId="33" fillId="20" borderId="4" xfId="0" applyFont="1" applyFill="1" applyBorder="1" applyAlignment="1">
      <alignment horizontal="center" vertical="center"/>
    </xf>
    <xf numFmtId="1" fontId="32" fillId="20" borderId="1" xfId="0" applyNumberFormat="1" applyFont="1" applyFill="1" applyBorder="1" applyAlignment="1">
      <alignment horizontal="center" vertical="center"/>
    </xf>
    <xf numFmtId="1" fontId="32" fillId="20" borderId="2" xfId="0" applyNumberFormat="1" applyFont="1" applyFill="1" applyBorder="1" applyAlignment="1">
      <alignment horizontal="center" vertical="center"/>
    </xf>
    <xf numFmtId="1" fontId="32" fillId="20" borderId="4" xfId="0" applyNumberFormat="1" applyFont="1" applyFill="1" applyBorder="1" applyAlignment="1">
      <alignment horizontal="center" vertical="center"/>
    </xf>
    <xf numFmtId="1" fontId="30" fillId="20" borderId="1" xfId="0" applyNumberFormat="1" applyFont="1" applyFill="1" applyBorder="1" applyAlignment="1">
      <alignment horizontal="center" vertical="center"/>
    </xf>
    <xf numFmtId="9" fontId="32" fillId="20" borderId="4" xfId="1" applyFont="1" applyFill="1" applyBorder="1" applyAlignment="1">
      <alignment horizontal="center" vertical="center"/>
    </xf>
    <xf numFmtId="1" fontId="33" fillId="5" borderId="7" xfId="0" applyNumberFormat="1" applyFont="1" applyFill="1" applyBorder="1" applyAlignment="1">
      <alignment horizontal="center" vertical="center"/>
    </xf>
    <xf numFmtId="1" fontId="32" fillId="5" borderId="7" xfId="0" applyNumberFormat="1" applyFont="1" applyFill="1" applyBorder="1" applyAlignment="1">
      <alignment horizontal="center" vertical="center"/>
    </xf>
    <xf numFmtId="1" fontId="32" fillId="5" borderId="17" xfId="0" applyNumberFormat="1" applyFont="1" applyFill="1" applyBorder="1" applyAlignment="1">
      <alignment horizontal="center" vertical="center"/>
    </xf>
    <xf numFmtId="1" fontId="32" fillId="3" borderId="6" xfId="0" applyNumberFormat="1" applyFont="1" applyFill="1" applyBorder="1" applyAlignment="1">
      <alignment horizontal="center" vertical="center"/>
    </xf>
    <xf numFmtId="1" fontId="32" fillId="3" borderId="7" xfId="0" applyNumberFormat="1" applyFont="1" applyFill="1" applyBorder="1" applyAlignment="1">
      <alignment horizontal="center" vertical="center"/>
    </xf>
    <xf numFmtId="9" fontId="32" fillId="5" borderId="6" xfId="1" applyFont="1" applyFill="1" applyBorder="1" applyAlignment="1">
      <alignment horizontal="center" vertical="center"/>
    </xf>
    <xf numFmtId="0" fontId="20" fillId="0" borderId="0" xfId="0" applyFont="1" applyAlignment="1">
      <alignment vertical="center"/>
    </xf>
    <xf numFmtId="165" fontId="21" fillId="0" borderId="0" xfId="2" applyNumberFormat="1" applyFont="1" applyBorder="1" applyAlignment="1">
      <alignment horizontal="center" vertical="center"/>
    </xf>
    <xf numFmtId="164" fontId="20" fillId="0" borderId="0" xfId="0" applyNumberFormat="1" applyFont="1"/>
    <xf numFmtId="0" fontId="14" fillId="9" borderId="37" xfId="0" applyFont="1" applyFill="1" applyBorder="1" applyAlignment="1">
      <alignment horizontal="center" vertical="center" wrapText="1"/>
    </xf>
    <xf numFmtId="0" fontId="13" fillId="10" borderId="53" xfId="0" applyNumberFormat="1" applyFont="1" applyFill="1" applyBorder="1" applyAlignment="1">
      <alignment horizontal="center" vertical="center" wrapText="1"/>
    </xf>
    <xf numFmtId="0" fontId="13" fillId="10" borderId="57" xfId="0" applyNumberFormat="1" applyFont="1" applyFill="1" applyBorder="1" applyAlignment="1">
      <alignment horizontal="center" vertical="center"/>
    </xf>
    <xf numFmtId="0" fontId="13" fillId="10" borderId="37" xfId="0" applyNumberFormat="1" applyFont="1" applyFill="1" applyBorder="1" applyAlignment="1">
      <alignment horizontal="center" vertical="center" wrapText="1"/>
    </xf>
    <xf numFmtId="0" fontId="13" fillId="10" borderId="53" xfId="0" applyNumberFormat="1" applyFont="1" applyFill="1" applyBorder="1" applyAlignment="1">
      <alignment horizontal="center" vertical="center"/>
    </xf>
    <xf numFmtId="0" fontId="28" fillId="10" borderId="53" xfId="0" applyNumberFormat="1" applyFont="1" applyFill="1" applyBorder="1" applyAlignment="1">
      <alignment horizontal="center" vertical="center" wrapText="1"/>
    </xf>
    <xf numFmtId="0" fontId="32" fillId="10" borderId="37" xfId="0" applyNumberFormat="1" applyFont="1" applyFill="1" applyBorder="1" applyAlignment="1">
      <alignment horizontal="center" vertical="center" wrapText="1"/>
    </xf>
    <xf numFmtId="0" fontId="33" fillId="9" borderId="37" xfId="0" applyFont="1" applyFill="1" applyBorder="1" applyAlignment="1">
      <alignment horizontal="center" vertical="center" wrapText="1"/>
    </xf>
    <xf numFmtId="0" fontId="32" fillId="10" borderId="53" xfId="0" applyNumberFormat="1" applyFont="1" applyFill="1" applyBorder="1" applyAlignment="1">
      <alignment horizontal="center" vertical="center" wrapText="1"/>
    </xf>
    <xf numFmtId="0" fontId="32" fillId="10" borderId="57" xfId="0" applyNumberFormat="1" applyFont="1" applyFill="1" applyBorder="1" applyAlignment="1">
      <alignment horizontal="center" vertical="center"/>
    </xf>
    <xf numFmtId="0" fontId="32" fillId="10" borderId="53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9" fontId="28" fillId="6" borderId="41" xfId="1" applyFont="1" applyFill="1" applyBorder="1" applyAlignment="1">
      <alignment horizontal="center" vertical="center" wrapText="1"/>
    </xf>
    <xf numFmtId="0" fontId="28" fillId="6" borderId="12" xfId="0" applyNumberFormat="1" applyFont="1" applyFill="1" applyBorder="1" applyAlignment="1">
      <alignment horizontal="center" vertical="center" wrapText="1"/>
    </xf>
    <xf numFmtId="1" fontId="30" fillId="2" borderId="32" xfId="0" applyNumberFormat="1" applyFont="1" applyFill="1" applyBorder="1" applyAlignment="1">
      <alignment horizontal="center" vertical="center"/>
    </xf>
    <xf numFmtId="1" fontId="30" fillId="2" borderId="68" xfId="0" applyNumberFormat="1" applyFont="1" applyFill="1" applyBorder="1" applyAlignment="1">
      <alignment horizontal="center" vertical="center"/>
    </xf>
    <xf numFmtId="1" fontId="30" fillId="2" borderId="48" xfId="0" applyNumberFormat="1" applyFont="1" applyFill="1" applyBorder="1" applyAlignment="1">
      <alignment horizontal="center" vertical="center"/>
    </xf>
    <xf numFmtId="0" fontId="30" fillId="10" borderId="40" xfId="0" applyFont="1" applyFill="1" applyBorder="1" applyAlignment="1">
      <alignment horizontal="center" vertical="center"/>
    </xf>
    <xf numFmtId="1" fontId="30" fillId="2" borderId="59" xfId="0" applyNumberFormat="1" applyFont="1" applyFill="1" applyBorder="1" applyAlignment="1">
      <alignment horizontal="center" vertical="center"/>
    </xf>
    <xf numFmtId="1" fontId="30" fillId="20" borderId="40" xfId="0" applyNumberFormat="1" applyFont="1" applyFill="1" applyBorder="1" applyAlignment="1">
      <alignment horizontal="center" vertical="center"/>
    </xf>
    <xf numFmtId="1" fontId="30" fillId="5" borderId="49" xfId="0" applyNumberFormat="1" applyFont="1" applyFill="1" applyBorder="1" applyAlignment="1">
      <alignment horizontal="center" vertical="center"/>
    </xf>
    <xf numFmtId="9" fontId="30" fillId="2" borderId="36" xfId="1" applyFont="1" applyFill="1" applyBorder="1" applyAlignment="1">
      <alignment horizontal="center" vertical="center"/>
    </xf>
    <xf numFmtId="9" fontId="30" fillId="2" borderId="61" xfId="1" applyFont="1" applyFill="1" applyBorder="1" applyAlignment="1">
      <alignment horizontal="center" vertical="center"/>
    </xf>
    <xf numFmtId="9" fontId="30" fillId="2" borderId="14" xfId="1" applyFont="1" applyFill="1" applyBorder="1" applyAlignment="1">
      <alignment horizontal="center" vertical="center"/>
    </xf>
    <xf numFmtId="9" fontId="30" fillId="10" borderId="4" xfId="1" applyFont="1" applyFill="1" applyBorder="1" applyAlignment="1">
      <alignment horizontal="center" vertical="center"/>
    </xf>
    <xf numFmtId="9" fontId="30" fillId="2" borderId="35" xfId="1" applyFont="1" applyFill="1" applyBorder="1" applyAlignment="1">
      <alignment horizontal="center" vertical="center"/>
    </xf>
    <xf numFmtId="9" fontId="30" fillId="20" borderId="4" xfId="1" applyFont="1" applyFill="1" applyBorder="1" applyAlignment="1">
      <alignment horizontal="center" vertical="center"/>
    </xf>
    <xf numFmtId="9" fontId="30" fillId="5" borderId="6" xfId="1" applyFont="1" applyFill="1" applyBorder="1" applyAlignment="1">
      <alignment horizontal="center" vertical="center"/>
    </xf>
    <xf numFmtId="0" fontId="27" fillId="9" borderId="29" xfId="0" applyFont="1" applyFill="1" applyBorder="1" applyAlignment="1">
      <alignment horizontal="center" vertical="center"/>
    </xf>
    <xf numFmtId="0" fontId="27" fillId="0" borderId="34" xfId="0" applyFont="1" applyBorder="1" applyAlignment="1">
      <alignment horizontal="right" vertical="center"/>
    </xf>
    <xf numFmtId="0" fontId="27" fillId="0" borderId="24" xfId="0" applyFont="1" applyBorder="1" applyAlignment="1">
      <alignment horizontal="right" vertical="center"/>
    </xf>
    <xf numFmtId="0" fontId="27" fillId="10" borderId="24" xfId="0" applyFont="1" applyFill="1" applyBorder="1" applyAlignment="1">
      <alignment horizontal="right" vertical="center"/>
    </xf>
    <xf numFmtId="0" fontId="27" fillId="20" borderId="24" xfId="0" applyFont="1" applyFill="1" applyBorder="1" applyAlignment="1">
      <alignment horizontal="right" vertical="center"/>
    </xf>
    <xf numFmtId="0" fontId="27" fillId="5" borderId="24" xfId="0" applyFont="1" applyFill="1" applyBorder="1" applyAlignment="1">
      <alignment horizontal="right" vertical="center"/>
    </xf>
    <xf numFmtId="0" fontId="22" fillId="0" borderId="0" xfId="0" applyFont="1" applyAlignment="1">
      <alignment vertical="center"/>
    </xf>
    <xf numFmtId="1" fontId="29" fillId="2" borderId="50" xfId="0" applyNumberFormat="1" applyFont="1" applyFill="1" applyBorder="1" applyAlignment="1">
      <alignment horizontal="center" vertical="center"/>
    </xf>
    <xf numFmtId="1" fontId="29" fillId="2" borderId="63" xfId="0" applyNumberFormat="1" applyFont="1" applyFill="1" applyBorder="1" applyAlignment="1">
      <alignment horizontal="center" vertical="center"/>
    </xf>
    <xf numFmtId="1" fontId="29" fillId="2" borderId="13" xfId="0" applyNumberFormat="1" applyFont="1" applyFill="1" applyBorder="1" applyAlignment="1">
      <alignment horizontal="center" vertical="center"/>
    </xf>
    <xf numFmtId="1" fontId="29" fillId="2" borderId="39" xfId="0" applyNumberFormat="1" applyFont="1" applyFill="1" applyBorder="1" applyAlignment="1">
      <alignment horizontal="center" vertical="center"/>
    </xf>
    <xf numFmtId="0" fontId="27" fillId="10" borderId="52" xfId="0" applyFont="1" applyFill="1" applyBorder="1" applyAlignment="1">
      <alignment horizontal="center" vertical="center" wrapText="1"/>
    </xf>
    <xf numFmtId="0" fontId="27" fillId="10" borderId="57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9" fontId="0" fillId="0" borderId="0" xfId="1" applyFont="1" applyAlignment="1">
      <alignment horizontal="center"/>
    </xf>
    <xf numFmtId="165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39" xfId="0" applyBorder="1" applyAlignment="1">
      <alignment horizontal="center"/>
    </xf>
    <xf numFmtId="165" fontId="0" fillId="0" borderId="56" xfId="2" applyNumberFormat="1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3" xfId="0" applyFill="1" applyBorder="1" applyAlignment="1">
      <alignment horizontal="center"/>
    </xf>
    <xf numFmtId="165" fontId="0" fillId="0" borderId="16" xfId="2" applyNumberFormat="1" applyFont="1" applyBorder="1" applyAlignment="1">
      <alignment horizontal="center"/>
    </xf>
    <xf numFmtId="0" fontId="7" fillId="0" borderId="44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165" fontId="7" fillId="0" borderId="43" xfId="2" applyNumberFormat="1" applyFont="1" applyBorder="1" applyAlignment="1">
      <alignment horizontal="center" vertical="center" wrapText="1"/>
    </xf>
    <xf numFmtId="9" fontId="7" fillId="0" borderId="43" xfId="1" applyFont="1" applyFill="1" applyBorder="1" applyAlignment="1">
      <alignment horizontal="center" vertical="center" wrapText="1"/>
    </xf>
    <xf numFmtId="0" fontId="5" fillId="3" borderId="41" xfId="0" applyFont="1" applyFill="1" applyBorder="1" applyAlignment="1">
      <alignment horizontal="center" vertical="center"/>
    </xf>
    <xf numFmtId="0" fontId="5" fillId="3" borderId="45" xfId="0" applyFont="1" applyFill="1" applyBorder="1" applyAlignment="1">
      <alignment horizontal="center" vertical="center"/>
    </xf>
    <xf numFmtId="165" fontId="5" fillId="3" borderId="43" xfId="2" applyNumberFormat="1" applyFont="1" applyFill="1" applyBorder="1" applyAlignment="1">
      <alignment horizontal="center" vertical="center"/>
    </xf>
    <xf numFmtId="9" fontId="36" fillId="3" borderId="44" xfId="1" applyNumberFormat="1" applyFont="1" applyFill="1" applyBorder="1" applyAlignment="1">
      <alignment horizontal="center" vertical="center"/>
    </xf>
    <xf numFmtId="9" fontId="36" fillId="3" borderId="45" xfId="1" applyFont="1" applyFill="1" applyBorder="1" applyAlignment="1">
      <alignment horizontal="center" vertical="center"/>
    </xf>
    <xf numFmtId="165" fontId="36" fillId="3" borderId="12" xfId="2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7" fillId="0" borderId="14" xfId="2" applyNumberFormat="1" applyFont="1" applyBorder="1" applyAlignment="1">
      <alignment horizontal="center"/>
    </xf>
    <xf numFmtId="9" fontId="38" fillId="0" borderId="23" xfId="1" applyFont="1" applyBorder="1" applyAlignment="1">
      <alignment horizontal="center"/>
    </xf>
    <xf numFmtId="9" fontId="37" fillId="0" borderId="13" xfId="1" applyFont="1" applyBorder="1" applyAlignment="1">
      <alignment horizontal="center"/>
    </xf>
    <xf numFmtId="165" fontId="37" fillId="0" borderId="48" xfId="2" applyNumberFormat="1" applyFont="1" applyBorder="1" applyAlignment="1">
      <alignment horizontal="center"/>
    </xf>
    <xf numFmtId="1" fontId="37" fillId="0" borderId="4" xfId="2" applyNumberFormat="1" applyFont="1" applyBorder="1" applyAlignment="1">
      <alignment horizontal="center"/>
    </xf>
    <xf numFmtId="9" fontId="38" fillId="0" borderId="3" xfId="1" applyFont="1" applyBorder="1" applyAlignment="1">
      <alignment horizontal="center"/>
    </xf>
    <xf numFmtId="9" fontId="37" fillId="0" borderId="1" xfId="1" applyFont="1" applyBorder="1" applyAlignment="1">
      <alignment horizontal="center"/>
    </xf>
    <xf numFmtId="165" fontId="37" fillId="0" borderId="40" xfId="2" applyNumberFormat="1" applyFont="1" applyBorder="1" applyAlignment="1">
      <alignment horizontal="center"/>
    </xf>
    <xf numFmtId="1" fontId="37" fillId="0" borderId="35" xfId="2" applyNumberFormat="1" applyFont="1" applyBorder="1" applyAlignment="1">
      <alignment horizontal="center"/>
    </xf>
    <xf numFmtId="9" fontId="38" fillId="0" borderId="69" xfId="1" applyFont="1" applyBorder="1" applyAlignment="1">
      <alignment horizontal="center"/>
    </xf>
    <xf numFmtId="9" fontId="37" fillId="0" borderId="39" xfId="1" applyFont="1" applyBorder="1" applyAlignment="1">
      <alignment horizontal="center"/>
    </xf>
    <xf numFmtId="165" fontId="37" fillId="0" borderId="59" xfId="2" applyNumberFormat="1" applyFont="1" applyBorder="1" applyAlignment="1">
      <alignment horizontal="center"/>
    </xf>
    <xf numFmtId="164" fontId="0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34" xfId="0" applyFont="1" applyBorder="1" applyAlignment="1">
      <alignment horizontal="right" vertical="center"/>
    </xf>
    <xf numFmtId="0" fontId="39" fillId="0" borderId="36" xfId="0" applyFont="1" applyBorder="1" applyAlignment="1">
      <alignment horizontal="center" vertical="center"/>
    </xf>
    <xf numFmtId="1" fontId="41" fillId="0" borderId="50" xfId="0" applyNumberFormat="1" applyFont="1" applyBorder="1" applyAlignment="1">
      <alignment horizontal="center" vertical="center"/>
    </xf>
    <xf numFmtId="1" fontId="41" fillId="0" borderId="64" xfId="0" applyNumberFormat="1" applyFont="1" applyBorder="1" applyAlignment="1">
      <alignment horizontal="center" vertical="center"/>
    </xf>
    <xf numFmtId="1" fontId="41" fillId="21" borderId="36" xfId="0" applyNumberFormat="1" applyFont="1" applyFill="1" applyBorder="1" applyAlignment="1">
      <alignment horizontal="center" vertical="center" wrapText="1"/>
    </xf>
    <xf numFmtId="1" fontId="41" fillId="21" borderId="50" xfId="0" applyNumberFormat="1" applyFont="1" applyFill="1" applyBorder="1" applyAlignment="1">
      <alignment horizontal="center" vertical="center"/>
    </xf>
    <xf numFmtId="9" fontId="17" fillId="0" borderId="36" xfId="1" applyFont="1" applyBorder="1" applyAlignment="1">
      <alignment horizontal="center" vertical="center"/>
    </xf>
    <xf numFmtId="0" fontId="17" fillId="0" borderId="24" xfId="0" applyFont="1" applyBorder="1" applyAlignment="1">
      <alignment horizontal="right" vertical="center"/>
    </xf>
    <xf numFmtId="0" fontId="39" fillId="0" borderId="61" xfId="0" applyFont="1" applyBorder="1" applyAlignment="1">
      <alignment horizontal="center" vertical="center"/>
    </xf>
    <xf numFmtId="1" fontId="41" fillId="0" borderId="63" xfId="0" applyNumberFormat="1" applyFont="1" applyBorder="1" applyAlignment="1">
      <alignment horizontal="center" vertical="center"/>
    </xf>
    <xf numFmtId="1" fontId="41" fillId="0" borderId="65" xfId="0" applyNumberFormat="1" applyFont="1" applyBorder="1" applyAlignment="1">
      <alignment horizontal="center" vertical="center"/>
    </xf>
    <xf numFmtId="1" fontId="41" fillId="21" borderId="61" xfId="0" applyNumberFormat="1" applyFont="1" applyFill="1" applyBorder="1" applyAlignment="1">
      <alignment horizontal="center" vertical="center"/>
    </xf>
    <xf numFmtId="1" fontId="41" fillId="21" borderId="63" xfId="0" applyNumberFormat="1" applyFont="1" applyFill="1" applyBorder="1" applyAlignment="1">
      <alignment horizontal="center" vertical="center"/>
    </xf>
    <xf numFmtId="9" fontId="17" fillId="0" borderId="61" xfId="1" applyFont="1" applyBorder="1" applyAlignment="1">
      <alignment horizontal="center" vertical="center"/>
    </xf>
    <xf numFmtId="1" fontId="41" fillId="21" borderId="36" xfId="0" applyNumberFormat="1" applyFont="1" applyFill="1" applyBorder="1" applyAlignment="1">
      <alignment horizontal="center" vertical="center"/>
    </xf>
    <xf numFmtId="0" fontId="39" fillId="0" borderId="14" xfId="0" applyFont="1" applyBorder="1" applyAlignment="1">
      <alignment horizontal="center" vertical="center"/>
    </xf>
    <xf numFmtId="1" fontId="41" fillId="0" borderId="13" xfId="0" applyNumberFormat="1" applyFont="1" applyBorder="1" applyAlignment="1">
      <alignment horizontal="center" vertical="center"/>
    </xf>
    <xf numFmtId="1" fontId="41" fillId="0" borderId="15" xfId="0" applyNumberFormat="1" applyFont="1" applyBorder="1" applyAlignment="1">
      <alignment horizontal="center" vertical="center"/>
    </xf>
    <xf numFmtId="1" fontId="41" fillId="21" borderId="14" xfId="0" applyNumberFormat="1" applyFont="1" applyFill="1" applyBorder="1" applyAlignment="1">
      <alignment horizontal="center" vertical="center"/>
    </xf>
    <xf numFmtId="1" fontId="41" fillId="21" borderId="13" xfId="0" applyNumberFormat="1" applyFont="1" applyFill="1" applyBorder="1" applyAlignment="1">
      <alignment horizontal="center" vertical="center"/>
    </xf>
    <xf numFmtId="9" fontId="17" fillId="0" borderId="14" xfId="1" applyFont="1" applyBorder="1" applyAlignment="1">
      <alignment horizontal="center" vertical="center"/>
    </xf>
    <xf numFmtId="0" fontId="17" fillId="10" borderId="24" xfId="0" applyFont="1" applyFill="1" applyBorder="1" applyAlignment="1">
      <alignment horizontal="right" vertical="center"/>
    </xf>
    <xf numFmtId="0" fontId="39" fillId="10" borderId="4" xfId="0" applyFont="1" applyFill="1" applyBorder="1" applyAlignment="1">
      <alignment horizontal="center" vertical="center"/>
    </xf>
    <xf numFmtId="1" fontId="17" fillId="10" borderId="2" xfId="0" applyNumberFormat="1" applyFont="1" applyFill="1" applyBorder="1" applyAlignment="1">
      <alignment horizontal="center" vertical="center"/>
    </xf>
    <xf numFmtId="1" fontId="17" fillId="10" borderId="4" xfId="0" applyNumberFormat="1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 vertical="center"/>
    </xf>
    <xf numFmtId="0" fontId="39" fillId="0" borderId="35" xfId="0" applyFont="1" applyBorder="1" applyAlignment="1">
      <alignment horizontal="center" vertical="center"/>
    </xf>
    <xf numFmtId="1" fontId="41" fillId="0" borderId="39" xfId="0" applyNumberFormat="1" applyFont="1" applyBorder="1" applyAlignment="1">
      <alignment horizontal="center" vertical="center"/>
    </xf>
    <xf numFmtId="1" fontId="41" fillId="0" borderId="58" xfId="0" applyNumberFormat="1" applyFont="1" applyBorder="1" applyAlignment="1">
      <alignment horizontal="center" vertical="center"/>
    </xf>
    <xf numFmtId="1" fontId="41" fillId="21" borderId="35" xfId="0" applyNumberFormat="1" applyFont="1" applyFill="1" applyBorder="1" applyAlignment="1">
      <alignment horizontal="center" vertical="center"/>
    </xf>
    <xf numFmtId="1" fontId="41" fillId="21" borderId="39" xfId="0" applyNumberFormat="1" applyFont="1" applyFill="1" applyBorder="1" applyAlignment="1">
      <alignment horizontal="center" vertical="center"/>
    </xf>
    <xf numFmtId="9" fontId="17" fillId="0" borderId="35" xfId="1" applyFont="1" applyBorder="1" applyAlignment="1">
      <alignment horizontal="center" vertical="center"/>
    </xf>
    <xf numFmtId="0" fontId="17" fillId="20" borderId="24" xfId="0" applyFont="1" applyFill="1" applyBorder="1" applyAlignment="1">
      <alignment horizontal="right" vertical="center"/>
    </xf>
    <xf numFmtId="0" fontId="39" fillId="20" borderId="4" xfId="0" applyFont="1" applyFill="1" applyBorder="1" applyAlignment="1">
      <alignment horizontal="center" vertical="center"/>
    </xf>
    <xf numFmtId="1" fontId="17" fillId="20" borderId="2" xfId="0" applyNumberFormat="1" applyFont="1" applyFill="1" applyBorder="1" applyAlignment="1">
      <alignment horizontal="center" vertical="center"/>
    </xf>
    <xf numFmtId="1" fontId="17" fillId="20" borderId="4" xfId="0" applyNumberFormat="1" applyFont="1" applyFill="1" applyBorder="1" applyAlignment="1">
      <alignment horizontal="center" vertical="center"/>
    </xf>
    <xf numFmtId="1" fontId="40" fillId="20" borderId="1" xfId="0" applyNumberFormat="1" applyFont="1" applyFill="1" applyBorder="1" applyAlignment="1">
      <alignment horizontal="center" vertical="center"/>
    </xf>
    <xf numFmtId="1" fontId="39" fillId="5" borderId="7" xfId="0" applyNumberFormat="1" applyFont="1" applyFill="1" applyBorder="1" applyAlignment="1">
      <alignment horizontal="center" vertical="center"/>
    </xf>
    <xf numFmtId="1" fontId="17" fillId="5" borderId="7" xfId="0" applyNumberFormat="1" applyFont="1" applyFill="1" applyBorder="1" applyAlignment="1">
      <alignment horizontal="center" vertical="center"/>
    </xf>
    <xf numFmtId="1" fontId="17" fillId="5" borderId="17" xfId="0" applyNumberFormat="1" applyFont="1" applyFill="1" applyBorder="1" applyAlignment="1">
      <alignment horizontal="center" vertical="center"/>
    </xf>
    <xf numFmtId="1" fontId="17" fillId="3" borderId="6" xfId="0" applyNumberFormat="1" applyFont="1" applyFill="1" applyBorder="1" applyAlignment="1">
      <alignment horizontal="center" vertical="center"/>
    </xf>
    <xf numFmtId="1" fontId="17" fillId="3" borderId="7" xfId="0" applyNumberFormat="1" applyFont="1" applyFill="1" applyBorder="1" applyAlignment="1">
      <alignment horizontal="center" vertical="center"/>
    </xf>
    <xf numFmtId="1" fontId="40" fillId="5" borderId="7" xfId="0" applyNumberFormat="1" applyFont="1" applyFill="1" applyBorder="1" applyAlignment="1">
      <alignment horizontal="center" vertical="center"/>
    </xf>
    <xf numFmtId="9" fontId="17" fillId="5" borderId="6" xfId="1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9" fontId="16" fillId="0" borderId="0" xfId="1" applyFont="1"/>
    <xf numFmtId="165" fontId="16" fillId="0" borderId="0" xfId="2" applyNumberFormat="1" applyFont="1"/>
    <xf numFmtId="0" fontId="17" fillId="9" borderId="10" xfId="0" applyFont="1" applyFill="1" applyBorder="1" applyAlignment="1">
      <alignment horizontal="center" vertical="center"/>
    </xf>
    <xf numFmtId="0" fontId="39" fillId="9" borderId="41" xfId="0" applyFont="1" applyFill="1" applyBorder="1" applyAlignment="1">
      <alignment horizontal="center" vertical="center" wrapText="1"/>
    </xf>
    <xf numFmtId="0" fontId="17" fillId="10" borderId="45" xfId="0" applyNumberFormat="1" applyFont="1" applyFill="1" applyBorder="1" applyAlignment="1">
      <alignment horizontal="center" vertical="center" wrapText="1"/>
    </xf>
    <xf numFmtId="0" fontId="17" fillId="10" borderId="42" xfId="0" applyNumberFormat="1" applyFont="1" applyFill="1" applyBorder="1" applyAlignment="1">
      <alignment horizontal="center" vertical="center"/>
    </xf>
    <xf numFmtId="0" fontId="40" fillId="10" borderId="45" xfId="0" applyNumberFormat="1" applyFont="1" applyFill="1" applyBorder="1" applyAlignment="1">
      <alignment horizontal="center" vertical="center" wrapText="1"/>
    </xf>
    <xf numFmtId="0" fontId="17" fillId="10" borderId="42" xfId="0" applyNumberFormat="1" applyFont="1" applyFill="1" applyBorder="1" applyAlignment="1">
      <alignment horizontal="center" vertical="center" wrapText="1"/>
    </xf>
    <xf numFmtId="9" fontId="17" fillId="10" borderId="42" xfId="1" applyFont="1" applyFill="1" applyBorder="1" applyAlignment="1">
      <alignment horizontal="center" vertical="center"/>
    </xf>
    <xf numFmtId="9" fontId="40" fillId="10" borderId="45" xfId="1" applyFont="1" applyFill="1" applyBorder="1" applyAlignment="1">
      <alignment horizontal="center" vertical="center" wrapText="1"/>
    </xf>
    <xf numFmtId="165" fontId="40" fillId="10" borderId="45" xfId="2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vertical="center"/>
    </xf>
    <xf numFmtId="1" fontId="40" fillId="2" borderId="50" xfId="0" applyNumberFormat="1" applyFont="1" applyFill="1" applyBorder="1" applyAlignment="1">
      <alignment horizontal="center" vertical="center"/>
    </xf>
    <xf numFmtId="9" fontId="41" fillId="0" borderId="64" xfId="1" applyFont="1" applyBorder="1" applyAlignment="1">
      <alignment horizontal="center" vertical="center"/>
    </xf>
    <xf numFmtId="9" fontId="40" fillId="13" borderId="50" xfId="1" applyFont="1" applyFill="1" applyBorder="1" applyAlignment="1">
      <alignment horizontal="center" vertical="center"/>
    </xf>
    <xf numFmtId="165" fontId="40" fillId="13" borderId="50" xfId="2" applyNumberFormat="1" applyFont="1" applyFill="1" applyBorder="1" applyAlignment="1">
      <alignment horizontal="center" vertical="center"/>
    </xf>
    <xf numFmtId="9" fontId="41" fillId="0" borderId="65" xfId="1" applyFont="1" applyBorder="1" applyAlignment="1">
      <alignment horizontal="center" vertical="center"/>
    </xf>
    <xf numFmtId="9" fontId="40" fillId="13" borderId="63" xfId="1" applyFont="1" applyFill="1" applyBorder="1" applyAlignment="1">
      <alignment horizontal="center" vertical="center"/>
    </xf>
    <xf numFmtId="165" fontId="40" fillId="13" borderId="63" xfId="2" applyNumberFormat="1" applyFont="1" applyFill="1" applyBorder="1" applyAlignment="1">
      <alignment horizontal="center" vertical="center"/>
    </xf>
    <xf numFmtId="9" fontId="41" fillId="0" borderId="15" xfId="1" applyFont="1" applyBorder="1" applyAlignment="1">
      <alignment horizontal="center" vertical="center"/>
    </xf>
    <xf numFmtId="165" fontId="40" fillId="13" borderId="13" xfId="2" applyNumberFormat="1" applyFont="1" applyFill="1" applyBorder="1" applyAlignment="1">
      <alignment horizontal="center" vertical="center"/>
    </xf>
    <xf numFmtId="9" fontId="17" fillId="10" borderId="2" xfId="1" applyFont="1" applyFill="1" applyBorder="1" applyAlignment="1">
      <alignment horizontal="center" vertical="center"/>
    </xf>
    <xf numFmtId="9" fontId="40" fillId="10" borderId="1" xfId="1" applyFont="1" applyFill="1" applyBorder="1" applyAlignment="1">
      <alignment horizontal="center" vertical="center"/>
    </xf>
    <xf numFmtId="165" fontId="40" fillId="10" borderId="1" xfId="2" applyNumberFormat="1" applyFont="1" applyFill="1" applyBorder="1" applyAlignment="1">
      <alignment horizontal="center" vertical="center"/>
    </xf>
    <xf numFmtId="1" fontId="40" fillId="2" borderId="39" xfId="0" applyNumberFormat="1" applyFont="1" applyFill="1" applyBorder="1" applyAlignment="1">
      <alignment horizontal="center" vertical="center"/>
    </xf>
    <xf numFmtId="9" fontId="41" fillId="0" borderId="58" xfId="1" applyFont="1" applyBorder="1" applyAlignment="1">
      <alignment horizontal="center" vertical="center"/>
    </xf>
    <xf numFmtId="9" fontId="40" fillId="13" borderId="39" xfId="1" applyFont="1" applyFill="1" applyBorder="1" applyAlignment="1">
      <alignment horizontal="center" vertical="center"/>
    </xf>
    <xf numFmtId="165" fontId="40" fillId="13" borderId="39" xfId="2" applyNumberFormat="1" applyFont="1" applyFill="1" applyBorder="1" applyAlignment="1">
      <alignment horizontal="center" vertical="center"/>
    </xf>
    <xf numFmtId="9" fontId="40" fillId="13" borderId="13" xfId="1" applyFont="1" applyFill="1" applyBorder="1" applyAlignment="1">
      <alignment horizontal="center" vertical="center"/>
    </xf>
    <xf numFmtId="9" fontId="17" fillId="20" borderId="2" xfId="1" applyFont="1" applyFill="1" applyBorder="1" applyAlignment="1">
      <alignment horizontal="center" vertical="center"/>
    </xf>
    <xf numFmtId="9" fontId="40" fillId="20" borderId="1" xfId="1" applyFont="1" applyFill="1" applyBorder="1" applyAlignment="1">
      <alignment horizontal="center" vertical="center"/>
    </xf>
    <xf numFmtId="165" fontId="40" fillId="20" borderId="1" xfId="2" applyNumberFormat="1" applyFont="1" applyFill="1" applyBorder="1" applyAlignment="1">
      <alignment horizontal="center" vertical="center"/>
    </xf>
    <xf numFmtId="0" fontId="17" fillId="5" borderId="24" xfId="0" applyFont="1" applyFill="1" applyBorder="1" applyAlignment="1">
      <alignment horizontal="right" vertical="center"/>
    </xf>
    <xf numFmtId="9" fontId="17" fillId="5" borderId="17" xfId="1" applyFont="1" applyFill="1" applyBorder="1" applyAlignment="1">
      <alignment horizontal="center" vertical="center"/>
    </xf>
    <xf numFmtId="9" fontId="40" fillId="5" borderId="7" xfId="1" applyFont="1" applyFill="1" applyBorder="1" applyAlignment="1">
      <alignment horizontal="center" vertical="center"/>
    </xf>
    <xf numFmtId="165" fontId="40" fillId="5" borderId="7" xfId="2" applyNumberFormat="1" applyFont="1" applyFill="1" applyBorder="1" applyAlignment="1">
      <alignment horizontal="center" vertical="center"/>
    </xf>
    <xf numFmtId="165" fontId="18" fillId="0" borderId="0" xfId="2" applyNumberFormat="1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9" fontId="16" fillId="0" borderId="0" xfId="1" applyFont="1" applyAlignment="1">
      <alignment vertical="center"/>
    </xf>
    <xf numFmtId="9" fontId="18" fillId="0" borderId="0" xfId="1" applyFont="1" applyBorder="1" applyAlignment="1">
      <alignment horizontal="center" vertical="center"/>
    </xf>
    <xf numFmtId="165" fontId="16" fillId="0" borderId="0" xfId="2" applyNumberFormat="1" applyFont="1" applyAlignment="1">
      <alignment vertical="center"/>
    </xf>
    <xf numFmtId="164" fontId="16" fillId="0" borderId="0" xfId="0" applyNumberFormat="1" applyFont="1"/>
    <xf numFmtId="0" fontId="7" fillId="0" borderId="41" xfId="1" applyNumberFormat="1" applyFont="1" applyFill="1" applyBorder="1" applyAlignment="1">
      <alignment horizontal="center" vertical="center" wrapText="1"/>
    </xf>
    <xf numFmtId="0" fontId="7" fillId="0" borderId="44" xfId="1" applyNumberFormat="1" applyFont="1" applyFill="1" applyBorder="1" applyAlignment="1">
      <alignment horizontal="center" vertical="center" wrapText="1"/>
    </xf>
    <xf numFmtId="9" fontId="7" fillId="0" borderId="45" xfId="1" applyFont="1" applyFill="1" applyBorder="1" applyAlignment="1">
      <alignment horizontal="center" vertical="center" wrapText="1"/>
    </xf>
    <xf numFmtId="9" fontId="7" fillId="0" borderId="12" xfId="1" applyFont="1" applyFill="1" applyBorder="1" applyAlignment="1">
      <alignment horizontal="center" vertical="center" wrapText="1"/>
    </xf>
    <xf numFmtId="9" fontId="7" fillId="0" borderId="11" xfId="1" applyFont="1" applyFill="1" applyBorder="1" applyAlignment="1">
      <alignment horizontal="center" vertical="center" wrapText="1"/>
    </xf>
    <xf numFmtId="0" fontId="43" fillId="9" borderId="0" xfId="0" applyFont="1" applyFill="1" applyAlignment="1">
      <alignment horizontal="center"/>
    </xf>
    <xf numFmtId="0" fontId="44" fillId="0" borderId="0" xfId="0" applyFont="1" applyAlignment="1">
      <alignment horizontal="center"/>
    </xf>
    <xf numFmtId="0" fontId="7" fillId="0" borderId="10" xfId="0" applyFont="1" applyBorder="1" applyAlignment="1">
      <alignment horizontal="center" vertical="center" wrapText="1"/>
    </xf>
    <xf numFmtId="0" fontId="7" fillId="0" borderId="4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9" fontId="7" fillId="0" borderId="5" xfId="1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/>
    </xf>
    <xf numFmtId="0" fontId="0" fillId="0" borderId="14" xfId="0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9" fontId="0" fillId="0" borderId="1" xfId="1" applyFont="1" applyBorder="1" applyAlignment="1">
      <alignment horizontal="center"/>
    </xf>
    <xf numFmtId="165" fontId="0" fillId="0" borderId="1" xfId="2" applyNumberFormat="1" applyFont="1" applyBorder="1" applyAlignment="1">
      <alignment horizontal="center"/>
    </xf>
    <xf numFmtId="1" fontId="37" fillId="0" borderId="23" xfId="2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0" fillId="0" borderId="4" xfId="0" applyBorder="1" applyAlignment="1">
      <alignment horizontal="center"/>
    </xf>
    <xf numFmtId="1" fontId="37" fillId="0" borderId="3" xfId="2" applyNumberFormat="1" applyFont="1" applyBorder="1" applyAlignment="1">
      <alignment horizontal="center"/>
    </xf>
    <xf numFmtId="0" fontId="7" fillId="0" borderId="58" xfId="0" applyFont="1" applyBorder="1" applyAlignment="1">
      <alignment horizontal="center"/>
    </xf>
    <xf numFmtId="0" fontId="0" fillId="0" borderId="35" xfId="0" applyBorder="1" applyAlignment="1">
      <alignment horizontal="center"/>
    </xf>
    <xf numFmtId="1" fontId="37" fillId="0" borderId="69" xfId="2" applyNumberFormat="1" applyFont="1" applyBorder="1" applyAlignment="1">
      <alignment horizontal="center"/>
    </xf>
    <xf numFmtId="0" fontId="5" fillId="3" borderId="10" xfId="0" applyFont="1" applyFill="1" applyBorder="1" applyAlignment="1">
      <alignment horizontal="center" vertical="center"/>
    </xf>
    <xf numFmtId="0" fontId="5" fillId="5" borderId="45" xfId="0" applyFont="1" applyFill="1" applyBorder="1" applyAlignment="1">
      <alignment horizontal="center" vertical="center"/>
    </xf>
    <xf numFmtId="1" fontId="5" fillId="3" borderId="6" xfId="0" applyNumberFormat="1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1" fontId="36" fillId="5" borderId="44" xfId="2" applyNumberFormat="1" applyFont="1" applyFill="1" applyBorder="1" applyAlignment="1">
      <alignment horizontal="center" vertical="center"/>
    </xf>
    <xf numFmtId="1" fontId="36" fillId="5" borderId="41" xfId="2" applyNumberFormat="1" applyFont="1" applyFill="1" applyBorder="1" applyAlignment="1">
      <alignment horizontal="center" vertical="center"/>
    </xf>
    <xf numFmtId="0" fontId="36" fillId="3" borderId="45" xfId="1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9" fontId="5" fillId="3" borderId="45" xfId="1" applyFont="1" applyFill="1" applyBorder="1" applyAlignment="1">
      <alignment horizontal="center" vertical="center"/>
    </xf>
    <xf numFmtId="9" fontId="0" fillId="0" borderId="39" xfId="1" applyFont="1" applyBorder="1" applyAlignment="1">
      <alignment horizontal="center"/>
    </xf>
    <xf numFmtId="9" fontId="0" fillId="0" borderId="13" xfId="1" applyFont="1" applyBorder="1" applyAlignment="1">
      <alignment horizontal="center"/>
    </xf>
    <xf numFmtId="9" fontId="7" fillId="0" borderId="45" xfId="1" applyFont="1" applyBorder="1" applyAlignment="1">
      <alignment horizontal="center" vertical="center" wrapText="1"/>
    </xf>
    <xf numFmtId="9" fontId="7" fillId="0" borderId="1" xfId="1" applyFont="1" applyFill="1" applyBorder="1" applyAlignment="1">
      <alignment horizontal="center" vertical="center" wrapText="1"/>
    </xf>
    <xf numFmtId="9" fontId="38" fillId="0" borderId="1" xfId="1" applyFont="1" applyBorder="1" applyAlignment="1">
      <alignment horizontal="center"/>
    </xf>
    <xf numFmtId="1" fontId="0" fillId="0" borderId="39" xfId="0" applyNumberFormat="1" applyBorder="1" applyAlignment="1">
      <alignment horizontal="center"/>
    </xf>
    <xf numFmtId="9" fontId="38" fillId="0" borderId="39" xfId="1" applyFon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9" fontId="38" fillId="0" borderId="13" xfId="1" applyFont="1" applyBorder="1" applyAlignment="1">
      <alignment horizontal="center"/>
    </xf>
    <xf numFmtId="9" fontId="5" fillId="3" borderId="45" xfId="0" applyNumberFormat="1" applyFont="1" applyFill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9" xfId="0" applyBorder="1" applyAlignment="1">
      <alignment horizontal="center"/>
    </xf>
    <xf numFmtId="0" fontId="5" fillId="3" borderId="44" xfId="0" applyFont="1" applyFill="1" applyBorder="1" applyAlignment="1">
      <alignment horizontal="center" vertical="center"/>
    </xf>
    <xf numFmtId="1" fontId="0" fillId="0" borderId="14" xfId="0" applyNumberFormat="1" applyBorder="1" applyAlignment="1">
      <alignment horizontal="center"/>
    </xf>
    <xf numFmtId="165" fontId="7" fillId="0" borderId="5" xfId="2" applyNumberFormat="1" applyFont="1" applyBorder="1" applyAlignment="1">
      <alignment horizontal="center" vertical="center" wrapText="1"/>
    </xf>
    <xf numFmtId="165" fontId="36" fillId="3" borderId="28" xfId="2" applyNumberFormat="1" applyFont="1" applyFill="1" applyBorder="1" applyAlignment="1">
      <alignment horizontal="center" vertical="center"/>
    </xf>
    <xf numFmtId="165" fontId="0" fillId="22" borderId="3" xfId="2" applyNumberFormat="1" applyFont="1" applyFill="1" applyBorder="1" applyAlignment="1">
      <alignment horizontal="center"/>
    </xf>
    <xf numFmtId="165" fontId="0" fillId="0" borderId="3" xfId="2" applyNumberFormat="1" applyFont="1" applyBorder="1" applyAlignment="1">
      <alignment horizontal="center"/>
    </xf>
    <xf numFmtId="165" fontId="0" fillId="0" borderId="13" xfId="2" applyNumberFormat="1" applyFont="1" applyBorder="1" applyAlignment="1">
      <alignment horizontal="center"/>
    </xf>
    <xf numFmtId="165" fontId="0" fillId="22" borderId="5" xfId="2" applyNumberFormat="1" applyFont="1" applyFill="1" applyBorder="1" applyAlignment="1">
      <alignment horizontal="center"/>
    </xf>
    <xf numFmtId="165" fontId="0" fillId="22" borderId="23" xfId="2" applyNumberFormat="1" applyFont="1" applyFill="1" applyBorder="1" applyAlignment="1">
      <alignment horizontal="center"/>
    </xf>
    <xf numFmtId="165" fontId="0" fillId="3" borderId="15" xfId="0" applyNumberFormat="1" applyFill="1" applyBorder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165" fontId="0" fillId="22" borderId="48" xfId="2" applyNumberFormat="1" applyFont="1" applyFill="1" applyBorder="1" applyAlignment="1">
      <alignment horizontal="center"/>
    </xf>
    <xf numFmtId="165" fontId="0" fillId="0" borderId="40" xfId="2" applyNumberFormat="1" applyFont="1" applyBorder="1" applyAlignment="1">
      <alignment horizontal="center"/>
    </xf>
    <xf numFmtId="165" fontId="0" fillId="22" borderId="40" xfId="2" applyNumberFormat="1" applyFont="1" applyFill="1" applyBorder="1" applyAlignment="1">
      <alignment horizontal="center"/>
    </xf>
    <xf numFmtId="0" fontId="7" fillId="0" borderId="1" xfId="1" applyNumberFormat="1" applyFont="1" applyFill="1" applyBorder="1" applyAlignment="1">
      <alignment horizontal="center" vertical="center" wrapText="1"/>
    </xf>
    <xf numFmtId="1" fontId="37" fillId="0" borderId="1" xfId="2" applyNumberFormat="1" applyFont="1" applyBorder="1" applyAlignment="1">
      <alignment horizontal="center"/>
    </xf>
    <xf numFmtId="0" fontId="37" fillId="0" borderId="1" xfId="1" applyNumberFormat="1" applyFont="1" applyBorder="1" applyAlignment="1">
      <alignment horizontal="center"/>
    </xf>
    <xf numFmtId="166" fontId="37" fillId="22" borderId="1" xfId="2" applyNumberFormat="1" applyFont="1" applyFill="1" applyBorder="1" applyAlignment="1">
      <alignment horizontal="center"/>
    </xf>
    <xf numFmtId="166" fontId="37" fillId="0" borderId="1" xfId="2" applyNumberFormat="1" applyFont="1" applyBorder="1" applyAlignment="1">
      <alignment horizontal="center"/>
    </xf>
    <xf numFmtId="165" fontId="37" fillId="0" borderId="5" xfId="2" applyNumberFormat="1" applyFont="1" applyBorder="1" applyAlignment="1">
      <alignment horizontal="center"/>
    </xf>
    <xf numFmtId="1" fontId="37" fillId="0" borderId="39" xfId="2" applyNumberFormat="1" applyFont="1" applyBorder="1" applyAlignment="1">
      <alignment horizontal="center"/>
    </xf>
    <xf numFmtId="165" fontId="37" fillId="0" borderId="56" xfId="2" applyNumberFormat="1" applyFont="1" applyBorder="1" applyAlignment="1">
      <alignment horizontal="center"/>
    </xf>
    <xf numFmtId="0" fontId="37" fillId="0" borderId="39" xfId="1" applyNumberFormat="1" applyFont="1" applyBorder="1" applyAlignment="1">
      <alignment horizontal="center"/>
    </xf>
    <xf numFmtId="166" fontId="37" fillId="0" borderId="39" xfId="2" applyNumberFormat="1" applyFont="1" applyBorder="1" applyAlignment="1">
      <alignment horizontal="center"/>
    </xf>
    <xf numFmtId="165" fontId="0" fillId="0" borderId="59" xfId="2" applyNumberFormat="1" applyFont="1" applyBorder="1" applyAlignment="1">
      <alignment horizontal="center"/>
    </xf>
    <xf numFmtId="165" fontId="0" fillId="0" borderId="69" xfId="2" applyNumberFormat="1" applyFont="1" applyBorder="1" applyAlignment="1">
      <alignment horizontal="center"/>
    </xf>
    <xf numFmtId="1" fontId="36" fillId="5" borderId="45" xfId="2" applyNumberFormat="1" applyFont="1" applyFill="1" applyBorder="1" applyAlignment="1">
      <alignment horizontal="center" vertical="center"/>
    </xf>
    <xf numFmtId="9" fontId="36" fillId="3" borderId="45" xfId="1" applyNumberFormat="1" applyFont="1" applyFill="1" applyBorder="1" applyAlignment="1">
      <alignment horizontal="center" vertical="center"/>
    </xf>
    <xf numFmtId="165" fontId="36" fillId="3" borderId="43" xfId="2" applyNumberFormat="1" applyFont="1" applyFill="1" applyBorder="1" applyAlignment="1">
      <alignment horizontal="center" vertical="center"/>
    </xf>
    <xf numFmtId="166" fontId="36" fillId="3" borderId="45" xfId="2" applyNumberFormat="1" applyFont="1" applyFill="1" applyBorder="1" applyAlignment="1">
      <alignment horizontal="center" vertical="center"/>
    </xf>
    <xf numFmtId="0" fontId="46" fillId="0" borderId="0" xfId="0" applyFont="1"/>
    <xf numFmtId="0" fontId="46" fillId="0" borderId="0" xfId="0" applyFont="1" applyAlignment="1">
      <alignment horizontal="center"/>
    </xf>
    <xf numFmtId="9" fontId="46" fillId="0" borderId="0" xfId="1" applyFont="1"/>
    <xf numFmtId="165" fontId="46" fillId="0" borderId="0" xfId="2" applyNumberFormat="1" applyFont="1"/>
    <xf numFmtId="0" fontId="47" fillId="0" borderId="0" xfId="0" applyFont="1" applyAlignment="1">
      <alignment vertical="center"/>
    </xf>
    <xf numFmtId="0" fontId="47" fillId="0" borderId="0" xfId="0" applyFont="1"/>
    <xf numFmtId="0" fontId="46" fillId="0" borderId="1" xfId="0" applyFont="1" applyBorder="1" applyAlignment="1">
      <alignment horizontal="center" vertical="center"/>
    </xf>
    <xf numFmtId="0" fontId="46" fillId="0" borderId="1" xfId="0" applyFont="1" applyBorder="1" applyAlignment="1">
      <alignment horizontal="center"/>
    </xf>
    <xf numFmtId="0" fontId="46" fillId="0" borderId="0" xfId="0" applyFont="1" applyAlignment="1">
      <alignment vertical="center"/>
    </xf>
    <xf numFmtId="165" fontId="47" fillId="0" borderId="0" xfId="2" applyNumberFormat="1" applyFont="1" applyBorder="1" applyAlignment="1">
      <alignment horizontal="center" vertical="center"/>
    </xf>
    <xf numFmtId="1" fontId="46" fillId="0" borderId="0" xfId="0" applyNumberFormat="1" applyFont="1"/>
    <xf numFmtId="0" fontId="46" fillId="0" borderId="0" xfId="0" applyFont="1" applyAlignment="1">
      <alignment horizontal="center" vertical="center"/>
    </xf>
    <xf numFmtId="9" fontId="46" fillId="0" borderId="0" xfId="1" applyFont="1" applyAlignment="1">
      <alignment vertical="center"/>
    </xf>
    <xf numFmtId="9" fontId="47" fillId="0" borderId="0" xfId="1" applyFont="1" applyBorder="1" applyAlignment="1">
      <alignment horizontal="center" vertical="center"/>
    </xf>
    <xf numFmtId="165" fontId="46" fillId="0" borderId="0" xfId="2" applyNumberFormat="1" applyFont="1" applyAlignment="1">
      <alignment vertical="center"/>
    </xf>
    <xf numFmtId="164" fontId="46" fillId="0" borderId="0" xfId="0" applyNumberFormat="1" applyFont="1"/>
    <xf numFmtId="1" fontId="48" fillId="0" borderId="14" xfId="0" applyNumberFormat="1" applyFont="1" applyBorder="1" applyAlignment="1">
      <alignment horizontal="center" vertical="center"/>
    </xf>
    <xf numFmtId="1" fontId="48" fillId="0" borderId="13" xfId="0" applyNumberFormat="1" applyFont="1" applyBorder="1" applyAlignment="1">
      <alignment horizontal="center" vertical="center"/>
    </xf>
    <xf numFmtId="1" fontId="48" fillId="0" borderId="16" xfId="0" applyNumberFormat="1" applyFont="1" applyBorder="1" applyAlignment="1">
      <alignment horizontal="center" vertical="center" wrapText="1"/>
    </xf>
    <xf numFmtId="1" fontId="49" fillId="0" borderId="4" xfId="0" applyNumberFormat="1" applyFont="1" applyBorder="1" applyAlignment="1">
      <alignment horizontal="center" vertical="center"/>
    </xf>
    <xf numFmtId="1" fontId="49" fillId="0" borderId="1" xfId="0" applyNumberFormat="1" applyFont="1" applyBorder="1" applyAlignment="1">
      <alignment horizontal="center" vertical="center"/>
    </xf>
    <xf numFmtId="165" fontId="49" fillId="0" borderId="5" xfId="2" applyNumberFormat="1" applyFont="1" applyBorder="1" applyAlignment="1">
      <alignment horizontal="center" vertical="center"/>
    </xf>
    <xf numFmtId="165" fontId="49" fillId="8" borderId="8" xfId="2" applyNumberFormat="1" applyFont="1" applyFill="1" applyBorder="1" applyAlignment="1">
      <alignment horizontal="center" vertical="center"/>
    </xf>
    <xf numFmtId="0" fontId="10" fillId="0" borderId="34" xfId="0" applyFont="1" applyBorder="1" applyAlignment="1">
      <alignment horizontal="right" vertical="center"/>
    </xf>
    <xf numFmtId="0" fontId="9" fillId="0" borderId="36" xfId="0" applyFont="1" applyBorder="1" applyAlignment="1">
      <alignment horizontal="center" vertical="center"/>
    </xf>
    <xf numFmtId="1" fontId="9" fillId="0" borderId="51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1" fontId="12" fillId="0" borderId="64" xfId="0" applyNumberFormat="1" applyFont="1" applyBorder="1" applyAlignment="1">
      <alignment horizontal="center" vertical="center"/>
    </xf>
    <xf numFmtId="1" fontId="12" fillId="21" borderId="36" xfId="0" applyNumberFormat="1" applyFont="1" applyFill="1" applyBorder="1" applyAlignment="1">
      <alignment horizontal="center" vertical="center" wrapText="1"/>
    </xf>
    <xf numFmtId="1" fontId="12" fillId="21" borderId="50" xfId="0" applyNumberFormat="1" applyFont="1" applyFill="1" applyBorder="1" applyAlignment="1">
      <alignment horizontal="center" vertical="center"/>
    </xf>
    <xf numFmtId="1" fontId="50" fillId="2" borderId="50" xfId="0" applyNumberFormat="1" applyFont="1" applyFill="1" applyBorder="1" applyAlignment="1">
      <alignment horizontal="center" vertical="center"/>
    </xf>
    <xf numFmtId="9" fontId="10" fillId="0" borderId="36" xfId="1" applyFont="1" applyBorder="1" applyAlignment="1">
      <alignment horizontal="center" vertical="center"/>
    </xf>
    <xf numFmtId="9" fontId="12" fillId="0" borderId="64" xfId="1" applyFont="1" applyBorder="1" applyAlignment="1">
      <alignment horizontal="center" vertical="center"/>
    </xf>
    <xf numFmtId="9" fontId="50" fillId="13" borderId="50" xfId="1" applyFont="1" applyFill="1" applyBorder="1" applyAlignment="1">
      <alignment horizontal="center" vertical="center"/>
    </xf>
    <xf numFmtId="165" fontId="50" fillId="13" borderId="50" xfId="2" applyNumberFormat="1" applyFont="1" applyFill="1" applyBorder="1" applyAlignment="1">
      <alignment horizontal="center" vertical="center"/>
    </xf>
    <xf numFmtId="0" fontId="10" fillId="0" borderId="24" xfId="0" applyFont="1" applyBorder="1" applyAlignment="1">
      <alignment horizontal="right" vertical="center"/>
    </xf>
    <xf numFmtId="0" fontId="9" fillId="0" borderId="61" xfId="0" applyFont="1" applyBorder="1" applyAlignment="1">
      <alignment horizontal="center" vertical="center"/>
    </xf>
    <xf numFmtId="0" fontId="9" fillId="0" borderId="62" xfId="0" applyFont="1" applyBorder="1" applyAlignment="1">
      <alignment horizontal="center" vertical="center"/>
    </xf>
    <xf numFmtId="1" fontId="12" fillId="0" borderId="63" xfId="0" applyNumberFormat="1" applyFont="1" applyBorder="1" applyAlignment="1">
      <alignment horizontal="center" vertical="center"/>
    </xf>
    <xf numFmtId="1" fontId="12" fillId="0" borderId="65" xfId="0" applyNumberFormat="1" applyFont="1" applyBorder="1" applyAlignment="1">
      <alignment horizontal="center" vertical="center"/>
    </xf>
    <xf numFmtId="1" fontId="12" fillId="21" borderId="61" xfId="0" applyNumberFormat="1" applyFont="1" applyFill="1" applyBorder="1" applyAlignment="1">
      <alignment horizontal="center" vertical="center"/>
    </xf>
    <xf numFmtId="1" fontId="12" fillId="21" borderId="63" xfId="0" applyNumberFormat="1" applyFont="1" applyFill="1" applyBorder="1" applyAlignment="1">
      <alignment horizontal="center" vertical="center"/>
    </xf>
    <xf numFmtId="1" fontId="50" fillId="2" borderId="63" xfId="0" applyNumberFormat="1" applyFont="1" applyFill="1" applyBorder="1" applyAlignment="1">
      <alignment horizontal="center" vertical="center"/>
    </xf>
    <xf numFmtId="9" fontId="10" fillId="0" borderId="61" xfId="1" applyFont="1" applyBorder="1" applyAlignment="1">
      <alignment horizontal="center" vertical="center"/>
    </xf>
    <xf numFmtId="9" fontId="12" fillId="0" borderId="65" xfId="1" applyFont="1" applyBorder="1" applyAlignment="1">
      <alignment horizontal="center" vertical="center"/>
    </xf>
    <xf numFmtId="9" fontId="50" fillId="13" borderId="63" xfId="1" applyFont="1" applyFill="1" applyBorder="1" applyAlignment="1">
      <alignment horizontal="center" vertical="center"/>
    </xf>
    <xf numFmtId="165" fontId="50" fillId="13" borderId="63" xfId="2" applyNumberFormat="1" applyFont="1" applyFill="1" applyBorder="1" applyAlignment="1">
      <alignment horizontal="center" vertical="center"/>
    </xf>
    <xf numFmtId="0" fontId="9" fillId="0" borderId="51" xfId="0" applyFont="1" applyBorder="1" applyAlignment="1">
      <alignment horizontal="center" vertical="center"/>
    </xf>
    <xf numFmtId="1" fontId="12" fillId="21" borderId="36" xfId="0" applyNumberFormat="1" applyFont="1" applyFill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1" fontId="12" fillId="0" borderId="13" xfId="0" applyNumberFormat="1" applyFont="1" applyBorder="1" applyAlignment="1">
      <alignment horizontal="center" vertical="center"/>
    </xf>
    <xf numFmtId="1" fontId="12" fillId="0" borderId="15" xfId="0" applyNumberFormat="1" applyFont="1" applyBorder="1" applyAlignment="1">
      <alignment horizontal="center" vertical="center"/>
    </xf>
    <xf numFmtId="1" fontId="12" fillId="21" borderId="14" xfId="0" applyNumberFormat="1" applyFont="1" applyFill="1" applyBorder="1" applyAlignment="1">
      <alignment horizontal="center" vertical="center"/>
    </xf>
    <xf numFmtId="1" fontId="12" fillId="21" borderId="13" xfId="0" applyNumberFormat="1" applyFont="1" applyFill="1" applyBorder="1" applyAlignment="1">
      <alignment horizontal="center" vertical="center"/>
    </xf>
    <xf numFmtId="1" fontId="50" fillId="2" borderId="13" xfId="0" applyNumberFormat="1" applyFont="1" applyFill="1" applyBorder="1" applyAlignment="1">
      <alignment horizontal="center" vertical="center"/>
    </xf>
    <xf numFmtId="9" fontId="10" fillId="0" borderId="14" xfId="1" applyFont="1" applyBorder="1" applyAlignment="1">
      <alignment horizontal="center" vertical="center"/>
    </xf>
    <xf numFmtId="9" fontId="12" fillId="0" borderId="15" xfId="1" applyFont="1" applyBorder="1" applyAlignment="1">
      <alignment horizontal="center" vertical="center"/>
    </xf>
    <xf numFmtId="165" fontId="50" fillId="13" borderId="13" xfId="2" applyNumberFormat="1" applyFont="1" applyFill="1" applyBorder="1" applyAlignment="1">
      <alignment horizontal="center" vertical="center"/>
    </xf>
    <xf numFmtId="0" fontId="10" fillId="10" borderId="24" xfId="0" applyFont="1" applyFill="1" applyBorder="1" applyAlignment="1">
      <alignment horizontal="right" vertical="center"/>
    </xf>
    <xf numFmtId="0" fontId="9" fillId="10" borderId="4" xfId="0" applyFont="1" applyFill="1" applyBorder="1" applyAlignment="1">
      <alignment horizontal="center" vertical="center"/>
    </xf>
    <xf numFmtId="0" fontId="51" fillId="10" borderId="5" xfId="0" applyFont="1" applyFill="1" applyBorder="1" applyAlignment="1">
      <alignment horizontal="center" vertical="center"/>
    </xf>
    <xf numFmtId="1" fontId="10" fillId="10" borderId="1" xfId="0" applyNumberFormat="1" applyFont="1" applyFill="1" applyBorder="1" applyAlignment="1">
      <alignment horizontal="center" vertical="center"/>
    </xf>
    <xf numFmtId="1" fontId="10" fillId="10" borderId="2" xfId="0" applyNumberFormat="1" applyFont="1" applyFill="1" applyBorder="1" applyAlignment="1">
      <alignment horizontal="center" vertical="center"/>
    </xf>
    <xf numFmtId="1" fontId="10" fillId="10" borderId="4" xfId="0" applyNumberFormat="1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9" fontId="10" fillId="10" borderId="4" xfId="1" applyFont="1" applyFill="1" applyBorder="1" applyAlignment="1">
      <alignment horizontal="center" vertical="center"/>
    </xf>
    <xf numFmtId="9" fontId="10" fillId="10" borderId="2" xfId="1" applyFont="1" applyFill="1" applyBorder="1" applyAlignment="1">
      <alignment horizontal="center" vertical="center"/>
    </xf>
    <xf numFmtId="9" fontId="50" fillId="10" borderId="1" xfId="1" applyFont="1" applyFill="1" applyBorder="1" applyAlignment="1">
      <alignment horizontal="center" vertical="center"/>
    </xf>
    <xf numFmtId="165" fontId="50" fillId="10" borderId="1" xfId="2" applyNumberFormat="1" applyFont="1" applyFill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9" fillId="0" borderId="56" xfId="0" applyFont="1" applyBorder="1" applyAlignment="1">
      <alignment horizontal="center" vertical="center"/>
    </xf>
    <xf numFmtId="1" fontId="12" fillId="0" borderId="39" xfId="0" applyNumberFormat="1" applyFont="1" applyBorder="1" applyAlignment="1">
      <alignment horizontal="center" vertical="center"/>
    </xf>
    <xf numFmtId="1" fontId="12" fillId="0" borderId="58" xfId="0" applyNumberFormat="1" applyFont="1" applyBorder="1" applyAlignment="1">
      <alignment horizontal="center" vertical="center"/>
    </xf>
    <xf numFmtId="1" fontId="12" fillId="21" borderId="35" xfId="0" applyNumberFormat="1" applyFont="1" applyFill="1" applyBorder="1" applyAlignment="1">
      <alignment horizontal="center" vertical="center"/>
    </xf>
    <xf numFmtId="1" fontId="12" fillId="21" borderId="39" xfId="0" applyNumberFormat="1" applyFont="1" applyFill="1" applyBorder="1" applyAlignment="1">
      <alignment horizontal="center" vertical="center"/>
    </xf>
    <xf numFmtId="1" fontId="50" fillId="2" borderId="39" xfId="0" applyNumberFormat="1" applyFont="1" applyFill="1" applyBorder="1" applyAlignment="1">
      <alignment horizontal="center" vertical="center"/>
    </xf>
    <xf numFmtId="9" fontId="10" fillId="0" borderId="35" xfId="1" applyFont="1" applyBorder="1" applyAlignment="1">
      <alignment horizontal="center" vertical="center"/>
    </xf>
    <xf numFmtId="9" fontId="12" fillId="0" borderId="58" xfId="1" applyFont="1" applyBorder="1" applyAlignment="1">
      <alignment horizontal="center" vertical="center"/>
    </xf>
    <xf numFmtId="9" fontId="50" fillId="13" borderId="39" xfId="1" applyFont="1" applyFill="1" applyBorder="1" applyAlignment="1">
      <alignment horizontal="center" vertical="center"/>
    </xf>
    <xf numFmtId="165" fontId="50" fillId="13" borderId="39" xfId="2" applyNumberFormat="1" applyFont="1" applyFill="1" applyBorder="1" applyAlignment="1">
      <alignment horizontal="center" vertical="center"/>
    </xf>
    <xf numFmtId="0" fontId="9" fillId="0" borderId="62" xfId="0" applyFont="1" applyBorder="1" applyAlignment="1">
      <alignment horizontal="center" vertical="center" wrapText="1"/>
    </xf>
    <xf numFmtId="9" fontId="50" fillId="13" borderId="13" xfId="1" applyFont="1" applyFill="1" applyBorder="1" applyAlignment="1">
      <alignment horizontal="center" vertical="center"/>
    </xf>
    <xf numFmtId="0" fontId="10" fillId="20" borderId="24" xfId="0" applyFont="1" applyFill="1" applyBorder="1" applyAlignment="1">
      <alignment horizontal="right" vertical="center"/>
    </xf>
    <xf numFmtId="0" fontId="9" fillId="20" borderId="4" xfId="0" applyFont="1" applyFill="1" applyBorder="1" applyAlignment="1">
      <alignment horizontal="center" vertical="center"/>
    </xf>
    <xf numFmtId="0" fontId="9" fillId="20" borderId="5" xfId="0" applyFont="1" applyFill="1" applyBorder="1" applyAlignment="1">
      <alignment horizontal="center" vertical="center"/>
    </xf>
    <xf numFmtId="1" fontId="10" fillId="20" borderId="1" xfId="0" applyNumberFormat="1" applyFont="1" applyFill="1" applyBorder="1" applyAlignment="1">
      <alignment horizontal="center" vertical="center"/>
    </xf>
    <xf numFmtId="1" fontId="10" fillId="20" borderId="2" xfId="0" applyNumberFormat="1" applyFont="1" applyFill="1" applyBorder="1" applyAlignment="1">
      <alignment horizontal="center" vertical="center"/>
    </xf>
    <xf numFmtId="1" fontId="10" fillId="20" borderId="4" xfId="0" applyNumberFormat="1" applyFont="1" applyFill="1" applyBorder="1" applyAlignment="1">
      <alignment horizontal="center" vertical="center"/>
    </xf>
    <xf numFmtId="1" fontId="50" fillId="20" borderId="1" xfId="0" applyNumberFormat="1" applyFont="1" applyFill="1" applyBorder="1" applyAlignment="1">
      <alignment horizontal="center" vertical="center"/>
    </xf>
    <xf numFmtId="9" fontId="10" fillId="20" borderId="4" xfId="1" applyFont="1" applyFill="1" applyBorder="1" applyAlignment="1">
      <alignment horizontal="center" vertical="center"/>
    </xf>
    <xf numFmtId="9" fontId="10" fillId="20" borderId="2" xfId="1" applyFont="1" applyFill="1" applyBorder="1" applyAlignment="1">
      <alignment horizontal="center" vertical="center"/>
    </xf>
    <xf numFmtId="9" fontId="50" fillId="20" borderId="1" xfId="1" applyFont="1" applyFill="1" applyBorder="1" applyAlignment="1">
      <alignment horizontal="center" vertical="center"/>
    </xf>
    <xf numFmtId="165" fontId="50" fillId="20" borderId="1" xfId="2" applyNumberFormat="1" applyFont="1" applyFill="1" applyBorder="1" applyAlignment="1">
      <alignment horizontal="center" vertical="center"/>
    </xf>
    <xf numFmtId="0" fontId="10" fillId="5" borderId="24" xfId="0" applyFont="1" applyFill="1" applyBorder="1" applyAlignment="1">
      <alignment horizontal="right" vertical="center"/>
    </xf>
    <xf numFmtId="1" fontId="9" fillId="5" borderId="7" xfId="0" applyNumberFormat="1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1" fontId="10" fillId="5" borderId="7" xfId="0" applyNumberFormat="1" applyFont="1" applyFill="1" applyBorder="1" applyAlignment="1">
      <alignment horizontal="center" vertical="center"/>
    </xf>
    <xf numFmtId="1" fontId="10" fillId="5" borderId="17" xfId="0" applyNumberFormat="1" applyFont="1" applyFill="1" applyBorder="1" applyAlignment="1">
      <alignment horizontal="center" vertical="center"/>
    </xf>
    <xf numFmtId="1" fontId="10" fillId="3" borderId="6" xfId="0" applyNumberFormat="1" applyFont="1" applyFill="1" applyBorder="1" applyAlignment="1">
      <alignment horizontal="center" vertical="center"/>
    </xf>
    <xf numFmtId="1" fontId="10" fillId="3" borderId="7" xfId="0" applyNumberFormat="1" applyFont="1" applyFill="1" applyBorder="1" applyAlignment="1">
      <alignment horizontal="center" vertical="center"/>
    </xf>
    <xf numFmtId="1" fontId="50" fillId="5" borderId="7" xfId="0" applyNumberFormat="1" applyFont="1" applyFill="1" applyBorder="1" applyAlignment="1">
      <alignment horizontal="center" vertical="center"/>
    </xf>
    <xf numFmtId="9" fontId="10" fillId="5" borderId="6" xfId="1" applyFont="1" applyFill="1" applyBorder="1" applyAlignment="1">
      <alignment horizontal="center" vertical="center"/>
    </xf>
    <xf numFmtId="9" fontId="10" fillId="5" borderId="17" xfId="1" applyFont="1" applyFill="1" applyBorder="1" applyAlignment="1">
      <alignment horizontal="center" vertical="center"/>
    </xf>
    <xf numFmtId="9" fontId="50" fillId="5" borderId="7" xfId="1" applyFont="1" applyFill="1" applyBorder="1" applyAlignment="1">
      <alignment horizontal="center" vertical="center"/>
    </xf>
    <xf numFmtId="165" fontId="50" fillId="5" borderId="7" xfId="2" applyNumberFormat="1" applyFont="1" applyFill="1" applyBorder="1" applyAlignment="1">
      <alignment horizontal="center" vertical="center"/>
    </xf>
    <xf numFmtId="0" fontId="45" fillId="9" borderId="10" xfId="0" applyFont="1" applyFill="1" applyBorder="1" applyAlignment="1">
      <alignment horizontal="center" vertical="center"/>
    </xf>
    <xf numFmtId="0" fontId="52" fillId="9" borderId="41" xfId="0" applyFont="1" applyFill="1" applyBorder="1" applyAlignment="1">
      <alignment horizontal="center" vertical="center" wrapText="1"/>
    </xf>
    <xf numFmtId="0" fontId="52" fillId="9" borderId="43" xfId="0" applyFont="1" applyFill="1" applyBorder="1" applyAlignment="1">
      <alignment horizontal="center" vertical="center" wrapText="1"/>
    </xf>
    <xf numFmtId="0" fontId="45" fillId="10" borderId="45" xfId="0" applyNumberFormat="1" applyFont="1" applyFill="1" applyBorder="1" applyAlignment="1">
      <alignment horizontal="center" vertical="center" wrapText="1"/>
    </xf>
    <xf numFmtId="0" fontId="45" fillId="10" borderId="42" xfId="0" applyNumberFormat="1" applyFont="1" applyFill="1" applyBorder="1" applyAlignment="1">
      <alignment horizontal="center" vertical="center"/>
    </xf>
    <xf numFmtId="0" fontId="45" fillId="10" borderId="41" xfId="0" applyNumberFormat="1" applyFont="1" applyFill="1" applyBorder="1" applyAlignment="1">
      <alignment horizontal="center" vertical="center" wrapText="1"/>
    </xf>
    <xf numFmtId="0" fontId="45" fillId="10" borderId="45" xfId="0" applyNumberFormat="1" applyFont="1" applyFill="1" applyBorder="1" applyAlignment="1">
      <alignment horizontal="center" vertical="center"/>
    </xf>
    <xf numFmtId="0" fontId="53" fillId="10" borderId="45" xfId="0" applyNumberFormat="1" applyFont="1" applyFill="1" applyBorder="1" applyAlignment="1">
      <alignment horizontal="center" vertical="center" wrapText="1"/>
    </xf>
    <xf numFmtId="0" fontId="45" fillId="10" borderId="41" xfId="0" applyNumberFormat="1" applyFont="1" applyFill="1" applyBorder="1" applyAlignment="1">
      <alignment horizontal="center" vertical="center"/>
    </xf>
    <xf numFmtId="0" fontId="45" fillId="10" borderId="43" xfId="0" applyFont="1" applyFill="1" applyBorder="1" applyAlignment="1">
      <alignment horizontal="center" vertical="center" wrapText="1"/>
    </xf>
    <xf numFmtId="0" fontId="45" fillId="10" borderId="42" xfId="0" applyNumberFormat="1" applyFont="1" applyFill="1" applyBorder="1" applyAlignment="1">
      <alignment horizontal="center" vertical="center" wrapText="1"/>
    </xf>
    <xf numFmtId="9" fontId="45" fillId="10" borderId="42" xfId="1" applyFont="1" applyFill="1" applyBorder="1" applyAlignment="1">
      <alignment horizontal="center" vertical="center"/>
    </xf>
    <xf numFmtId="9" fontId="53" fillId="10" borderId="45" xfId="1" applyFont="1" applyFill="1" applyBorder="1" applyAlignment="1">
      <alignment horizontal="center" vertical="center" wrapText="1"/>
    </xf>
    <xf numFmtId="165" fontId="53" fillId="10" borderId="45" xfId="2" applyNumberFormat="1" applyFont="1" applyFill="1" applyBorder="1" applyAlignment="1">
      <alignment horizontal="center" vertical="center" wrapText="1"/>
    </xf>
    <xf numFmtId="0" fontId="43" fillId="0" borderId="0" xfId="0" applyFont="1" applyAlignment="1">
      <alignment vertical="center"/>
    </xf>
    <xf numFmtId="0" fontId="11" fillId="9" borderId="10" xfId="0" applyFont="1" applyFill="1" applyBorder="1" applyAlignment="1">
      <alignment horizontal="center" vertical="center"/>
    </xf>
    <xf numFmtId="0" fontId="54" fillId="0" borderId="34" xfId="0" applyFont="1" applyBorder="1" applyAlignment="1">
      <alignment horizontal="right" vertical="center"/>
    </xf>
    <xf numFmtId="0" fontId="54" fillId="0" borderId="24" xfId="0" applyFont="1" applyBorder="1" applyAlignment="1">
      <alignment horizontal="right" vertical="center"/>
    </xf>
    <xf numFmtId="165" fontId="53" fillId="10" borderId="43" xfId="2" applyNumberFormat="1" applyFont="1" applyFill="1" applyBorder="1" applyAlignment="1">
      <alignment horizontal="center" vertical="center" wrapText="1"/>
    </xf>
    <xf numFmtId="165" fontId="50" fillId="13" borderId="51" xfId="2" applyNumberFormat="1" applyFont="1" applyFill="1" applyBorder="1" applyAlignment="1">
      <alignment horizontal="center" vertical="center"/>
    </xf>
    <xf numFmtId="165" fontId="50" fillId="13" borderId="62" xfId="2" applyNumberFormat="1" applyFont="1" applyFill="1" applyBorder="1" applyAlignment="1">
      <alignment horizontal="center" vertical="center"/>
    </xf>
    <xf numFmtId="165" fontId="50" fillId="13" borderId="16" xfId="2" applyNumberFormat="1" applyFont="1" applyFill="1" applyBorder="1" applyAlignment="1">
      <alignment horizontal="center" vertical="center"/>
    </xf>
    <xf numFmtId="165" fontId="50" fillId="10" borderId="5" xfId="2" applyNumberFormat="1" applyFont="1" applyFill="1" applyBorder="1" applyAlignment="1">
      <alignment horizontal="center" vertical="center"/>
    </xf>
    <xf numFmtId="165" fontId="50" fillId="13" borderId="56" xfId="2" applyNumberFormat="1" applyFont="1" applyFill="1" applyBorder="1" applyAlignment="1">
      <alignment horizontal="center" vertical="center"/>
    </xf>
    <xf numFmtId="165" fontId="50" fillId="20" borderId="5" xfId="2" applyNumberFormat="1" applyFont="1" applyFill="1" applyBorder="1" applyAlignment="1">
      <alignment horizontal="center" vertical="center"/>
    </xf>
    <xf numFmtId="0" fontId="10" fillId="5" borderId="25" xfId="0" applyFont="1" applyFill="1" applyBorder="1" applyAlignment="1">
      <alignment horizontal="right" vertical="center"/>
    </xf>
    <xf numFmtId="165" fontId="50" fillId="5" borderId="8" xfId="2" applyNumberFormat="1" applyFont="1" applyFill="1" applyBorder="1" applyAlignment="1">
      <alignment horizontal="center" vertical="center"/>
    </xf>
    <xf numFmtId="0" fontId="46" fillId="0" borderId="71" xfId="0" applyFont="1" applyBorder="1" applyAlignment="1">
      <alignment horizontal="center" vertical="center"/>
    </xf>
    <xf numFmtId="0" fontId="46" fillId="0" borderId="72" xfId="0" applyFont="1" applyBorder="1" applyAlignment="1">
      <alignment horizontal="center" vertical="center"/>
    </xf>
    <xf numFmtId="0" fontId="46" fillId="0" borderId="73" xfId="0" applyFont="1" applyBorder="1" applyAlignment="1">
      <alignment horizontal="center" vertical="center"/>
    </xf>
    <xf numFmtId="0" fontId="46" fillId="0" borderId="4" xfId="0" applyFont="1" applyBorder="1" applyAlignment="1">
      <alignment horizontal="center" vertical="center"/>
    </xf>
    <xf numFmtId="0" fontId="46" fillId="0" borderId="5" xfId="0" applyFont="1" applyBorder="1" applyAlignment="1">
      <alignment horizontal="center" vertical="center"/>
    </xf>
    <xf numFmtId="0" fontId="46" fillId="0" borderId="35" xfId="0" applyFont="1" applyBorder="1" applyAlignment="1">
      <alignment horizontal="center" vertical="center"/>
    </xf>
    <xf numFmtId="0" fontId="46" fillId="0" borderId="39" xfId="0" applyFont="1" applyBorder="1" applyAlignment="1">
      <alignment horizontal="center" vertical="center"/>
    </xf>
    <xf numFmtId="0" fontId="46" fillId="0" borderId="56" xfId="0" applyFont="1" applyBorder="1" applyAlignment="1">
      <alignment horizontal="center" vertical="center"/>
    </xf>
    <xf numFmtId="0" fontId="47" fillId="0" borderId="41" xfId="0" applyFont="1" applyBorder="1" applyAlignment="1">
      <alignment horizontal="center" vertical="center"/>
    </xf>
    <xf numFmtId="0" fontId="47" fillId="0" borderId="45" xfId="0" applyFont="1" applyBorder="1" applyAlignment="1">
      <alignment horizontal="center" vertical="center"/>
    </xf>
    <xf numFmtId="0" fontId="47" fillId="0" borderId="43" xfId="0" applyFont="1" applyBorder="1" applyAlignment="1">
      <alignment horizontal="center" vertical="center"/>
    </xf>
    <xf numFmtId="1" fontId="50" fillId="10" borderId="1" xfId="0" applyNumberFormat="1" applyFont="1" applyFill="1" applyBorder="1" applyAlignment="1">
      <alignment horizontal="center" vertical="center"/>
    </xf>
    <xf numFmtId="1" fontId="47" fillId="0" borderId="0" xfId="0" applyNumberFormat="1" applyFont="1" applyAlignment="1">
      <alignment vertical="center"/>
    </xf>
    <xf numFmtId="0" fontId="54" fillId="0" borderId="31" xfId="0" applyFont="1" applyBorder="1" applyAlignment="1">
      <alignment horizontal="center" vertical="center"/>
    </xf>
    <xf numFmtId="0" fontId="54" fillId="0" borderId="34" xfId="0" applyFont="1" applyBorder="1" applyAlignment="1">
      <alignment horizontal="center" vertical="center"/>
    </xf>
    <xf numFmtId="0" fontId="10" fillId="10" borderId="24" xfId="0" applyFont="1" applyFill="1" applyBorder="1" applyAlignment="1">
      <alignment horizontal="center" vertical="center"/>
    </xf>
    <xf numFmtId="0" fontId="54" fillId="0" borderId="54" xfId="0" applyFont="1" applyBorder="1" applyAlignment="1">
      <alignment horizontal="center" vertical="center"/>
    </xf>
    <xf numFmtId="0" fontId="10" fillId="20" borderId="24" xfId="0" applyFont="1" applyFill="1" applyBorder="1" applyAlignment="1">
      <alignment horizontal="center" vertical="center"/>
    </xf>
    <xf numFmtId="0" fontId="45" fillId="10" borderId="11" xfId="0" applyNumberFormat="1" applyFont="1" applyFill="1" applyBorder="1" applyAlignment="1">
      <alignment horizontal="center" vertical="center"/>
    </xf>
    <xf numFmtId="1" fontId="12" fillId="0" borderId="0" xfId="0" applyNumberFormat="1" applyFont="1" applyBorder="1" applyAlignment="1">
      <alignment horizontal="center" vertical="center"/>
    </xf>
    <xf numFmtId="1" fontId="12" fillId="0" borderId="75" xfId="0" applyNumberFormat="1" applyFont="1" applyBorder="1" applyAlignment="1">
      <alignment horizontal="center" vertical="center"/>
    </xf>
    <xf numFmtId="1" fontId="12" fillId="0" borderId="33" xfId="0" applyNumberFormat="1" applyFont="1" applyBorder="1" applyAlignment="1">
      <alignment horizontal="center" vertical="center"/>
    </xf>
    <xf numFmtId="1" fontId="10" fillId="10" borderId="46" xfId="0" applyNumberFormat="1" applyFont="1" applyFill="1" applyBorder="1" applyAlignment="1">
      <alignment horizontal="center" vertical="center"/>
    </xf>
    <xf numFmtId="1" fontId="12" fillId="0" borderId="38" xfId="0" applyNumberFormat="1" applyFont="1" applyBorder="1" applyAlignment="1">
      <alignment horizontal="center" vertical="center"/>
    </xf>
    <xf numFmtId="1" fontId="10" fillId="20" borderId="46" xfId="0" applyNumberFormat="1" applyFont="1" applyFill="1" applyBorder="1" applyAlignment="1">
      <alignment horizontal="center" vertical="center"/>
    </xf>
    <xf numFmtId="1" fontId="10" fillId="5" borderId="74" xfId="0" applyNumberFormat="1" applyFont="1" applyFill="1" applyBorder="1" applyAlignment="1">
      <alignment horizontal="center" vertical="center"/>
    </xf>
    <xf numFmtId="0" fontId="45" fillId="10" borderId="43" xfId="0" applyNumberFormat="1" applyFont="1" applyFill="1" applyBorder="1" applyAlignment="1">
      <alignment horizontal="center" vertical="center" wrapText="1"/>
    </xf>
    <xf numFmtId="1" fontId="10" fillId="10" borderId="5" xfId="0" applyNumberFormat="1" applyFont="1" applyFill="1" applyBorder="1" applyAlignment="1">
      <alignment horizontal="center" vertical="center"/>
    </xf>
    <xf numFmtId="1" fontId="10" fillId="20" borderId="5" xfId="0" applyNumberFormat="1" applyFont="1" applyFill="1" applyBorder="1" applyAlignment="1">
      <alignment horizontal="center" vertical="center"/>
    </xf>
    <xf numFmtId="0" fontId="10" fillId="5" borderId="25" xfId="0" applyFont="1" applyFill="1" applyBorder="1" applyAlignment="1">
      <alignment horizontal="center" vertical="center"/>
    </xf>
    <xf numFmtId="1" fontId="10" fillId="5" borderId="8" xfId="0" applyNumberFormat="1" applyFont="1" applyFill="1" applyBorder="1" applyAlignment="1">
      <alignment horizontal="center" vertical="center"/>
    </xf>
    <xf numFmtId="1" fontId="55" fillId="0" borderId="51" xfId="0" applyNumberFormat="1" applyFont="1" applyBorder="1" applyAlignment="1">
      <alignment horizontal="center" vertical="center"/>
    </xf>
    <xf numFmtId="1" fontId="55" fillId="0" borderId="62" xfId="0" applyNumberFormat="1" applyFont="1" applyBorder="1" applyAlignment="1">
      <alignment horizontal="center" vertical="center"/>
    </xf>
    <xf numFmtId="1" fontId="55" fillId="0" borderId="16" xfId="0" applyNumberFormat="1" applyFont="1" applyBorder="1" applyAlignment="1">
      <alignment horizontal="center" vertical="center"/>
    </xf>
    <xf numFmtId="1" fontId="55" fillId="0" borderId="56" xfId="0" applyNumberFormat="1" applyFont="1" applyBorder="1" applyAlignment="1">
      <alignment horizontal="center" vertical="center"/>
    </xf>
    <xf numFmtId="0" fontId="45" fillId="10" borderId="11" xfId="0" applyNumberFormat="1" applyFont="1" applyFill="1" applyBorder="1" applyAlignment="1">
      <alignment horizontal="center" vertical="center" wrapText="1"/>
    </xf>
    <xf numFmtId="1" fontId="12" fillId="0" borderId="51" xfId="0" applyNumberFormat="1" applyFont="1" applyBorder="1" applyAlignment="1">
      <alignment horizontal="center" vertical="center"/>
    </xf>
    <xf numFmtId="1" fontId="12" fillId="0" borderId="62" xfId="0" applyNumberFormat="1" applyFont="1" applyBorder="1" applyAlignment="1">
      <alignment horizontal="center" vertical="center"/>
    </xf>
    <xf numFmtId="1" fontId="12" fillId="0" borderId="16" xfId="0" applyNumberFormat="1" applyFont="1" applyBorder="1" applyAlignment="1">
      <alignment horizontal="center" vertical="center"/>
    </xf>
    <xf numFmtId="1" fontId="12" fillId="0" borderId="56" xfId="0" applyNumberFormat="1" applyFont="1" applyBorder="1" applyAlignment="1">
      <alignment horizontal="center" vertical="center"/>
    </xf>
    <xf numFmtId="0" fontId="1" fillId="22" borderId="11" xfId="0" applyFont="1" applyFill="1" applyBorder="1" applyAlignment="1">
      <alignment vertical="center"/>
    </xf>
    <xf numFmtId="0" fontId="1" fillId="22" borderId="12" xfId="0" applyFont="1" applyFill="1" applyBorder="1" applyAlignment="1">
      <alignment vertical="center"/>
    </xf>
    <xf numFmtId="0" fontId="46" fillId="0" borderId="1" xfId="0" applyFont="1" applyBorder="1"/>
    <xf numFmtId="0" fontId="46" fillId="0" borderId="71" xfId="0" applyFont="1" applyBorder="1"/>
    <xf numFmtId="0" fontId="46" fillId="0" borderId="72" xfId="0" applyFont="1" applyBorder="1"/>
    <xf numFmtId="0" fontId="46" fillId="0" borderId="73" xfId="0" applyFont="1" applyBorder="1"/>
    <xf numFmtId="0" fontId="46" fillId="0" borderId="4" xfId="0" applyFont="1" applyBorder="1"/>
    <xf numFmtId="0" fontId="46" fillId="0" borderId="5" xfId="0" applyFont="1" applyBorder="1"/>
    <xf numFmtId="0" fontId="46" fillId="0" borderId="6" xfId="0" applyFont="1" applyBorder="1"/>
    <xf numFmtId="0" fontId="46" fillId="0" borderId="39" xfId="0" applyFont="1" applyBorder="1"/>
    <xf numFmtId="0" fontId="46" fillId="0" borderId="56" xfId="0" applyFont="1" applyBorder="1"/>
    <xf numFmtId="0" fontId="43" fillId="0" borderId="10" xfId="0" applyFont="1" applyBorder="1"/>
    <xf numFmtId="0" fontId="43" fillId="0" borderId="41" xfId="0" applyFont="1" applyBorder="1"/>
    <xf numFmtId="0" fontId="43" fillId="0" borderId="45" xfId="0" applyFont="1" applyBorder="1"/>
    <xf numFmtId="0" fontId="43" fillId="0" borderId="43" xfId="0" applyFont="1" applyBorder="1"/>
    <xf numFmtId="9" fontId="10" fillId="10" borderId="1" xfId="1" applyFont="1" applyFill="1" applyBorder="1" applyAlignment="1">
      <alignment horizontal="center" vertical="center"/>
    </xf>
    <xf numFmtId="1" fontId="47" fillId="0" borderId="1" xfId="0" applyNumberFormat="1" applyFont="1" applyBorder="1" applyAlignment="1">
      <alignment horizontal="center" vertical="center"/>
    </xf>
    <xf numFmtId="165" fontId="53" fillId="10" borderId="42" xfId="2" applyNumberFormat="1" applyFont="1" applyFill="1" applyBorder="1" applyAlignment="1">
      <alignment horizontal="center" vertical="center" wrapText="1"/>
    </xf>
    <xf numFmtId="165" fontId="50" fillId="13" borderId="64" xfId="2" applyNumberFormat="1" applyFont="1" applyFill="1" applyBorder="1" applyAlignment="1">
      <alignment horizontal="center" vertical="center"/>
    </xf>
    <xf numFmtId="165" fontId="50" fillId="13" borderId="65" xfId="2" applyNumberFormat="1" applyFont="1" applyFill="1" applyBorder="1" applyAlignment="1">
      <alignment horizontal="center" vertical="center"/>
    </xf>
    <xf numFmtId="165" fontId="50" fillId="13" borderId="15" xfId="2" applyNumberFormat="1" applyFont="1" applyFill="1" applyBorder="1" applyAlignment="1">
      <alignment horizontal="center" vertical="center"/>
    </xf>
    <xf numFmtId="165" fontId="50" fillId="10" borderId="2" xfId="2" applyNumberFormat="1" applyFont="1" applyFill="1" applyBorder="1" applyAlignment="1">
      <alignment horizontal="center" vertical="center"/>
    </xf>
    <xf numFmtId="165" fontId="50" fillId="13" borderId="58" xfId="2" applyNumberFormat="1" applyFont="1" applyFill="1" applyBorder="1" applyAlignment="1">
      <alignment horizontal="center" vertical="center"/>
    </xf>
    <xf numFmtId="165" fontId="50" fillId="20" borderId="2" xfId="2" applyNumberFormat="1" applyFont="1" applyFill="1" applyBorder="1" applyAlignment="1">
      <alignment horizontal="center" vertical="center"/>
    </xf>
    <xf numFmtId="165" fontId="50" fillId="5" borderId="17" xfId="2" applyNumberFormat="1" applyFont="1" applyFill="1" applyBorder="1" applyAlignment="1">
      <alignment horizontal="center" vertical="center"/>
    </xf>
    <xf numFmtId="9" fontId="46" fillId="0" borderId="5" xfId="1" applyFont="1" applyBorder="1" applyAlignment="1">
      <alignment horizontal="center" vertical="center"/>
    </xf>
    <xf numFmtId="0" fontId="46" fillId="0" borderId="6" xfId="0" applyFont="1" applyBorder="1" applyAlignment="1">
      <alignment vertical="center"/>
    </xf>
    <xf numFmtId="0" fontId="47" fillId="0" borderId="7" xfId="0" applyFont="1" applyBorder="1" applyAlignment="1">
      <alignment vertical="center"/>
    </xf>
    <xf numFmtId="0" fontId="46" fillId="0" borderId="8" xfId="0" applyFont="1" applyBorder="1"/>
    <xf numFmtId="0" fontId="46" fillId="0" borderId="14" xfId="0" applyFont="1" applyBorder="1" applyAlignment="1">
      <alignment horizontal="center" vertical="center"/>
    </xf>
    <xf numFmtId="0" fontId="43" fillId="0" borderId="41" xfId="0" applyFont="1" applyBorder="1" applyAlignment="1">
      <alignment horizontal="center" vertical="center"/>
    </xf>
    <xf numFmtId="0" fontId="43" fillId="0" borderId="45" xfId="0" applyFont="1" applyBorder="1" applyAlignment="1">
      <alignment horizontal="center" vertical="center"/>
    </xf>
    <xf numFmtId="1" fontId="47" fillId="5" borderId="1" xfId="0" applyNumberFormat="1" applyFont="1" applyFill="1" applyBorder="1" applyAlignment="1">
      <alignment horizontal="center" vertical="center"/>
    </xf>
    <xf numFmtId="1" fontId="47" fillId="23" borderId="1" xfId="0" applyNumberFormat="1" applyFont="1" applyFill="1" applyBorder="1" applyAlignment="1">
      <alignment horizontal="center" vertical="center"/>
    </xf>
    <xf numFmtId="0" fontId="46" fillId="0" borderId="31" xfId="0" applyFont="1" applyBorder="1" applyAlignment="1">
      <alignment horizontal="center"/>
    </xf>
    <xf numFmtId="0" fontId="46" fillId="0" borderId="0" xfId="0" applyFont="1" applyBorder="1" applyAlignment="1">
      <alignment horizontal="center"/>
    </xf>
    <xf numFmtId="1" fontId="47" fillId="0" borderId="1" xfId="0" applyNumberFormat="1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164" fontId="8" fillId="5" borderId="5" xfId="2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164" fontId="8" fillId="5" borderId="8" xfId="2" applyFont="1" applyFill="1" applyBorder="1" applyAlignment="1">
      <alignment horizontal="center" vertical="center"/>
    </xf>
    <xf numFmtId="2" fontId="0" fillId="23" borderId="4" xfId="0" applyNumberFormat="1" applyFont="1" applyFill="1" applyBorder="1" applyAlignment="1">
      <alignment horizontal="center" vertical="center"/>
    </xf>
    <xf numFmtId="164" fontId="8" fillId="23" borderId="5" xfId="2" applyFont="1" applyFill="1" applyBorder="1" applyAlignment="1">
      <alignment horizontal="center" vertical="center"/>
    </xf>
    <xf numFmtId="0" fontId="43" fillId="0" borderId="42" xfId="0" applyFont="1" applyBorder="1" applyAlignment="1">
      <alignment horizontal="center" vertical="center"/>
    </xf>
    <xf numFmtId="9" fontId="46" fillId="5" borderId="2" xfId="1" applyFont="1" applyFill="1" applyBorder="1" applyAlignment="1">
      <alignment horizontal="center" vertical="center"/>
    </xf>
    <xf numFmtId="9" fontId="46" fillId="0" borderId="2" xfId="1" applyFont="1" applyBorder="1" applyAlignment="1">
      <alignment horizontal="center" vertical="center"/>
    </xf>
    <xf numFmtId="9" fontId="46" fillId="0" borderId="2" xfId="1" applyFont="1" applyFill="1" applyBorder="1" applyAlignment="1">
      <alignment horizontal="center" vertical="center"/>
    </xf>
    <xf numFmtId="9" fontId="46" fillId="23" borderId="2" xfId="1" applyFont="1" applyFill="1" applyBorder="1" applyAlignment="1">
      <alignment horizontal="center" vertical="center"/>
    </xf>
    <xf numFmtId="0" fontId="46" fillId="0" borderId="67" xfId="0" applyFont="1" applyBorder="1"/>
    <xf numFmtId="0" fontId="43" fillId="0" borderId="3" xfId="0" applyFont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/>
    </xf>
    <xf numFmtId="2" fontId="7" fillId="3" borderId="5" xfId="0" applyNumberFormat="1" applyFont="1" applyFill="1" applyBorder="1" applyAlignment="1">
      <alignment horizontal="center" vertical="center"/>
    </xf>
    <xf numFmtId="43" fontId="7" fillId="3" borderId="5" xfId="0" applyNumberFormat="1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2" fontId="7" fillId="3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6" fillId="5" borderId="4" xfId="0" applyFont="1" applyFill="1" applyBorder="1" applyAlignment="1">
      <alignment horizontal="center"/>
    </xf>
    <xf numFmtId="2" fontId="46" fillId="5" borderId="5" xfId="0" applyNumberFormat="1" applyFont="1" applyFill="1" applyBorder="1" applyAlignment="1">
      <alignment horizontal="center"/>
    </xf>
    <xf numFmtId="2" fontId="46" fillId="0" borderId="3" xfId="0" applyNumberFormat="1" applyFont="1" applyBorder="1" applyAlignment="1">
      <alignment horizontal="center"/>
    </xf>
    <xf numFmtId="0" fontId="46" fillId="0" borderId="4" xfId="0" applyFont="1" applyFill="1" applyBorder="1" applyAlignment="1">
      <alignment horizontal="center"/>
    </xf>
    <xf numFmtId="2" fontId="46" fillId="0" borderId="5" xfId="0" applyNumberFormat="1" applyFont="1" applyFill="1" applyBorder="1" applyAlignment="1">
      <alignment horizontal="center"/>
    </xf>
    <xf numFmtId="0" fontId="46" fillId="0" borderId="3" xfId="0" applyFont="1" applyBorder="1" applyAlignment="1">
      <alignment horizontal="center"/>
    </xf>
    <xf numFmtId="0" fontId="47" fillId="0" borderId="3" xfId="0" applyFont="1" applyBorder="1" applyAlignment="1">
      <alignment horizontal="center"/>
    </xf>
    <xf numFmtId="43" fontId="46" fillId="0" borderId="3" xfId="0" applyNumberFormat="1" applyFont="1" applyBorder="1" applyAlignment="1">
      <alignment horizontal="center"/>
    </xf>
    <xf numFmtId="43" fontId="46" fillId="0" borderId="18" xfId="0" applyNumberFormat="1" applyFont="1" applyBorder="1" applyAlignment="1">
      <alignment horizontal="center"/>
    </xf>
    <xf numFmtId="1" fontId="40" fillId="10" borderId="1" xfId="0" applyNumberFormat="1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14" fontId="1" fillId="10" borderId="41" xfId="0" applyNumberFormat="1" applyFont="1" applyFill="1" applyBorder="1" applyAlignment="1">
      <alignment horizontal="center"/>
    </xf>
    <xf numFmtId="14" fontId="1" fillId="10" borderId="43" xfId="0" applyNumberFormat="1" applyFont="1" applyFill="1" applyBorder="1" applyAlignment="1">
      <alignment horizontal="center"/>
    </xf>
    <xf numFmtId="14" fontId="1" fillId="14" borderId="41" xfId="0" applyNumberFormat="1" applyFont="1" applyFill="1" applyBorder="1" applyAlignment="1">
      <alignment horizontal="center"/>
    </xf>
    <xf numFmtId="14" fontId="1" fillId="14" borderId="43" xfId="0" applyNumberFormat="1" applyFont="1" applyFill="1" applyBorder="1" applyAlignment="1">
      <alignment horizontal="center"/>
    </xf>
    <xf numFmtId="0" fontId="10" fillId="8" borderId="10" xfId="0" applyFont="1" applyFill="1" applyBorder="1" applyAlignment="1">
      <alignment horizontal="center" vertical="center"/>
    </xf>
    <xf numFmtId="0" fontId="10" fillId="8" borderId="11" xfId="0" applyFont="1" applyFill="1" applyBorder="1" applyAlignment="1">
      <alignment horizontal="center" vertical="center"/>
    </xf>
    <xf numFmtId="0" fontId="10" fillId="8" borderId="12" xfId="0" applyFont="1" applyFill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10" fillId="0" borderId="54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0" fillId="15" borderId="10" xfId="0" applyFont="1" applyFill="1" applyBorder="1" applyAlignment="1">
      <alignment horizontal="center" vertical="center"/>
    </xf>
    <xf numFmtId="0" fontId="10" fillId="15" borderId="11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14" fontId="1" fillId="6" borderId="44" xfId="0" applyNumberFormat="1" applyFont="1" applyFill="1" applyBorder="1" applyAlignment="1">
      <alignment horizontal="center"/>
    </xf>
    <xf numFmtId="14" fontId="1" fillId="6" borderId="43" xfId="0" applyNumberFormat="1" applyFont="1" applyFill="1" applyBorder="1" applyAlignment="1">
      <alignment horizontal="center"/>
    </xf>
    <xf numFmtId="14" fontId="1" fillId="16" borderId="44" xfId="0" applyNumberFormat="1" applyFont="1" applyFill="1" applyBorder="1" applyAlignment="1">
      <alignment horizontal="center"/>
    </xf>
    <xf numFmtId="14" fontId="1" fillId="16" borderId="43" xfId="0" applyNumberFormat="1" applyFont="1" applyFill="1" applyBorder="1" applyAlignment="1">
      <alignment horizontal="center"/>
    </xf>
    <xf numFmtId="1" fontId="1" fillId="0" borderId="10" xfId="0" applyNumberFormat="1" applyFont="1" applyBorder="1" applyAlignment="1">
      <alignment horizontal="center"/>
    </xf>
    <xf numFmtId="1" fontId="1" fillId="0" borderId="11" xfId="0" applyNumberFormat="1" applyFont="1" applyBorder="1" applyAlignment="1">
      <alignment horizontal="center"/>
    </xf>
    <xf numFmtId="1" fontId="1" fillId="0" borderId="12" xfId="0" applyNumberFormat="1" applyFont="1" applyBorder="1" applyAlignment="1">
      <alignment horizontal="center"/>
    </xf>
    <xf numFmtId="0" fontId="10" fillId="8" borderId="20" xfId="0" applyFont="1" applyFill="1" applyBorder="1" applyAlignment="1">
      <alignment horizontal="center" vertical="center"/>
    </xf>
    <xf numFmtId="0" fontId="10" fillId="8" borderId="19" xfId="0" applyFont="1" applyFill="1" applyBorder="1" applyAlignment="1">
      <alignment horizontal="center" vertical="center"/>
    </xf>
    <xf numFmtId="0" fontId="10" fillId="8" borderId="29" xfId="0" applyFont="1" applyFill="1" applyBorder="1" applyAlignment="1">
      <alignment horizontal="center" vertical="center"/>
    </xf>
    <xf numFmtId="0" fontId="10" fillId="8" borderId="30" xfId="0" applyFont="1" applyFill="1" applyBorder="1" applyAlignment="1">
      <alignment horizontal="center" vertical="center"/>
    </xf>
    <xf numFmtId="0" fontId="10" fillId="12" borderId="20" xfId="0" applyFont="1" applyFill="1" applyBorder="1" applyAlignment="1">
      <alignment horizontal="center" vertical="center"/>
    </xf>
    <xf numFmtId="0" fontId="10" fillId="12" borderId="9" xfId="0" applyFont="1" applyFill="1" applyBorder="1" applyAlignment="1">
      <alignment horizontal="center" vertical="center"/>
    </xf>
    <xf numFmtId="1" fontId="11" fillId="7" borderId="42" xfId="2" applyNumberFormat="1" applyFont="1" applyFill="1" applyBorder="1" applyAlignment="1">
      <alignment horizontal="center" vertical="center"/>
    </xf>
    <xf numFmtId="1" fontId="11" fillId="7" borderId="11" xfId="2" applyNumberFormat="1" applyFont="1" applyFill="1" applyBorder="1" applyAlignment="1">
      <alignment horizontal="center" vertical="center"/>
    </xf>
    <xf numFmtId="1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42" fillId="22" borderId="10" xfId="0" applyFont="1" applyFill="1" applyBorder="1" applyAlignment="1">
      <alignment horizontal="center" vertical="center"/>
    </xf>
    <xf numFmtId="0" fontId="42" fillId="22" borderId="11" xfId="0" applyFont="1" applyFill="1" applyBorder="1" applyAlignment="1">
      <alignment horizontal="center" vertical="center"/>
    </xf>
    <xf numFmtId="0" fontId="42" fillId="22" borderId="12" xfId="0" applyFont="1" applyFill="1" applyBorder="1" applyAlignment="1">
      <alignment horizontal="center" vertical="center"/>
    </xf>
    <xf numFmtId="0" fontId="46" fillId="0" borderId="10" xfId="0" applyFont="1" applyBorder="1" applyAlignment="1">
      <alignment horizontal="center" vertical="center"/>
    </xf>
    <xf numFmtId="0" fontId="46" fillId="0" borderId="11" xfId="0" applyFont="1" applyBorder="1" applyAlignment="1">
      <alignment horizontal="center" vertical="center"/>
    </xf>
    <xf numFmtId="0" fontId="46" fillId="0" borderId="12" xfId="0" applyFont="1" applyBorder="1" applyAlignment="1">
      <alignment horizontal="center" vertical="center"/>
    </xf>
    <xf numFmtId="0" fontId="1" fillId="22" borderId="10" xfId="0" applyFont="1" applyFill="1" applyBorder="1" applyAlignment="1">
      <alignment horizontal="center" vertical="center"/>
    </xf>
    <xf numFmtId="0" fontId="1" fillId="22" borderId="11" xfId="0" applyFont="1" applyFill="1" applyBorder="1" applyAlignment="1">
      <alignment horizontal="center" vertical="center"/>
    </xf>
    <xf numFmtId="0" fontId="1" fillId="22" borderId="12" xfId="0" applyFont="1" applyFill="1" applyBorder="1" applyAlignment="1">
      <alignment horizontal="center" vertical="center"/>
    </xf>
    <xf numFmtId="1" fontId="47" fillId="0" borderId="1" xfId="0" applyNumberFormat="1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47" fillId="13" borderId="41" xfId="0" applyFont="1" applyFill="1" applyBorder="1" applyAlignment="1">
      <alignment horizontal="center"/>
    </xf>
    <xf numFmtId="0" fontId="47" fillId="13" borderId="45" xfId="0" applyFont="1" applyFill="1" applyBorder="1" applyAlignment="1">
      <alignment horizontal="center"/>
    </xf>
    <xf numFmtId="0" fontId="47" fillId="13" borderId="43" xfId="0" applyFont="1" applyFill="1" applyBorder="1" applyAlignment="1">
      <alignment horizontal="center"/>
    </xf>
    <xf numFmtId="1" fontId="49" fillId="8" borderId="25" xfId="0" applyNumberFormat="1" applyFont="1" applyFill="1" applyBorder="1" applyAlignment="1">
      <alignment horizontal="center" vertical="center"/>
    </xf>
    <xf numFmtId="1" fontId="49" fillId="8" borderId="18" xfId="0" applyNumberFormat="1" applyFont="1" applyFill="1" applyBorder="1" applyAlignment="1">
      <alignment horizontal="center" vertical="center"/>
    </xf>
    <xf numFmtId="0" fontId="21" fillId="19" borderId="10" xfId="0" applyFont="1" applyFill="1" applyBorder="1" applyAlignment="1">
      <alignment horizontal="center" vertical="center"/>
    </xf>
    <xf numFmtId="0" fontId="21" fillId="19" borderId="11" xfId="0" applyFont="1" applyFill="1" applyBorder="1" applyAlignment="1">
      <alignment horizontal="center" vertical="center"/>
    </xf>
    <xf numFmtId="0" fontId="21" fillId="19" borderId="12" xfId="0" applyFont="1" applyFill="1" applyBorder="1" applyAlignment="1">
      <alignment horizontal="center" vertical="center"/>
    </xf>
    <xf numFmtId="1" fontId="21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" fontId="21" fillId="0" borderId="27" xfId="0" applyNumberFormat="1" applyFont="1" applyBorder="1" applyAlignment="1">
      <alignment horizontal="center" vertical="center"/>
    </xf>
    <xf numFmtId="1" fontId="21" fillId="0" borderId="67" xfId="0" applyNumberFormat="1" applyFont="1" applyBorder="1" applyAlignment="1">
      <alignment horizontal="center" vertical="center"/>
    </xf>
    <xf numFmtId="0" fontId="21" fillId="22" borderId="10" xfId="0" applyFont="1" applyFill="1" applyBorder="1" applyAlignment="1">
      <alignment horizontal="center" vertical="center"/>
    </xf>
    <xf numFmtId="0" fontId="21" fillId="22" borderId="11" xfId="0" applyFont="1" applyFill="1" applyBorder="1" applyAlignment="1">
      <alignment horizontal="center" vertical="center"/>
    </xf>
    <xf numFmtId="0" fontId="21" fillId="22" borderId="12" xfId="0" applyFont="1" applyFill="1" applyBorder="1" applyAlignment="1">
      <alignment horizontal="center" vertical="center"/>
    </xf>
    <xf numFmtId="14" fontId="10" fillId="8" borderId="20" xfId="0" applyNumberFormat="1" applyFont="1" applyFill="1" applyBorder="1" applyAlignment="1">
      <alignment horizontal="center" vertical="center"/>
    </xf>
    <xf numFmtId="14" fontId="10" fillId="8" borderId="9" xfId="0" applyNumberFormat="1" applyFont="1" applyFill="1" applyBorder="1" applyAlignment="1">
      <alignment horizontal="center" vertical="center"/>
    </xf>
    <xf numFmtId="14" fontId="10" fillId="8" borderId="19" xfId="0" applyNumberFormat="1" applyFont="1" applyFill="1" applyBorder="1" applyAlignment="1">
      <alignment horizontal="center" vertical="center"/>
    </xf>
    <xf numFmtId="14" fontId="10" fillId="8" borderId="29" xfId="0" applyNumberFormat="1" applyFont="1" applyFill="1" applyBorder="1" applyAlignment="1">
      <alignment horizontal="center" vertical="center"/>
    </xf>
    <xf numFmtId="14" fontId="10" fillId="8" borderId="28" xfId="0" applyNumberFormat="1" applyFont="1" applyFill="1" applyBorder="1" applyAlignment="1">
      <alignment horizontal="center" vertical="center"/>
    </xf>
    <xf numFmtId="14" fontId="10" fillId="8" borderId="30" xfId="0" applyNumberFormat="1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10" fillId="0" borderId="40" xfId="0" applyFont="1" applyBorder="1" applyAlignment="1">
      <alignment horizontal="center" vertical="center"/>
    </xf>
    <xf numFmtId="0" fontId="10" fillId="8" borderId="31" xfId="0" applyFont="1" applyFill="1" applyBorder="1" applyAlignment="1">
      <alignment horizontal="center" vertical="center"/>
    </xf>
    <xf numFmtId="0" fontId="10" fillId="8" borderId="32" xfId="0" applyFont="1" applyFill="1" applyBorder="1" applyAlignment="1">
      <alignment horizontal="center" vertical="center"/>
    </xf>
    <xf numFmtId="0" fontId="10" fillId="8" borderId="34" xfId="0" applyFont="1" applyFill="1" applyBorder="1" applyAlignment="1">
      <alignment horizontal="center" vertical="center"/>
    </xf>
    <xf numFmtId="0" fontId="10" fillId="8" borderId="48" xfId="0" applyFont="1" applyFill="1" applyBorder="1" applyAlignment="1">
      <alignment horizontal="center" vertical="center"/>
    </xf>
    <xf numFmtId="0" fontId="13" fillId="8" borderId="13" xfId="0" applyFont="1" applyFill="1" applyBorder="1" applyAlignment="1">
      <alignment horizontal="center" vertical="center"/>
    </xf>
    <xf numFmtId="0" fontId="13" fillId="8" borderId="15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13" fillId="8" borderId="2" xfId="0" applyFont="1" applyFill="1" applyBorder="1" applyAlignment="1">
      <alignment horizontal="center" vertical="center"/>
    </xf>
    <xf numFmtId="0" fontId="10" fillId="8" borderId="28" xfId="0" applyFont="1" applyFill="1" applyBorder="1" applyAlignment="1">
      <alignment horizontal="center" vertical="center"/>
    </xf>
    <xf numFmtId="0" fontId="10" fillId="11" borderId="24" xfId="0" applyFont="1" applyFill="1" applyBorder="1" applyAlignment="1">
      <alignment horizontal="center" vertical="center"/>
    </xf>
    <xf numFmtId="0" fontId="10" fillId="11" borderId="40" xfId="0" applyFont="1" applyFill="1" applyBorder="1" applyAlignment="1">
      <alignment horizontal="center" vertical="center"/>
    </xf>
    <xf numFmtId="0" fontId="10" fillId="11" borderId="10" xfId="0" applyFont="1" applyFill="1" applyBorder="1" applyAlignment="1">
      <alignment horizontal="center" vertical="center"/>
    </xf>
    <xf numFmtId="0" fontId="10" fillId="11" borderId="11" xfId="0" applyFont="1" applyFill="1" applyBorder="1" applyAlignment="1">
      <alignment horizontal="center" vertical="center"/>
    </xf>
    <xf numFmtId="1" fontId="1" fillId="3" borderId="20" xfId="0" applyNumberFormat="1" applyFont="1" applyFill="1" applyBorder="1" applyAlignment="1">
      <alignment horizontal="center" vertical="center"/>
    </xf>
    <xf numFmtId="1" fontId="1" fillId="3" borderId="9" xfId="0" applyNumberFormat="1" applyFont="1" applyFill="1" applyBorder="1" applyAlignment="1">
      <alignment horizontal="center" vertical="center"/>
    </xf>
    <xf numFmtId="1" fontId="1" fillId="3" borderId="19" xfId="0" applyNumberFormat="1" applyFont="1" applyFill="1" applyBorder="1" applyAlignment="1">
      <alignment horizontal="center" vertical="center"/>
    </xf>
    <xf numFmtId="1" fontId="1" fillId="3" borderId="29" xfId="0" applyNumberFormat="1" applyFont="1" applyFill="1" applyBorder="1" applyAlignment="1">
      <alignment horizontal="center" vertical="center"/>
    </xf>
    <xf numFmtId="1" fontId="1" fillId="3" borderId="28" xfId="0" applyNumberFormat="1" applyFont="1" applyFill="1" applyBorder="1" applyAlignment="1">
      <alignment horizontal="center" vertical="center"/>
    </xf>
    <xf numFmtId="1" fontId="1" fillId="3" borderId="30" xfId="0" applyNumberFormat="1" applyFont="1" applyFill="1" applyBorder="1" applyAlignment="1">
      <alignment horizontal="center" vertical="center"/>
    </xf>
    <xf numFmtId="0" fontId="10" fillId="12" borderId="24" xfId="0" applyFont="1" applyFill="1" applyBorder="1" applyAlignment="1">
      <alignment horizontal="center" vertical="center"/>
    </xf>
    <xf numFmtId="0" fontId="10" fillId="12" borderId="40" xfId="0" applyFont="1" applyFill="1" applyBorder="1" applyAlignment="1">
      <alignment horizontal="center" vertical="center"/>
    </xf>
    <xf numFmtId="0" fontId="10" fillId="12" borderId="10" xfId="0" applyFont="1" applyFill="1" applyBorder="1" applyAlignment="1">
      <alignment horizontal="center" vertical="center"/>
    </xf>
    <xf numFmtId="0" fontId="10" fillId="12" borderId="11" xfId="0" applyFont="1" applyFill="1" applyBorder="1" applyAlignment="1">
      <alignment horizontal="center" vertical="center"/>
    </xf>
    <xf numFmtId="0" fontId="11" fillId="5" borderId="25" xfId="0" applyFont="1" applyFill="1" applyBorder="1" applyAlignment="1">
      <alignment horizontal="center" vertical="center"/>
    </xf>
    <xf numFmtId="0" fontId="11" fillId="5" borderId="49" xfId="0" applyFont="1" applyFill="1" applyBorder="1" applyAlignment="1">
      <alignment horizontal="center" vertical="center"/>
    </xf>
    <xf numFmtId="1" fontId="11" fillId="7" borderId="57" xfId="2" applyNumberFormat="1" applyFont="1" applyFill="1" applyBorder="1" applyAlignment="1">
      <alignment horizontal="center" vertical="center"/>
    </xf>
    <xf numFmtId="1" fontId="11" fillId="7" borderId="55" xfId="2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right" vertical="center"/>
    </xf>
    <xf numFmtId="0" fontId="1" fillId="0" borderId="9" xfId="0" applyFont="1" applyBorder="1" applyAlignment="1">
      <alignment horizontal="right" vertical="center"/>
    </xf>
    <xf numFmtId="0" fontId="1" fillId="0" borderId="19" xfId="0" applyFont="1" applyBorder="1" applyAlignment="1">
      <alignment horizontal="right" vertical="center"/>
    </xf>
    <xf numFmtId="0" fontId="1" fillId="0" borderId="29" xfId="0" applyFont="1" applyBorder="1" applyAlignment="1">
      <alignment horizontal="right" vertical="center"/>
    </xf>
    <xf numFmtId="0" fontId="1" fillId="0" borderId="28" xfId="0" applyFont="1" applyBorder="1" applyAlignment="1">
      <alignment horizontal="right" vertical="center"/>
    </xf>
    <xf numFmtId="0" fontId="1" fillId="0" borderId="30" xfId="0" applyFont="1" applyBorder="1" applyAlignment="1">
      <alignment horizontal="right" vertical="center"/>
    </xf>
    <xf numFmtId="0" fontId="1" fillId="0" borderId="31" xfId="0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1" fillId="0" borderId="32" xfId="0" applyFont="1" applyBorder="1" applyAlignment="1">
      <alignment horizontal="right" vertical="center"/>
    </xf>
    <xf numFmtId="0" fontId="5" fillId="3" borderId="10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9" fontId="35" fillId="0" borderId="60" xfId="0" applyNumberFormat="1" applyFont="1" applyBorder="1" applyAlignment="1">
      <alignment horizontal="center" vertical="center" wrapText="1"/>
    </xf>
    <xf numFmtId="9" fontId="35" fillId="0" borderId="47" xfId="0" applyNumberFormat="1" applyFont="1" applyBorder="1" applyAlignment="1">
      <alignment horizontal="center" vertical="center" wrapText="1"/>
    </xf>
    <xf numFmtId="165" fontId="35" fillId="0" borderId="19" xfId="2" applyNumberFormat="1" applyFont="1" applyBorder="1" applyAlignment="1">
      <alignment horizontal="center" vertical="center" wrapText="1"/>
    </xf>
    <xf numFmtId="165" fontId="35" fillId="0" borderId="30" xfId="2" applyNumberFormat="1" applyFont="1" applyBorder="1" applyAlignment="1">
      <alignment horizontal="center" vertical="center" wrapText="1"/>
    </xf>
    <xf numFmtId="0" fontId="44" fillId="9" borderId="21" xfId="0" applyFont="1" applyFill="1" applyBorder="1" applyAlignment="1">
      <alignment horizontal="center"/>
    </xf>
    <xf numFmtId="0" fontId="44" fillId="9" borderId="22" xfId="0" applyFont="1" applyFill="1" applyBorder="1" applyAlignment="1">
      <alignment horizontal="center"/>
    </xf>
    <xf numFmtId="0" fontId="44" fillId="9" borderId="26" xfId="0" applyFont="1" applyFill="1" applyBorder="1" applyAlignment="1">
      <alignment horizontal="center"/>
    </xf>
    <xf numFmtId="9" fontId="44" fillId="9" borderId="70" xfId="1" applyFont="1" applyFill="1" applyBorder="1" applyAlignment="1">
      <alignment horizontal="center"/>
    </xf>
    <xf numFmtId="9" fontId="44" fillId="9" borderId="22" xfId="1" applyFont="1" applyFill="1" applyBorder="1" applyAlignment="1">
      <alignment horizontal="center"/>
    </xf>
    <xf numFmtId="9" fontId="44" fillId="9" borderId="26" xfId="1" applyFont="1" applyFill="1" applyBorder="1" applyAlignment="1">
      <alignment horizontal="center"/>
    </xf>
    <xf numFmtId="9" fontId="43" fillId="9" borderId="10" xfId="1" applyFont="1" applyFill="1" applyBorder="1" applyAlignment="1">
      <alignment horizontal="center" wrapText="1"/>
    </xf>
    <xf numFmtId="9" fontId="43" fillId="9" borderId="11" xfId="1" applyFont="1" applyFill="1" applyBorder="1" applyAlignment="1">
      <alignment horizontal="center" wrapText="1"/>
    </xf>
    <xf numFmtId="9" fontId="43" fillId="9" borderId="12" xfId="1" applyFont="1" applyFill="1" applyBorder="1" applyAlignment="1">
      <alignment horizontal="center" wrapText="1"/>
    </xf>
    <xf numFmtId="9" fontId="44" fillId="9" borderId="10" xfId="1" applyFont="1" applyFill="1" applyBorder="1" applyAlignment="1">
      <alignment horizontal="center"/>
    </xf>
    <xf numFmtId="9" fontId="44" fillId="9" borderId="11" xfId="1" applyFont="1" applyFill="1" applyBorder="1" applyAlignment="1">
      <alignment horizontal="center"/>
    </xf>
    <xf numFmtId="9" fontId="44" fillId="9" borderId="12" xfId="1" applyFont="1" applyFill="1" applyBorder="1" applyAlignment="1">
      <alignment horizontal="center"/>
    </xf>
    <xf numFmtId="9" fontId="43" fillId="9" borderId="71" xfId="1" applyFont="1" applyFill="1" applyBorder="1" applyAlignment="1">
      <alignment horizontal="center"/>
    </xf>
    <xf numFmtId="9" fontId="43" fillId="9" borderId="72" xfId="1" applyFont="1" applyFill="1" applyBorder="1" applyAlignment="1">
      <alignment horizontal="center"/>
    </xf>
    <xf numFmtId="9" fontId="43" fillId="9" borderId="73" xfId="1" applyFont="1" applyFill="1" applyBorder="1" applyAlignment="1">
      <alignment horizontal="center"/>
    </xf>
    <xf numFmtId="0" fontId="7" fillId="0" borderId="20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22" borderId="71" xfId="0" applyFont="1" applyFill="1" applyBorder="1" applyAlignment="1">
      <alignment horizontal="center" vertical="center" wrapText="1"/>
    </xf>
    <xf numFmtId="0" fontId="7" fillId="22" borderId="4" xfId="0" applyFont="1" applyFill="1" applyBorder="1" applyAlignment="1">
      <alignment horizontal="center" vertical="center" wrapText="1"/>
    </xf>
    <xf numFmtId="0" fontId="7" fillId="22" borderId="73" xfId="0" applyFont="1" applyFill="1" applyBorder="1" applyAlignment="1">
      <alignment horizontal="center" vertical="center" wrapText="1"/>
    </xf>
    <xf numFmtId="0" fontId="7" fillId="22" borderId="5" xfId="0" applyFont="1" applyFill="1" applyBorder="1" applyAlignment="1">
      <alignment horizontal="center" vertical="center" wrapText="1"/>
    </xf>
    <xf numFmtId="1" fontId="47" fillId="0" borderId="13" xfId="0" applyNumberFormat="1" applyFont="1" applyBorder="1" applyAlignment="1">
      <alignment horizontal="center" vertical="center"/>
    </xf>
    <xf numFmtId="0" fontId="47" fillId="0" borderId="13" xfId="0" applyFont="1" applyBorder="1" applyAlignment="1">
      <alignment horizontal="center" vertical="center"/>
    </xf>
    <xf numFmtId="1" fontId="5" fillId="0" borderId="13" xfId="0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FF00"/>
      <color rgb="FFCCFF66"/>
      <color rgb="FFCCFFCC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0"/>
  <sheetViews>
    <sheetView zoomScale="85" zoomScaleNormal="85" workbookViewId="0">
      <selection activeCell="F29" sqref="F29"/>
    </sheetView>
  </sheetViews>
  <sheetFormatPr defaultRowHeight="15" x14ac:dyDescent="0.25"/>
  <cols>
    <col min="6" max="6" width="9" customWidth="1"/>
    <col min="8" max="9" width="10.7109375" bestFit="1" customWidth="1"/>
    <col min="10" max="10" width="9.85546875" customWidth="1"/>
    <col min="11" max="11" width="10.7109375" bestFit="1" customWidth="1"/>
    <col min="12" max="12" width="9.42578125" customWidth="1"/>
    <col min="13" max="13" width="10.7109375" bestFit="1" customWidth="1"/>
    <col min="14" max="14" width="11" style="34" customWidth="1"/>
    <col min="15" max="15" width="10.140625" customWidth="1"/>
    <col min="16" max="16" width="10.28515625" style="34" customWidth="1"/>
  </cols>
  <sheetData>
    <row r="1" spans="2:16" ht="15.75" thickBot="1" x14ac:dyDescent="0.3"/>
    <row r="2" spans="2:16" ht="21.75" thickBot="1" x14ac:dyDescent="0.4">
      <c r="B2" s="735" t="s">
        <v>45</v>
      </c>
      <c r="C2" s="736"/>
      <c r="D2" s="736"/>
      <c r="E2" s="736"/>
      <c r="F2" s="736"/>
      <c r="G2" s="736"/>
      <c r="H2" s="736"/>
      <c r="I2" s="736"/>
      <c r="J2" s="736"/>
      <c r="K2" s="736"/>
      <c r="L2" s="736"/>
      <c r="M2" s="736"/>
      <c r="N2" s="736"/>
      <c r="O2" s="736"/>
      <c r="P2" s="737"/>
    </row>
    <row r="3" spans="2:16" ht="19.5" thickBot="1" x14ac:dyDescent="0.35">
      <c r="B3" s="760" t="s">
        <v>2</v>
      </c>
      <c r="C3" s="761"/>
      <c r="D3" s="742" t="s">
        <v>40</v>
      </c>
      <c r="E3" s="743"/>
      <c r="F3" s="743"/>
      <c r="G3" s="743"/>
      <c r="H3" s="744"/>
      <c r="I3" s="738" t="s">
        <v>38</v>
      </c>
      <c r="J3" s="739"/>
      <c r="K3" s="740" t="s">
        <v>39</v>
      </c>
      <c r="L3" s="741"/>
      <c r="M3" s="753" t="s">
        <v>28</v>
      </c>
      <c r="N3" s="754"/>
      <c r="O3" s="755" t="s">
        <v>34</v>
      </c>
      <c r="P3" s="756"/>
    </row>
    <row r="4" spans="2:16" ht="38.25" thickBot="1" x14ac:dyDescent="0.3">
      <c r="B4" s="762"/>
      <c r="C4" s="763"/>
      <c r="D4" s="61" t="s">
        <v>24</v>
      </c>
      <c r="E4" s="53" t="s">
        <v>28</v>
      </c>
      <c r="F4" s="55" t="s">
        <v>7</v>
      </c>
      <c r="G4" s="56" t="s">
        <v>23</v>
      </c>
      <c r="H4" s="57" t="s">
        <v>31</v>
      </c>
      <c r="I4" s="28" t="s">
        <v>41</v>
      </c>
      <c r="J4" s="62" t="s">
        <v>43</v>
      </c>
      <c r="K4" s="28" t="s">
        <v>42</v>
      </c>
      <c r="L4" s="62" t="s">
        <v>44</v>
      </c>
      <c r="M4" s="24" t="s">
        <v>36</v>
      </c>
      <c r="N4" s="35" t="s">
        <v>33</v>
      </c>
      <c r="O4" s="33" t="s">
        <v>32</v>
      </c>
      <c r="P4" s="33" t="s">
        <v>35</v>
      </c>
    </row>
    <row r="5" spans="2:16" ht="18.75" x14ac:dyDescent="0.25">
      <c r="B5" s="751" t="s">
        <v>8</v>
      </c>
      <c r="C5" s="752"/>
      <c r="D5" s="50">
        <v>300</v>
      </c>
      <c r="E5" s="63">
        <v>203.94</v>
      </c>
      <c r="F5" s="38">
        <v>180.10999999999999</v>
      </c>
      <c r="G5" s="39">
        <v>6.8</v>
      </c>
      <c r="H5" s="67">
        <v>186.91</v>
      </c>
      <c r="I5" s="38">
        <v>72</v>
      </c>
      <c r="J5" s="40">
        <v>68</v>
      </c>
      <c r="K5" s="38">
        <v>50</v>
      </c>
      <c r="L5" s="40">
        <v>25</v>
      </c>
      <c r="M5" s="40">
        <f>E5+I5+K5</f>
        <v>325.94</v>
      </c>
      <c r="N5" s="41">
        <f>M5/D5</f>
        <v>1.0864666666666667</v>
      </c>
      <c r="O5" s="40">
        <f>H5+J5+L5</f>
        <v>279.90999999999997</v>
      </c>
      <c r="P5" s="41">
        <f>O5/D5</f>
        <v>0.93303333333333327</v>
      </c>
    </row>
    <row r="6" spans="2:16" ht="18.75" x14ac:dyDescent="0.25">
      <c r="B6" s="745" t="s">
        <v>9</v>
      </c>
      <c r="C6" s="746"/>
      <c r="D6" s="50">
        <v>275</v>
      </c>
      <c r="E6" s="63">
        <v>53.339999999999996</v>
      </c>
      <c r="F6" s="44">
        <v>16.709999999999997</v>
      </c>
      <c r="G6" s="42">
        <v>7</v>
      </c>
      <c r="H6" s="68">
        <v>23.709999999999997</v>
      </c>
      <c r="I6" s="44">
        <v>70</v>
      </c>
      <c r="J6" s="43">
        <v>50</v>
      </c>
      <c r="K6" s="44">
        <v>50</v>
      </c>
      <c r="L6" s="43">
        <v>50</v>
      </c>
      <c r="M6" s="43">
        <f t="shared" ref="M6:M17" si="0">E6+I6+K6</f>
        <v>173.34</v>
      </c>
      <c r="N6" s="45">
        <f t="shared" ref="N6:N17" si="1">M6/D6</f>
        <v>0.63032727272727274</v>
      </c>
      <c r="O6" s="40">
        <f t="shared" ref="O6:O17" si="2">H6+J6+L6</f>
        <v>123.71</v>
      </c>
      <c r="P6" s="41">
        <f t="shared" ref="P6:P17" si="3">O6/D6</f>
        <v>0.44985454545454545</v>
      </c>
    </row>
    <row r="7" spans="2:16" ht="18.75" x14ac:dyDescent="0.25">
      <c r="B7" s="745" t="s">
        <v>10</v>
      </c>
      <c r="C7" s="746"/>
      <c r="D7" s="50">
        <v>100</v>
      </c>
      <c r="E7" s="63">
        <v>60.07</v>
      </c>
      <c r="F7" s="44">
        <v>10.600000000000001</v>
      </c>
      <c r="G7" s="42">
        <v>28</v>
      </c>
      <c r="H7" s="68">
        <v>38.6</v>
      </c>
      <c r="I7" s="44">
        <v>14</v>
      </c>
      <c r="J7" s="43">
        <v>2</v>
      </c>
      <c r="K7" s="44">
        <v>12</v>
      </c>
      <c r="L7" s="43">
        <v>2</v>
      </c>
      <c r="M7" s="43">
        <f t="shared" si="0"/>
        <v>86.07</v>
      </c>
      <c r="N7" s="45">
        <f t="shared" si="1"/>
        <v>0.86069999999999991</v>
      </c>
      <c r="O7" s="40">
        <f t="shared" si="2"/>
        <v>42.6</v>
      </c>
      <c r="P7" s="41">
        <f t="shared" si="3"/>
        <v>0.42599999999999999</v>
      </c>
    </row>
    <row r="8" spans="2:16" ht="18.75" x14ac:dyDescent="0.25">
      <c r="B8" s="745" t="s">
        <v>11</v>
      </c>
      <c r="C8" s="746"/>
      <c r="D8" s="50">
        <v>175</v>
      </c>
      <c r="E8" s="63">
        <v>60.019999999999996</v>
      </c>
      <c r="F8" s="44">
        <v>34.92</v>
      </c>
      <c r="G8" s="42">
        <v>40.81</v>
      </c>
      <c r="H8" s="68">
        <v>75.73</v>
      </c>
      <c r="I8" s="44">
        <v>20.5</v>
      </c>
      <c r="J8" s="43">
        <v>13.5</v>
      </c>
      <c r="K8" s="44">
        <v>15</v>
      </c>
      <c r="L8" s="43">
        <v>15</v>
      </c>
      <c r="M8" s="43">
        <f t="shared" si="0"/>
        <v>95.52</v>
      </c>
      <c r="N8" s="45">
        <f t="shared" si="1"/>
        <v>0.54582857142857144</v>
      </c>
      <c r="O8" s="40">
        <f t="shared" si="2"/>
        <v>104.23</v>
      </c>
      <c r="P8" s="41">
        <f t="shared" si="3"/>
        <v>0.59560000000000002</v>
      </c>
    </row>
    <row r="9" spans="2:16" ht="18.75" x14ac:dyDescent="0.25">
      <c r="B9" s="745" t="s">
        <v>12</v>
      </c>
      <c r="C9" s="746"/>
      <c r="D9" s="50">
        <v>65</v>
      </c>
      <c r="E9" s="63">
        <v>31.950000000000003</v>
      </c>
      <c r="F9" s="44">
        <v>14.950000000000001</v>
      </c>
      <c r="G9" s="42">
        <v>17.420000000000002</v>
      </c>
      <c r="H9" s="68">
        <v>32.370000000000005</v>
      </c>
      <c r="I9" s="44">
        <v>7</v>
      </c>
      <c r="J9" s="43">
        <v>7</v>
      </c>
      <c r="K9" s="44">
        <v>5</v>
      </c>
      <c r="L9" s="43">
        <v>5</v>
      </c>
      <c r="M9" s="43">
        <f t="shared" si="0"/>
        <v>43.95</v>
      </c>
      <c r="N9" s="45">
        <f t="shared" si="1"/>
        <v>0.67615384615384622</v>
      </c>
      <c r="O9" s="40">
        <f t="shared" si="2"/>
        <v>44.370000000000005</v>
      </c>
      <c r="P9" s="41">
        <f t="shared" si="3"/>
        <v>0.68261538461538473</v>
      </c>
    </row>
    <row r="10" spans="2:16" ht="19.5" thickBot="1" x14ac:dyDescent="0.3">
      <c r="B10" s="747" t="s">
        <v>13</v>
      </c>
      <c r="C10" s="748"/>
      <c r="D10" s="51">
        <v>300</v>
      </c>
      <c r="E10" s="64">
        <v>109.43</v>
      </c>
      <c r="F10" s="48">
        <v>51.08</v>
      </c>
      <c r="G10" s="46">
        <v>0</v>
      </c>
      <c r="H10" s="69">
        <v>51.08</v>
      </c>
      <c r="I10" s="48">
        <v>95.8</v>
      </c>
      <c r="J10" s="47">
        <v>59.3</v>
      </c>
      <c r="K10" s="48">
        <v>66.5</v>
      </c>
      <c r="L10" s="47">
        <v>41.5</v>
      </c>
      <c r="M10" s="47">
        <f t="shared" si="0"/>
        <v>271.73</v>
      </c>
      <c r="N10" s="49">
        <f t="shared" si="1"/>
        <v>0.90576666666666672</v>
      </c>
      <c r="O10" s="40">
        <f t="shared" si="2"/>
        <v>151.88</v>
      </c>
      <c r="P10" s="41">
        <f t="shared" si="3"/>
        <v>0.50626666666666664</v>
      </c>
    </row>
    <row r="11" spans="2:16" ht="19.5" thickBot="1" x14ac:dyDescent="0.3">
      <c r="B11" s="749" t="s">
        <v>4</v>
      </c>
      <c r="C11" s="750"/>
      <c r="D11" s="29">
        <f>SUM(D5:D10)</f>
        <v>1215</v>
      </c>
      <c r="E11" s="70">
        <f t="shared" ref="E11:G11" si="4">SUM(E5:E10)</f>
        <v>518.75</v>
      </c>
      <c r="F11" s="29">
        <f t="shared" si="4"/>
        <v>308.36999999999995</v>
      </c>
      <c r="G11" s="71">
        <f t="shared" si="4"/>
        <v>100.03</v>
      </c>
      <c r="H11" s="70">
        <v>408.4</v>
      </c>
      <c r="I11" s="74">
        <f>SUM(I5:I10)</f>
        <v>279.3</v>
      </c>
      <c r="J11" s="70">
        <f>SUM(J5:J10)</f>
        <v>199.8</v>
      </c>
      <c r="K11" s="74">
        <f>SUM(K5:K10)</f>
        <v>198.5</v>
      </c>
      <c r="L11" s="70">
        <f>SUM(L5:L10)</f>
        <v>138.5</v>
      </c>
      <c r="M11" s="70">
        <f t="shared" si="0"/>
        <v>996.55</v>
      </c>
      <c r="N11" s="72">
        <f t="shared" si="1"/>
        <v>0.82020576131687239</v>
      </c>
      <c r="O11" s="70">
        <f t="shared" si="2"/>
        <v>746.7</v>
      </c>
      <c r="P11" s="72">
        <f t="shared" si="3"/>
        <v>0.61456790123456795</v>
      </c>
    </row>
    <row r="12" spans="2:16" ht="18.75" x14ac:dyDescent="0.25">
      <c r="B12" s="751" t="s">
        <v>14</v>
      </c>
      <c r="C12" s="752"/>
      <c r="D12" s="50">
        <v>400</v>
      </c>
      <c r="E12" s="63">
        <v>246.32</v>
      </c>
      <c r="F12" s="38">
        <v>127.24999999999999</v>
      </c>
      <c r="G12" s="39">
        <v>100.41</v>
      </c>
      <c r="H12" s="67">
        <v>227.65999999999997</v>
      </c>
      <c r="I12" s="38">
        <v>99.6</v>
      </c>
      <c r="J12" s="40">
        <v>32</v>
      </c>
      <c r="K12" s="38">
        <v>98.6</v>
      </c>
      <c r="L12" s="40">
        <v>58.6</v>
      </c>
      <c r="M12" s="40">
        <f t="shared" si="0"/>
        <v>444.52</v>
      </c>
      <c r="N12" s="41">
        <f t="shared" si="1"/>
        <v>1.1113</v>
      </c>
      <c r="O12" s="40">
        <f t="shared" si="2"/>
        <v>318.26</v>
      </c>
      <c r="P12" s="41">
        <f t="shared" si="3"/>
        <v>0.79564999999999997</v>
      </c>
    </row>
    <row r="13" spans="2:16" ht="18.75" x14ac:dyDescent="0.25">
      <c r="B13" s="745" t="s">
        <v>15</v>
      </c>
      <c r="C13" s="746"/>
      <c r="D13" s="50">
        <v>70</v>
      </c>
      <c r="E13" s="65">
        <v>34.930000000000007</v>
      </c>
      <c r="F13" s="44">
        <v>27.130000000000003</v>
      </c>
      <c r="G13" s="42">
        <v>0</v>
      </c>
      <c r="H13" s="68">
        <v>27.130000000000003</v>
      </c>
      <c r="I13" s="44">
        <v>17</v>
      </c>
      <c r="J13" s="43">
        <v>7</v>
      </c>
      <c r="K13" s="44">
        <v>10</v>
      </c>
      <c r="L13" s="43">
        <v>0</v>
      </c>
      <c r="M13" s="43">
        <f t="shared" si="0"/>
        <v>61.930000000000007</v>
      </c>
      <c r="N13" s="45">
        <f t="shared" si="1"/>
        <v>0.88471428571428579</v>
      </c>
      <c r="O13" s="43">
        <f t="shared" si="2"/>
        <v>34.130000000000003</v>
      </c>
      <c r="P13" s="45">
        <f t="shared" si="3"/>
        <v>0.4875714285714286</v>
      </c>
    </row>
    <row r="14" spans="2:16" ht="18.75" x14ac:dyDescent="0.25">
      <c r="B14" s="745" t="s">
        <v>16</v>
      </c>
      <c r="C14" s="746"/>
      <c r="D14" s="50">
        <v>300</v>
      </c>
      <c r="E14" s="65">
        <v>158.16000000000003</v>
      </c>
      <c r="F14" s="44">
        <v>71.13</v>
      </c>
      <c r="G14" s="42">
        <v>42</v>
      </c>
      <c r="H14" s="68">
        <v>113.13</v>
      </c>
      <c r="I14" s="44">
        <v>103.8</v>
      </c>
      <c r="J14" s="43">
        <v>73.8</v>
      </c>
      <c r="K14" s="44">
        <v>103</v>
      </c>
      <c r="L14" s="43">
        <v>63</v>
      </c>
      <c r="M14" s="43">
        <f t="shared" si="0"/>
        <v>364.96000000000004</v>
      </c>
      <c r="N14" s="45">
        <f t="shared" si="1"/>
        <v>1.2165333333333335</v>
      </c>
      <c r="O14" s="43">
        <f t="shared" si="2"/>
        <v>249.93</v>
      </c>
      <c r="P14" s="45">
        <f t="shared" si="3"/>
        <v>0.83310000000000006</v>
      </c>
    </row>
    <row r="15" spans="2:16" ht="19.5" thickBot="1" x14ac:dyDescent="0.3">
      <c r="B15" s="747" t="s">
        <v>17</v>
      </c>
      <c r="C15" s="748"/>
      <c r="D15" s="50">
        <v>105</v>
      </c>
      <c r="E15" s="66">
        <v>72.58</v>
      </c>
      <c r="F15" s="48">
        <v>32.22</v>
      </c>
      <c r="G15" s="46">
        <v>50.5</v>
      </c>
      <c r="H15" s="69">
        <v>82.72</v>
      </c>
      <c r="I15" s="48">
        <v>12</v>
      </c>
      <c r="J15" s="47">
        <v>12</v>
      </c>
      <c r="K15" s="48">
        <v>20</v>
      </c>
      <c r="L15" s="47">
        <v>20</v>
      </c>
      <c r="M15" s="47">
        <f t="shared" si="0"/>
        <v>104.58</v>
      </c>
      <c r="N15" s="49">
        <f t="shared" si="1"/>
        <v>0.996</v>
      </c>
      <c r="O15" s="47">
        <f t="shared" si="2"/>
        <v>114.72</v>
      </c>
      <c r="P15" s="49">
        <f t="shared" si="3"/>
        <v>1.0925714285714285</v>
      </c>
    </row>
    <row r="16" spans="2:16" ht="19.5" thickBot="1" x14ac:dyDescent="0.3">
      <c r="B16" s="764" t="s">
        <v>20</v>
      </c>
      <c r="C16" s="765"/>
      <c r="D16" s="25">
        <f>SUM(D12:D15)</f>
        <v>875</v>
      </c>
      <c r="E16" s="26">
        <f t="shared" ref="E16:G16" si="5">SUM(E12:E15)</f>
        <v>511.99</v>
      </c>
      <c r="F16" s="25">
        <f t="shared" si="5"/>
        <v>257.73</v>
      </c>
      <c r="G16" s="22">
        <f t="shared" si="5"/>
        <v>192.91</v>
      </c>
      <c r="H16" s="26">
        <v>450.64</v>
      </c>
      <c r="I16" s="25">
        <f>SUM(I12:I15)</f>
        <v>232.39999999999998</v>
      </c>
      <c r="J16" s="26">
        <f>SUM(J12:J15)</f>
        <v>124.8</v>
      </c>
      <c r="K16" s="25">
        <f>SUM(K12:K15)</f>
        <v>231.6</v>
      </c>
      <c r="L16" s="26">
        <f>SUM(L12:L15)</f>
        <v>141.6</v>
      </c>
      <c r="M16" s="26">
        <f t="shared" si="0"/>
        <v>975.99</v>
      </c>
      <c r="N16" s="73">
        <f t="shared" si="1"/>
        <v>1.1154171428571429</v>
      </c>
      <c r="O16" s="26">
        <f t="shared" si="2"/>
        <v>717.04</v>
      </c>
      <c r="P16" s="73">
        <f t="shared" si="3"/>
        <v>0.81947428571428571</v>
      </c>
    </row>
    <row r="17" spans="2:16" ht="21.75" thickBot="1" x14ac:dyDescent="0.3">
      <c r="B17" s="766" t="s">
        <v>21</v>
      </c>
      <c r="C17" s="767"/>
      <c r="D17" s="52">
        <f>D11+D16</f>
        <v>2090</v>
      </c>
      <c r="E17" s="54">
        <f t="shared" ref="E17:G17" si="6">E11+E16</f>
        <v>1030.74</v>
      </c>
      <c r="F17" s="58">
        <f t="shared" si="6"/>
        <v>566.09999999999991</v>
      </c>
      <c r="G17" s="59">
        <f t="shared" si="6"/>
        <v>292.94</v>
      </c>
      <c r="H17" s="60">
        <v>859.04</v>
      </c>
      <c r="I17" s="30">
        <f>I11+I16</f>
        <v>511.7</v>
      </c>
      <c r="J17" s="27">
        <f>J11+J16</f>
        <v>324.60000000000002</v>
      </c>
      <c r="K17" s="30">
        <f>K11+K16</f>
        <v>430.1</v>
      </c>
      <c r="L17" s="27">
        <f>L11+L16</f>
        <v>280.10000000000002</v>
      </c>
      <c r="M17" s="32">
        <f t="shared" si="0"/>
        <v>1972.54</v>
      </c>
      <c r="N17" s="36">
        <f t="shared" si="1"/>
        <v>0.94379904306220097</v>
      </c>
      <c r="O17" s="31">
        <f t="shared" si="2"/>
        <v>1463.7399999999998</v>
      </c>
      <c r="P17" s="37">
        <f t="shared" si="3"/>
        <v>0.70035406698564584</v>
      </c>
    </row>
    <row r="18" spans="2:16" ht="15.75" thickBot="1" x14ac:dyDescent="0.3"/>
    <row r="19" spans="2:16" ht="19.5" thickBot="1" x14ac:dyDescent="0.35">
      <c r="M19" s="757" t="s">
        <v>37</v>
      </c>
      <c r="N19" s="758"/>
      <c r="O19" s="757">
        <f>M17-O17</f>
        <v>508.80000000000018</v>
      </c>
      <c r="P19" s="759"/>
    </row>
    <row r="20" spans="2:16" x14ac:dyDescent="0.25">
      <c r="M20" s="4"/>
    </row>
  </sheetData>
  <mergeCells count="22">
    <mergeCell ref="M19:N19"/>
    <mergeCell ref="O19:P19"/>
    <mergeCell ref="B3:C4"/>
    <mergeCell ref="B14:C14"/>
    <mergeCell ref="B15:C15"/>
    <mergeCell ref="B16:C16"/>
    <mergeCell ref="B17:C17"/>
    <mergeCell ref="B2:P2"/>
    <mergeCell ref="I3:J3"/>
    <mergeCell ref="K3:L3"/>
    <mergeCell ref="D3:H3"/>
    <mergeCell ref="B13:C13"/>
    <mergeCell ref="B7:C7"/>
    <mergeCell ref="B8:C8"/>
    <mergeCell ref="B9:C9"/>
    <mergeCell ref="B10:C10"/>
    <mergeCell ref="B11:C11"/>
    <mergeCell ref="B12:C12"/>
    <mergeCell ref="B5:C5"/>
    <mergeCell ref="B6:C6"/>
    <mergeCell ref="M3:N3"/>
    <mergeCell ref="O3:P3"/>
  </mergeCells>
  <conditionalFormatting sqref="N5:N10 N12:N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:P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38"/>
  <sheetViews>
    <sheetView workbookViewId="0">
      <selection activeCell="S8" sqref="S8"/>
    </sheetView>
  </sheetViews>
  <sheetFormatPr defaultColWidth="7" defaultRowHeight="12" x14ac:dyDescent="0.2"/>
  <cols>
    <col min="1" max="1" width="7" style="496"/>
    <col min="2" max="2" width="19.85546875" style="496" bestFit="1" customWidth="1"/>
    <col min="3" max="3" width="8.42578125" style="496" customWidth="1"/>
    <col min="4" max="5" width="0" style="496" hidden="1" customWidth="1"/>
    <col min="6" max="6" width="9.140625" style="496" customWidth="1"/>
    <col min="7" max="7" width="7" style="496"/>
    <col min="8" max="8" width="9.7109375" style="496" customWidth="1"/>
    <col min="9" max="9" width="7" style="496"/>
    <col min="10" max="10" width="9.85546875" style="496" bestFit="1" customWidth="1"/>
    <col min="11" max="11" width="11.42578125" style="496" bestFit="1" customWidth="1"/>
    <col min="12" max="12" width="8.7109375" style="497" customWidth="1"/>
    <col min="13" max="13" width="9.5703125" style="497" customWidth="1"/>
    <col min="14" max="14" width="7" style="497" customWidth="1"/>
    <col min="15" max="16" width="7" style="498" customWidth="1"/>
    <col min="17" max="17" width="10.85546875" style="499" customWidth="1"/>
    <col min="18" max="16384" width="7" style="496"/>
  </cols>
  <sheetData>
    <row r="1" spans="2:23" ht="12.75" thickBot="1" x14ac:dyDescent="0.25"/>
    <row r="2" spans="2:23" ht="22.5" customHeight="1" thickBot="1" x14ac:dyDescent="0.25">
      <c r="B2" s="776" t="s">
        <v>130</v>
      </c>
      <c r="C2" s="777"/>
      <c r="D2" s="777"/>
      <c r="E2" s="777"/>
      <c r="F2" s="777"/>
      <c r="G2" s="777"/>
      <c r="H2" s="777"/>
      <c r="I2" s="777"/>
      <c r="J2" s="777"/>
      <c r="K2" s="777"/>
      <c r="L2" s="777"/>
      <c r="M2" s="777"/>
      <c r="N2" s="669"/>
      <c r="O2" s="669"/>
      <c r="P2" s="669"/>
      <c r="Q2" s="670"/>
    </row>
    <row r="3" spans="2:23" s="616" customFormat="1" ht="63.75" customHeight="1" thickBot="1" x14ac:dyDescent="0.3">
      <c r="B3" s="617" t="s">
        <v>2</v>
      </c>
      <c r="C3" s="603" t="s">
        <v>24</v>
      </c>
      <c r="D3" s="603" t="s">
        <v>126</v>
      </c>
      <c r="E3" s="604" t="s">
        <v>111</v>
      </c>
      <c r="F3" s="655" t="s">
        <v>55</v>
      </c>
      <c r="G3" s="647" t="s">
        <v>5</v>
      </c>
      <c r="H3" s="607" t="s">
        <v>56</v>
      </c>
      <c r="I3" s="608" t="s">
        <v>1</v>
      </c>
      <c r="J3" s="609" t="s">
        <v>47</v>
      </c>
      <c r="K3" s="610" t="s">
        <v>57</v>
      </c>
      <c r="L3" s="611" t="s">
        <v>58</v>
      </c>
      <c r="M3" s="611" t="s">
        <v>59</v>
      </c>
      <c r="N3" s="664" t="s">
        <v>129</v>
      </c>
      <c r="O3" s="613" t="s">
        <v>84</v>
      </c>
      <c r="P3" s="614" t="s">
        <v>85</v>
      </c>
      <c r="Q3" s="620" t="s">
        <v>86</v>
      </c>
    </row>
    <row r="4" spans="2:23" ht="18.75" x14ac:dyDescent="0.2">
      <c r="B4" s="618" t="s">
        <v>8</v>
      </c>
      <c r="C4" s="642">
        <v>400</v>
      </c>
      <c r="D4" s="520">
        <v>350</v>
      </c>
      <c r="E4" s="521"/>
      <c r="F4" s="660">
        <v>387.77</v>
      </c>
      <c r="G4" s="648">
        <v>307.23</v>
      </c>
      <c r="H4" s="524">
        <v>210.39000000000001</v>
      </c>
      <c r="I4" s="525">
        <v>64.5</v>
      </c>
      <c r="J4" s="526">
        <f>H4+I4</f>
        <v>274.89</v>
      </c>
      <c r="K4" s="527">
        <f>J4/C4</f>
        <v>0.68722499999999997</v>
      </c>
      <c r="L4" s="522">
        <f t="shared" ref="L4:L14" si="0">D4-J4</f>
        <v>75.110000000000014</v>
      </c>
      <c r="M4" s="665">
        <f t="shared" ref="M4:M15" si="1">D4-G4</f>
        <v>42.769999999999982</v>
      </c>
      <c r="N4" s="648"/>
      <c r="O4" s="528"/>
      <c r="P4" s="529">
        <f>J4/$J$16</f>
        <v>0.14934885009697976</v>
      </c>
      <c r="Q4" s="621">
        <f>$J$17*P4</f>
        <v>0</v>
      </c>
      <c r="R4" s="506"/>
      <c r="T4" s="500"/>
    </row>
    <row r="5" spans="2:23" ht="18.75" x14ac:dyDescent="0.2">
      <c r="B5" s="619" t="s">
        <v>9</v>
      </c>
      <c r="C5" s="642">
        <v>250</v>
      </c>
      <c r="D5" s="532">
        <v>210</v>
      </c>
      <c r="E5" s="533"/>
      <c r="F5" s="661">
        <v>179.5</v>
      </c>
      <c r="G5" s="649">
        <v>128.25</v>
      </c>
      <c r="H5" s="536">
        <v>89.25</v>
      </c>
      <c r="I5" s="537">
        <v>50</v>
      </c>
      <c r="J5" s="526">
        <f t="shared" ref="J5:J14" si="2">H5+I5</f>
        <v>139.25</v>
      </c>
      <c r="K5" s="527">
        <f t="shared" ref="K5:K15" si="3">J5/C5</f>
        <v>0.55700000000000005</v>
      </c>
      <c r="L5" s="534">
        <f t="shared" si="0"/>
        <v>70.75</v>
      </c>
      <c r="M5" s="666">
        <f t="shared" si="1"/>
        <v>81.75</v>
      </c>
      <c r="N5" s="649"/>
      <c r="O5" s="540"/>
      <c r="P5" s="541"/>
      <c r="Q5" s="622"/>
      <c r="R5" s="506"/>
      <c r="T5" s="500"/>
    </row>
    <row r="6" spans="2:23" ht="18.75" x14ac:dyDescent="0.2">
      <c r="B6" s="619" t="s">
        <v>10</v>
      </c>
      <c r="C6" s="642">
        <v>210</v>
      </c>
      <c r="D6" s="520">
        <v>140</v>
      </c>
      <c r="E6" s="543"/>
      <c r="F6" s="660">
        <v>159</v>
      </c>
      <c r="G6" s="648">
        <v>150.81</v>
      </c>
      <c r="H6" s="544">
        <v>67.81</v>
      </c>
      <c r="I6" s="525">
        <v>29</v>
      </c>
      <c r="J6" s="526">
        <f t="shared" si="2"/>
        <v>96.81</v>
      </c>
      <c r="K6" s="527">
        <f t="shared" si="3"/>
        <v>0.46100000000000002</v>
      </c>
      <c r="L6" s="522">
        <f t="shared" si="0"/>
        <v>43.19</v>
      </c>
      <c r="M6" s="665">
        <f t="shared" si="1"/>
        <v>-10.810000000000002</v>
      </c>
      <c r="N6" s="648"/>
      <c r="O6" s="528"/>
      <c r="P6" s="529"/>
      <c r="Q6" s="621"/>
      <c r="R6" s="506"/>
      <c r="T6" s="500"/>
    </row>
    <row r="7" spans="2:23" ht="18.75" x14ac:dyDescent="0.2">
      <c r="B7" s="619" t="s">
        <v>11</v>
      </c>
      <c r="C7" s="642">
        <v>200</v>
      </c>
      <c r="D7" s="532">
        <v>300</v>
      </c>
      <c r="E7" s="533"/>
      <c r="F7" s="661">
        <v>177</v>
      </c>
      <c r="G7" s="649">
        <v>134.6</v>
      </c>
      <c r="H7" s="536">
        <v>15.600000000000001</v>
      </c>
      <c r="I7" s="537">
        <v>29.3</v>
      </c>
      <c r="J7" s="526">
        <f t="shared" si="2"/>
        <v>44.900000000000006</v>
      </c>
      <c r="K7" s="527">
        <f t="shared" si="3"/>
        <v>0.22450000000000003</v>
      </c>
      <c r="L7" s="534">
        <f t="shared" si="0"/>
        <v>255.1</v>
      </c>
      <c r="M7" s="666">
        <f t="shared" si="1"/>
        <v>165.4</v>
      </c>
      <c r="N7" s="649"/>
      <c r="O7" s="540"/>
      <c r="P7" s="541"/>
      <c r="Q7" s="622"/>
      <c r="R7" s="506"/>
      <c r="T7" s="500"/>
    </row>
    <row r="8" spans="2:23" ht="18.75" x14ac:dyDescent="0.2">
      <c r="B8" s="619" t="s">
        <v>12</v>
      </c>
      <c r="C8" s="642">
        <v>50</v>
      </c>
      <c r="D8" s="532">
        <v>100</v>
      </c>
      <c r="E8" s="533"/>
      <c r="F8" s="661">
        <v>112</v>
      </c>
      <c r="G8" s="649">
        <v>14.4</v>
      </c>
      <c r="H8" s="536">
        <v>5</v>
      </c>
      <c r="I8" s="537">
        <v>13.93</v>
      </c>
      <c r="J8" s="526">
        <f t="shared" si="2"/>
        <v>18.93</v>
      </c>
      <c r="K8" s="527">
        <f t="shared" si="3"/>
        <v>0.37859999999999999</v>
      </c>
      <c r="L8" s="534">
        <f t="shared" si="0"/>
        <v>81.069999999999993</v>
      </c>
      <c r="M8" s="666">
        <f t="shared" si="1"/>
        <v>85.6</v>
      </c>
      <c r="N8" s="649"/>
      <c r="O8" s="540"/>
      <c r="P8" s="541"/>
      <c r="Q8" s="622"/>
      <c r="R8" s="506"/>
      <c r="T8" s="500"/>
    </row>
    <row r="9" spans="2:23" ht="18.75" x14ac:dyDescent="0.2">
      <c r="B9" s="619" t="s">
        <v>13</v>
      </c>
      <c r="C9" s="643">
        <v>350</v>
      </c>
      <c r="D9" s="545">
        <v>163</v>
      </c>
      <c r="E9" s="546"/>
      <c r="F9" s="662">
        <v>225</v>
      </c>
      <c r="G9" s="650">
        <v>138.46</v>
      </c>
      <c r="H9" s="549">
        <v>30.46</v>
      </c>
      <c r="I9" s="550">
        <v>79.5</v>
      </c>
      <c r="J9" s="526">
        <f>H9+I9</f>
        <v>109.96000000000001</v>
      </c>
      <c r="K9" s="527">
        <f t="shared" si="3"/>
        <v>0.3141714285714286</v>
      </c>
      <c r="L9" s="547">
        <f t="shared" si="0"/>
        <v>53.039999999999992</v>
      </c>
      <c r="M9" s="667">
        <f t="shared" si="1"/>
        <v>24.539999999999992</v>
      </c>
      <c r="N9" s="650">
        <v>50</v>
      </c>
      <c r="O9" s="553"/>
      <c r="P9" s="529"/>
      <c r="Q9" s="623"/>
      <c r="R9" s="506"/>
      <c r="T9" s="500"/>
    </row>
    <row r="10" spans="2:23" s="501" customFormat="1" ht="18.75" x14ac:dyDescent="0.2">
      <c r="B10" s="555" t="s">
        <v>52</v>
      </c>
      <c r="C10" s="644">
        <v>1460</v>
      </c>
      <c r="D10" s="556">
        <v>1263</v>
      </c>
      <c r="E10" s="557">
        <v>0</v>
      </c>
      <c r="F10" s="656">
        <v>1240.27</v>
      </c>
      <c r="G10" s="651">
        <v>873.74999999999989</v>
      </c>
      <c r="H10" s="560">
        <v>418.51000000000005</v>
      </c>
      <c r="I10" s="561">
        <v>266.23</v>
      </c>
      <c r="J10" s="558">
        <f>H10+I10</f>
        <v>684.74</v>
      </c>
      <c r="K10" s="684">
        <f t="shared" si="3"/>
        <v>0.46900000000000003</v>
      </c>
      <c r="L10" s="558">
        <f t="shared" si="0"/>
        <v>578.26</v>
      </c>
      <c r="M10" s="656">
        <f t="shared" si="1"/>
        <v>389.25000000000011</v>
      </c>
      <c r="N10" s="651">
        <f>SUM(N4:N9)</f>
        <v>50</v>
      </c>
      <c r="O10" s="563"/>
      <c r="P10" s="564">
        <f>SUM(P4:P9)</f>
        <v>0.14934885009697976</v>
      </c>
      <c r="Q10" s="624">
        <f>SUM(Q4:Q9)</f>
        <v>0</v>
      </c>
      <c r="R10" s="506"/>
      <c r="T10" s="500"/>
      <c r="U10" s="496"/>
      <c r="V10" s="496"/>
      <c r="W10" s="496"/>
    </row>
    <row r="11" spans="2:23" ht="18.75" x14ac:dyDescent="0.2">
      <c r="B11" s="619" t="s">
        <v>14</v>
      </c>
      <c r="C11" s="645">
        <v>300</v>
      </c>
      <c r="D11" s="566">
        <v>182</v>
      </c>
      <c r="E11" s="567"/>
      <c r="F11" s="663">
        <v>170.8</v>
      </c>
      <c r="G11" s="652">
        <v>125.49000000000001</v>
      </c>
      <c r="H11" s="570">
        <v>96.990000000000009</v>
      </c>
      <c r="I11" s="571">
        <v>29</v>
      </c>
      <c r="J11" s="526">
        <f t="shared" si="2"/>
        <v>125.99000000000001</v>
      </c>
      <c r="K11" s="527">
        <f t="shared" si="3"/>
        <v>0.41996666666666671</v>
      </c>
      <c r="L11" s="568">
        <f t="shared" si="0"/>
        <v>56.009999999999991</v>
      </c>
      <c r="M11" s="668">
        <f t="shared" si="1"/>
        <v>56.509999999999991</v>
      </c>
      <c r="N11" s="652">
        <v>50</v>
      </c>
      <c r="O11" s="574"/>
      <c r="P11" s="575"/>
      <c r="Q11" s="625"/>
      <c r="R11" s="506"/>
      <c r="T11" s="500"/>
    </row>
    <row r="12" spans="2:23" ht="18.75" x14ac:dyDescent="0.2">
      <c r="B12" s="619" t="s">
        <v>15</v>
      </c>
      <c r="C12" s="642">
        <v>100</v>
      </c>
      <c r="D12" s="532">
        <v>70</v>
      </c>
      <c r="E12" s="577"/>
      <c r="F12" s="661">
        <v>61.5</v>
      </c>
      <c r="G12" s="649">
        <v>32</v>
      </c>
      <c r="H12" s="536">
        <v>21</v>
      </c>
      <c r="I12" s="537">
        <v>22</v>
      </c>
      <c r="J12" s="526">
        <f t="shared" si="2"/>
        <v>43</v>
      </c>
      <c r="K12" s="527">
        <f t="shared" si="3"/>
        <v>0.43</v>
      </c>
      <c r="L12" s="534">
        <f t="shared" si="0"/>
        <v>27</v>
      </c>
      <c r="M12" s="666">
        <f t="shared" si="1"/>
        <v>38</v>
      </c>
      <c r="N12" s="649"/>
      <c r="O12" s="540"/>
      <c r="P12" s="541"/>
      <c r="Q12" s="622"/>
      <c r="R12" s="506"/>
      <c r="T12" s="500"/>
    </row>
    <row r="13" spans="2:23" ht="18.75" x14ac:dyDescent="0.2">
      <c r="B13" s="619" t="s">
        <v>16</v>
      </c>
      <c r="C13" s="642">
        <v>400</v>
      </c>
      <c r="D13" s="532">
        <v>300</v>
      </c>
      <c r="E13" s="533"/>
      <c r="F13" s="661">
        <v>413.57</v>
      </c>
      <c r="G13" s="649">
        <v>608.93000000000006</v>
      </c>
      <c r="H13" s="536">
        <v>455.14</v>
      </c>
      <c r="I13" s="537">
        <v>122.6</v>
      </c>
      <c r="J13" s="526">
        <f t="shared" si="2"/>
        <v>577.74</v>
      </c>
      <c r="K13" s="527">
        <f t="shared" si="3"/>
        <v>1.44435</v>
      </c>
      <c r="L13" s="534">
        <f t="shared" si="0"/>
        <v>-277.74</v>
      </c>
      <c r="M13" s="666">
        <f t="shared" si="1"/>
        <v>-308.93000000000006</v>
      </c>
      <c r="N13" s="649"/>
      <c r="O13" s="540"/>
      <c r="P13" s="541"/>
      <c r="Q13" s="622"/>
      <c r="R13" s="506"/>
      <c r="T13" s="500"/>
    </row>
    <row r="14" spans="2:23" ht="18.75" x14ac:dyDescent="0.2">
      <c r="B14" s="619" t="s">
        <v>17</v>
      </c>
      <c r="C14" s="643">
        <v>425</v>
      </c>
      <c r="D14" s="545">
        <v>220</v>
      </c>
      <c r="E14" s="546"/>
      <c r="F14" s="662">
        <v>619.70000000000005</v>
      </c>
      <c r="G14" s="650">
        <v>429.88</v>
      </c>
      <c r="H14" s="549">
        <v>261.32</v>
      </c>
      <c r="I14" s="550">
        <v>147.80000000000001</v>
      </c>
      <c r="J14" s="526">
        <f t="shared" si="2"/>
        <v>409.12</v>
      </c>
      <c r="K14" s="527">
        <f t="shared" si="3"/>
        <v>0.96263529411764703</v>
      </c>
      <c r="L14" s="547">
        <f t="shared" si="0"/>
        <v>-189.12</v>
      </c>
      <c r="M14" s="667">
        <f t="shared" si="1"/>
        <v>-209.88</v>
      </c>
      <c r="N14" s="650"/>
      <c r="O14" s="553"/>
      <c r="P14" s="578">
        <f>J14/J16</f>
        <v>0.22227655262714671</v>
      </c>
      <c r="Q14" s="623">
        <f>P14*J17</f>
        <v>0</v>
      </c>
      <c r="R14" s="506"/>
      <c r="T14" s="500"/>
    </row>
    <row r="15" spans="2:23" s="501" customFormat="1" ht="18.75" x14ac:dyDescent="0.2">
      <c r="B15" s="579" t="s">
        <v>53</v>
      </c>
      <c r="C15" s="646">
        <v>1225</v>
      </c>
      <c r="D15" s="580">
        <v>772</v>
      </c>
      <c r="E15" s="581">
        <v>0</v>
      </c>
      <c r="F15" s="657">
        <v>1265.5700000000002</v>
      </c>
      <c r="G15" s="653">
        <v>1196.3</v>
      </c>
      <c r="H15" s="584">
        <v>834.45</v>
      </c>
      <c r="I15" s="582">
        <v>321.40000000000003</v>
      </c>
      <c r="J15" s="585">
        <f>SUM(J11:J14)</f>
        <v>1155.8499999999999</v>
      </c>
      <c r="K15" s="527">
        <f t="shared" si="3"/>
        <v>0.94355102040816319</v>
      </c>
      <c r="L15" s="582">
        <f>SUM(L11:L14)</f>
        <v>-383.85</v>
      </c>
      <c r="M15" s="657">
        <f t="shared" si="1"/>
        <v>-424.29999999999995</v>
      </c>
      <c r="N15" s="653">
        <f>SUM(N11:N14)</f>
        <v>50</v>
      </c>
      <c r="O15" s="587"/>
      <c r="P15" s="588">
        <f>SUM(P11:P14)</f>
        <v>0.22227655262714671</v>
      </c>
      <c r="Q15" s="626">
        <f>SUM(Q11:Q14)</f>
        <v>0</v>
      </c>
      <c r="R15" s="506"/>
      <c r="T15" s="500"/>
      <c r="U15" s="496"/>
      <c r="V15" s="496"/>
      <c r="W15" s="496"/>
    </row>
    <row r="16" spans="2:23" s="501" customFormat="1" ht="19.5" thickBot="1" x14ac:dyDescent="0.25">
      <c r="B16" s="627" t="s">
        <v>51</v>
      </c>
      <c r="C16" s="658">
        <f>C10+C15</f>
        <v>2685</v>
      </c>
      <c r="D16" s="593">
        <f>D10+D15</f>
        <v>2035</v>
      </c>
      <c r="E16" s="592">
        <f t="shared" ref="E16:I16" si="4">E10+E15</f>
        <v>0</v>
      </c>
      <c r="F16" s="659">
        <f t="shared" si="4"/>
        <v>2505.84</v>
      </c>
      <c r="G16" s="654">
        <f t="shared" si="4"/>
        <v>2070.0499999999997</v>
      </c>
      <c r="H16" s="595">
        <f t="shared" si="4"/>
        <v>1252.96</v>
      </c>
      <c r="I16" s="596">
        <f t="shared" si="4"/>
        <v>587.63000000000011</v>
      </c>
      <c r="J16" s="597">
        <f>H16+I16</f>
        <v>1840.5900000000001</v>
      </c>
      <c r="K16" s="600">
        <f>J16/C16</f>
        <v>0.68550837988826818</v>
      </c>
      <c r="L16" s="593">
        <f>L10+L15</f>
        <v>194.40999999999997</v>
      </c>
      <c r="M16" s="659">
        <f>D16-G16</f>
        <v>-35.049999999999727</v>
      </c>
      <c r="N16" s="654">
        <f>N10+N15</f>
        <v>100</v>
      </c>
      <c r="O16" s="599"/>
      <c r="P16" s="600">
        <f>P10+P15</f>
        <v>0.37162540272412647</v>
      </c>
      <c r="Q16" s="628">
        <f>Q10+Q15</f>
        <v>0</v>
      </c>
      <c r="R16" s="506"/>
      <c r="T16" s="500"/>
      <c r="U16" s="496"/>
      <c r="V16" s="496"/>
      <c r="W16" s="496"/>
    </row>
    <row r="17" spans="2:25" s="504" customFormat="1" ht="21" customHeight="1" x14ac:dyDescent="0.2">
      <c r="H17" s="872">
        <f>H16+I16</f>
        <v>1840.5900000000001</v>
      </c>
      <c r="I17" s="873"/>
      <c r="J17" s="505"/>
      <c r="K17" s="506"/>
      <c r="L17" s="497"/>
      <c r="M17" s="497"/>
      <c r="N17" s="507"/>
      <c r="O17" s="508"/>
      <c r="P17" s="509"/>
      <c r="Q17" s="510"/>
      <c r="T17" s="500"/>
      <c r="U17" s="496"/>
      <c r="V17" s="496"/>
      <c r="W17" s="496"/>
      <c r="Y17" s="504">
        <f>293+24</f>
        <v>317</v>
      </c>
    </row>
    <row r="18" spans="2:25" x14ac:dyDescent="0.2">
      <c r="E18" s="506"/>
      <c r="G18" s="506"/>
      <c r="H18" s="506"/>
      <c r="J18" s="511"/>
      <c r="T18" s="641"/>
      <c r="W18" s="496">
        <v>1497</v>
      </c>
    </row>
    <row r="19" spans="2:25" x14ac:dyDescent="0.2">
      <c r="J19" s="498"/>
      <c r="T19" s="500"/>
      <c r="W19" s="496">
        <v>318</v>
      </c>
    </row>
    <row r="20" spans="2:25" ht="12.75" thickBot="1" x14ac:dyDescent="0.25">
      <c r="E20" s="506"/>
      <c r="T20" s="500"/>
    </row>
    <row r="21" spans="2:25" ht="12.75" thickBot="1" x14ac:dyDescent="0.25">
      <c r="F21" s="781" t="s">
        <v>87</v>
      </c>
      <c r="G21" s="782"/>
      <c r="H21" s="783"/>
      <c r="J21" s="781" t="s">
        <v>87</v>
      </c>
      <c r="K21" s="782"/>
      <c r="L21" s="783"/>
      <c r="N21" s="497">
        <f>101-9.5</f>
        <v>91.5</v>
      </c>
      <c r="T21" s="500"/>
    </row>
    <row r="22" spans="2:25" ht="29.25" customHeight="1" x14ac:dyDescent="0.2">
      <c r="B22" s="497"/>
      <c r="C22" s="497"/>
      <c r="D22" s="497"/>
      <c r="E22" s="497"/>
      <c r="F22" s="512" t="s">
        <v>88</v>
      </c>
      <c r="G22" s="513" t="s">
        <v>89</v>
      </c>
      <c r="H22" s="514" t="s">
        <v>90</v>
      </c>
      <c r="J22" s="512" t="s">
        <v>88</v>
      </c>
      <c r="K22" s="513" t="s">
        <v>89</v>
      </c>
      <c r="L22" s="514" t="s">
        <v>90</v>
      </c>
      <c r="Q22" s="499">
        <f>101-9.5</f>
        <v>91.5</v>
      </c>
      <c r="T22" s="500"/>
    </row>
    <row r="23" spans="2:25" x14ac:dyDescent="0.2">
      <c r="B23" s="497"/>
      <c r="C23" s="497"/>
      <c r="D23" s="497"/>
      <c r="E23" s="497"/>
      <c r="F23" s="515">
        <v>1</v>
      </c>
      <c r="G23" s="516" t="s">
        <v>91</v>
      </c>
      <c r="H23" s="517"/>
      <c r="J23" s="515">
        <v>1</v>
      </c>
      <c r="K23" s="516" t="s">
        <v>92</v>
      </c>
      <c r="L23" s="517"/>
      <c r="Q23" s="499">
        <v>3225</v>
      </c>
      <c r="T23" s="500"/>
    </row>
    <row r="24" spans="2:25" x14ac:dyDescent="0.2">
      <c r="B24" s="497"/>
      <c r="C24" s="497"/>
      <c r="D24" s="497"/>
      <c r="E24" s="497"/>
      <c r="F24" s="515">
        <v>2</v>
      </c>
      <c r="G24" s="516" t="s">
        <v>93</v>
      </c>
      <c r="H24" s="517"/>
      <c r="J24" s="515">
        <v>2</v>
      </c>
      <c r="K24" s="516" t="s">
        <v>94</v>
      </c>
      <c r="L24" s="517"/>
      <c r="Q24" s="499">
        <v>1086</v>
      </c>
      <c r="T24" s="500"/>
    </row>
    <row r="25" spans="2:25" x14ac:dyDescent="0.2">
      <c r="B25" s="497"/>
      <c r="C25" s="497"/>
      <c r="D25" s="497"/>
      <c r="E25" s="497"/>
      <c r="F25" s="515">
        <v>3</v>
      </c>
      <c r="G25" s="516" t="s">
        <v>95</v>
      </c>
      <c r="H25" s="517"/>
      <c r="J25" s="515">
        <v>3</v>
      </c>
      <c r="K25" s="516" t="s">
        <v>96</v>
      </c>
      <c r="L25" s="517"/>
      <c r="T25" s="500"/>
    </row>
    <row r="26" spans="2:25" x14ac:dyDescent="0.2">
      <c r="B26" s="497"/>
      <c r="C26" s="497"/>
      <c r="D26" s="497"/>
      <c r="E26" s="497"/>
      <c r="F26" s="515">
        <v>4</v>
      </c>
      <c r="G26" s="516" t="s">
        <v>97</v>
      </c>
      <c r="H26" s="517"/>
      <c r="J26" s="515">
        <v>4</v>
      </c>
      <c r="K26" s="516" t="s">
        <v>98</v>
      </c>
      <c r="L26" s="517"/>
      <c r="T26" s="500"/>
    </row>
    <row r="27" spans="2:25" ht="12.75" thickBot="1" x14ac:dyDescent="0.25">
      <c r="B27" s="497"/>
      <c r="C27" s="497"/>
      <c r="D27" s="497"/>
      <c r="E27" s="497"/>
      <c r="F27" s="784" t="s">
        <v>0</v>
      </c>
      <c r="G27" s="785"/>
      <c r="H27" s="518">
        <f>SUM(H23:H26)</f>
        <v>0</v>
      </c>
      <c r="J27" s="784" t="s">
        <v>0</v>
      </c>
      <c r="K27" s="785"/>
      <c r="L27" s="518">
        <f>SUM(L23:L26)</f>
        <v>0</v>
      </c>
      <c r="T27" s="500"/>
    </row>
    <row r="28" spans="2:25" x14ac:dyDescent="0.2">
      <c r="B28" s="497"/>
      <c r="C28" s="497"/>
      <c r="D28" s="497"/>
      <c r="E28" s="497"/>
      <c r="T28" s="500"/>
    </row>
    <row r="29" spans="2:25" x14ac:dyDescent="0.2">
      <c r="D29" s="497"/>
      <c r="E29" s="497"/>
      <c r="T29" s="500"/>
      <c r="U29" s="496">
        <v>510</v>
      </c>
    </row>
    <row r="30" spans="2:25" x14ac:dyDescent="0.2">
      <c r="U30" s="496">
        <v>320</v>
      </c>
    </row>
    <row r="31" spans="2:25" x14ac:dyDescent="0.2">
      <c r="U31" s="496">
        <v>30</v>
      </c>
    </row>
    <row r="32" spans="2:25" ht="12.75" thickBot="1" x14ac:dyDescent="0.25"/>
    <row r="33" spans="6:9" x14ac:dyDescent="0.2">
      <c r="F33" s="672"/>
      <c r="G33" s="673" t="s">
        <v>127</v>
      </c>
      <c r="H33" s="673" t="s">
        <v>5</v>
      </c>
      <c r="I33" s="674" t="s">
        <v>128</v>
      </c>
    </row>
    <row r="34" spans="6:9" x14ac:dyDescent="0.2">
      <c r="F34" s="675" t="s">
        <v>120</v>
      </c>
      <c r="G34" s="671">
        <v>50</v>
      </c>
      <c r="H34" s="671">
        <v>35.200000000000003</v>
      </c>
      <c r="I34" s="676"/>
    </row>
    <row r="35" spans="6:9" x14ac:dyDescent="0.2">
      <c r="F35" s="675" t="s">
        <v>122</v>
      </c>
      <c r="G35" s="671">
        <v>40</v>
      </c>
      <c r="H35" s="671">
        <v>45</v>
      </c>
      <c r="I35" s="676"/>
    </row>
    <row r="36" spans="6:9" x14ac:dyDescent="0.2">
      <c r="F36" s="675" t="s">
        <v>123</v>
      </c>
      <c r="G36" s="671">
        <v>46</v>
      </c>
      <c r="H36" s="671">
        <v>2</v>
      </c>
      <c r="I36" s="676">
        <v>5</v>
      </c>
    </row>
    <row r="37" spans="6:9" ht="12.75" thickBot="1" x14ac:dyDescent="0.25">
      <c r="F37" s="677" t="s">
        <v>124</v>
      </c>
      <c r="G37" s="678">
        <v>33</v>
      </c>
      <c r="H37" s="678">
        <v>6.79</v>
      </c>
      <c r="I37" s="679"/>
    </row>
    <row r="38" spans="6:9" ht="13.5" thickBot="1" x14ac:dyDescent="0.25">
      <c r="F38" s="680" t="s">
        <v>0</v>
      </c>
      <c r="G38" s="681">
        <f>SUM(G34:G37)</f>
        <v>169</v>
      </c>
      <c r="H38" s="682">
        <f>SUM(H34:H37)</f>
        <v>88.990000000000009</v>
      </c>
      <c r="I38" s="683">
        <f t="shared" ref="I38" si="5">SUM(I34:I37)</f>
        <v>5</v>
      </c>
    </row>
  </sheetData>
  <mergeCells count="6">
    <mergeCell ref="B2:M2"/>
    <mergeCell ref="H17:I17"/>
    <mergeCell ref="F21:H21"/>
    <mergeCell ref="J21:L21"/>
    <mergeCell ref="F27:G27"/>
    <mergeCell ref="J27:K27"/>
  </mergeCells>
  <conditionalFormatting sqref="K4:K9 K11:K15">
    <cfRule type="dataBar" priority="16">
      <dataBar>
        <cfvo type="min"/>
        <cfvo type="max"/>
        <color rgb="FFFF555A"/>
      </dataBar>
    </cfRule>
  </conditionalFormatting>
  <conditionalFormatting sqref="L4:L16">
    <cfRule type="dataBar" priority="15">
      <dataBar>
        <cfvo type="min"/>
        <cfvo type="max"/>
        <color rgb="FFFF555A"/>
      </dataBar>
    </cfRule>
  </conditionalFormatting>
  <conditionalFormatting sqref="M4:M16">
    <cfRule type="dataBar" priority="14">
      <dataBar>
        <cfvo type="min"/>
        <cfvo type="max"/>
        <color rgb="FFFF555A"/>
      </dataBar>
    </cfRule>
  </conditionalFormatting>
  <conditionalFormatting sqref="K4:K9 K11:K15">
    <cfRule type="dataBar" priority="12">
      <dataBar>
        <cfvo type="min"/>
        <cfvo type="max"/>
        <color rgb="FF63C384"/>
      </dataBar>
    </cfRule>
  </conditionalFormatting>
  <conditionalFormatting sqref="BF6:BF11 BF13:BF16">
    <cfRule type="dataBar" priority="11">
      <dataBar>
        <cfvo type="min"/>
        <cfvo type="max"/>
        <color rgb="FF63C384"/>
      </dataBar>
    </cfRule>
  </conditionalFormatting>
  <conditionalFormatting sqref="BF6:BF11">
    <cfRule type="dataBar" priority="10">
      <dataBar>
        <cfvo type="min"/>
        <cfvo type="max"/>
        <color rgb="FF63C384"/>
      </dataBar>
    </cfRule>
  </conditionalFormatting>
  <conditionalFormatting sqref="AR32:AR35">
    <cfRule type="dataBar" priority="9">
      <dataBar>
        <cfvo type="min"/>
        <cfvo type="max"/>
        <color rgb="FF63C384"/>
      </dataBar>
    </cfRule>
  </conditionalFormatting>
  <conditionalFormatting sqref="AR25:AR30">
    <cfRule type="dataBar" priority="8">
      <dataBar>
        <cfvo type="min"/>
        <cfvo type="max"/>
        <color rgb="FF63C384"/>
      </dataBar>
    </cfRule>
  </conditionalFormatting>
  <conditionalFormatting sqref="AU12:AU15 AU5:AU10">
    <cfRule type="dataBar" priority="7">
      <dataBar>
        <cfvo type="min"/>
        <cfvo type="max"/>
        <color rgb="FF63C384"/>
      </dataBar>
    </cfRule>
  </conditionalFormatting>
  <conditionalFormatting sqref="BG12:BG15 BG5:BG10">
    <cfRule type="dataBar" priority="6">
      <dataBar>
        <cfvo type="min"/>
        <cfvo type="max"/>
        <color rgb="FF63C384"/>
      </dataBar>
    </cfRule>
  </conditionalFormatting>
  <conditionalFormatting sqref="AU12:AU15">
    <cfRule type="dataBar" priority="5">
      <dataBar>
        <cfvo type="min"/>
        <cfvo type="max"/>
        <color rgb="FF63C384"/>
      </dataBar>
    </cfRule>
  </conditionalFormatting>
  <conditionalFormatting sqref="BG12:BG15">
    <cfRule type="dataBar" priority="4">
      <dataBar>
        <cfvo type="min"/>
        <cfvo type="max"/>
        <color rgb="FF63C384"/>
      </dataBar>
    </cfRule>
  </conditionalFormatting>
  <conditionalFormatting sqref="BE12:BE15 BE5:BE10">
    <cfRule type="dataBar" priority="3">
      <dataBar>
        <cfvo type="min"/>
        <cfvo type="max"/>
        <color rgb="FF63C384"/>
      </dataBar>
    </cfRule>
  </conditionalFormatting>
  <conditionalFormatting sqref="BS12:BS15 BS5:BS10">
    <cfRule type="dataBar" priority="2">
      <dataBar>
        <cfvo type="min"/>
        <cfvo type="max"/>
        <color rgb="FF63C384"/>
      </dataBar>
    </cfRule>
  </conditionalFormatting>
  <conditionalFormatting sqref="BE12:BE15">
    <cfRule type="dataBar" priority="1">
      <dataBar>
        <cfvo type="min"/>
        <cfvo type="max"/>
        <color rgb="FF63C384"/>
      </dataBar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20"/>
  <sheetViews>
    <sheetView tabSelected="1" topLeftCell="A2" zoomScale="70" zoomScaleNormal="70" workbookViewId="0">
      <selection activeCell="R6" sqref="R6"/>
    </sheetView>
  </sheetViews>
  <sheetFormatPr defaultColWidth="15.28515625" defaultRowHeight="26.25" x14ac:dyDescent="0.4"/>
  <cols>
    <col min="1" max="1" width="15.28515625" style="105"/>
    <col min="2" max="2" width="28.42578125" style="105" bestFit="1" customWidth="1"/>
    <col min="3" max="7" width="15.28515625" style="105" customWidth="1"/>
    <col min="8" max="8" width="19.28515625" style="105" customWidth="1"/>
    <col min="9" max="9" width="15.28515625" style="105"/>
    <col min="10" max="10" width="16.85546875" style="332" customWidth="1"/>
    <col min="11" max="11" width="18.7109375" style="332" customWidth="1"/>
    <col min="12" max="12" width="0" style="332" hidden="1" customWidth="1"/>
    <col min="13" max="14" width="0" style="378" hidden="1" customWidth="1"/>
    <col min="15" max="15" width="0" style="379" hidden="1" customWidth="1"/>
    <col min="16" max="16" width="9.42578125" style="105" customWidth="1"/>
    <col min="17" max="17" width="11.28515625" style="105" customWidth="1"/>
    <col min="18" max="16384" width="15.28515625" style="105"/>
  </cols>
  <sheetData>
    <row r="1" spans="2:17" ht="27" thickBot="1" x14ac:dyDescent="0.45"/>
    <row r="2" spans="2:17" ht="42" customHeight="1" thickBot="1" x14ac:dyDescent="0.45">
      <c r="B2" s="770" t="s">
        <v>139</v>
      </c>
      <c r="C2" s="771"/>
      <c r="D2" s="771"/>
      <c r="E2" s="771"/>
      <c r="F2" s="771"/>
      <c r="G2" s="771"/>
      <c r="H2" s="771"/>
      <c r="I2" s="771"/>
      <c r="J2" s="771"/>
      <c r="K2" s="771"/>
      <c r="L2" s="771"/>
      <c r="M2" s="771"/>
      <c r="N2" s="771"/>
      <c r="O2" s="772"/>
    </row>
    <row r="3" spans="2:17" s="389" customFormat="1" ht="81" customHeight="1" thickBot="1" x14ac:dyDescent="0.3">
      <c r="B3" s="380" t="s">
        <v>2</v>
      </c>
      <c r="C3" s="381" t="s">
        <v>24</v>
      </c>
      <c r="D3" s="382" t="s">
        <v>55</v>
      </c>
      <c r="E3" s="383" t="s">
        <v>5</v>
      </c>
      <c r="F3" s="106" t="s">
        <v>56</v>
      </c>
      <c r="G3" s="107" t="s">
        <v>1</v>
      </c>
      <c r="H3" s="384" t="s">
        <v>47</v>
      </c>
      <c r="I3" s="108" t="s">
        <v>57</v>
      </c>
      <c r="J3" s="109" t="s">
        <v>58</v>
      </c>
      <c r="K3" s="109" t="s">
        <v>59</v>
      </c>
      <c r="L3" s="385" t="s">
        <v>83</v>
      </c>
      <c r="M3" s="386" t="s">
        <v>84</v>
      </c>
      <c r="N3" s="387" t="s">
        <v>85</v>
      </c>
      <c r="O3" s="388" t="s">
        <v>86</v>
      </c>
    </row>
    <row r="4" spans="2:17" x14ac:dyDescent="0.4">
      <c r="B4" s="333" t="s">
        <v>8</v>
      </c>
      <c r="C4" s="334">
        <v>550</v>
      </c>
      <c r="D4" s="335">
        <v>296.5</v>
      </c>
      <c r="E4" s="336">
        <v>164.48999999999998</v>
      </c>
      <c r="F4" s="337">
        <v>136.64999999999998</v>
      </c>
      <c r="G4" s="338">
        <v>35.5</v>
      </c>
      <c r="H4" s="390">
        <f>F4+G4</f>
        <v>172.14999999999998</v>
      </c>
      <c r="I4" s="339">
        <f t="shared" ref="I4:I16" si="0">H4/C4</f>
        <v>0.31299999999999994</v>
      </c>
      <c r="J4" s="335">
        <f>C4-H4</f>
        <v>377.85</v>
      </c>
      <c r="K4" s="335">
        <f>C4-E4</f>
        <v>385.51</v>
      </c>
      <c r="L4" s="336"/>
      <c r="M4" s="391"/>
      <c r="N4" s="392">
        <f>H4/$H$16</f>
        <v>0.12856033336818365</v>
      </c>
      <c r="O4" s="393">
        <f>$H$17*N4</f>
        <v>0</v>
      </c>
    </row>
    <row r="5" spans="2:17" x14ac:dyDescent="0.4">
      <c r="B5" s="340" t="s">
        <v>9</v>
      </c>
      <c r="C5" s="341">
        <v>300</v>
      </c>
      <c r="D5" s="342">
        <v>235</v>
      </c>
      <c r="E5" s="343">
        <v>105.15</v>
      </c>
      <c r="F5" s="344">
        <v>37.160000000000004</v>
      </c>
      <c r="G5" s="345">
        <v>19.87</v>
      </c>
      <c r="H5" s="390">
        <f t="shared" ref="H5:H8" si="1">F5+G5</f>
        <v>57.03</v>
      </c>
      <c r="I5" s="346">
        <f t="shared" si="0"/>
        <v>0.19009999999999999</v>
      </c>
      <c r="J5" s="342">
        <f t="shared" ref="J5:J14" si="2">C5-H5</f>
        <v>242.97</v>
      </c>
      <c r="K5" s="335">
        <f t="shared" ref="K5:K9" si="3">C5-E5</f>
        <v>194.85</v>
      </c>
      <c r="L5" s="343"/>
      <c r="M5" s="394"/>
      <c r="N5" s="395"/>
      <c r="O5" s="396"/>
    </row>
    <row r="6" spans="2:17" x14ac:dyDescent="0.4">
      <c r="B6" s="340" t="s">
        <v>10</v>
      </c>
      <c r="C6" s="334">
        <v>150</v>
      </c>
      <c r="D6" s="335">
        <v>151</v>
      </c>
      <c r="E6" s="336">
        <v>133.5</v>
      </c>
      <c r="F6" s="347">
        <v>12.5</v>
      </c>
      <c r="G6" s="338">
        <v>58.86</v>
      </c>
      <c r="H6" s="390">
        <f t="shared" si="1"/>
        <v>71.36</v>
      </c>
      <c r="I6" s="339">
        <f t="shared" si="0"/>
        <v>0.47573333333333334</v>
      </c>
      <c r="J6" s="335">
        <f t="shared" si="2"/>
        <v>78.64</v>
      </c>
      <c r="K6" s="335">
        <f t="shared" si="3"/>
        <v>16.5</v>
      </c>
      <c r="L6" s="336"/>
      <c r="M6" s="391"/>
      <c r="N6" s="392"/>
      <c r="O6" s="393"/>
    </row>
    <row r="7" spans="2:17" x14ac:dyDescent="0.4">
      <c r="B7" s="340" t="s">
        <v>11</v>
      </c>
      <c r="C7" s="341">
        <v>250</v>
      </c>
      <c r="D7" s="342">
        <v>244.4</v>
      </c>
      <c r="E7" s="343">
        <v>212.10000000000002</v>
      </c>
      <c r="F7" s="344">
        <v>65.2</v>
      </c>
      <c r="G7" s="345">
        <v>71.8</v>
      </c>
      <c r="H7" s="390">
        <f t="shared" si="1"/>
        <v>137</v>
      </c>
      <c r="I7" s="346">
        <f t="shared" si="0"/>
        <v>0.54800000000000004</v>
      </c>
      <c r="J7" s="342">
        <f t="shared" si="2"/>
        <v>113</v>
      </c>
      <c r="K7" s="335">
        <f t="shared" si="3"/>
        <v>37.899999999999977</v>
      </c>
      <c r="L7" s="343"/>
      <c r="M7" s="394"/>
      <c r="N7" s="395"/>
      <c r="O7" s="396"/>
    </row>
    <row r="8" spans="2:17" x14ac:dyDescent="0.4">
      <c r="B8" s="340" t="s">
        <v>12</v>
      </c>
      <c r="C8" s="341">
        <v>100</v>
      </c>
      <c r="D8" s="342">
        <v>66</v>
      </c>
      <c r="E8" s="343">
        <v>12.260000000000002</v>
      </c>
      <c r="F8" s="344">
        <v>10.760000000000002</v>
      </c>
      <c r="G8" s="345">
        <v>8</v>
      </c>
      <c r="H8" s="390">
        <f t="shared" si="1"/>
        <v>18.760000000000002</v>
      </c>
      <c r="I8" s="346">
        <f t="shared" si="0"/>
        <v>0.18760000000000002</v>
      </c>
      <c r="J8" s="342">
        <f t="shared" si="2"/>
        <v>81.239999999999995</v>
      </c>
      <c r="K8" s="335">
        <f t="shared" si="3"/>
        <v>87.74</v>
      </c>
      <c r="L8" s="343"/>
      <c r="M8" s="394"/>
      <c r="N8" s="395"/>
      <c r="O8" s="396"/>
    </row>
    <row r="9" spans="2:17" x14ac:dyDescent="0.4">
      <c r="B9" s="340" t="s">
        <v>13</v>
      </c>
      <c r="C9" s="348">
        <v>415</v>
      </c>
      <c r="D9" s="349">
        <v>330</v>
      </c>
      <c r="E9" s="350">
        <v>308.14999999999998</v>
      </c>
      <c r="F9" s="351">
        <v>122.65</v>
      </c>
      <c r="G9" s="352">
        <v>23.5</v>
      </c>
      <c r="H9" s="390">
        <f>F9+G9</f>
        <v>146.15</v>
      </c>
      <c r="I9" s="353">
        <f t="shared" si="0"/>
        <v>0.3521686746987952</v>
      </c>
      <c r="J9" s="349">
        <f t="shared" si="2"/>
        <v>268.85000000000002</v>
      </c>
      <c r="K9" s="335">
        <f t="shared" si="3"/>
        <v>106.85000000000002</v>
      </c>
      <c r="L9" s="350"/>
      <c r="M9" s="397"/>
      <c r="N9" s="392"/>
      <c r="O9" s="398"/>
      <c r="P9" s="115"/>
      <c r="Q9" s="115"/>
    </row>
    <row r="10" spans="2:17" s="110" customFormat="1" x14ac:dyDescent="0.4">
      <c r="B10" s="354" t="s">
        <v>52</v>
      </c>
      <c r="C10" s="355">
        <v>1765</v>
      </c>
      <c r="D10" s="111">
        <v>1322.9</v>
      </c>
      <c r="E10" s="356">
        <v>935.65</v>
      </c>
      <c r="F10" s="357">
        <v>384.91999999999996</v>
      </c>
      <c r="G10" s="358">
        <v>217.53</v>
      </c>
      <c r="H10" s="734">
        <f>SUM(H4:H9)</f>
        <v>602.44999999999993</v>
      </c>
      <c r="I10" s="112">
        <f t="shared" si="0"/>
        <v>0.34133144475920674</v>
      </c>
      <c r="J10" s="111">
        <f>C10-H10</f>
        <v>1162.5500000000002</v>
      </c>
      <c r="K10" s="111">
        <f>SUM(K4:K9)</f>
        <v>829.35</v>
      </c>
      <c r="L10" s="356">
        <f>SUM(L4:L9)</f>
        <v>0</v>
      </c>
      <c r="M10" s="399"/>
      <c r="N10" s="400">
        <f>SUM(N4:N9)</f>
        <v>0.12856033336818365</v>
      </c>
      <c r="O10" s="401">
        <f>SUM(O4:O9)</f>
        <v>0</v>
      </c>
    </row>
    <row r="11" spans="2:17" x14ac:dyDescent="0.4">
      <c r="B11" s="340" t="s">
        <v>14</v>
      </c>
      <c r="C11" s="359">
        <v>590</v>
      </c>
      <c r="D11" s="360">
        <v>418.17</v>
      </c>
      <c r="E11" s="361">
        <v>333.19</v>
      </c>
      <c r="F11" s="362">
        <v>200.32</v>
      </c>
      <c r="G11" s="363">
        <v>165.8</v>
      </c>
      <c r="H11" s="402">
        <f>F11+G11</f>
        <v>366.12</v>
      </c>
      <c r="I11" s="364">
        <f t="shared" si="0"/>
        <v>0.62054237288135594</v>
      </c>
      <c r="J11" s="360">
        <f t="shared" si="2"/>
        <v>223.88</v>
      </c>
      <c r="K11" s="360">
        <f>C11-E11</f>
        <v>256.81</v>
      </c>
      <c r="L11" s="361"/>
      <c r="M11" s="403"/>
      <c r="N11" s="404"/>
      <c r="O11" s="405"/>
    </row>
    <row r="12" spans="2:17" x14ac:dyDescent="0.4">
      <c r="B12" s="340" t="s">
        <v>15</v>
      </c>
      <c r="C12" s="341">
        <v>100</v>
      </c>
      <c r="D12" s="342">
        <v>98</v>
      </c>
      <c r="E12" s="343">
        <v>75.88</v>
      </c>
      <c r="F12" s="344">
        <v>42.879999999999995</v>
      </c>
      <c r="G12" s="345">
        <v>17</v>
      </c>
      <c r="H12" s="402">
        <f>F12+G12</f>
        <v>59.879999999999995</v>
      </c>
      <c r="I12" s="346">
        <f t="shared" si="0"/>
        <v>0.5988</v>
      </c>
      <c r="J12" s="342">
        <f t="shared" si="2"/>
        <v>40.120000000000005</v>
      </c>
      <c r="K12" s="360">
        <f t="shared" ref="K12:K15" si="4">C12-E12</f>
        <v>24.120000000000005</v>
      </c>
      <c r="L12" s="343"/>
      <c r="M12" s="394"/>
      <c r="N12" s="395"/>
      <c r="O12" s="396"/>
    </row>
    <row r="13" spans="2:17" x14ac:dyDescent="0.4">
      <c r="B13" s="340" t="s">
        <v>16</v>
      </c>
      <c r="C13" s="341">
        <v>300</v>
      </c>
      <c r="D13" s="342">
        <v>201</v>
      </c>
      <c r="E13" s="343">
        <v>263.16000000000003</v>
      </c>
      <c r="F13" s="344">
        <v>219.26000000000002</v>
      </c>
      <c r="G13" s="345">
        <v>28</v>
      </c>
      <c r="H13" s="402">
        <f t="shared" ref="H13:H14" si="5">F13+G13</f>
        <v>247.26000000000002</v>
      </c>
      <c r="I13" s="346">
        <f t="shared" si="0"/>
        <v>0.82420000000000004</v>
      </c>
      <c r="J13" s="342">
        <f t="shared" si="2"/>
        <v>52.739999999999981</v>
      </c>
      <c r="K13" s="360">
        <f t="shared" si="4"/>
        <v>36.839999999999975</v>
      </c>
      <c r="L13" s="343"/>
      <c r="M13" s="394"/>
      <c r="N13" s="395"/>
      <c r="O13" s="396"/>
    </row>
    <row r="14" spans="2:17" x14ac:dyDescent="0.4">
      <c r="B14" s="340" t="s">
        <v>17</v>
      </c>
      <c r="C14" s="348">
        <v>180</v>
      </c>
      <c r="D14" s="349">
        <v>120</v>
      </c>
      <c r="E14" s="350">
        <v>32.35</v>
      </c>
      <c r="F14" s="351">
        <v>22.35</v>
      </c>
      <c r="G14" s="352">
        <v>41</v>
      </c>
      <c r="H14" s="402">
        <f t="shared" si="5"/>
        <v>63.35</v>
      </c>
      <c r="I14" s="353">
        <f t="shared" si="0"/>
        <v>0.35194444444444445</v>
      </c>
      <c r="J14" s="349">
        <f t="shared" si="2"/>
        <v>116.65</v>
      </c>
      <c r="K14" s="360">
        <f t="shared" si="4"/>
        <v>147.65</v>
      </c>
      <c r="L14" s="350"/>
      <c r="M14" s="397"/>
      <c r="N14" s="406">
        <f>H14/H16</f>
        <v>4.7309306528460264E-2</v>
      </c>
      <c r="O14" s="398">
        <f>N14*H17</f>
        <v>0</v>
      </c>
    </row>
    <row r="15" spans="2:17" s="110" customFormat="1" x14ac:dyDescent="0.4">
      <c r="B15" s="365" t="s">
        <v>53</v>
      </c>
      <c r="C15" s="366">
        <v>1170</v>
      </c>
      <c r="D15" s="113">
        <v>837.17000000000007</v>
      </c>
      <c r="E15" s="367">
        <v>704.58</v>
      </c>
      <c r="F15" s="368">
        <v>484.81000000000006</v>
      </c>
      <c r="G15" s="113">
        <v>251.8</v>
      </c>
      <c r="H15" s="369">
        <f>SUM(H11:H14)</f>
        <v>736.61</v>
      </c>
      <c r="I15" s="114">
        <f t="shared" si="0"/>
        <v>0.6295811965811966</v>
      </c>
      <c r="J15" s="113">
        <f>SUM(J11:J14)</f>
        <v>433.39</v>
      </c>
      <c r="K15" s="360">
        <f t="shared" si="4"/>
        <v>465.41999999999996</v>
      </c>
      <c r="L15" s="367">
        <f>SUM(L11:L14)</f>
        <v>0</v>
      </c>
      <c r="M15" s="407"/>
      <c r="N15" s="408">
        <f>SUM(N11:N14)</f>
        <v>4.7309306528460264E-2</v>
      </c>
      <c r="O15" s="409">
        <f>SUM(O11:O14)</f>
        <v>0</v>
      </c>
    </row>
    <row r="16" spans="2:17" s="110" customFormat="1" ht="27" thickBot="1" x14ac:dyDescent="0.45">
      <c r="B16" s="410" t="s">
        <v>51</v>
      </c>
      <c r="C16" s="370">
        <f>C15+C10</f>
        <v>2935</v>
      </c>
      <c r="D16" s="371">
        <f t="shared" ref="D16:G16" si="6">D10+D15</f>
        <v>2160.0700000000002</v>
      </c>
      <c r="E16" s="372">
        <f t="shared" si="6"/>
        <v>1640.23</v>
      </c>
      <c r="F16" s="373">
        <f t="shared" si="6"/>
        <v>869.73</v>
      </c>
      <c r="G16" s="374">
        <f t="shared" si="6"/>
        <v>469.33000000000004</v>
      </c>
      <c r="H16" s="375">
        <f>H10+H15</f>
        <v>1339.06</v>
      </c>
      <c r="I16" s="376">
        <f t="shared" si="0"/>
        <v>0.45623850085178874</v>
      </c>
      <c r="J16" s="371">
        <f>J10+J15</f>
        <v>1595.94</v>
      </c>
      <c r="K16" s="371">
        <f>K15+K10</f>
        <v>1294.77</v>
      </c>
      <c r="L16" s="372">
        <f>L10+L15</f>
        <v>0</v>
      </c>
      <c r="M16" s="411"/>
      <c r="N16" s="412">
        <f>N10+N15</f>
        <v>0.17586963989664392</v>
      </c>
      <c r="O16" s="413">
        <f>O10+O15</f>
        <v>0</v>
      </c>
    </row>
    <row r="17" spans="2:15" s="377" customFormat="1" x14ac:dyDescent="0.4">
      <c r="F17" s="768">
        <f>F16+G16</f>
        <v>1339.06</v>
      </c>
      <c r="G17" s="769"/>
      <c r="H17" s="414"/>
      <c r="I17" s="115"/>
      <c r="J17" s="332"/>
      <c r="K17" s="332"/>
      <c r="L17" s="415"/>
      <c r="M17" s="416"/>
      <c r="N17" s="417"/>
      <c r="O17" s="418"/>
    </row>
    <row r="18" spans="2:15" x14ac:dyDescent="0.4">
      <c r="E18" s="115"/>
      <c r="F18" s="115"/>
      <c r="H18" s="419"/>
    </row>
    <row r="19" spans="2:15" x14ac:dyDescent="0.4">
      <c r="B19" s="332"/>
      <c r="C19" s="332"/>
    </row>
    <row r="20" spans="2:15" x14ac:dyDescent="0.4">
      <c r="C20" s="332"/>
    </row>
  </sheetData>
  <mergeCells count="2">
    <mergeCell ref="F17:G17"/>
    <mergeCell ref="B2:O2"/>
  </mergeCells>
  <conditionalFormatting sqref="I4:I15">
    <cfRule type="dataBar" priority="21">
      <dataBar>
        <cfvo type="min"/>
        <cfvo type="max"/>
        <color rgb="FFFF555A"/>
      </dataBar>
    </cfRule>
  </conditionalFormatting>
  <conditionalFormatting sqref="J4:J16">
    <cfRule type="dataBar" priority="20">
      <dataBar>
        <cfvo type="min"/>
        <cfvo type="max"/>
        <color rgb="FFFF555A"/>
      </dataBar>
    </cfRule>
  </conditionalFormatting>
  <conditionalFormatting sqref="K4:K16">
    <cfRule type="dataBar" priority="19">
      <dataBar>
        <cfvo type="min"/>
        <cfvo type="max"/>
        <color rgb="FFFF555A"/>
      </dataBar>
    </cfRule>
  </conditionalFormatting>
  <conditionalFormatting sqref="I16">
    <cfRule type="dataBar" priority="18">
      <dataBar>
        <cfvo type="min"/>
        <cfvo type="max"/>
        <color rgb="FFFF555A"/>
      </dataBar>
    </cfRule>
  </conditionalFormatting>
  <conditionalFormatting sqref="I4:I16">
    <cfRule type="dataBar" priority="17">
      <dataBar>
        <cfvo type="min"/>
        <cfvo type="max"/>
        <color rgb="FF63C384"/>
      </dataBar>
    </cfRule>
  </conditionalFormatting>
  <conditionalFormatting sqref="AV6:AV11 AV13:AV16">
    <cfRule type="dataBar" priority="11">
      <dataBar>
        <cfvo type="min"/>
        <cfvo type="max"/>
        <color rgb="FF63C384"/>
      </dataBar>
    </cfRule>
  </conditionalFormatting>
  <conditionalFormatting sqref="AV6:AV11">
    <cfRule type="dataBar" priority="10">
      <dataBar>
        <cfvo type="min"/>
        <cfvo type="max"/>
        <color rgb="FF63C384"/>
      </dataBar>
    </cfRule>
  </conditionalFormatting>
  <conditionalFormatting sqref="AH23:AH26">
    <cfRule type="dataBar" priority="9">
      <dataBar>
        <cfvo type="min"/>
        <cfvo type="max"/>
        <color rgb="FF63C384"/>
      </dataBar>
    </cfRule>
  </conditionalFormatting>
  <conditionalFormatting sqref="AK12:AK15 AK5:AK10">
    <cfRule type="dataBar" priority="7">
      <dataBar>
        <cfvo type="min"/>
        <cfvo type="max"/>
        <color rgb="FF63C384"/>
      </dataBar>
    </cfRule>
  </conditionalFormatting>
  <conditionalFormatting sqref="AW12:AW15 AW5:AW10">
    <cfRule type="dataBar" priority="6">
      <dataBar>
        <cfvo type="min"/>
        <cfvo type="max"/>
        <color rgb="FF63C384"/>
      </dataBar>
    </cfRule>
  </conditionalFormatting>
  <conditionalFormatting sqref="AK12:AK15">
    <cfRule type="dataBar" priority="5">
      <dataBar>
        <cfvo type="min"/>
        <cfvo type="max"/>
        <color rgb="FF63C384"/>
      </dataBar>
    </cfRule>
  </conditionalFormatting>
  <conditionalFormatting sqref="AW12:AW15">
    <cfRule type="dataBar" priority="4">
      <dataBar>
        <cfvo type="min"/>
        <cfvo type="max"/>
        <color rgb="FF63C384"/>
      </dataBar>
    </cfRule>
  </conditionalFormatting>
  <conditionalFormatting sqref="AU12:AU15 AU5:AU10">
    <cfRule type="dataBar" priority="3">
      <dataBar>
        <cfvo type="min"/>
        <cfvo type="max"/>
        <color rgb="FF63C384"/>
      </dataBar>
    </cfRule>
  </conditionalFormatting>
  <conditionalFormatting sqref="BI12:BI15 BI5:BI10">
    <cfRule type="dataBar" priority="2">
      <dataBar>
        <cfvo type="min"/>
        <cfvo type="max"/>
        <color rgb="FF63C384"/>
      </dataBar>
    </cfRule>
  </conditionalFormatting>
  <conditionalFormatting sqref="AU12:AU15">
    <cfRule type="dataBar" priority="1">
      <dataBar>
        <cfvo type="min"/>
        <cfvo type="max"/>
        <color rgb="FF63C384"/>
      </dataBar>
    </cfRule>
  </conditionalFormatting>
  <conditionalFormatting sqref="AH19:AH21">
    <cfRule type="dataBar" priority="30">
      <dataBar>
        <cfvo type="min"/>
        <cfvo type="max"/>
        <color rgb="FF63C384"/>
      </dataBar>
    </cfRule>
  </conditionalFormatting>
  <pageMargins left="0.70866141732283472" right="0.70866141732283472" top="0.74803149606299213" bottom="0.74803149606299213" header="0.31496062992125984" footer="0.31496062992125984"/>
  <pageSetup scale="7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7"/>
  <sheetViews>
    <sheetView workbookViewId="0">
      <selection activeCell="T8" sqref="T8"/>
    </sheetView>
  </sheetViews>
  <sheetFormatPr defaultColWidth="7" defaultRowHeight="12" x14ac:dyDescent="0.2"/>
  <cols>
    <col min="1" max="1" width="7" style="496"/>
    <col min="2" max="2" width="19.85546875" style="496" bestFit="1" customWidth="1"/>
    <col min="3" max="3" width="7" style="496"/>
    <col min="4" max="4" width="0" style="496" hidden="1" customWidth="1"/>
    <col min="5" max="5" width="9.140625" style="496" customWidth="1"/>
    <col min="6" max="6" width="7" style="496"/>
    <col min="7" max="7" width="9.7109375" style="496" customWidth="1"/>
    <col min="8" max="8" width="9" style="496" bestFit="1" customWidth="1"/>
    <col min="9" max="9" width="9.85546875" style="496" bestFit="1" customWidth="1"/>
    <col min="10" max="10" width="11.42578125" style="496" bestFit="1" customWidth="1"/>
    <col min="11" max="11" width="8.7109375" style="497" customWidth="1"/>
    <col min="12" max="12" width="9.5703125" style="497" customWidth="1"/>
    <col min="13" max="13" width="0" style="497" hidden="1" customWidth="1"/>
    <col min="14" max="14" width="0" style="498" hidden="1" customWidth="1"/>
    <col min="15" max="15" width="7" style="498" hidden="1" customWidth="1"/>
    <col min="16" max="16" width="0" style="499" hidden="1" customWidth="1"/>
    <col min="17" max="16384" width="7" style="496"/>
  </cols>
  <sheetData>
    <row r="1" spans="2:27" ht="12.75" thickBot="1" x14ac:dyDescent="0.25"/>
    <row r="2" spans="2:27" ht="22.5" customHeight="1" thickBot="1" x14ac:dyDescent="0.25">
      <c r="B2" s="776" t="s">
        <v>140</v>
      </c>
      <c r="C2" s="777"/>
      <c r="D2" s="777"/>
      <c r="E2" s="777"/>
      <c r="F2" s="777"/>
      <c r="G2" s="777"/>
      <c r="H2" s="777"/>
      <c r="I2" s="777"/>
      <c r="J2" s="777"/>
      <c r="K2" s="777"/>
      <c r="L2" s="777"/>
      <c r="M2" s="777"/>
      <c r="N2" s="777"/>
      <c r="O2" s="777"/>
      <c r="P2" s="778"/>
    </row>
    <row r="3" spans="2:27" s="616" customFormat="1" ht="63.75" customHeight="1" thickBot="1" x14ac:dyDescent="0.3">
      <c r="B3" s="602" t="s">
        <v>2</v>
      </c>
      <c r="C3" s="603" t="s">
        <v>24</v>
      </c>
      <c r="D3" s="604" t="s">
        <v>111</v>
      </c>
      <c r="E3" s="605" t="s">
        <v>55</v>
      </c>
      <c r="F3" s="606" t="s">
        <v>5</v>
      </c>
      <c r="G3" s="607" t="s">
        <v>56</v>
      </c>
      <c r="H3" s="608" t="s">
        <v>1</v>
      </c>
      <c r="I3" s="609" t="s">
        <v>47</v>
      </c>
      <c r="J3" s="610" t="s">
        <v>57</v>
      </c>
      <c r="K3" s="611" t="s">
        <v>58</v>
      </c>
      <c r="L3" s="611" t="s">
        <v>59</v>
      </c>
      <c r="M3" s="612" t="s">
        <v>83</v>
      </c>
      <c r="N3" s="613" t="s">
        <v>84</v>
      </c>
      <c r="O3" s="614" t="s">
        <v>85</v>
      </c>
      <c r="P3" s="615" t="s">
        <v>86</v>
      </c>
    </row>
    <row r="4" spans="2:27" ht="18.75" x14ac:dyDescent="0.2">
      <c r="B4" s="519" t="s">
        <v>8</v>
      </c>
      <c r="C4" s="520">
        <v>650</v>
      </c>
      <c r="D4" s="521"/>
      <c r="E4" s="522">
        <v>520.70000000000005</v>
      </c>
      <c r="F4" s="523">
        <v>388.12</v>
      </c>
      <c r="G4" s="524">
        <v>288.52</v>
      </c>
      <c r="H4" s="525">
        <v>29.9</v>
      </c>
      <c r="I4" s="526">
        <f>G4+H4</f>
        <v>318.41999999999996</v>
      </c>
      <c r="J4" s="527">
        <f t="shared" ref="J4:J16" si="0">I4/C4</f>
        <v>0.48987692307692299</v>
      </c>
      <c r="K4" s="522">
        <f>C4-I4</f>
        <v>331.58000000000004</v>
      </c>
      <c r="L4" s="522">
        <f t="shared" ref="L4:L16" si="1">C4-F4</f>
        <v>261.88</v>
      </c>
      <c r="M4" s="523"/>
      <c r="N4" s="528"/>
      <c r="O4" s="529">
        <f>I4/$I$16</f>
        <v>0.17697570627435066</v>
      </c>
      <c r="P4" s="530">
        <f>$I$17*O4</f>
        <v>0</v>
      </c>
      <c r="S4" s="500"/>
      <c r="T4" s="496">
        <v>1650</v>
      </c>
    </row>
    <row r="5" spans="2:27" ht="18.75" x14ac:dyDescent="0.2">
      <c r="B5" s="531" t="s">
        <v>9</v>
      </c>
      <c r="C5" s="532">
        <v>300</v>
      </c>
      <c r="D5" s="533"/>
      <c r="E5" s="534">
        <v>236</v>
      </c>
      <c r="F5" s="535">
        <v>108.80000000000001</v>
      </c>
      <c r="G5" s="536">
        <v>92.800000000000011</v>
      </c>
      <c r="H5" s="537">
        <v>19.399999999999999</v>
      </c>
      <c r="I5" s="538">
        <f t="shared" ref="I5:I16" si="2">G5+H5</f>
        <v>112.20000000000002</v>
      </c>
      <c r="J5" s="539">
        <f t="shared" si="0"/>
        <v>0.37400000000000005</v>
      </c>
      <c r="K5" s="534">
        <f t="shared" ref="K5:K13" si="3">C5-I5</f>
        <v>187.79999999999998</v>
      </c>
      <c r="L5" s="534">
        <f t="shared" si="1"/>
        <v>191.2</v>
      </c>
      <c r="M5" s="535"/>
      <c r="N5" s="540"/>
      <c r="O5" s="541"/>
      <c r="P5" s="542"/>
      <c r="S5" s="500"/>
      <c r="T5" s="496">
        <v>1799</v>
      </c>
    </row>
    <row r="6" spans="2:27" ht="18.75" x14ac:dyDescent="0.2">
      <c r="B6" s="531" t="s">
        <v>10</v>
      </c>
      <c r="C6" s="520">
        <v>150</v>
      </c>
      <c r="D6" s="543"/>
      <c r="E6" s="522">
        <v>141</v>
      </c>
      <c r="F6" s="523">
        <v>104</v>
      </c>
      <c r="G6" s="544">
        <v>24.48</v>
      </c>
      <c r="H6" s="525">
        <v>84.039999999999992</v>
      </c>
      <c r="I6" s="526">
        <f t="shared" si="2"/>
        <v>108.52</v>
      </c>
      <c r="J6" s="527">
        <f t="shared" si="0"/>
        <v>0.72346666666666659</v>
      </c>
      <c r="K6" s="522">
        <f t="shared" si="3"/>
        <v>41.480000000000004</v>
      </c>
      <c r="L6" s="522">
        <f t="shared" si="1"/>
        <v>46</v>
      </c>
      <c r="M6" s="523"/>
      <c r="N6" s="528"/>
      <c r="O6" s="529"/>
      <c r="P6" s="530"/>
      <c r="S6" s="500"/>
      <c r="T6" s="496">
        <v>4000</v>
      </c>
    </row>
    <row r="7" spans="2:27" ht="18.75" x14ac:dyDescent="0.2">
      <c r="B7" s="531" t="s">
        <v>11</v>
      </c>
      <c r="C7" s="532">
        <v>300</v>
      </c>
      <c r="D7" s="533"/>
      <c r="E7" s="534">
        <v>236</v>
      </c>
      <c r="F7" s="535">
        <v>108.80000000000001</v>
      </c>
      <c r="G7" s="536">
        <v>76.099999999999994</v>
      </c>
      <c r="H7" s="537">
        <v>20.85</v>
      </c>
      <c r="I7" s="538">
        <f t="shared" si="2"/>
        <v>96.949999999999989</v>
      </c>
      <c r="J7" s="539">
        <f t="shared" si="0"/>
        <v>0.3231666666666666</v>
      </c>
      <c r="K7" s="534">
        <f t="shared" si="3"/>
        <v>203.05</v>
      </c>
      <c r="L7" s="534">
        <f t="shared" si="1"/>
        <v>191.2</v>
      </c>
      <c r="M7" s="535"/>
      <c r="N7" s="540"/>
      <c r="O7" s="541"/>
      <c r="P7" s="542"/>
      <c r="S7" s="500"/>
      <c r="T7" s="496">
        <v>4000</v>
      </c>
      <c r="W7" s="496">
        <v>551</v>
      </c>
      <c r="X7" s="496">
        <v>391</v>
      </c>
      <c r="Y7" s="496">
        <v>307</v>
      </c>
      <c r="Z7" s="496">
        <v>97</v>
      </c>
    </row>
    <row r="8" spans="2:27" ht="18.75" x14ac:dyDescent="0.2">
      <c r="B8" s="531" t="s">
        <v>12</v>
      </c>
      <c r="C8" s="532">
        <v>100</v>
      </c>
      <c r="D8" s="533"/>
      <c r="E8" s="534">
        <v>53</v>
      </c>
      <c r="F8" s="535">
        <v>38</v>
      </c>
      <c r="G8" s="536">
        <v>1</v>
      </c>
      <c r="H8" s="537">
        <v>17.399999999999999</v>
      </c>
      <c r="I8" s="538">
        <f t="shared" si="2"/>
        <v>18.399999999999999</v>
      </c>
      <c r="J8" s="539">
        <f t="shared" si="0"/>
        <v>0.184</v>
      </c>
      <c r="K8" s="534">
        <f t="shared" si="3"/>
        <v>81.599999999999994</v>
      </c>
      <c r="L8" s="534">
        <f t="shared" si="1"/>
        <v>62</v>
      </c>
      <c r="M8" s="535"/>
      <c r="N8" s="540"/>
      <c r="O8" s="541"/>
      <c r="P8" s="542"/>
      <c r="S8" s="500"/>
      <c r="W8" s="496">
        <v>545</v>
      </c>
      <c r="X8" s="496">
        <v>392</v>
      </c>
      <c r="Y8" s="496">
        <v>375</v>
      </c>
      <c r="Z8" s="496">
        <v>62</v>
      </c>
    </row>
    <row r="9" spans="2:27" ht="18.75" x14ac:dyDescent="0.2">
      <c r="B9" s="531" t="s">
        <v>13</v>
      </c>
      <c r="C9" s="545">
        <v>400</v>
      </c>
      <c r="D9" s="546"/>
      <c r="E9" s="547">
        <v>305</v>
      </c>
      <c r="F9" s="548">
        <v>179.85</v>
      </c>
      <c r="G9" s="549">
        <v>95.63</v>
      </c>
      <c r="H9" s="550">
        <v>73</v>
      </c>
      <c r="I9" s="551">
        <f t="shared" si="2"/>
        <v>168.63</v>
      </c>
      <c r="J9" s="552">
        <f t="shared" si="0"/>
        <v>0.42157499999999998</v>
      </c>
      <c r="K9" s="547">
        <f t="shared" si="3"/>
        <v>231.37</v>
      </c>
      <c r="L9" s="547">
        <f t="shared" si="1"/>
        <v>220.15</v>
      </c>
      <c r="M9" s="548"/>
      <c r="N9" s="553"/>
      <c r="O9" s="529"/>
      <c r="P9" s="554"/>
      <c r="R9" s="498">
        <f>70/135</f>
        <v>0.51851851851851849</v>
      </c>
      <c r="S9" s="500"/>
      <c r="W9" s="496">
        <v>604</v>
      </c>
      <c r="X9" s="496">
        <v>427</v>
      </c>
      <c r="Y9" s="496">
        <v>226</v>
      </c>
      <c r="Z9" s="496">
        <v>17</v>
      </c>
      <c r="AA9" s="496">
        <f t="shared" ref="AA9:AA18" si="4">X9-(Y9+Z9)</f>
        <v>184</v>
      </c>
    </row>
    <row r="10" spans="2:27" s="501" customFormat="1" ht="18.75" x14ac:dyDescent="0.2">
      <c r="B10" s="555" t="s">
        <v>52</v>
      </c>
      <c r="C10" s="556">
        <v>1900</v>
      </c>
      <c r="D10" s="557">
        <f t="shared" ref="D10" si="5">SUM(D4:D9)</f>
        <v>0</v>
      </c>
      <c r="E10" s="558">
        <v>1430.7</v>
      </c>
      <c r="F10" s="559">
        <v>920.87</v>
      </c>
      <c r="G10" s="560">
        <f>SUM(G4:G9)</f>
        <v>578.53</v>
      </c>
      <c r="H10" s="560">
        <f>SUM(H4:H9)</f>
        <v>244.58999999999997</v>
      </c>
      <c r="I10" s="640">
        <f t="shared" si="2"/>
        <v>823.11999999999989</v>
      </c>
      <c r="J10" s="562">
        <f t="shared" si="0"/>
        <v>0.4332210526315789</v>
      </c>
      <c r="K10" s="558">
        <f t="shared" si="3"/>
        <v>1076.8800000000001</v>
      </c>
      <c r="L10" s="558">
        <f t="shared" si="1"/>
        <v>979.13</v>
      </c>
      <c r="M10" s="559">
        <f>SUM(M4:M9)</f>
        <v>0</v>
      </c>
      <c r="N10" s="563"/>
      <c r="O10" s="564">
        <f>SUM(O4:O9)</f>
        <v>0.17697570627435066</v>
      </c>
      <c r="P10" s="565">
        <f>SUM(P4:P9)</f>
        <v>0</v>
      </c>
      <c r="S10" s="502"/>
      <c r="T10" s="503"/>
      <c r="U10" s="503"/>
      <c r="V10" s="503"/>
      <c r="W10" s="501">
        <v>530</v>
      </c>
      <c r="X10" s="501">
        <v>530</v>
      </c>
      <c r="Y10" s="501">
        <v>497</v>
      </c>
      <c r="Z10" s="501">
        <v>21</v>
      </c>
      <c r="AA10" s="496">
        <f t="shared" si="4"/>
        <v>12</v>
      </c>
    </row>
    <row r="11" spans="2:27" ht="18.75" x14ac:dyDescent="0.2">
      <c r="B11" s="531" t="s">
        <v>14</v>
      </c>
      <c r="C11" s="566">
        <v>700</v>
      </c>
      <c r="D11" s="567"/>
      <c r="E11" s="568">
        <v>709.9</v>
      </c>
      <c r="F11" s="569">
        <v>644.01</v>
      </c>
      <c r="G11" s="570">
        <v>410.71</v>
      </c>
      <c r="H11" s="571">
        <v>90.8</v>
      </c>
      <c r="I11" s="572">
        <f t="shared" si="2"/>
        <v>501.51</v>
      </c>
      <c r="J11" s="573">
        <f t="shared" si="0"/>
        <v>0.71644285714285716</v>
      </c>
      <c r="K11" s="568">
        <f t="shared" si="3"/>
        <v>198.49</v>
      </c>
      <c r="L11" s="568">
        <f t="shared" si="1"/>
        <v>55.990000000000009</v>
      </c>
      <c r="M11" s="569"/>
      <c r="N11" s="574"/>
      <c r="O11" s="575"/>
      <c r="P11" s="576"/>
      <c r="S11" s="502"/>
      <c r="T11" s="503"/>
      <c r="U11" s="503"/>
      <c r="V11" s="503"/>
      <c r="W11" s="496">
        <v>312</v>
      </c>
      <c r="X11" s="496">
        <v>273</v>
      </c>
      <c r="Y11" s="496">
        <v>141</v>
      </c>
      <c r="Z11" s="496">
        <v>54</v>
      </c>
      <c r="AA11" s="496">
        <f t="shared" si="4"/>
        <v>78</v>
      </c>
    </row>
    <row r="12" spans="2:27" ht="18.75" x14ac:dyDescent="0.2">
      <c r="B12" s="531" t="s">
        <v>15</v>
      </c>
      <c r="C12" s="532">
        <v>100</v>
      </c>
      <c r="D12" s="577"/>
      <c r="E12" s="534">
        <v>80</v>
      </c>
      <c r="F12" s="535">
        <v>32.5</v>
      </c>
      <c r="G12" s="536">
        <v>32.5</v>
      </c>
      <c r="H12" s="537">
        <v>25.740000000000002</v>
      </c>
      <c r="I12" s="538">
        <f t="shared" si="2"/>
        <v>58.24</v>
      </c>
      <c r="J12" s="539">
        <f t="shared" si="0"/>
        <v>0.58240000000000003</v>
      </c>
      <c r="K12" s="534">
        <f t="shared" si="3"/>
        <v>41.76</v>
      </c>
      <c r="L12" s="534">
        <f t="shared" si="1"/>
        <v>67.5</v>
      </c>
      <c r="M12" s="535"/>
      <c r="N12" s="540"/>
      <c r="O12" s="541"/>
      <c r="P12" s="542"/>
      <c r="S12" s="502"/>
      <c r="T12" s="503"/>
      <c r="U12" s="503"/>
      <c r="V12" s="503"/>
      <c r="W12" s="496">
        <f>SUM(W7:W11)</f>
        <v>2542</v>
      </c>
      <c r="X12" s="496">
        <f t="shared" ref="X12:Z12" si="6">SUM(X7:X11)</f>
        <v>2013</v>
      </c>
      <c r="Y12" s="496">
        <f t="shared" si="6"/>
        <v>1546</v>
      </c>
      <c r="Z12" s="496">
        <f t="shared" si="6"/>
        <v>251</v>
      </c>
      <c r="AA12" s="496">
        <f t="shared" si="4"/>
        <v>216</v>
      </c>
    </row>
    <row r="13" spans="2:27" ht="18.75" x14ac:dyDescent="0.2">
      <c r="B13" s="531" t="s">
        <v>16</v>
      </c>
      <c r="C13" s="532">
        <v>800</v>
      </c>
      <c r="D13" s="533"/>
      <c r="E13" s="534">
        <v>424.5</v>
      </c>
      <c r="F13" s="535">
        <v>300.60000000000002</v>
      </c>
      <c r="G13" s="536">
        <v>217.65</v>
      </c>
      <c r="H13" s="537">
        <v>89.3</v>
      </c>
      <c r="I13" s="538">
        <f t="shared" si="2"/>
        <v>306.95</v>
      </c>
      <c r="J13" s="539">
        <f t="shared" si="0"/>
        <v>0.38368749999999996</v>
      </c>
      <c r="K13" s="534">
        <f t="shared" si="3"/>
        <v>493.05</v>
      </c>
      <c r="L13" s="534">
        <f t="shared" si="1"/>
        <v>499.4</v>
      </c>
      <c r="M13" s="535"/>
      <c r="N13" s="540"/>
      <c r="O13" s="541"/>
      <c r="P13" s="542"/>
      <c r="S13" s="503"/>
      <c r="T13" s="503"/>
      <c r="U13" s="503"/>
      <c r="V13" s="503"/>
      <c r="W13" s="496">
        <v>375</v>
      </c>
      <c r="X13" s="496">
        <v>332</v>
      </c>
      <c r="Y13" s="496">
        <v>310</v>
      </c>
      <c r="Z13" s="496">
        <v>20</v>
      </c>
      <c r="AA13" s="496">
        <f t="shared" si="4"/>
        <v>2</v>
      </c>
    </row>
    <row r="14" spans="2:27" ht="18.75" x14ac:dyDescent="0.2">
      <c r="B14" s="531" t="s">
        <v>17</v>
      </c>
      <c r="C14" s="545">
        <v>150</v>
      </c>
      <c r="D14" s="546"/>
      <c r="E14" s="547">
        <v>98.8</v>
      </c>
      <c r="F14" s="548">
        <v>116.21000000000001</v>
      </c>
      <c r="G14" s="549">
        <v>109.41</v>
      </c>
      <c r="H14" s="550">
        <v>0</v>
      </c>
      <c r="I14" s="551">
        <f t="shared" si="2"/>
        <v>109.41</v>
      </c>
      <c r="J14" s="552">
        <f t="shared" si="0"/>
        <v>0.72939999999999994</v>
      </c>
      <c r="K14" s="547">
        <f>C14-I14</f>
        <v>40.590000000000003</v>
      </c>
      <c r="L14" s="547">
        <f>C14-F14</f>
        <v>33.789999999999992</v>
      </c>
      <c r="M14" s="548"/>
      <c r="N14" s="553"/>
      <c r="O14" s="578">
        <f>I14/I16</f>
        <v>6.0809346220327583E-2</v>
      </c>
      <c r="P14" s="554">
        <f>O14*I17</f>
        <v>0</v>
      </c>
      <c r="S14" s="503"/>
      <c r="T14" s="503"/>
      <c r="U14" s="503"/>
      <c r="V14" s="503"/>
      <c r="W14" s="496">
        <v>484</v>
      </c>
      <c r="X14" s="496">
        <v>413</v>
      </c>
      <c r="Y14" s="496">
        <v>298</v>
      </c>
      <c r="Z14" s="496">
        <v>217</v>
      </c>
    </row>
    <row r="15" spans="2:27" s="501" customFormat="1" ht="18.75" x14ac:dyDescent="0.2">
      <c r="B15" s="579" t="s">
        <v>53</v>
      </c>
      <c r="C15" s="580">
        <v>1750</v>
      </c>
      <c r="D15" s="581">
        <f t="shared" ref="D15" si="7">SUM(D11:D14)</f>
        <v>0</v>
      </c>
      <c r="E15" s="582">
        <v>1313.2</v>
      </c>
      <c r="F15" s="583">
        <v>1093.32</v>
      </c>
      <c r="G15" s="584">
        <f>SUM(G11:G14)</f>
        <v>770.27</v>
      </c>
      <c r="H15" s="584">
        <f>SUM(H11:H14)</f>
        <v>205.83999999999997</v>
      </c>
      <c r="I15" s="585">
        <f t="shared" si="2"/>
        <v>976.1099999999999</v>
      </c>
      <c r="J15" s="586">
        <f t="shared" si="0"/>
        <v>0.55777714285714275</v>
      </c>
      <c r="K15" s="582">
        <f>SUM(K11:K14)</f>
        <v>773.89</v>
      </c>
      <c r="L15" s="582">
        <f t="shared" si="1"/>
        <v>656.68000000000006</v>
      </c>
      <c r="M15" s="583">
        <f>SUM(M11:M14)</f>
        <v>0</v>
      </c>
      <c r="N15" s="587"/>
      <c r="O15" s="588">
        <f>SUM(O11:O14)</f>
        <v>6.0809346220327583E-2</v>
      </c>
      <c r="P15" s="589">
        <f>SUM(P11:P14)</f>
        <v>0</v>
      </c>
      <c r="S15" s="503"/>
      <c r="T15" s="503"/>
      <c r="U15" s="503"/>
      <c r="V15" s="503"/>
      <c r="W15" s="501">
        <v>543</v>
      </c>
      <c r="X15" s="501">
        <v>399</v>
      </c>
      <c r="Y15" s="501">
        <v>386</v>
      </c>
      <c r="AA15" s="496">
        <f t="shared" si="4"/>
        <v>13</v>
      </c>
    </row>
    <row r="16" spans="2:27" s="501" customFormat="1" ht="19.5" thickBot="1" x14ac:dyDescent="0.25">
      <c r="B16" s="590" t="s">
        <v>51</v>
      </c>
      <c r="C16" s="591">
        <f t="shared" ref="C16:F16" si="8">C10+C15</f>
        <v>3650</v>
      </c>
      <c r="D16" s="592">
        <f t="shared" si="8"/>
        <v>0</v>
      </c>
      <c r="E16" s="593">
        <f>E10+E15</f>
        <v>2743.9</v>
      </c>
      <c r="F16" s="594">
        <f t="shared" si="8"/>
        <v>2014.19</v>
      </c>
      <c r="G16" s="595">
        <f>G10+G15</f>
        <v>1348.8</v>
      </c>
      <c r="H16" s="596">
        <f>H10+H15</f>
        <v>450.42999999999995</v>
      </c>
      <c r="I16" s="597">
        <f t="shared" si="2"/>
        <v>1799.23</v>
      </c>
      <c r="J16" s="598">
        <f t="shared" si="0"/>
        <v>0.49293972602739727</v>
      </c>
      <c r="K16" s="593">
        <f>K10+K15</f>
        <v>1850.77</v>
      </c>
      <c r="L16" s="593">
        <f t="shared" si="1"/>
        <v>1635.81</v>
      </c>
      <c r="M16" s="594">
        <f>M10+M15</f>
        <v>0</v>
      </c>
      <c r="N16" s="599"/>
      <c r="O16" s="600">
        <f>O10+O15</f>
        <v>0.23778505249467824</v>
      </c>
      <c r="P16" s="601">
        <f>P10+P15</f>
        <v>0</v>
      </c>
      <c r="S16" s="503"/>
      <c r="T16" s="503"/>
      <c r="U16" s="503"/>
      <c r="V16" s="503"/>
      <c r="W16" s="501">
        <v>631</v>
      </c>
      <c r="X16" s="501">
        <v>391</v>
      </c>
      <c r="Y16" s="501">
        <v>124</v>
      </c>
      <c r="Z16" s="501">
        <v>24</v>
      </c>
      <c r="AA16" s="496">
        <f t="shared" si="4"/>
        <v>243</v>
      </c>
    </row>
    <row r="17" spans="2:27" s="504" customFormat="1" x14ac:dyDescent="0.2">
      <c r="G17" s="779">
        <f>G16+H16</f>
        <v>1799.23</v>
      </c>
      <c r="H17" s="780"/>
      <c r="I17" s="505"/>
      <c r="J17" s="506"/>
      <c r="K17" s="497"/>
      <c r="L17" s="497"/>
      <c r="M17" s="507"/>
      <c r="N17" s="508"/>
      <c r="O17" s="509"/>
      <c r="P17" s="510"/>
      <c r="S17" s="502"/>
      <c r="T17" s="503"/>
      <c r="U17" s="502"/>
      <c r="V17" s="502"/>
      <c r="W17" s="504">
        <v>640</v>
      </c>
      <c r="X17" s="504">
        <v>353</v>
      </c>
      <c r="Y17" s="504">
        <v>234</v>
      </c>
      <c r="AA17" s="496">
        <f t="shared" si="4"/>
        <v>119</v>
      </c>
    </row>
    <row r="18" spans="2:27" x14ac:dyDescent="0.2">
      <c r="D18" s="506"/>
      <c r="F18" s="506"/>
      <c r="G18" s="506"/>
      <c r="I18" s="511"/>
      <c r="S18" s="503"/>
      <c r="T18" s="503"/>
      <c r="U18" s="503"/>
      <c r="V18" s="503"/>
      <c r="W18" s="496">
        <f>SUM(W13:W17)</f>
        <v>2673</v>
      </c>
      <c r="X18" s="496">
        <f t="shared" ref="X18:Z18" si="9">SUM(X13:X17)</f>
        <v>1888</v>
      </c>
      <c r="Y18" s="496">
        <f t="shared" si="9"/>
        <v>1352</v>
      </c>
      <c r="Z18" s="496">
        <f t="shared" si="9"/>
        <v>261</v>
      </c>
      <c r="AA18" s="496">
        <f t="shared" si="4"/>
        <v>275</v>
      </c>
    </row>
    <row r="19" spans="2:27" x14ac:dyDescent="0.2">
      <c r="I19" s="498"/>
      <c r="S19" s="503"/>
      <c r="T19" s="503"/>
      <c r="U19" s="503"/>
      <c r="V19" s="503"/>
      <c r="W19" s="496">
        <f>W18+W12</f>
        <v>5215</v>
      </c>
      <c r="X19" s="496">
        <f t="shared" ref="X19:AA19" si="10">X18+X12</f>
        <v>3901</v>
      </c>
      <c r="Y19" s="496">
        <f t="shared" si="10"/>
        <v>2898</v>
      </c>
      <c r="Z19" s="496">
        <f t="shared" si="10"/>
        <v>512</v>
      </c>
      <c r="AA19" s="496">
        <f t="shared" si="10"/>
        <v>491</v>
      </c>
    </row>
    <row r="20" spans="2:27" ht="12.75" thickBot="1" x14ac:dyDescent="0.25">
      <c r="D20" s="506"/>
      <c r="S20" s="503"/>
      <c r="T20" s="503"/>
      <c r="U20" s="503"/>
      <c r="V20" s="503"/>
    </row>
    <row r="21" spans="2:27" ht="12.75" thickBot="1" x14ac:dyDescent="0.25">
      <c r="E21" s="781" t="s">
        <v>87</v>
      </c>
      <c r="F21" s="782"/>
      <c r="G21" s="783"/>
      <c r="I21" s="781" t="s">
        <v>87</v>
      </c>
      <c r="J21" s="782"/>
      <c r="K21" s="783"/>
      <c r="S21" s="503"/>
      <c r="T21" s="503"/>
      <c r="U21" s="503"/>
      <c r="V21" s="503"/>
    </row>
    <row r="22" spans="2:27" ht="29.25" customHeight="1" x14ac:dyDescent="0.2">
      <c r="B22" s="497"/>
      <c r="C22" s="497"/>
      <c r="D22" s="497"/>
      <c r="E22" s="512" t="s">
        <v>88</v>
      </c>
      <c r="F22" s="513" t="s">
        <v>89</v>
      </c>
      <c r="G22" s="514" t="s">
        <v>90</v>
      </c>
      <c r="I22" s="512" t="s">
        <v>88</v>
      </c>
      <c r="J22" s="513" t="s">
        <v>89</v>
      </c>
      <c r="K22" s="514" t="s">
        <v>90</v>
      </c>
      <c r="S22" s="503"/>
      <c r="T22" s="503"/>
      <c r="U22" s="503"/>
      <c r="V22" s="503"/>
      <c r="X22" s="496">
        <v>3410</v>
      </c>
      <c r="Z22" s="496">
        <f>1799+1640</f>
        <v>3439</v>
      </c>
    </row>
    <row r="23" spans="2:27" x14ac:dyDescent="0.2">
      <c r="B23" s="497"/>
      <c r="C23" s="497"/>
      <c r="D23" s="497"/>
      <c r="E23" s="515">
        <v>1</v>
      </c>
      <c r="F23" s="516" t="s">
        <v>91</v>
      </c>
      <c r="G23" s="517"/>
      <c r="I23" s="515">
        <v>1</v>
      </c>
      <c r="J23" s="516" t="s">
        <v>92</v>
      </c>
      <c r="K23" s="517"/>
      <c r="S23" s="503"/>
      <c r="T23" s="503"/>
      <c r="U23" s="503"/>
      <c r="V23" s="503"/>
    </row>
    <row r="24" spans="2:27" x14ac:dyDescent="0.2">
      <c r="B24" s="497"/>
      <c r="C24" s="497"/>
      <c r="D24" s="497"/>
      <c r="E24" s="515">
        <v>2</v>
      </c>
      <c r="F24" s="516" t="s">
        <v>93</v>
      </c>
      <c r="G24" s="517"/>
      <c r="I24" s="515">
        <v>2</v>
      </c>
      <c r="J24" s="516" t="s">
        <v>94</v>
      </c>
      <c r="K24" s="517"/>
      <c r="S24" s="503"/>
      <c r="T24" s="503"/>
      <c r="U24" s="503"/>
      <c r="V24" s="503"/>
    </row>
    <row r="25" spans="2:27" x14ac:dyDescent="0.2">
      <c r="B25" s="497"/>
      <c r="C25" s="497"/>
      <c r="D25" s="497"/>
      <c r="E25" s="515">
        <v>3</v>
      </c>
      <c r="F25" s="516" t="s">
        <v>95</v>
      </c>
      <c r="G25" s="517"/>
      <c r="I25" s="515">
        <v>3</v>
      </c>
      <c r="J25" s="516" t="s">
        <v>96</v>
      </c>
      <c r="K25" s="517"/>
      <c r="S25" s="503"/>
      <c r="T25" s="503"/>
      <c r="U25" s="503"/>
      <c r="V25" s="503"/>
    </row>
    <row r="26" spans="2:27" x14ac:dyDescent="0.2">
      <c r="B26" s="497"/>
      <c r="C26" s="497"/>
      <c r="D26" s="497"/>
      <c r="E26" s="515">
        <v>4</v>
      </c>
      <c r="F26" s="516" t="s">
        <v>97</v>
      </c>
      <c r="G26" s="517"/>
      <c r="I26" s="515">
        <v>4</v>
      </c>
      <c r="J26" s="516" t="s">
        <v>98</v>
      </c>
      <c r="K26" s="517"/>
      <c r="S26" s="503"/>
      <c r="T26" s="503"/>
      <c r="U26" s="503"/>
      <c r="V26" s="503"/>
    </row>
    <row r="27" spans="2:27" ht="12.75" thickBot="1" x14ac:dyDescent="0.25">
      <c r="B27" s="497"/>
      <c r="C27" s="497"/>
      <c r="D27" s="497"/>
      <c r="E27" s="784" t="s">
        <v>0</v>
      </c>
      <c r="F27" s="785"/>
      <c r="G27" s="518">
        <f>SUM(G23:G26)</f>
        <v>0</v>
      </c>
      <c r="I27" s="784" t="s">
        <v>0</v>
      </c>
      <c r="J27" s="785"/>
      <c r="K27" s="518">
        <f>SUM(K23:K26)</f>
        <v>0</v>
      </c>
      <c r="S27" s="503"/>
      <c r="T27" s="503"/>
      <c r="U27" s="503"/>
      <c r="V27" s="503"/>
    </row>
    <row r="28" spans="2:27" x14ac:dyDescent="0.2">
      <c r="B28" s="497"/>
      <c r="C28" s="497"/>
      <c r="D28" s="497"/>
    </row>
    <row r="29" spans="2:27" x14ac:dyDescent="0.2">
      <c r="C29" s="497"/>
      <c r="D29" s="497"/>
    </row>
    <row r="30" spans="2:27" ht="12.75" thickBot="1" x14ac:dyDescent="0.25"/>
    <row r="31" spans="2:27" ht="12.75" thickBot="1" x14ac:dyDescent="0.25">
      <c r="E31" s="773" t="s">
        <v>125</v>
      </c>
      <c r="F31" s="774"/>
      <c r="G31" s="774"/>
      <c r="H31" s="775"/>
    </row>
    <row r="32" spans="2:27" x14ac:dyDescent="0.2">
      <c r="E32" s="629"/>
      <c r="F32" s="630" t="s">
        <v>3</v>
      </c>
      <c r="G32" s="630" t="s">
        <v>5</v>
      </c>
      <c r="H32" s="631" t="s">
        <v>121</v>
      </c>
    </row>
    <row r="33" spans="5:8" x14ac:dyDescent="0.2">
      <c r="E33" s="632" t="s">
        <v>120</v>
      </c>
      <c r="F33" s="502">
        <v>70</v>
      </c>
      <c r="G33" s="502">
        <v>65</v>
      </c>
      <c r="H33" s="633">
        <v>57</v>
      </c>
    </row>
    <row r="34" spans="5:8" x14ac:dyDescent="0.2">
      <c r="E34" s="632" t="s">
        <v>122</v>
      </c>
      <c r="F34" s="502">
        <v>45</v>
      </c>
      <c r="G34" s="502">
        <v>53</v>
      </c>
      <c r="H34" s="633">
        <v>36.700000000000003</v>
      </c>
    </row>
    <row r="35" spans="5:8" x14ac:dyDescent="0.2">
      <c r="E35" s="632" t="s">
        <v>123</v>
      </c>
      <c r="F35" s="502">
        <v>50</v>
      </c>
      <c r="G35" s="502">
        <v>27</v>
      </c>
      <c r="H35" s="633">
        <v>16</v>
      </c>
    </row>
    <row r="36" spans="5:8" ht="12.75" thickBot="1" x14ac:dyDescent="0.25">
      <c r="E36" s="634" t="s">
        <v>124</v>
      </c>
      <c r="F36" s="635">
        <v>116</v>
      </c>
      <c r="G36" s="635">
        <v>111</v>
      </c>
      <c r="H36" s="636">
        <v>67.599999999999994</v>
      </c>
    </row>
    <row r="37" spans="5:8" ht="12.75" thickBot="1" x14ac:dyDescent="0.25">
      <c r="E37" s="637" t="s">
        <v>0</v>
      </c>
      <c r="F37" s="638">
        <f>SUM(F33:F36)</f>
        <v>281</v>
      </c>
      <c r="G37" s="638">
        <f t="shared" ref="G37:H37" si="11">SUM(G33:G36)</f>
        <v>256</v>
      </c>
      <c r="H37" s="639">
        <f t="shared" si="11"/>
        <v>177.3</v>
      </c>
    </row>
  </sheetData>
  <mergeCells count="7">
    <mergeCell ref="E31:H31"/>
    <mergeCell ref="B2:P2"/>
    <mergeCell ref="G17:H17"/>
    <mergeCell ref="E21:G21"/>
    <mergeCell ref="I21:K21"/>
    <mergeCell ref="E27:F27"/>
    <mergeCell ref="I27:J27"/>
  </mergeCells>
  <conditionalFormatting sqref="J4:J15">
    <cfRule type="dataBar" priority="16">
      <dataBar>
        <cfvo type="min"/>
        <cfvo type="max"/>
        <color rgb="FFFF555A"/>
      </dataBar>
    </cfRule>
  </conditionalFormatting>
  <conditionalFormatting sqref="K4:K16">
    <cfRule type="dataBar" priority="15">
      <dataBar>
        <cfvo type="min"/>
        <cfvo type="max"/>
        <color rgb="FFFF555A"/>
      </dataBar>
    </cfRule>
  </conditionalFormatting>
  <conditionalFormatting sqref="L4:L16">
    <cfRule type="dataBar" priority="14">
      <dataBar>
        <cfvo type="min"/>
        <cfvo type="max"/>
        <color rgb="FFFF555A"/>
      </dataBar>
    </cfRule>
  </conditionalFormatting>
  <conditionalFormatting sqref="J16">
    <cfRule type="dataBar" priority="13">
      <dataBar>
        <cfvo type="min"/>
        <cfvo type="max"/>
        <color rgb="FFFF555A"/>
      </dataBar>
    </cfRule>
  </conditionalFormatting>
  <conditionalFormatting sqref="J4:J16">
    <cfRule type="dataBar" priority="12">
      <dataBar>
        <cfvo type="min"/>
        <cfvo type="max"/>
        <color rgb="FF63C384"/>
      </dataBar>
    </cfRule>
  </conditionalFormatting>
  <conditionalFormatting sqref="BE6:BE11 BE13:BE16">
    <cfRule type="dataBar" priority="11">
      <dataBar>
        <cfvo type="min"/>
        <cfvo type="max"/>
        <color rgb="FF63C384"/>
      </dataBar>
    </cfRule>
  </conditionalFormatting>
  <conditionalFormatting sqref="BE6:BE11">
    <cfRule type="dataBar" priority="10">
      <dataBar>
        <cfvo type="min"/>
        <cfvo type="max"/>
        <color rgb="FF63C384"/>
      </dataBar>
    </cfRule>
  </conditionalFormatting>
  <conditionalFormatting sqref="AQ32:AQ35">
    <cfRule type="dataBar" priority="9">
      <dataBar>
        <cfvo type="min"/>
        <cfvo type="max"/>
        <color rgb="FF63C384"/>
      </dataBar>
    </cfRule>
  </conditionalFormatting>
  <conditionalFormatting sqref="AQ25:AQ30">
    <cfRule type="dataBar" priority="8">
      <dataBar>
        <cfvo type="min"/>
        <cfvo type="max"/>
        <color rgb="FF63C384"/>
      </dataBar>
    </cfRule>
  </conditionalFormatting>
  <conditionalFormatting sqref="AT12:AT15 AT5:AT10">
    <cfRule type="dataBar" priority="7">
      <dataBar>
        <cfvo type="min"/>
        <cfvo type="max"/>
        <color rgb="FF63C384"/>
      </dataBar>
    </cfRule>
  </conditionalFormatting>
  <conditionalFormatting sqref="BF12:BF15 BF5:BF10">
    <cfRule type="dataBar" priority="6">
      <dataBar>
        <cfvo type="min"/>
        <cfvo type="max"/>
        <color rgb="FF63C384"/>
      </dataBar>
    </cfRule>
  </conditionalFormatting>
  <conditionalFormatting sqref="AT12:AT15">
    <cfRule type="dataBar" priority="5">
      <dataBar>
        <cfvo type="min"/>
        <cfvo type="max"/>
        <color rgb="FF63C384"/>
      </dataBar>
    </cfRule>
  </conditionalFormatting>
  <conditionalFormatting sqref="BF12:BF15">
    <cfRule type="dataBar" priority="4">
      <dataBar>
        <cfvo type="min"/>
        <cfvo type="max"/>
        <color rgb="FF63C384"/>
      </dataBar>
    </cfRule>
  </conditionalFormatting>
  <conditionalFormatting sqref="BD12:BD15 BD5:BD10">
    <cfRule type="dataBar" priority="3">
      <dataBar>
        <cfvo type="min"/>
        <cfvo type="max"/>
        <color rgb="FF63C384"/>
      </dataBar>
    </cfRule>
  </conditionalFormatting>
  <conditionalFormatting sqref="BR12:BR15 BR5:BR10">
    <cfRule type="dataBar" priority="2">
      <dataBar>
        <cfvo type="min"/>
        <cfvo type="max"/>
        <color rgb="FF63C384"/>
      </dataBar>
    </cfRule>
  </conditionalFormatting>
  <conditionalFormatting sqref="BD12:BD15">
    <cfRule type="dataBar" priority="1">
      <dataBar>
        <cfvo type="min"/>
        <cfvo type="max"/>
        <color rgb="FF63C384"/>
      </dataBar>
    </cfRule>
  </conditionalFormatting>
  <pageMargins left="1.07" right="0.38" top="0.75" bottom="0.75" header="0.3" footer="0.3"/>
  <pageSetup scale="11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8"/>
  <sheetViews>
    <sheetView zoomScale="40" zoomScaleNormal="40" workbookViewId="0">
      <selection activeCell="Z7" sqref="Z7"/>
    </sheetView>
  </sheetViews>
  <sheetFormatPr defaultColWidth="9.140625" defaultRowHeight="46.5" x14ac:dyDescent="0.7"/>
  <cols>
    <col min="1" max="1" width="9.140625" style="104" customWidth="1"/>
    <col min="2" max="2" width="38.140625" style="118" bestFit="1" customWidth="1"/>
    <col min="3" max="3" width="16.28515625" style="104" hidden="1" customWidth="1"/>
    <col min="4" max="4" width="47.7109375" style="104" hidden="1" customWidth="1"/>
    <col min="5" max="5" width="16.28515625" style="104" hidden="1" customWidth="1"/>
    <col min="6" max="6" width="33.42578125" style="104" hidden="1" customWidth="1"/>
    <col min="7" max="7" width="18.42578125" style="104" hidden="1" customWidth="1"/>
    <col min="8" max="8" width="31.28515625" style="104" customWidth="1"/>
    <col min="9" max="9" width="36.5703125" style="104" customWidth="1"/>
    <col min="10" max="10" width="22" style="203" hidden="1" customWidth="1"/>
    <col min="11" max="11" width="68.7109375" style="203" hidden="1" customWidth="1"/>
    <col min="12" max="12" width="22" style="203" hidden="1" customWidth="1"/>
    <col min="13" max="13" width="47" style="203" hidden="1" customWidth="1"/>
    <col min="14" max="14" width="25.5703125" style="203" hidden="1" customWidth="1"/>
    <col min="15" max="15" width="32.28515625" style="203" hidden="1" customWidth="1"/>
    <col min="16" max="16" width="31.5703125" style="203" customWidth="1"/>
    <col min="17" max="17" width="40.140625" style="203" customWidth="1"/>
    <col min="18" max="18" width="55.85546875" style="204" hidden="1" customWidth="1"/>
    <col min="19" max="19" width="57.28515625" style="204" hidden="1" customWidth="1"/>
    <col min="20" max="20" width="23.85546875" style="203" customWidth="1"/>
    <col min="21" max="21" width="41.28515625" style="104" bestFit="1" customWidth="1"/>
    <col min="22" max="16384" width="9.140625" style="104"/>
  </cols>
  <sheetData>
    <row r="1" spans="2:21" s="265" customFormat="1" ht="62.25" customHeight="1" thickBot="1" x14ac:dyDescent="0.3">
      <c r="B1" s="786" t="s">
        <v>81</v>
      </c>
      <c r="C1" s="787"/>
      <c r="D1" s="787"/>
      <c r="E1" s="787"/>
      <c r="F1" s="787"/>
      <c r="G1" s="787"/>
      <c r="H1" s="787"/>
      <c r="I1" s="787"/>
      <c r="J1" s="787"/>
      <c r="K1" s="787"/>
      <c r="L1" s="787"/>
      <c r="M1" s="787"/>
      <c r="N1" s="787"/>
      <c r="O1" s="787"/>
      <c r="P1" s="787"/>
      <c r="Q1" s="787"/>
      <c r="R1" s="787"/>
      <c r="S1" s="787"/>
      <c r="T1" s="787"/>
      <c r="U1" s="788"/>
    </row>
    <row r="2" spans="2:21" s="138" customFormat="1" ht="128.25" customHeight="1" thickBot="1" x14ac:dyDescent="0.3">
      <c r="B2" s="282" t="s">
        <v>2</v>
      </c>
      <c r="C2" s="254" t="s">
        <v>24</v>
      </c>
      <c r="D2" s="255" t="s">
        <v>55</v>
      </c>
      <c r="E2" s="256" t="s">
        <v>5</v>
      </c>
      <c r="F2" s="257" t="s">
        <v>56</v>
      </c>
      <c r="G2" s="258" t="s">
        <v>1</v>
      </c>
      <c r="H2" s="259" t="s">
        <v>47</v>
      </c>
      <c r="I2" s="260" t="s">
        <v>79</v>
      </c>
      <c r="J2" s="261" t="s">
        <v>24</v>
      </c>
      <c r="K2" s="262" t="s">
        <v>55</v>
      </c>
      <c r="L2" s="263" t="s">
        <v>5</v>
      </c>
      <c r="M2" s="260" t="s">
        <v>56</v>
      </c>
      <c r="N2" s="264" t="s">
        <v>1</v>
      </c>
      <c r="O2" s="262" t="s">
        <v>78</v>
      </c>
      <c r="P2" s="259" t="s">
        <v>47</v>
      </c>
      <c r="Q2" s="260" t="s">
        <v>80</v>
      </c>
      <c r="R2" s="293" t="s">
        <v>58</v>
      </c>
      <c r="S2" s="294" t="s">
        <v>59</v>
      </c>
      <c r="T2" s="266" t="s">
        <v>82</v>
      </c>
      <c r="U2" s="267" t="s">
        <v>47</v>
      </c>
    </row>
    <row r="3" spans="2:21" ht="52.5" customHeight="1" x14ac:dyDescent="0.35">
      <c r="B3" s="283" t="s">
        <v>8</v>
      </c>
      <c r="C3" s="139">
        <v>355</v>
      </c>
      <c r="D3" s="140">
        <v>362.2</v>
      </c>
      <c r="E3" s="141">
        <v>350.05</v>
      </c>
      <c r="F3" s="142">
        <v>220.26</v>
      </c>
      <c r="G3" s="143">
        <v>148.02000000000001</v>
      </c>
      <c r="H3" s="194">
        <f t="shared" ref="H3:H8" si="0">F3+G3</f>
        <v>368.28</v>
      </c>
      <c r="I3" s="210">
        <f t="shared" ref="I3:I15" si="1">H3/C3</f>
        <v>1.0374084507042254</v>
      </c>
      <c r="J3" s="205">
        <v>400</v>
      </c>
      <c r="K3" s="206">
        <v>415.90000000000003</v>
      </c>
      <c r="L3" s="207">
        <v>456.87999999999994</v>
      </c>
      <c r="M3" s="208">
        <v>302.56</v>
      </c>
      <c r="N3" s="209">
        <v>100.43</v>
      </c>
      <c r="O3" s="209">
        <v>13</v>
      </c>
      <c r="P3" s="289">
        <v>469.55</v>
      </c>
      <c r="Q3" s="210">
        <f t="shared" ref="Q3:Q15" si="2">P3/J3</f>
        <v>1.173875</v>
      </c>
      <c r="R3" s="206">
        <f t="shared" ref="R3:R13" si="3">J3-P3</f>
        <v>-69.550000000000011</v>
      </c>
      <c r="S3" s="207">
        <f t="shared" ref="S3:S15" si="4">J3-L3</f>
        <v>-56.879999999999939</v>
      </c>
      <c r="T3" s="275">
        <f t="shared" ref="T3:T15" si="5">(I3+Q3)/2</f>
        <v>1.1056417253521127</v>
      </c>
      <c r="U3" s="268">
        <f>H3+P3</f>
        <v>837.82999999999993</v>
      </c>
    </row>
    <row r="4" spans="2:21" x14ac:dyDescent="0.35">
      <c r="B4" s="284" t="s">
        <v>9</v>
      </c>
      <c r="C4" s="145">
        <v>300</v>
      </c>
      <c r="D4" s="146">
        <v>182</v>
      </c>
      <c r="E4" s="147">
        <v>91.91</v>
      </c>
      <c r="F4" s="148">
        <v>20.6</v>
      </c>
      <c r="G4" s="149">
        <v>36.270000000000003</v>
      </c>
      <c r="H4" s="195">
        <f t="shared" si="0"/>
        <v>56.870000000000005</v>
      </c>
      <c r="I4" s="216">
        <f t="shared" si="1"/>
        <v>0.18956666666666669</v>
      </c>
      <c r="J4" s="211">
        <v>250</v>
      </c>
      <c r="K4" s="212">
        <v>232</v>
      </c>
      <c r="L4" s="213">
        <v>154.29999999999998</v>
      </c>
      <c r="M4" s="214">
        <v>103.4</v>
      </c>
      <c r="N4" s="215">
        <v>70.83</v>
      </c>
      <c r="O4" s="215"/>
      <c r="P4" s="290">
        <v>174.23000000000002</v>
      </c>
      <c r="Q4" s="216">
        <f t="shared" si="2"/>
        <v>0.69692000000000009</v>
      </c>
      <c r="R4" s="212">
        <f t="shared" si="3"/>
        <v>75.769999999999982</v>
      </c>
      <c r="S4" s="213">
        <f t="shared" si="4"/>
        <v>95.700000000000017</v>
      </c>
      <c r="T4" s="276">
        <f t="shared" si="5"/>
        <v>0.44324333333333338</v>
      </c>
      <c r="U4" s="269">
        <f t="shared" ref="U4:U15" si="6">H4+P4</f>
        <v>231.10000000000002</v>
      </c>
    </row>
    <row r="5" spans="2:21" x14ac:dyDescent="0.35">
      <c r="B5" s="284" t="s">
        <v>10</v>
      </c>
      <c r="C5" s="139">
        <v>140</v>
      </c>
      <c r="D5" s="140">
        <v>136</v>
      </c>
      <c r="E5" s="141">
        <v>42.25</v>
      </c>
      <c r="F5" s="151">
        <v>11.25</v>
      </c>
      <c r="G5" s="143">
        <v>31</v>
      </c>
      <c r="H5" s="194">
        <f t="shared" si="0"/>
        <v>42.25</v>
      </c>
      <c r="I5" s="210">
        <f t="shared" si="1"/>
        <v>0.30178571428571427</v>
      </c>
      <c r="J5" s="205">
        <v>150</v>
      </c>
      <c r="K5" s="206">
        <v>118</v>
      </c>
      <c r="L5" s="207">
        <v>152.29999999999998</v>
      </c>
      <c r="M5" s="217">
        <v>137.18</v>
      </c>
      <c r="N5" s="209">
        <v>0</v>
      </c>
      <c r="O5" s="209">
        <v>7</v>
      </c>
      <c r="P5" s="289">
        <v>144.18</v>
      </c>
      <c r="Q5" s="210">
        <f t="shared" si="2"/>
        <v>0.96120000000000005</v>
      </c>
      <c r="R5" s="206">
        <f t="shared" si="3"/>
        <v>5.8199999999999932</v>
      </c>
      <c r="S5" s="207">
        <f t="shared" si="4"/>
        <v>-2.2999999999999829</v>
      </c>
      <c r="T5" s="275">
        <f t="shared" si="5"/>
        <v>0.63149285714285719</v>
      </c>
      <c r="U5" s="268">
        <f t="shared" si="6"/>
        <v>186.43</v>
      </c>
    </row>
    <row r="6" spans="2:21" x14ac:dyDescent="0.35">
      <c r="B6" s="284" t="s">
        <v>11</v>
      </c>
      <c r="C6" s="145">
        <v>200</v>
      </c>
      <c r="D6" s="146">
        <v>140</v>
      </c>
      <c r="E6" s="147">
        <v>139.63999999999999</v>
      </c>
      <c r="F6" s="148">
        <v>55.36</v>
      </c>
      <c r="G6" s="149">
        <v>23.13</v>
      </c>
      <c r="H6" s="195">
        <f t="shared" si="0"/>
        <v>78.489999999999995</v>
      </c>
      <c r="I6" s="216">
        <f t="shared" si="1"/>
        <v>0.39244999999999997</v>
      </c>
      <c r="J6" s="211">
        <v>250</v>
      </c>
      <c r="K6" s="212">
        <v>246.5</v>
      </c>
      <c r="L6" s="213">
        <v>308.47000000000003</v>
      </c>
      <c r="M6" s="214">
        <v>149.04</v>
      </c>
      <c r="N6" s="215">
        <v>48.72</v>
      </c>
      <c r="O6" s="215">
        <v>46</v>
      </c>
      <c r="P6" s="290">
        <v>243.76</v>
      </c>
      <c r="Q6" s="216">
        <f t="shared" si="2"/>
        <v>0.97504000000000002</v>
      </c>
      <c r="R6" s="212">
        <f t="shared" si="3"/>
        <v>6.2400000000000091</v>
      </c>
      <c r="S6" s="213">
        <f t="shared" si="4"/>
        <v>-58.470000000000027</v>
      </c>
      <c r="T6" s="276">
        <f t="shared" si="5"/>
        <v>0.68374500000000005</v>
      </c>
      <c r="U6" s="269">
        <f t="shared" si="6"/>
        <v>322.25</v>
      </c>
    </row>
    <row r="7" spans="2:21" x14ac:dyDescent="0.35">
      <c r="B7" s="284" t="s">
        <v>12</v>
      </c>
      <c r="C7" s="145">
        <v>100</v>
      </c>
      <c r="D7" s="146">
        <v>61</v>
      </c>
      <c r="E7" s="147">
        <v>24.15</v>
      </c>
      <c r="F7" s="148">
        <v>24.15</v>
      </c>
      <c r="G7" s="149">
        <v>0</v>
      </c>
      <c r="H7" s="195">
        <f t="shared" si="0"/>
        <v>24.15</v>
      </c>
      <c r="I7" s="216">
        <f t="shared" si="1"/>
        <v>0.24149999999999999</v>
      </c>
      <c r="J7" s="211">
        <v>100</v>
      </c>
      <c r="K7" s="212">
        <v>81.5</v>
      </c>
      <c r="L7" s="213">
        <v>67.84</v>
      </c>
      <c r="M7" s="214">
        <v>37.840000000000003</v>
      </c>
      <c r="N7" s="215">
        <v>0</v>
      </c>
      <c r="O7" s="215"/>
      <c r="P7" s="290">
        <v>37.840000000000003</v>
      </c>
      <c r="Q7" s="216">
        <f t="shared" si="2"/>
        <v>0.37840000000000001</v>
      </c>
      <c r="R7" s="212">
        <f t="shared" si="3"/>
        <v>62.16</v>
      </c>
      <c r="S7" s="213">
        <f t="shared" si="4"/>
        <v>32.159999999999997</v>
      </c>
      <c r="T7" s="276">
        <f t="shared" si="5"/>
        <v>0.30995</v>
      </c>
      <c r="U7" s="269">
        <f t="shared" si="6"/>
        <v>61.99</v>
      </c>
    </row>
    <row r="8" spans="2:21" x14ac:dyDescent="0.35">
      <c r="B8" s="284" t="s">
        <v>13</v>
      </c>
      <c r="C8" s="152">
        <v>370</v>
      </c>
      <c r="D8" s="153">
        <v>380.03</v>
      </c>
      <c r="E8" s="154">
        <v>276.68</v>
      </c>
      <c r="F8" s="155">
        <v>138.17000000000002</v>
      </c>
      <c r="G8" s="156">
        <v>37</v>
      </c>
      <c r="H8" s="196">
        <f t="shared" si="0"/>
        <v>175.17000000000002</v>
      </c>
      <c r="I8" s="223">
        <f t="shared" si="1"/>
        <v>0.47343243243243249</v>
      </c>
      <c r="J8" s="218">
        <v>500</v>
      </c>
      <c r="K8" s="219">
        <v>370.5</v>
      </c>
      <c r="L8" s="220">
        <v>410.87</v>
      </c>
      <c r="M8" s="221">
        <v>272.95999999999998</v>
      </c>
      <c r="N8" s="222">
        <v>149.22999999999999</v>
      </c>
      <c r="O8" s="222">
        <v>100</v>
      </c>
      <c r="P8" s="291">
        <v>522.18999999999994</v>
      </c>
      <c r="Q8" s="223">
        <f t="shared" si="2"/>
        <v>1.0443799999999999</v>
      </c>
      <c r="R8" s="219">
        <f t="shared" si="3"/>
        <v>-22.189999999999941</v>
      </c>
      <c r="S8" s="220">
        <f t="shared" si="4"/>
        <v>89.13</v>
      </c>
      <c r="T8" s="277">
        <f t="shared" si="5"/>
        <v>0.75890621621621612</v>
      </c>
      <c r="U8" s="270">
        <f t="shared" si="6"/>
        <v>697.3599999999999</v>
      </c>
    </row>
    <row r="9" spans="2:21" s="127" customFormat="1" x14ac:dyDescent="0.35">
      <c r="B9" s="285" t="s">
        <v>52</v>
      </c>
      <c r="C9" s="158">
        <f>SUM(C3:C8)</f>
        <v>1465</v>
      </c>
      <c r="D9" s="160">
        <f t="shared" ref="D9:H9" si="7">SUM(D3:D8)</f>
        <v>1261.23</v>
      </c>
      <c r="E9" s="161">
        <f t="shared" si="7"/>
        <v>924.68000000000006</v>
      </c>
      <c r="F9" s="162">
        <f>SUM(F3:F8)</f>
        <v>469.78999999999996</v>
      </c>
      <c r="G9" s="163">
        <f t="shared" ref="G9" si="8">SUM(G3:G8)</f>
        <v>275.42</v>
      </c>
      <c r="H9" s="193">
        <f t="shared" si="7"/>
        <v>745.21</v>
      </c>
      <c r="I9" s="231">
        <f t="shared" si="1"/>
        <v>0.50867576791808877</v>
      </c>
      <c r="J9" s="225">
        <f>SUM(J3:J8)</f>
        <v>1650</v>
      </c>
      <c r="K9" s="226">
        <f t="shared" ref="K9:L9" si="9">SUM(K3:K8)</f>
        <v>1464.4</v>
      </c>
      <c r="L9" s="227">
        <f t="shared" si="9"/>
        <v>1550.6599999999999</v>
      </c>
      <c r="M9" s="228">
        <f>SUM(M3:M8)</f>
        <v>1002.98</v>
      </c>
      <c r="N9" s="229">
        <f t="shared" ref="N9:O9" si="10">SUM(N3:N8)</f>
        <v>369.21</v>
      </c>
      <c r="O9" s="229">
        <f t="shared" si="10"/>
        <v>166</v>
      </c>
      <c r="P9" s="230">
        <f t="shared" ref="P9:P15" si="11">M9+N9+O9</f>
        <v>1538.19</v>
      </c>
      <c r="Q9" s="231">
        <f t="shared" si="2"/>
        <v>0.93223636363636364</v>
      </c>
      <c r="R9" s="226">
        <f t="shared" si="3"/>
        <v>111.80999999999995</v>
      </c>
      <c r="S9" s="227">
        <f t="shared" si="4"/>
        <v>99.340000000000146</v>
      </c>
      <c r="T9" s="278">
        <f t="shared" si="5"/>
        <v>0.72045606577722621</v>
      </c>
      <c r="U9" s="271">
        <f t="shared" si="6"/>
        <v>2283.4</v>
      </c>
    </row>
    <row r="10" spans="2:21" x14ac:dyDescent="0.35">
      <c r="B10" s="284" t="s">
        <v>14</v>
      </c>
      <c r="C10" s="165">
        <v>430</v>
      </c>
      <c r="D10" s="166">
        <v>509.71000000000004</v>
      </c>
      <c r="E10" s="167">
        <v>427.36999999999995</v>
      </c>
      <c r="F10" s="168">
        <v>242.14</v>
      </c>
      <c r="G10" s="169">
        <v>209.82</v>
      </c>
      <c r="H10" s="197">
        <f>F10+G10</f>
        <v>451.96</v>
      </c>
      <c r="I10" s="237">
        <f t="shared" si="1"/>
        <v>1.0510697674418603</v>
      </c>
      <c r="J10" s="232">
        <v>400</v>
      </c>
      <c r="K10" s="233">
        <v>408.35999999999996</v>
      </c>
      <c r="L10" s="234">
        <v>361.6</v>
      </c>
      <c r="M10" s="235">
        <v>259.62</v>
      </c>
      <c r="N10" s="236">
        <v>157.6</v>
      </c>
      <c r="O10" s="236"/>
      <c r="P10" s="292">
        <f t="shared" si="11"/>
        <v>417.22</v>
      </c>
      <c r="Q10" s="237">
        <f t="shared" si="2"/>
        <v>1.04305</v>
      </c>
      <c r="R10" s="233">
        <f t="shared" si="3"/>
        <v>-17.220000000000027</v>
      </c>
      <c r="S10" s="234">
        <f t="shared" si="4"/>
        <v>38.399999999999977</v>
      </c>
      <c r="T10" s="279">
        <f t="shared" si="5"/>
        <v>1.0470598837209302</v>
      </c>
      <c r="U10" s="272">
        <f t="shared" si="6"/>
        <v>869.18000000000006</v>
      </c>
    </row>
    <row r="11" spans="2:21" x14ac:dyDescent="0.35">
      <c r="B11" s="284" t="s">
        <v>15</v>
      </c>
      <c r="C11" s="145">
        <v>60</v>
      </c>
      <c r="D11" s="146">
        <v>67</v>
      </c>
      <c r="E11" s="147">
        <v>27.619999999999997</v>
      </c>
      <c r="F11" s="148">
        <v>17.82</v>
      </c>
      <c r="G11" s="149">
        <v>16.61</v>
      </c>
      <c r="H11" s="195">
        <f>F11+G11</f>
        <v>34.43</v>
      </c>
      <c r="I11" s="216">
        <f t="shared" si="1"/>
        <v>0.57383333333333331</v>
      </c>
      <c r="J11" s="211">
        <v>100</v>
      </c>
      <c r="K11" s="212">
        <v>141.5</v>
      </c>
      <c r="L11" s="213">
        <v>148.66000000000003</v>
      </c>
      <c r="M11" s="214">
        <v>131.22</v>
      </c>
      <c r="N11" s="215">
        <v>10.94</v>
      </c>
      <c r="O11" s="215"/>
      <c r="P11" s="290">
        <f t="shared" si="11"/>
        <v>142.16</v>
      </c>
      <c r="Q11" s="216">
        <f t="shared" si="2"/>
        <v>1.4216</v>
      </c>
      <c r="R11" s="212">
        <f t="shared" si="3"/>
        <v>-42.16</v>
      </c>
      <c r="S11" s="213">
        <f t="shared" si="4"/>
        <v>-48.660000000000025</v>
      </c>
      <c r="T11" s="276">
        <f t="shared" si="5"/>
        <v>0.99771666666666659</v>
      </c>
      <c r="U11" s="269">
        <f t="shared" si="6"/>
        <v>176.59</v>
      </c>
    </row>
    <row r="12" spans="2:21" x14ac:dyDescent="0.35">
      <c r="B12" s="284" t="s">
        <v>16</v>
      </c>
      <c r="C12" s="145">
        <v>300</v>
      </c>
      <c r="D12" s="146">
        <v>225</v>
      </c>
      <c r="E12" s="147">
        <v>361.07000000000005</v>
      </c>
      <c r="F12" s="148">
        <v>243.73000000000002</v>
      </c>
      <c r="G12" s="149">
        <v>136.38</v>
      </c>
      <c r="H12" s="195">
        <f>F12+G12</f>
        <v>380.11</v>
      </c>
      <c r="I12" s="216">
        <f t="shared" si="1"/>
        <v>1.2670333333333335</v>
      </c>
      <c r="J12" s="211">
        <v>350</v>
      </c>
      <c r="K12" s="212">
        <v>285.27</v>
      </c>
      <c r="L12" s="213">
        <v>519.77</v>
      </c>
      <c r="M12" s="214">
        <v>444.78</v>
      </c>
      <c r="N12" s="215">
        <v>41.3</v>
      </c>
      <c r="O12" s="215">
        <v>14.77</v>
      </c>
      <c r="P12" s="290">
        <f t="shared" si="11"/>
        <v>500.84999999999997</v>
      </c>
      <c r="Q12" s="216">
        <f t="shared" si="2"/>
        <v>1.4309999999999998</v>
      </c>
      <c r="R12" s="212">
        <f t="shared" si="3"/>
        <v>-150.84999999999997</v>
      </c>
      <c r="S12" s="213">
        <f t="shared" si="4"/>
        <v>-169.76999999999998</v>
      </c>
      <c r="T12" s="276">
        <f t="shared" si="5"/>
        <v>1.3490166666666665</v>
      </c>
      <c r="U12" s="269">
        <f t="shared" si="6"/>
        <v>880.96</v>
      </c>
    </row>
    <row r="13" spans="2:21" x14ac:dyDescent="0.35">
      <c r="B13" s="284" t="s">
        <v>17</v>
      </c>
      <c r="C13" s="152">
        <v>120</v>
      </c>
      <c r="D13" s="153">
        <v>125.05000000000001</v>
      </c>
      <c r="E13" s="154">
        <v>136.72</v>
      </c>
      <c r="F13" s="155">
        <v>111.03</v>
      </c>
      <c r="G13" s="156">
        <v>25.419999999999998</v>
      </c>
      <c r="H13" s="196">
        <f>F13+G13</f>
        <v>136.44999999999999</v>
      </c>
      <c r="I13" s="223">
        <f t="shared" si="1"/>
        <v>1.1370833333333332</v>
      </c>
      <c r="J13" s="218">
        <v>150</v>
      </c>
      <c r="K13" s="219">
        <v>112.7</v>
      </c>
      <c r="L13" s="220">
        <v>268.68</v>
      </c>
      <c r="M13" s="221">
        <v>268.68</v>
      </c>
      <c r="N13" s="222">
        <v>0</v>
      </c>
      <c r="O13" s="222"/>
      <c r="P13" s="291">
        <f t="shared" si="11"/>
        <v>268.68</v>
      </c>
      <c r="Q13" s="223">
        <f t="shared" si="2"/>
        <v>1.7912000000000001</v>
      </c>
      <c r="R13" s="219">
        <f t="shared" si="3"/>
        <v>-118.68</v>
      </c>
      <c r="S13" s="220">
        <f t="shared" si="4"/>
        <v>-118.68</v>
      </c>
      <c r="T13" s="277">
        <f t="shared" si="5"/>
        <v>1.4641416666666667</v>
      </c>
      <c r="U13" s="270">
        <f t="shared" si="6"/>
        <v>405.13</v>
      </c>
    </row>
    <row r="14" spans="2:21" s="127" customFormat="1" x14ac:dyDescent="0.35">
      <c r="B14" s="286" t="s">
        <v>53</v>
      </c>
      <c r="C14" s="171">
        <f>SUM(C10:C13)</f>
        <v>910</v>
      </c>
      <c r="D14" s="172">
        <f t="shared" ref="D14:H14" si="12">SUM(D10:D13)</f>
        <v>926.76</v>
      </c>
      <c r="E14" s="173">
        <f t="shared" si="12"/>
        <v>952.78</v>
      </c>
      <c r="F14" s="174">
        <f>SUM(F10:F13)</f>
        <v>614.72</v>
      </c>
      <c r="G14" s="172">
        <f t="shared" ref="G14" si="13">SUM(G10:G13)</f>
        <v>388.23</v>
      </c>
      <c r="H14" s="192">
        <f t="shared" si="12"/>
        <v>1002.95</v>
      </c>
      <c r="I14" s="244">
        <f t="shared" si="1"/>
        <v>1.1021428571428571</v>
      </c>
      <c r="J14" s="239">
        <f>SUM(J10:J13)</f>
        <v>1000</v>
      </c>
      <c r="K14" s="240">
        <f t="shared" ref="K14:L14" si="14">SUM(K10:K13)</f>
        <v>947.82999999999993</v>
      </c>
      <c r="L14" s="241">
        <f t="shared" si="14"/>
        <v>1298.71</v>
      </c>
      <c r="M14" s="242">
        <f>SUM(M10:M13)</f>
        <v>1104.3</v>
      </c>
      <c r="N14" s="240">
        <f t="shared" ref="N14:O14" si="15">SUM(N10:N13)</f>
        <v>209.83999999999997</v>
      </c>
      <c r="O14" s="240">
        <f t="shared" si="15"/>
        <v>14.77</v>
      </c>
      <c r="P14" s="243">
        <f t="shared" si="11"/>
        <v>1328.9099999999999</v>
      </c>
      <c r="Q14" s="244">
        <f t="shared" si="2"/>
        <v>1.3289099999999998</v>
      </c>
      <c r="R14" s="240">
        <f t="shared" ref="R14" si="16">SUM(R10:R13)</f>
        <v>-328.90999999999997</v>
      </c>
      <c r="S14" s="241">
        <f t="shared" si="4"/>
        <v>-298.71000000000004</v>
      </c>
      <c r="T14" s="280">
        <f t="shared" si="5"/>
        <v>1.2155264285714285</v>
      </c>
      <c r="U14" s="273">
        <f t="shared" si="6"/>
        <v>2331.8599999999997</v>
      </c>
    </row>
    <row r="15" spans="2:21" s="127" customFormat="1" ht="47.25" thickBot="1" x14ac:dyDescent="0.4">
      <c r="B15" s="287" t="s">
        <v>51</v>
      </c>
      <c r="C15" s="176">
        <f>C9+C14</f>
        <v>2375</v>
      </c>
      <c r="D15" s="177">
        <f t="shared" ref="D15:H15" si="17">D9+D14</f>
        <v>2187.9899999999998</v>
      </c>
      <c r="E15" s="178">
        <f t="shared" si="17"/>
        <v>1877.46</v>
      </c>
      <c r="F15" s="116">
        <f>F9+F14</f>
        <v>1084.51</v>
      </c>
      <c r="G15" s="117">
        <f>G9+G14</f>
        <v>663.65000000000009</v>
      </c>
      <c r="H15" s="191">
        <f t="shared" si="17"/>
        <v>1748.16</v>
      </c>
      <c r="I15" s="250">
        <f t="shared" si="1"/>
        <v>0.73606736842105269</v>
      </c>
      <c r="J15" s="245">
        <f>J9+J14</f>
        <v>2650</v>
      </c>
      <c r="K15" s="246">
        <f t="shared" ref="K15:R15" si="18">K9+K14</f>
        <v>2412.23</v>
      </c>
      <c r="L15" s="247">
        <f t="shared" si="18"/>
        <v>2849.37</v>
      </c>
      <c r="M15" s="248">
        <f>M9+M14</f>
        <v>2107.2799999999997</v>
      </c>
      <c r="N15" s="249">
        <f>N9+N14</f>
        <v>579.04999999999995</v>
      </c>
      <c r="O15" s="249">
        <f>O9+O14</f>
        <v>180.77</v>
      </c>
      <c r="P15" s="191">
        <f t="shared" si="11"/>
        <v>2867.1</v>
      </c>
      <c r="Q15" s="250">
        <f t="shared" si="2"/>
        <v>1.0819245283018868</v>
      </c>
      <c r="R15" s="246">
        <f t="shared" si="18"/>
        <v>-217.10000000000002</v>
      </c>
      <c r="S15" s="247">
        <f t="shared" si="4"/>
        <v>-199.36999999999989</v>
      </c>
      <c r="T15" s="281">
        <f t="shared" si="5"/>
        <v>0.9089959483614698</v>
      </c>
      <c r="U15" s="274">
        <f t="shared" si="6"/>
        <v>4615.26</v>
      </c>
    </row>
    <row r="16" spans="2:21" s="137" customFormat="1" x14ac:dyDescent="0.7">
      <c r="B16" s="288"/>
      <c r="F16" s="789">
        <f>F15+G15</f>
        <v>1748.16</v>
      </c>
      <c r="G16" s="790"/>
      <c r="H16" s="104"/>
      <c r="I16" s="136"/>
      <c r="J16" s="251"/>
      <c r="K16" s="251"/>
      <c r="L16" s="251"/>
      <c r="M16" s="791">
        <f>M15+N15</f>
        <v>2686.33</v>
      </c>
      <c r="N16" s="792"/>
      <c r="O16" s="251"/>
      <c r="P16" s="252">
        <v>500000</v>
      </c>
      <c r="Q16" s="224"/>
      <c r="R16" s="204"/>
      <c r="S16" s="204"/>
      <c r="T16" s="224"/>
    </row>
    <row r="17" spans="5:16" x14ac:dyDescent="0.7">
      <c r="E17" s="136"/>
      <c r="F17" s="136"/>
      <c r="L17" s="224"/>
      <c r="M17" s="224"/>
      <c r="P17" s="253">
        <f>W15</f>
        <v>0</v>
      </c>
    </row>
    <row r="18" spans="5:16" x14ac:dyDescent="0.7">
      <c r="P18" s="238">
        <f>P17/P16</f>
        <v>0</v>
      </c>
    </row>
  </sheetData>
  <mergeCells count="3">
    <mergeCell ref="B1:U1"/>
    <mergeCell ref="F16:G16"/>
    <mergeCell ref="M16:N16"/>
  </mergeCells>
  <conditionalFormatting sqref="I3:I14">
    <cfRule type="dataBar" priority="17">
      <dataBar>
        <cfvo type="min"/>
        <cfvo type="max"/>
        <color rgb="FFFF555A"/>
      </dataBar>
    </cfRule>
  </conditionalFormatting>
  <conditionalFormatting sqref="I15">
    <cfRule type="dataBar" priority="16">
      <dataBar>
        <cfvo type="min"/>
        <cfvo type="max"/>
        <color rgb="FFFF555A"/>
      </dataBar>
    </cfRule>
  </conditionalFormatting>
  <conditionalFormatting sqref="I3:I15">
    <cfRule type="dataBar" priority="15">
      <dataBar>
        <cfvo type="min"/>
        <cfvo type="max"/>
        <color rgb="FF63C384"/>
      </dataBar>
    </cfRule>
  </conditionalFormatting>
  <conditionalFormatting sqref="Q3:Q14">
    <cfRule type="dataBar" priority="14">
      <dataBar>
        <cfvo type="min"/>
        <cfvo type="max"/>
        <color rgb="FFFF555A"/>
      </dataBar>
    </cfRule>
  </conditionalFormatting>
  <conditionalFormatting sqref="R3:R15">
    <cfRule type="dataBar" priority="13">
      <dataBar>
        <cfvo type="min"/>
        <cfvo type="max"/>
        <color rgb="FFFF555A"/>
      </dataBar>
    </cfRule>
  </conditionalFormatting>
  <conditionalFormatting sqref="S3:S15">
    <cfRule type="dataBar" priority="12">
      <dataBar>
        <cfvo type="min"/>
        <cfvo type="max"/>
        <color rgb="FFFF555A"/>
      </dataBar>
    </cfRule>
  </conditionalFormatting>
  <conditionalFormatting sqref="Q15">
    <cfRule type="dataBar" priority="11">
      <dataBar>
        <cfvo type="min"/>
        <cfvo type="max"/>
        <color rgb="FFFF555A"/>
      </dataBar>
    </cfRule>
  </conditionalFormatting>
  <conditionalFormatting sqref="Q3:Q15">
    <cfRule type="dataBar" priority="10">
      <dataBar>
        <cfvo type="min"/>
        <cfvo type="max"/>
        <color rgb="FF63C384"/>
      </dataBar>
    </cfRule>
  </conditionalFormatting>
  <conditionalFormatting sqref="T3:T8 T10:T1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:U13 U3:U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:T13 T3:T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20"/>
  <sheetViews>
    <sheetView zoomScale="40" zoomScaleNormal="40" workbookViewId="0">
      <selection activeCell="I23" sqref="I23"/>
    </sheetView>
  </sheetViews>
  <sheetFormatPr defaultColWidth="9.140625" defaultRowHeight="23.25" x14ac:dyDescent="0.35"/>
  <cols>
    <col min="1" max="1" width="9.140625" style="104"/>
    <col min="2" max="2" width="37.7109375" style="104" bestFit="1" customWidth="1"/>
    <col min="3" max="3" width="16.28515625" style="104" customWidth="1"/>
    <col min="4" max="4" width="27.7109375" style="104" hidden="1" customWidth="1"/>
    <col min="5" max="5" width="25.85546875" style="104" customWidth="1"/>
    <col min="6" max="6" width="17" style="104" customWidth="1"/>
    <col min="7" max="7" width="23" style="104" customWidth="1"/>
    <col min="8" max="8" width="18.42578125" style="104" bestFit="1" customWidth="1"/>
    <col min="9" max="9" width="27" style="104" customWidth="1"/>
    <col min="10" max="10" width="19.85546875" style="104" customWidth="1"/>
    <col min="11" max="12" width="20.140625" style="180" customWidth="1"/>
    <col min="13" max="13" width="26.28515625" style="180" bestFit="1" customWidth="1"/>
    <col min="14" max="14" width="18.85546875" style="104" customWidth="1"/>
    <col min="15" max="15" width="25.28515625" style="104" customWidth="1"/>
    <col min="16" max="16" width="42.28515625" style="104" bestFit="1" customWidth="1"/>
    <col min="17" max="17" width="10.85546875" style="104" bestFit="1" customWidth="1"/>
    <col min="18" max="18" width="13" style="104" bestFit="1" customWidth="1"/>
    <col min="19" max="19" width="32.28515625" style="104" bestFit="1" customWidth="1"/>
    <col min="20" max="20" width="13" style="104" bestFit="1" customWidth="1"/>
    <col min="21" max="21" width="31.5703125" style="104" bestFit="1" customWidth="1"/>
    <col min="22" max="22" width="27" style="104" bestFit="1" customWidth="1"/>
    <col min="23" max="23" width="23.7109375" style="104" bestFit="1" customWidth="1"/>
    <col min="24" max="24" width="7" style="104" bestFit="1" customWidth="1"/>
    <col min="25" max="25" width="13" style="104" bestFit="1" customWidth="1"/>
    <col min="26" max="16384" width="9.140625" style="104"/>
  </cols>
  <sheetData>
    <row r="1" spans="2:25" ht="24" thickBot="1" x14ac:dyDescent="0.4"/>
    <row r="2" spans="2:25" ht="47.25" thickBot="1" x14ac:dyDescent="0.4">
      <c r="B2" s="793" t="s">
        <v>76</v>
      </c>
      <c r="C2" s="794"/>
      <c r="D2" s="794"/>
      <c r="E2" s="794"/>
      <c r="F2" s="794"/>
      <c r="G2" s="794"/>
      <c r="H2" s="794"/>
      <c r="I2" s="794"/>
      <c r="J2" s="794"/>
      <c r="K2" s="794"/>
      <c r="L2" s="795"/>
    </row>
    <row r="3" spans="2:25" s="138" customFormat="1" ht="70.5" thickBot="1" x14ac:dyDescent="0.3">
      <c r="B3" s="119" t="s">
        <v>2</v>
      </c>
      <c r="C3" s="120" t="s">
        <v>24</v>
      </c>
      <c r="D3" s="181" t="s">
        <v>74</v>
      </c>
      <c r="E3" s="121" t="s">
        <v>55</v>
      </c>
      <c r="F3" s="122" t="s">
        <v>5</v>
      </c>
      <c r="G3" s="123" t="s">
        <v>56</v>
      </c>
      <c r="H3" s="124" t="s">
        <v>1</v>
      </c>
      <c r="I3" s="190" t="s">
        <v>47</v>
      </c>
      <c r="J3" s="125" t="s">
        <v>57</v>
      </c>
      <c r="K3" s="126" t="s">
        <v>58</v>
      </c>
      <c r="L3" s="126" t="s">
        <v>59</v>
      </c>
      <c r="M3" s="198" t="s">
        <v>75</v>
      </c>
      <c r="N3" s="190" t="s">
        <v>77</v>
      </c>
    </row>
    <row r="4" spans="2:25" ht="36.75" thickBot="1" x14ac:dyDescent="0.4">
      <c r="B4" s="128" t="s">
        <v>8</v>
      </c>
      <c r="C4" s="139"/>
      <c r="D4" s="182"/>
      <c r="E4" s="140"/>
      <c r="F4" s="141"/>
      <c r="G4" s="142"/>
      <c r="H4" s="143"/>
      <c r="I4" s="194">
        <f t="shared" ref="I4:I9" si="0">G4+H4</f>
        <v>0</v>
      </c>
      <c r="J4" s="144" t="e">
        <f t="shared" ref="J4:J16" si="1">I4/C4</f>
        <v>#DIV/0!</v>
      </c>
      <c r="K4" s="140">
        <f t="shared" ref="K4:K14" si="2">C4-I4</f>
        <v>0</v>
      </c>
      <c r="L4" s="140">
        <f t="shared" ref="L4:L16" si="3">C4-F4</f>
        <v>0</v>
      </c>
      <c r="M4" s="199">
        <f>K4-L4</f>
        <v>0</v>
      </c>
      <c r="N4" s="194">
        <f>C4-I4</f>
        <v>0</v>
      </c>
      <c r="P4" s="104" t="s">
        <v>60</v>
      </c>
      <c r="Q4" s="104">
        <f>6000*40%</f>
        <v>2400</v>
      </c>
      <c r="T4" s="104">
        <v>2000</v>
      </c>
      <c r="U4" s="104" t="s">
        <v>61</v>
      </c>
      <c r="Y4" s="104">
        <f>50000</f>
        <v>50000</v>
      </c>
    </row>
    <row r="5" spans="2:25" ht="36" x14ac:dyDescent="0.35">
      <c r="B5" s="129" t="s">
        <v>9</v>
      </c>
      <c r="C5" s="145"/>
      <c r="D5" s="183"/>
      <c r="E5" s="146"/>
      <c r="F5" s="147"/>
      <c r="G5" s="148"/>
      <c r="H5" s="149"/>
      <c r="I5" s="195">
        <f t="shared" si="0"/>
        <v>0</v>
      </c>
      <c r="J5" s="150" t="e">
        <f t="shared" si="1"/>
        <v>#DIV/0!</v>
      </c>
      <c r="K5" s="146">
        <f t="shared" si="2"/>
        <v>0</v>
      </c>
      <c r="L5" s="146">
        <f t="shared" si="3"/>
        <v>0</v>
      </c>
      <c r="M5" s="199">
        <f t="shared" ref="M5:M16" si="4">K5-L5</f>
        <v>0</v>
      </c>
      <c r="N5" s="195">
        <f t="shared" ref="N5:N16" si="5">C5-I5</f>
        <v>0</v>
      </c>
      <c r="Q5" s="104">
        <f>6000+2400</f>
        <v>8400</v>
      </c>
      <c r="R5" s="104">
        <f>20000*60%</f>
        <v>12000</v>
      </c>
      <c r="S5" s="104" t="s">
        <v>62</v>
      </c>
      <c r="T5" s="130">
        <f>R5*12%</f>
        <v>1440</v>
      </c>
      <c r="V5" s="104" t="s">
        <v>63</v>
      </c>
      <c r="W5" s="104" t="s">
        <v>64</v>
      </c>
      <c r="X5" s="104" t="s">
        <v>65</v>
      </c>
      <c r="Y5" s="104">
        <f>50000</f>
        <v>50000</v>
      </c>
    </row>
    <row r="6" spans="2:25" ht="36" x14ac:dyDescent="0.35">
      <c r="B6" s="129" t="s">
        <v>10</v>
      </c>
      <c r="C6" s="139"/>
      <c r="D6" s="184"/>
      <c r="E6" s="140"/>
      <c r="F6" s="141"/>
      <c r="G6" s="151"/>
      <c r="H6" s="143"/>
      <c r="I6" s="194">
        <f t="shared" si="0"/>
        <v>0</v>
      </c>
      <c r="J6" s="144" t="e">
        <f t="shared" si="1"/>
        <v>#DIV/0!</v>
      </c>
      <c r="K6" s="140">
        <f t="shared" si="2"/>
        <v>0</v>
      </c>
      <c r="L6" s="140">
        <f t="shared" si="3"/>
        <v>0</v>
      </c>
      <c r="M6" s="199">
        <f t="shared" si="4"/>
        <v>0</v>
      </c>
      <c r="N6" s="194">
        <f t="shared" si="5"/>
        <v>0</v>
      </c>
      <c r="P6" s="104" t="s">
        <v>66</v>
      </c>
      <c r="Q6" s="104">
        <v>800</v>
      </c>
      <c r="R6" s="104">
        <f>R5*40%</f>
        <v>4800</v>
      </c>
      <c r="S6" s="104" t="s">
        <v>67</v>
      </c>
      <c r="T6" s="131">
        <f>20000*0.75%</f>
        <v>150</v>
      </c>
      <c r="U6" s="104" t="s">
        <v>68</v>
      </c>
    </row>
    <row r="7" spans="2:25" ht="36" x14ac:dyDescent="0.35">
      <c r="B7" s="129" t="s">
        <v>11</v>
      </c>
      <c r="C7" s="145"/>
      <c r="D7" s="183"/>
      <c r="E7" s="146"/>
      <c r="F7" s="147"/>
      <c r="G7" s="148"/>
      <c r="H7" s="149"/>
      <c r="I7" s="195">
        <f t="shared" si="0"/>
        <v>0</v>
      </c>
      <c r="J7" s="150" t="e">
        <f t="shared" si="1"/>
        <v>#DIV/0!</v>
      </c>
      <c r="K7" s="146">
        <f t="shared" si="2"/>
        <v>0</v>
      </c>
      <c r="L7" s="146">
        <f t="shared" si="3"/>
        <v>0</v>
      </c>
      <c r="M7" s="199">
        <f t="shared" si="4"/>
        <v>0</v>
      </c>
      <c r="N7" s="195">
        <f t="shared" si="5"/>
        <v>0</v>
      </c>
      <c r="R7" s="104">
        <v>1600</v>
      </c>
      <c r="S7" s="104" t="s">
        <v>69</v>
      </c>
      <c r="T7" s="131">
        <v>150</v>
      </c>
      <c r="U7" s="104" t="s">
        <v>70</v>
      </c>
    </row>
    <row r="8" spans="2:25" ht="36.75" thickBot="1" x14ac:dyDescent="0.4">
      <c r="B8" s="129" t="s">
        <v>12</v>
      </c>
      <c r="C8" s="145"/>
      <c r="D8" s="183"/>
      <c r="E8" s="146"/>
      <c r="F8" s="147"/>
      <c r="G8" s="148"/>
      <c r="H8" s="149"/>
      <c r="I8" s="195">
        <f t="shared" si="0"/>
        <v>0</v>
      </c>
      <c r="J8" s="150" t="e">
        <f t="shared" si="1"/>
        <v>#DIV/0!</v>
      </c>
      <c r="K8" s="146">
        <f t="shared" si="2"/>
        <v>0</v>
      </c>
      <c r="L8" s="146">
        <f t="shared" si="3"/>
        <v>0</v>
      </c>
      <c r="M8" s="199">
        <f t="shared" si="4"/>
        <v>0</v>
      </c>
      <c r="N8" s="195">
        <f t="shared" si="5"/>
        <v>0</v>
      </c>
      <c r="R8" s="104">
        <v>1600</v>
      </c>
      <c r="S8" s="104" t="s">
        <v>71</v>
      </c>
      <c r="T8" s="132">
        <f>SUBTOTAL(9,T5:T7)</f>
        <v>1740</v>
      </c>
      <c r="U8" s="104" t="s">
        <v>72</v>
      </c>
    </row>
    <row r="9" spans="2:25" ht="36" x14ac:dyDescent="0.35">
      <c r="B9" s="129" t="s">
        <v>13</v>
      </c>
      <c r="C9" s="152"/>
      <c r="D9" s="185"/>
      <c r="E9" s="153"/>
      <c r="F9" s="154"/>
      <c r="G9" s="155"/>
      <c r="H9" s="156"/>
      <c r="I9" s="196">
        <f t="shared" si="0"/>
        <v>0</v>
      </c>
      <c r="J9" s="157" t="e">
        <f t="shared" si="1"/>
        <v>#DIV/0!</v>
      </c>
      <c r="K9" s="153">
        <f t="shared" si="2"/>
        <v>0</v>
      </c>
      <c r="L9" s="153">
        <f t="shared" si="3"/>
        <v>0</v>
      </c>
      <c r="M9" s="199">
        <f t="shared" si="4"/>
        <v>0</v>
      </c>
      <c r="N9" s="196">
        <f t="shared" si="5"/>
        <v>0</v>
      </c>
      <c r="O9" s="136"/>
      <c r="T9" s="104">
        <f>20000-T8</f>
        <v>18260</v>
      </c>
      <c r="U9" s="104" t="s">
        <v>73</v>
      </c>
    </row>
    <row r="10" spans="2:25" s="127" customFormat="1" ht="36" x14ac:dyDescent="0.35">
      <c r="B10" s="133" t="s">
        <v>52</v>
      </c>
      <c r="C10" s="158">
        <f>SUM(C4:C9)</f>
        <v>0</v>
      </c>
      <c r="D10" s="159">
        <f>SUM(D4:D9)</f>
        <v>0</v>
      </c>
      <c r="E10" s="160">
        <f t="shared" ref="E10:I10" si="6">SUM(E4:E9)</f>
        <v>0</v>
      </c>
      <c r="F10" s="161">
        <f t="shared" si="6"/>
        <v>0</v>
      </c>
      <c r="G10" s="162">
        <f>SUM(G4:G9)</f>
        <v>0</v>
      </c>
      <c r="H10" s="163">
        <f t="shared" ref="H10" si="7">SUM(H4:H9)</f>
        <v>0</v>
      </c>
      <c r="I10" s="193">
        <f t="shared" si="6"/>
        <v>0</v>
      </c>
      <c r="J10" s="164" t="e">
        <f t="shared" si="1"/>
        <v>#DIV/0!</v>
      </c>
      <c r="K10" s="160">
        <f t="shared" si="2"/>
        <v>0</v>
      </c>
      <c r="L10" s="160">
        <f t="shared" si="3"/>
        <v>0</v>
      </c>
      <c r="M10" s="199">
        <f t="shared" si="4"/>
        <v>0</v>
      </c>
      <c r="N10" s="193">
        <f t="shared" si="5"/>
        <v>0</v>
      </c>
    </row>
    <row r="11" spans="2:25" ht="36" x14ac:dyDescent="0.35">
      <c r="B11" s="129" t="s">
        <v>14</v>
      </c>
      <c r="C11" s="165"/>
      <c r="D11" s="186"/>
      <c r="E11" s="166"/>
      <c r="F11" s="167"/>
      <c r="G11" s="168"/>
      <c r="H11" s="169"/>
      <c r="I11" s="197">
        <f>G11+H11</f>
        <v>0</v>
      </c>
      <c r="J11" s="170" t="e">
        <f t="shared" si="1"/>
        <v>#DIV/0!</v>
      </c>
      <c r="K11" s="166">
        <f t="shared" si="2"/>
        <v>0</v>
      </c>
      <c r="L11" s="166">
        <f t="shared" si="3"/>
        <v>0</v>
      </c>
      <c r="M11" s="199">
        <f>K11-L11</f>
        <v>0</v>
      </c>
      <c r="N11" s="197">
        <f t="shared" si="5"/>
        <v>0</v>
      </c>
      <c r="P11" s="104">
        <f>413+39.36</f>
        <v>452.36</v>
      </c>
    </row>
    <row r="12" spans="2:25" ht="36" x14ac:dyDescent="0.35">
      <c r="B12" s="129" t="s">
        <v>15</v>
      </c>
      <c r="C12" s="145"/>
      <c r="D12" s="187"/>
      <c r="E12" s="146"/>
      <c r="F12" s="147"/>
      <c r="G12" s="148"/>
      <c r="H12" s="149"/>
      <c r="I12" s="195">
        <f>G12+H12</f>
        <v>0</v>
      </c>
      <c r="J12" s="150" t="e">
        <f t="shared" si="1"/>
        <v>#DIV/0!</v>
      </c>
      <c r="K12" s="146">
        <f t="shared" si="2"/>
        <v>0</v>
      </c>
      <c r="L12" s="146">
        <f t="shared" si="3"/>
        <v>0</v>
      </c>
      <c r="M12" s="199">
        <f t="shared" si="4"/>
        <v>0</v>
      </c>
      <c r="N12" s="195">
        <f t="shared" si="5"/>
        <v>0</v>
      </c>
    </row>
    <row r="13" spans="2:25" ht="36" x14ac:dyDescent="0.35">
      <c r="B13" s="129" t="s">
        <v>16</v>
      </c>
      <c r="C13" s="145"/>
      <c r="D13" s="183"/>
      <c r="E13" s="146"/>
      <c r="F13" s="147"/>
      <c r="G13" s="148"/>
      <c r="H13" s="149"/>
      <c r="I13" s="195">
        <f>G13+H13</f>
        <v>0</v>
      </c>
      <c r="J13" s="150" t="e">
        <f t="shared" si="1"/>
        <v>#DIV/0!</v>
      </c>
      <c r="K13" s="146">
        <f t="shared" si="2"/>
        <v>0</v>
      </c>
      <c r="L13" s="146">
        <f t="shared" si="3"/>
        <v>0</v>
      </c>
      <c r="M13" s="199">
        <f t="shared" si="4"/>
        <v>0</v>
      </c>
      <c r="N13" s="195">
        <f t="shared" si="5"/>
        <v>0</v>
      </c>
    </row>
    <row r="14" spans="2:25" ht="36" x14ac:dyDescent="0.35">
      <c r="B14" s="129" t="s">
        <v>17</v>
      </c>
      <c r="C14" s="152"/>
      <c r="D14" s="185"/>
      <c r="E14" s="153"/>
      <c r="F14" s="154"/>
      <c r="G14" s="155"/>
      <c r="H14" s="156"/>
      <c r="I14" s="196">
        <f>G14+H14</f>
        <v>0</v>
      </c>
      <c r="J14" s="157" t="e">
        <f t="shared" si="1"/>
        <v>#DIV/0!</v>
      </c>
      <c r="K14" s="153">
        <f t="shared" si="2"/>
        <v>0</v>
      </c>
      <c r="L14" s="153">
        <f t="shared" si="3"/>
        <v>0</v>
      </c>
      <c r="M14" s="199">
        <f t="shared" si="4"/>
        <v>0</v>
      </c>
      <c r="N14" s="196">
        <f t="shared" si="5"/>
        <v>0</v>
      </c>
      <c r="P14" s="202"/>
    </row>
    <row r="15" spans="2:25" s="127" customFormat="1" ht="36" x14ac:dyDescent="0.35">
      <c r="B15" s="134" t="s">
        <v>53</v>
      </c>
      <c r="C15" s="171">
        <f>SUM(C11:C14)</f>
        <v>0</v>
      </c>
      <c r="D15" s="188">
        <f>SUM(D11:D14)</f>
        <v>0</v>
      </c>
      <c r="E15" s="172">
        <f t="shared" ref="E15:I15" si="8">SUM(E11:E14)</f>
        <v>0</v>
      </c>
      <c r="F15" s="173">
        <f t="shared" si="8"/>
        <v>0</v>
      </c>
      <c r="G15" s="174">
        <f>SUM(G11:G14)</f>
        <v>0</v>
      </c>
      <c r="H15" s="172">
        <f t="shared" ref="H15" si="9">SUM(H11:H14)</f>
        <v>0</v>
      </c>
      <c r="I15" s="192">
        <f t="shared" si="8"/>
        <v>0</v>
      </c>
      <c r="J15" s="175" t="e">
        <f t="shared" si="1"/>
        <v>#DIV/0!</v>
      </c>
      <c r="K15" s="172">
        <f t="shared" ref="K15" si="10">SUM(K11:K14)</f>
        <v>0</v>
      </c>
      <c r="L15" s="172">
        <f t="shared" si="3"/>
        <v>0</v>
      </c>
      <c r="M15" s="199">
        <f t="shared" si="4"/>
        <v>0</v>
      </c>
      <c r="N15" s="192">
        <f t="shared" si="5"/>
        <v>0</v>
      </c>
    </row>
    <row r="16" spans="2:25" s="127" customFormat="1" ht="47.25" thickBot="1" x14ac:dyDescent="0.4">
      <c r="B16" s="135" t="s">
        <v>51</v>
      </c>
      <c r="C16" s="176">
        <f>C10+C15</f>
        <v>0</v>
      </c>
      <c r="D16" s="189">
        <f>D10+D15</f>
        <v>0</v>
      </c>
      <c r="E16" s="177">
        <f t="shared" ref="E16:K16" si="11">E10+E15</f>
        <v>0</v>
      </c>
      <c r="F16" s="178">
        <f t="shared" si="11"/>
        <v>0</v>
      </c>
      <c r="G16" s="116">
        <f>G10+G15</f>
        <v>0</v>
      </c>
      <c r="H16" s="117">
        <f>H10+H15</f>
        <v>0</v>
      </c>
      <c r="I16" s="191">
        <f t="shared" si="11"/>
        <v>0</v>
      </c>
      <c r="J16" s="179" t="e">
        <f t="shared" si="1"/>
        <v>#DIV/0!</v>
      </c>
      <c r="K16" s="177">
        <f t="shared" si="11"/>
        <v>0</v>
      </c>
      <c r="L16" s="177">
        <f t="shared" si="3"/>
        <v>0</v>
      </c>
      <c r="M16" s="199">
        <f t="shared" si="4"/>
        <v>0</v>
      </c>
      <c r="N16" s="191">
        <f t="shared" si="5"/>
        <v>0</v>
      </c>
      <c r="O16" s="201"/>
    </row>
    <row r="17" spans="4:13" s="137" customFormat="1" ht="46.5" x14ac:dyDescent="0.35">
      <c r="G17" s="789">
        <f>G16+H16</f>
        <v>0</v>
      </c>
      <c r="H17" s="790"/>
      <c r="I17" s="104"/>
      <c r="J17" s="136"/>
      <c r="K17" s="180"/>
      <c r="L17" s="180"/>
      <c r="M17" s="200"/>
    </row>
    <row r="18" spans="4:13" x14ac:dyDescent="0.35">
      <c r="D18" s="136"/>
      <c r="F18" s="136"/>
      <c r="G18" s="136"/>
    </row>
    <row r="20" spans="4:13" x14ac:dyDescent="0.35">
      <c r="D20" s="136"/>
    </row>
  </sheetData>
  <mergeCells count="2">
    <mergeCell ref="B2:L2"/>
    <mergeCell ref="G17:H17"/>
  </mergeCells>
  <conditionalFormatting sqref="BF6:BF11 BF13:BF16">
    <cfRule type="dataBar" priority="29">
      <dataBar>
        <cfvo type="min"/>
        <cfvo type="max"/>
        <color rgb="FF63C384"/>
      </dataBar>
    </cfRule>
  </conditionalFormatting>
  <conditionalFormatting sqref="BF6:BF11">
    <cfRule type="dataBar" priority="28">
      <dataBar>
        <cfvo type="min"/>
        <cfvo type="max"/>
        <color rgb="FF63C384"/>
      </dataBar>
    </cfRule>
  </conditionalFormatting>
  <conditionalFormatting sqref="AR32:AR35">
    <cfRule type="dataBar" priority="27">
      <dataBar>
        <cfvo type="min"/>
        <cfvo type="max"/>
        <color rgb="FF63C384"/>
      </dataBar>
    </cfRule>
  </conditionalFormatting>
  <conditionalFormatting sqref="AR25:AR30">
    <cfRule type="dataBar" priority="26">
      <dataBar>
        <cfvo type="min"/>
        <cfvo type="max"/>
        <color rgb="FF63C384"/>
      </dataBar>
    </cfRule>
  </conditionalFormatting>
  <conditionalFormatting sqref="AR32:AR35">
    <cfRule type="dataBar" priority="25">
      <dataBar>
        <cfvo type="min"/>
        <cfvo type="max"/>
        <color rgb="FF63C384"/>
      </dataBar>
    </cfRule>
  </conditionalFormatting>
  <conditionalFormatting sqref="AR32:AR35">
    <cfRule type="dataBar" priority="24">
      <dataBar>
        <cfvo type="min"/>
        <cfvo type="max"/>
        <color rgb="FF63C384"/>
      </dataBar>
    </cfRule>
  </conditionalFormatting>
  <conditionalFormatting sqref="AR25:AR30">
    <cfRule type="dataBar" priority="23">
      <dataBar>
        <cfvo type="min"/>
        <cfvo type="max"/>
        <color rgb="FF63C384"/>
      </dataBar>
    </cfRule>
  </conditionalFormatting>
  <conditionalFormatting sqref="AR32:AR35">
    <cfRule type="dataBar" priority="22">
      <dataBar>
        <cfvo type="min"/>
        <cfvo type="max"/>
        <color rgb="FF63C384"/>
      </dataBar>
    </cfRule>
  </conditionalFormatting>
  <conditionalFormatting sqref="AU12:AU15 AU5:AU10">
    <cfRule type="dataBar" priority="21">
      <dataBar>
        <cfvo type="min"/>
        <cfvo type="max"/>
        <color rgb="FF63C384"/>
      </dataBar>
    </cfRule>
  </conditionalFormatting>
  <conditionalFormatting sqref="BG12:BG15 BG5:BG10">
    <cfRule type="dataBar" priority="20">
      <dataBar>
        <cfvo type="min"/>
        <cfvo type="max"/>
        <color rgb="FF63C384"/>
      </dataBar>
    </cfRule>
  </conditionalFormatting>
  <conditionalFormatting sqref="AU12:AU15">
    <cfRule type="dataBar" priority="19">
      <dataBar>
        <cfvo type="min"/>
        <cfvo type="max"/>
        <color rgb="FF63C384"/>
      </dataBar>
    </cfRule>
  </conditionalFormatting>
  <conditionalFormatting sqref="BG12:BG15">
    <cfRule type="dataBar" priority="18">
      <dataBar>
        <cfvo type="min"/>
        <cfvo type="max"/>
        <color rgb="FF63C384"/>
      </dataBar>
    </cfRule>
  </conditionalFormatting>
  <conditionalFormatting sqref="BG12:BG15">
    <cfRule type="dataBar" priority="17">
      <dataBar>
        <cfvo type="min"/>
        <cfvo type="max"/>
        <color rgb="FF63C384"/>
      </dataBar>
    </cfRule>
  </conditionalFormatting>
  <conditionalFormatting sqref="BE12:BE15 BE5:BE10">
    <cfRule type="dataBar" priority="16">
      <dataBar>
        <cfvo type="min"/>
        <cfvo type="max"/>
        <color rgb="FF63C384"/>
      </dataBar>
    </cfRule>
  </conditionalFormatting>
  <conditionalFormatting sqref="BS12:BS15 BS5:BS10">
    <cfRule type="dataBar" priority="15">
      <dataBar>
        <cfvo type="min"/>
        <cfvo type="max"/>
        <color rgb="FF63C384"/>
      </dataBar>
    </cfRule>
  </conditionalFormatting>
  <conditionalFormatting sqref="BE12:BE15">
    <cfRule type="dataBar" priority="14">
      <dataBar>
        <cfvo type="min"/>
        <cfvo type="max"/>
        <color rgb="FF63C384"/>
      </dataBar>
    </cfRule>
  </conditionalFormatting>
  <conditionalFormatting sqref="BE12:BE15">
    <cfRule type="dataBar" priority="13">
      <dataBar>
        <cfvo type="min"/>
        <cfvo type="max"/>
        <color rgb="FF63C384"/>
      </dataBar>
    </cfRule>
  </conditionalFormatting>
  <conditionalFormatting sqref="J4:J15">
    <cfRule type="dataBar" priority="12">
      <dataBar>
        <cfvo type="min"/>
        <cfvo type="max"/>
        <color rgb="FFFF555A"/>
      </dataBar>
    </cfRule>
  </conditionalFormatting>
  <conditionalFormatting sqref="K4:K16">
    <cfRule type="dataBar" priority="11">
      <dataBar>
        <cfvo type="min"/>
        <cfvo type="max"/>
        <color rgb="FFFF555A"/>
      </dataBar>
    </cfRule>
  </conditionalFormatting>
  <conditionalFormatting sqref="L4:L16">
    <cfRule type="dataBar" priority="10">
      <dataBar>
        <cfvo type="min"/>
        <cfvo type="max"/>
        <color rgb="FFFF555A"/>
      </dataBar>
    </cfRule>
  </conditionalFormatting>
  <conditionalFormatting sqref="J16">
    <cfRule type="dataBar" priority="9">
      <dataBar>
        <cfvo type="min"/>
        <cfvo type="max"/>
        <color rgb="FFFF555A"/>
      </dataBar>
    </cfRule>
  </conditionalFormatting>
  <conditionalFormatting sqref="J4:J16">
    <cfRule type="dataBar" priority="6">
      <dataBar>
        <cfvo type="min"/>
        <cfvo type="max"/>
        <color rgb="FF63C384"/>
      </dataBar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19"/>
  <sheetViews>
    <sheetView zoomScale="70" zoomScaleNormal="70" workbookViewId="0">
      <selection activeCell="F6" sqref="F6"/>
    </sheetView>
  </sheetViews>
  <sheetFormatPr defaultRowHeight="15" x14ac:dyDescent="0.25"/>
  <cols>
    <col min="1" max="1" width="2.85546875" customWidth="1"/>
    <col min="7" max="7" width="11.140625" customWidth="1"/>
    <col min="8" max="8" width="15.7109375" customWidth="1"/>
    <col min="10" max="10" width="1.85546875" customWidth="1"/>
    <col min="11" max="11" width="4.7109375" hidden="1" customWidth="1"/>
    <col min="15" max="16" width="10.140625" customWidth="1"/>
    <col min="17" max="17" width="13" customWidth="1"/>
    <col min="18" max="18" width="14.28515625" customWidth="1"/>
    <col min="19" max="19" width="12.85546875" customWidth="1"/>
    <col min="21" max="21" width="14.42578125" bestFit="1" customWidth="1"/>
    <col min="22" max="24" width="16.85546875" customWidth="1"/>
  </cols>
  <sheetData>
    <row r="1" spans="2:24" s="2" customFormat="1" ht="24" thickBot="1" x14ac:dyDescent="0.4">
      <c r="B1" s="735" t="s">
        <v>18</v>
      </c>
      <c r="C1" s="736"/>
      <c r="D1" s="736"/>
      <c r="E1" s="736"/>
      <c r="F1" s="736"/>
      <c r="G1" s="736"/>
      <c r="H1" s="736"/>
      <c r="I1" s="737"/>
      <c r="L1" s="802" t="s">
        <v>25</v>
      </c>
      <c r="M1" s="803"/>
      <c r="N1" s="803"/>
      <c r="O1" s="803"/>
      <c r="P1" s="803"/>
      <c r="Q1" s="803"/>
      <c r="R1" s="803"/>
      <c r="S1" s="803"/>
      <c r="T1" s="803"/>
      <c r="U1" s="803"/>
      <c r="V1" s="804"/>
      <c r="W1" s="75"/>
      <c r="X1" s="75"/>
    </row>
    <row r="2" spans="2:24" ht="18.75" x14ac:dyDescent="0.3">
      <c r="B2" s="760" t="s">
        <v>2</v>
      </c>
      <c r="C2" s="761"/>
      <c r="D2" s="796">
        <v>44184</v>
      </c>
      <c r="E2" s="797"/>
      <c r="F2" s="797"/>
      <c r="G2" s="797"/>
      <c r="H2" s="797"/>
      <c r="I2" s="798"/>
      <c r="J2" s="1"/>
      <c r="K2" s="1"/>
      <c r="L2" s="810" t="s">
        <v>2</v>
      </c>
      <c r="M2" s="811"/>
      <c r="N2" s="796" t="s">
        <v>54</v>
      </c>
      <c r="O2" s="797"/>
      <c r="P2" s="797"/>
      <c r="Q2" s="797"/>
      <c r="R2" s="797"/>
      <c r="S2" s="797"/>
      <c r="T2" s="797"/>
      <c r="U2" s="797"/>
      <c r="V2" s="798"/>
      <c r="W2" s="76"/>
      <c r="X2" s="76"/>
    </row>
    <row r="3" spans="2:24" ht="19.5" thickBot="1" x14ac:dyDescent="0.35">
      <c r="B3" s="806"/>
      <c r="C3" s="807"/>
      <c r="D3" s="762" t="s">
        <v>46</v>
      </c>
      <c r="E3" s="814"/>
      <c r="F3" s="814"/>
      <c r="G3" s="814"/>
      <c r="H3" s="814"/>
      <c r="I3" s="763"/>
      <c r="J3" s="1"/>
      <c r="K3" s="1"/>
      <c r="L3" s="812"/>
      <c r="M3" s="813"/>
      <c r="N3" s="799"/>
      <c r="O3" s="800"/>
      <c r="P3" s="800"/>
      <c r="Q3" s="800"/>
      <c r="R3" s="800"/>
      <c r="S3" s="800"/>
      <c r="T3" s="800"/>
      <c r="U3" s="800"/>
      <c r="V3" s="801"/>
      <c r="W3" s="76"/>
      <c r="X3" s="76"/>
    </row>
    <row r="4" spans="2:24" ht="46.5" customHeight="1" thickBot="1" x14ac:dyDescent="0.35">
      <c r="B4" s="808"/>
      <c r="C4" s="809"/>
      <c r="D4" s="5" t="s">
        <v>3</v>
      </c>
      <c r="E4" s="6" t="s">
        <v>5</v>
      </c>
      <c r="F4" s="7" t="s">
        <v>6</v>
      </c>
      <c r="G4" s="6" t="s">
        <v>26</v>
      </c>
      <c r="H4" s="6" t="s">
        <v>30</v>
      </c>
      <c r="I4" s="8" t="s">
        <v>19</v>
      </c>
      <c r="J4" s="1"/>
      <c r="K4" s="1"/>
      <c r="L4" s="812"/>
      <c r="M4" s="812"/>
      <c r="N4" s="88" t="s">
        <v>24</v>
      </c>
      <c r="O4" s="77" t="s">
        <v>3</v>
      </c>
      <c r="P4" s="78" t="s">
        <v>28</v>
      </c>
      <c r="Q4" s="79" t="s">
        <v>48</v>
      </c>
      <c r="R4" s="80" t="s">
        <v>27</v>
      </c>
      <c r="S4" s="80" t="s">
        <v>29</v>
      </c>
      <c r="T4" s="81" t="s">
        <v>23</v>
      </c>
      <c r="U4" s="95" t="s">
        <v>47</v>
      </c>
      <c r="V4" s="101" t="s">
        <v>49</v>
      </c>
      <c r="W4" s="103">
        <v>44188</v>
      </c>
      <c r="X4" s="102" t="s">
        <v>50</v>
      </c>
    </row>
    <row r="5" spans="2:24" ht="28.5" customHeight="1" x14ac:dyDescent="0.3">
      <c r="B5" s="745" t="s">
        <v>8</v>
      </c>
      <c r="C5" s="805"/>
      <c r="D5" s="9"/>
      <c r="E5" s="10"/>
      <c r="F5" s="10"/>
      <c r="G5" s="10">
        <f>D5-F5</f>
        <v>0</v>
      </c>
      <c r="H5" s="11">
        <f>D5-E5</f>
        <v>0</v>
      </c>
      <c r="I5" s="12"/>
      <c r="J5" s="1"/>
      <c r="K5" s="1"/>
      <c r="L5" s="751" t="s">
        <v>8</v>
      </c>
      <c r="M5" s="752"/>
      <c r="N5" s="13">
        <v>300</v>
      </c>
      <c r="O5" s="13">
        <v>132</v>
      </c>
      <c r="P5" s="13">
        <v>110.62</v>
      </c>
      <c r="Q5" s="13">
        <v>76.949999999999989</v>
      </c>
      <c r="R5" s="13">
        <f>N5-P5</f>
        <v>189.38</v>
      </c>
      <c r="S5" s="13">
        <f>N5-Q5</f>
        <v>223.05</v>
      </c>
      <c r="T5" s="12">
        <v>11.9</v>
      </c>
      <c r="U5" s="96">
        <f>Q5+T5</f>
        <v>88.85</v>
      </c>
      <c r="V5" s="89">
        <f>N5-U5</f>
        <v>211.15</v>
      </c>
      <c r="W5" s="89">
        <v>53.95</v>
      </c>
      <c r="X5" s="89">
        <f>N5-(U5+W5)</f>
        <v>157.19999999999999</v>
      </c>
    </row>
    <row r="6" spans="2:24" ht="28.5" customHeight="1" x14ac:dyDescent="0.3">
      <c r="B6" s="745" t="s">
        <v>9</v>
      </c>
      <c r="C6" s="805"/>
      <c r="D6" s="9"/>
      <c r="E6" s="10"/>
      <c r="F6" s="10"/>
      <c r="G6" s="10">
        <f t="shared" ref="G6:G17" si="0">D6-F6</f>
        <v>0</v>
      </c>
      <c r="H6" s="11">
        <f t="shared" ref="H6:H17" si="1">D6-E6</f>
        <v>0</v>
      </c>
      <c r="I6" s="12"/>
      <c r="J6" s="1"/>
      <c r="K6" s="1"/>
      <c r="L6" s="745" t="s">
        <v>9</v>
      </c>
      <c r="M6" s="746"/>
      <c r="N6" s="13">
        <v>160</v>
      </c>
      <c r="O6" s="13">
        <v>78</v>
      </c>
      <c r="P6" s="13">
        <v>68.400000000000006</v>
      </c>
      <c r="Q6" s="10">
        <v>68.400000000000006</v>
      </c>
      <c r="R6" s="10">
        <f t="shared" ref="R6:R15" si="2">N6-P6</f>
        <v>91.6</v>
      </c>
      <c r="S6" s="10">
        <f t="shared" ref="S6:S17" si="3">N6-Q6</f>
        <v>91.6</v>
      </c>
      <c r="T6" s="12">
        <v>24.16</v>
      </c>
      <c r="U6" s="9">
        <f t="shared" ref="U6:U17" si="4">Q6+T6</f>
        <v>92.56</v>
      </c>
      <c r="V6" s="90">
        <f t="shared" ref="V6:V17" si="5">N6-U6</f>
        <v>67.44</v>
      </c>
      <c r="W6" s="90">
        <v>45</v>
      </c>
      <c r="X6" s="90">
        <f t="shared" ref="X6:X15" si="6">N6-(U6+W6)</f>
        <v>22.439999999999998</v>
      </c>
    </row>
    <row r="7" spans="2:24" ht="28.5" customHeight="1" x14ac:dyDescent="0.3">
      <c r="B7" s="745" t="s">
        <v>10</v>
      </c>
      <c r="C7" s="805"/>
      <c r="D7" s="9"/>
      <c r="E7" s="10"/>
      <c r="F7" s="10"/>
      <c r="G7" s="10">
        <f t="shared" si="0"/>
        <v>0</v>
      </c>
      <c r="H7" s="11">
        <f t="shared" si="1"/>
        <v>0</v>
      </c>
      <c r="I7" s="12"/>
      <c r="J7" s="1"/>
      <c r="K7" s="1"/>
      <c r="L7" s="745" t="s">
        <v>10</v>
      </c>
      <c r="M7" s="746"/>
      <c r="N7" s="13">
        <v>85</v>
      </c>
      <c r="O7" s="13">
        <v>20.5</v>
      </c>
      <c r="P7" s="13">
        <v>0</v>
      </c>
      <c r="Q7" s="10">
        <v>0</v>
      </c>
      <c r="R7" s="10">
        <f t="shared" si="2"/>
        <v>85</v>
      </c>
      <c r="S7" s="10">
        <f t="shared" si="3"/>
        <v>85</v>
      </c>
      <c r="T7" s="12"/>
      <c r="U7" s="9">
        <f t="shared" si="4"/>
        <v>0</v>
      </c>
      <c r="V7" s="90">
        <f t="shared" si="5"/>
        <v>85</v>
      </c>
      <c r="W7" s="90">
        <v>2</v>
      </c>
      <c r="X7" s="90">
        <f t="shared" si="6"/>
        <v>83</v>
      </c>
    </row>
    <row r="8" spans="2:24" ht="28.5" customHeight="1" x14ac:dyDescent="0.3">
      <c r="B8" s="745" t="s">
        <v>11</v>
      </c>
      <c r="C8" s="805"/>
      <c r="D8" s="9"/>
      <c r="E8" s="10"/>
      <c r="F8" s="10"/>
      <c r="G8" s="10">
        <f t="shared" si="0"/>
        <v>0</v>
      </c>
      <c r="H8" s="11">
        <f t="shared" si="1"/>
        <v>0</v>
      </c>
      <c r="I8" s="12"/>
      <c r="J8" s="1"/>
      <c r="K8" s="1"/>
      <c r="L8" s="745" t="s">
        <v>11</v>
      </c>
      <c r="M8" s="746"/>
      <c r="N8" s="13">
        <v>110</v>
      </c>
      <c r="O8" s="13">
        <v>47</v>
      </c>
      <c r="P8" s="13">
        <v>41.3</v>
      </c>
      <c r="Q8" s="10">
        <v>41.3</v>
      </c>
      <c r="R8" s="10">
        <f t="shared" si="2"/>
        <v>68.7</v>
      </c>
      <c r="S8" s="10">
        <f t="shared" si="3"/>
        <v>68.7</v>
      </c>
      <c r="T8" s="12"/>
      <c r="U8" s="9">
        <f t="shared" si="4"/>
        <v>41.3</v>
      </c>
      <c r="V8" s="90">
        <f t="shared" si="5"/>
        <v>68.7</v>
      </c>
      <c r="W8" s="90">
        <v>13.45</v>
      </c>
      <c r="X8" s="90">
        <f t="shared" si="6"/>
        <v>55.25</v>
      </c>
    </row>
    <row r="9" spans="2:24" ht="28.5" customHeight="1" x14ac:dyDescent="0.3">
      <c r="B9" s="745" t="s">
        <v>12</v>
      </c>
      <c r="C9" s="805"/>
      <c r="D9" s="9"/>
      <c r="E9" s="10"/>
      <c r="F9" s="10"/>
      <c r="G9" s="10">
        <f t="shared" si="0"/>
        <v>0</v>
      </c>
      <c r="H9" s="11">
        <f t="shared" si="1"/>
        <v>0</v>
      </c>
      <c r="I9" s="12"/>
      <c r="J9" s="1"/>
      <c r="K9" s="1"/>
      <c r="L9" s="745" t="s">
        <v>12</v>
      </c>
      <c r="M9" s="746"/>
      <c r="N9" s="13">
        <v>40</v>
      </c>
      <c r="O9" s="13">
        <v>35</v>
      </c>
      <c r="P9" s="13">
        <v>28.85</v>
      </c>
      <c r="Q9" s="10">
        <v>28.85</v>
      </c>
      <c r="R9" s="10">
        <f t="shared" si="2"/>
        <v>11.149999999999999</v>
      </c>
      <c r="S9" s="10">
        <f t="shared" si="3"/>
        <v>11.149999999999999</v>
      </c>
      <c r="T9" s="12">
        <v>7.9</v>
      </c>
      <c r="U9" s="9">
        <f t="shared" si="4"/>
        <v>36.75</v>
      </c>
      <c r="V9" s="90">
        <f t="shared" si="5"/>
        <v>3.25</v>
      </c>
      <c r="W9" s="90">
        <v>1</v>
      </c>
      <c r="X9" s="90">
        <f t="shared" si="6"/>
        <v>2.25</v>
      </c>
    </row>
    <row r="10" spans="2:24" ht="28.5" customHeight="1" thickBot="1" x14ac:dyDescent="0.35">
      <c r="B10" s="745" t="s">
        <v>13</v>
      </c>
      <c r="C10" s="805"/>
      <c r="D10" s="9"/>
      <c r="E10" s="10"/>
      <c r="F10" s="10"/>
      <c r="G10" s="10">
        <f t="shared" si="0"/>
        <v>0</v>
      </c>
      <c r="H10" s="11">
        <f t="shared" si="1"/>
        <v>0</v>
      </c>
      <c r="I10" s="12"/>
      <c r="J10" s="1"/>
      <c r="K10" s="1"/>
      <c r="L10" s="747" t="s">
        <v>13</v>
      </c>
      <c r="M10" s="748"/>
      <c r="N10" s="21">
        <v>300</v>
      </c>
      <c r="O10" s="21">
        <v>101.05</v>
      </c>
      <c r="P10" s="21">
        <v>201.70000000000002</v>
      </c>
      <c r="Q10" s="14">
        <v>124.87</v>
      </c>
      <c r="R10" s="14">
        <f t="shared" si="2"/>
        <v>98.299999999999983</v>
      </c>
      <c r="S10" s="14">
        <f t="shared" si="3"/>
        <v>175.13</v>
      </c>
      <c r="T10" s="12"/>
      <c r="U10" s="97">
        <f t="shared" si="4"/>
        <v>124.87</v>
      </c>
      <c r="V10" s="91">
        <f t="shared" si="5"/>
        <v>175.13</v>
      </c>
      <c r="W10" s="91">
        <v>91.899999999999991</v>
      </c>
      <c r="X10" s="91">
        <f t="shared" si="6"/>
        <v>83.230000000000018</v>
      </c>
    </row>
    <row r="11" spans="2:24" ht="28.5" customHeight="1" thickBot="1" x14ac:dyDescent="0.35">
      <c r="B11" s="815" t="s">
        <v>4</v>
      </c>
      <c r="C11" s="816"/>
      <c r="D11" s="15">
        <f>SUM(D5:D10)</f>
        <v>0</v>
      </c>
      <c r="E11" s="15">
        <f t="shared" ref="E11:I11" si="7">SUM(E5:E10)</f>
        <v>0</v>
      </c>
      <c r="F11" s="15">
        <f t="shared" si="7"/>
        <v>0</v>
      </c>
      <c r="G11" s="15">
        <f t="shared" si="0"/>
        <v>0</v>
      </c>
      <c r="H11" s="15">
        <f t="shared" si="1"/>
        <v>0</v>
      </c>
      <c r="I11" s="15">
        <f t="shared" si="7"/>
        <v>0</v>
      </c>
      <c r="J11" s="1"/>
      <c r="K11" s="1"/>
      <c r="L11" s="817" t="s">
        <v>4</v>
      </c>
      <c r="M11" s="818"/>
      <c r="N11" s="16">
        <f>SUM(N5:N10)</f>
        <v>995</v>
      </c>
      <c r="O11" s="16">
        <f t="shared" ref="O11:T11" si="8">SUM(O5:O10)</f>
        <v>413.55</v>
      </c>
      <c r="P11" s="16">
        <f t="shared" si="8"/>
        <v>450.87</v>
      </c>
      <c r="Q11" s="16">
        <f t="shared" si="8"/>
        <v>340.37</v>
      </c>
      <c r="R11" s="16">
        <f t="shared" si="8"/>
        <v>544.13</v>
      </c>
      <c r="S11" s="16">
        <f t="shared" si="3"/>
        <v>654.63</v>
      </c>
      <c r="T11" s="82">
        <f t="shared" si="8"/>
        <v>43.96</v>
      </c>
      <c r="U11" s="98">
        <f t="shared" si="4"/>
        <v>384.33</v>
      </c>
      <c r="V11" s="92">
        <f t="shared" si="5"/>
        <v>610.67000000000007</v>
      </c>
      <c r="W11" s="92">
        <f>SUM(W5:W10)</f>
        <v>207.3</v>
      </c>
      <c r="X11" s="92">
        <f>SUM(X5:X10)</f>
        <v>403.37</v>
      </c>
    </row>
    <row r="12" spans="2:24" ht="28.5" customHeight="1" x14ac:dyDescent="0.3">
      <c r="B12" s="745" t="s">
        <v>14</v>
      </c>
      <c r="C12" s="805"/>
      <c r="D12" s="9"/>
      <c r="E12" s="10"/>
      <c r="F12" s="10"/>
      <c r="G12" s="10">
        <f t="shared" si="0"/>
        <v>0</v>
      </c>
      <c r="H12" s="11">
        <f t="shared" si="1"/>
        <v>0</v>
      </c>
      <c r="I12" s="12"/>
      <c r="J12" s="1"/>
      <c r="K12" s="1"/>
      <c r="L12" s="751" t="s">
        <v>14</v>
      </c>
      <c r="M12" s="752"/>
      <c r="N12" s="13">
        <v>500</v>
      </c>
      <c r="O12" s="13">
        <v>140.35999999999999</v>
      </c>
      <c r="P12" s="13">
        <v>141.86000000000001</v>
      </c>
      <c r="Q12" s="13">
        <v>58.63</v>
      </c>
      <c r="R12" s="13">
        <f t="shared" si="2"/>
        <v>358.14</v>
      </c>
      <c r="S12" s="13">
        <f t="shared" si="3"/>
        <v>441.37</v>
      </c>
      <c r="T12" s="12">
        <v>102.57</v>
      </c>
      <c r="U12" s="96">
        <f t="shared" si="4"/>
        <v>161.19999999999999</v>
      </c>
      <c r="V12" s="89">
        <f t="shared" si="5"/>
        <v>338.8</v>
      </c>
      <c r="W12" s="89">
        <v>93.9</v>
      </c>
      <c r="X12" s="89">
        <f t="shared" si="6"/>
        <v>244.9</v>
      </c>
    </row>
    <row r="13" spans="2:24" ht="28.5" customHeight="1" x14ac:dyDescent="0.3">
      <c r="B13" s="745" t="s">
        <v>15</v>
      </c>
      <c r="C13" s="805"/>
      <c r="D13" s="9"/>
      <c r="E13" s="10"/>
      <c r="F13" s="10"/>
      <c r="G13" s="10">
        <f t="shared" si="0"/>
        <v>0</v>
      </c>
      <c r="H13" s="11">
        <f t="shared" si="1"/>
        <v>0</v>
      </c>
      <c r="I13" s="12"/>
      <c r="J13" s="1"/>
      <c r="K13" s="1"/>
      <c r="L13" s="745" t="s">
        <v>15</v>
      </c>
      <c r="M13" s="746"/>
      <c r="N13" s="13">
        <v>65</v>
      </c>
      <c r="O13" s="13">
        <v>35</v>
      </c>
      <c r="P13" s="10">
        <v>8.86</v>
      </c>
      <c r="Q13" s="10">
        <v>1.86</v>
      </c>
      <c r="R13" s="10">
        <f t="shared" si="2"/>
        <v>56.14</v>
      </c>
      <c r="S13" s="10">
        <f t="shared" si="3"/>
        <v>63.14</v>
      </c>
      <c r="T13" s="12">
        <v>11.3</v>
      </c>
      <c r="U13" s="9">
        <f t="shared" si="4"/>
        <v>13.16</v>
      </c>
      <c r="V13" s="90">
        <f t="shared" si="5"/>
        <v>51.84</v>
      </c>
      <c r="W13" s="90">
        <v>5.8</v>
      </c>
      <c r="X13" s="90">
        <f t="shared" si="6"/>
        <v>46.04</v>
      </c>
    </row>
    <row r="14" spans="2:24" ht="28.5" customHeight="1" x14ac:dyDescent="0.3">
      <c r="B14" s="745" t="s">
        <v>16</v>
      </c>
      <c r="C14" s="805"/>
      <c r="D14" s="9"/>
      <c r="E14" s="10"/>
      <c r="F14" s="10"/>
      <c r="G14" s="10">
        <f t="shared" si="0"/>
        <v>0</v>
      </c>
      <c r="H14" s="11">
        <f t="shared" si="1"/>
        <v>0</v>
      </c>
      <c r="I14" s="12"/>
      <c r="J14" s="1"/>
      <c r="K14" s="1"/>
      <c r="L14" s="745" t="s">
        <v>16</v>
      </c>
      <c r="M14" s="746"/>
      <c r="N14" s="13">
        <v>255</v>
      </c>
      <c r="O14" s="13">
        <v>118.45</v>
      </c>
      <c r="P14" s="10">
        <v>84.600000000000009</v>
      </c>
      <c r="Q14" s="10">
        <v>84.600000000000009</v>
      </c>
      <c r="R14" s="10">
        <f t="shared" si="2"/>
        <v>170.39999999999998</v>
      </c>
      <c r="S14" s="10">
        <f t="shared" si="3"/>
        <v>170.39999999999998</v>
      </c>
      <c r="T14" s="12">
        <v>32</v>
      </c>
      <c r="U14" s="9">
        <f t="shared" si="4"/>
        <v>116.60000000000001</v>
      </c>
      <c r="V14" s="90">
        <f t="shared" si="5"/>
        <v>138.39999999999998</v>
      </c>
      <c r="W14" s="90">
        <v>47</v>
      </c>
      <c r="X14" s="90">
        <f t="shared" si="6"/>
        <v>91.399999999999977</v>
      </c>
    </row>
    <row r="15" spans="2:24" ht="28.5" customHeight="1" thickBot="1" x14ac:dyDescent="0.35">
      <c r="B15" s="745" t="s">
        <v>17</v>
      </c>
      <c r="C15" s="805"/>
      <c r="D15" s="9"/>
      <c r="E15" s="10"/>
      <c r="F15" s="10"/>
      <c r="G15" s="10">
        <f t="shared" si="0"/>
        <v>0</v>
      </c>
      <c r="H15" s="11">
        <f t="shared" si="1"/>
        <v>0</v>
      </c>
      <c r="I15" s="12"/>
      <c r="J15" s="1"/>
      <c r="K15" s="1"/>
      <c r="L15" s="747" t="s">
        <v>17</v>
      </c>
      <c r="M15" s="748"/>
      <c r="N15" s="13">
        <v>105</v>
      </c>
      <c r="O15" s="13">
        <v>27.7</v>
      </c>
      <c r="P15" s="14">
        <v>19.32</v>
      </c>
      <c r="Q15" s="14">
        <v>19.32</v>
      </c>
      <c r="R15" s="14">
        <f t="shared" si="2"/>
        <v>85.68</v>
      </c>
      <c r="S15" s="14">
        <f t="shared" si="3"/>
        <v>85.68</v>
      </c>
      <c r="T15" s="12"/>
      <c r="U15" s="97">
        <f t="shared" si="4"/>
        <v>19.32</v>
      </c>
      <c r="V15" s="91">
        <f t="shared" si="5"/>
        <v>85.68</v>
      </c>
      <c r="W15" s="91">
        <v>0</v>
      </c>
      <c r="X15" s="91">
        <f t="shared" si="6"/>
        <v>85.68</v>
      </c>
    </row>
    <row r="16" spans="2:24" ht="28.5" customHeight="1" thickBot="1" x14ac:dyDescent="0.35">
      <c r="B16" s="825" t="s">
        <v>20</v>
      </c>
      <c r="C16" s="826"/>
      <c r="D16" s="17">
        <f>SUM(D12:D15)</f>
        <v>0</v>
      </c>
      <c r="E16" s="17">
        <f t="shared" ref="E16:I16" si="9">SUM(E12:E15)</f>
        <v>0</v>
      </c>
      <c r="F16" s="17">
        <f t="shared" si="9"/>
        <v>0</v>
      </c>
      <c r="G16" s="17">
        <f t="shared" si="0"/>
        <v>0</v>
      </c>
      <c r="H16" s="17">
        <f t="shared" si="1"/>
        <v>0</v>
      </c>
      <c r="I16" s="17">
        <f t="shared" si="9"/>
        <v>0</v>
      </c>
      <c r="J16" s="18"/>
      <c r="K16" s="18"/>
      <c r="L16" s="827" t="s">
        <v>20</v>
      </c>
      <c r="M16" s="828"/>
      <c r="N16" s="86">
        <f>SUM(N12:N15)</f>
        <v>925</v>
      </c>
      <c r="O16" s="86">
        <f t="shared" ref="O16:T16" si="10">SUM(O12:O15)</f>
        <v>321.51</v>
      </c>
      <c r="P16" s="86">
        <f t="shared" si="10"/>
        <v>254.64000000000004</v>
      </c>
      <c r="Q16" s="86">
        <f t="shared" si="10"/>
        <v>164.41</v>
      </c>
      <c r="R16" s="86">
        <f t="shared" si="10"/>
        <v>670.3599999999999</v>
      </c>
      <c r="S16" s="86">
        <f t="shared" si="3"/>
        <v>760.59</v>
      </c>
      <c r="T16" s="87">
        <f t="shared" si="10"/>
        <v>145.87</v>
      </c>
      <c r="U16" s="99">
        <f t="shared" si="4"/>
        <v>310.27999999999997</v>
      </c>
      <c r="V16" s="93">
        <f t="shared" si="5"/>
        <v>614.72</v>
      </c>
      <c r="W16" s="93">
        <f>SUM(W12:W15)</f>
        <v>146.69999999999999</v>
      </c>
      <c r="X16" s="93">
        <f>SUM(X12:X15)</f>
        <v>468.02</v>
      </c>
    </row>
    <row r="17" spans="2:24" s="3" customFormat="1" ht="28.5" customHeight="1" thickBot="1" x14ac:dyDescent="0.35">
      <c r="B17" s="829" t="s">
        <v>21</v>
      </c>
      <c r="C17" s="830"/>
      <c r="D17" s="19">
        <f>D11+D16</f>
        <v>0</v>
      </c>
      <c r="E17" s="19">
        <f t="shared" ref="E17:I17" si="11">E11+E16</f>
        <v>0</v>
      </c>
      <c r="F17" s="20">
        <f t="shared" si="11"/>
        <v>0</v>
      </c>
      <c r="G17" s="19">
        <f t="shared" si="0"/>
        <v>0</v>
      </c>
      <c r="H17" s="19">
        <f t="shared" si="1"/>
        <v>0</v>
      </c>
      <c r="I17" s="20">
        <f t="shared" si="11"/>
        <v>0</v>
      </c>
      <c r="J17" s="23"/>
      <c r="K17" s="23"/>
      <c r="L17" s="831" t="s">
        <v>21</v>
      </c>
      <c r="M17" s="832"/>
      <c r="N17" s="83">
        <f>N11+N16</f>
        <v>1920</v>
      </c>
      <c r="O17" s="83">
        <f t="shared" ref="O17:T17" si="12">O11+O16</f>
        <v>735.06</v>
      </c>
      <c r="P17" s="83">
        <f t="shared" si="12"/>
        <v>705.51</v>
      </c>
      <c r="Q17" s="84">
        <f t="shared" si="12"/>
        <v>504.78</v>
      </c>
      <c r="R17" s="83">
        <f t="shared" si="12"/>
        <v>1214.4899999999998</v>
      </c>
      <c r="S17" s="83">
        <f t="shared" si="3"/>
        <v>1415.22</v>
      </c>
      <c r="T17" s="85">
        <f t="shared" si="12"/>
        <v>189.83</v>
      </c>
      <c r="U17" s="100">
        <f t="shared" si="4"/>
        <v>694.61</v>
      </c>
      <c r="V17" s="94">
        <f t="shared" si="5"/>
        <v>1225.3899999999999</v>
      </c>
      <c r="W17" s="94">
        <f>W11+W16</f>
        <v>354</v>
      </c>
      <c r="X17" s="94">
        <f>X11+X16</f>
        <v>871.39</v>
      </c>
    </row>
    <row r="18" spans="2:24" ht="18.75" customHeight="1" x14ac:dyDescent="0.3">
      <c r="B18" s="833" t="s">
        <v>22</v>
      </c>
      <c r="C18" s="834"/>
      <c r="D18" s="834"/>
      <c r="E18" s="835"/>
      <c r="F18" s="819">
        <f>F17+I17</f>
        <v>0</v>
      </c>
      <c r="G18" s="820"/>
      <c r="H18" s="820"/>
      <c r="I18" s="821"/>
      <c r="J18" s="1"/>
      <c r="K18" s="1"/>
      <c r="L18" s="839" t="s">
        <v>22</v>
      </c>
      <c r="M18" s="840"/>
      <c r="N18" s="840"/>
      <c r="O18" s="840"/>
      <c r="P18" s="841"/>
      <c r="Q18" s="819">
        <f>Q17+T17</f>
        <v>694.61</v>
      </c>
      <c r="R18" s="820"/>
      <c r="S18" s="820"/>
      <c r="T18" s="821"/>
    </row>
    <row r="19" spans="2:24" ht="19.5" thickBot="1" x14ac:dyDescent="0.35">
      <c r="B19" s="836"/>
      <c r="C19" s="837"/>
      <c r="D19" s="837"/>
      <c r="E19" s="838"/>
      <c r="F19" s="822"/>
      <c r="G19" s="823"/>
      <c r="H19" s="823"/>
      <c r="I19" s="824"/>
      <c r="J19" s="1"/>
      <c r="K19" s="1"/>
      <c r="L19" s="836"/>
      <c r="M19" s="837"/>
      <c r="N19" s="837"/>
      <c r="O19" s="837"/>
      <c r="P19" s="838"/>
      <c r="Q19" s="822"/>
      <c r="R19" s="823"/>
      <c r="S19" s="823"/>
      <c r="T19" s="824"/>
    </row>
  </sheetData>
  <mergeCells count="37">
    <mergeCell ref="B13:C13"/>
    <mergeCell ref="L13:M13"/>
    <mergeCell ref="Q18:T19"/>
    <mergeCell ref="B14:C14"/>
    <mergeCell ref="L14:M14"/>
    <mergeCell ref="B15:C15"/>
    <mergeCell ref="L15:M15"/>
    <mergeCell ref="B16:C16"/>
    <mergeCell ref="L16:M16"/>
    <mergeCell ref="B17:C17"/>
    <mergeCell ref="L17:M17"/>
    <mergeCell ref="B18:E19"/>
    <mergeCell ref="F18:I19"/>
    <mergeCell ref="L18:P19"/>
    <mergeCell ref="B10:C10"/>
    <mergeCell ref="L10:M10"/>
    <mergeCell ref="B11:C11"/>
    <mergeCell ref="L11:M11"/>
    <mergeCell ref="B12:C12"/>
    <mergeCell ref="L12:M12"/>
    <mergeCell ref="B7:C7"/>
    <mergeCell ref="L7:M7"/>
    <mergeCell ref="B8:C8"/>
    <mergeCell ref="L8:M8"/>
    <mergeCell ref="B9:C9"/>
    <mergeCell ref="L9:M9"/>
    <mergeCell ref="N2:V3"/>
    <mergeCell ref="L1:V1"/>
    <mergeCell ref="B5:C5"/>
    <mergeCell ref="L5:M5"/>
    <mergeCell ref="B6:C6"/>
    <mergeCell ref="L6:M6"/>
    <mergeCell ref="B1:I1"/>
    <mergeCell ref="B2:C4"/>
    <mergeCell ref="D2:I2"/>
    <mergeCell ref="L2:M4"/>
    <mergeCell ref="D3:I3"/>
  </mergeCells>
  <pageMargins left="0.18" right="0.24" top="0.75" bottom="0.75" header="0.3" footer="0.3"/>
  <pageSetup scale="71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17"/>
  <sheetViews>
    <sheetView topLeftCell="T1" workbookViewId="0">
      <selection activeCell="AL9" sqref="AL9"/>
    </sheetView>
  </sheetViews>
  <sheetFormatPr defaultRowHeight="15" x14ac:dyDescent="0.25"/>
  <cols>
    <col min="1" max="1" width="13.5703125" style="296" customWidth="1"/>
    <col min="2" max="2" width="5.5703125" style="76" customWidth="1"/>
    <col min="3" max="3" width="7" style="76" customWidth="1"/>
    <col min="4" max="4" width="5.85546875" style="300" bestFit="1" customWidth="1"/>
    <col min="5" max="5" width="7.28515625" style="300" customWidth="1"/>
    <col min="6" max="6" width="10" style="76" customWidth="1"/>
    <col min="7" max="7" width="9.85546875" style="301" customWidth="1"/>
    <col min="8" max="10" width="6.7109375" style="301" customWidth="1"/>
    <col min="11" max="11" width="6.140625" style="301" customWidth="1"/>
    <col min="12" max="12" width="9.85546875" style="301" customWidth="1"/>
    <col min="13" max="13" width="9" style="300" customWidth="1"/>
    <col min="14" max="14" width="9.85546875" style="76" bestFit="1" customWidth="1"/>
    <col min="15" max="15" width="9.85546875" style="76" customWidth="1"/>
    <col min="16" max="16" width="10" style="302" customWidth="1"/>
    <col min="17" max="17" width="6.85546875" style="302" customWidth="1"/>
    <col min="18" max="18" width="6.7109375" style="300" customWidth="1"/>
    <col min="19" max="20" width="9.85546875" style="76" customWidth="1"/>
    <col min="21" max="21" width="10" style="302" customWidth="1"/>
    <col min="22" max="22" width="6.85546875" style="302" customWidth="1"/>
    <col min="23" max="23" width="6.7109375" style="76" customWidth="1"/>
    <col min="24" max="24" width="11.85546875" style="76" customWidth="1"/>
    <col min="25" max="25" width="12.140625" style="76" customWidth="1"/>
    <col min="26" max="26" width="6.5703125" style="76" customWidth="1"/>
    <col min="27" max="27" width="6.5703125" style="331" customWidth="1"/>
    <col min="28" max="28" width="8.28515625" style="76" customWidth="1"/>
    <col min="29" max="29" width="5.140625" style="76" customWidth="1"/>
    <col min="30" max="30" width="14.42578125" style="76" bestFit="1" customWidth="1"/>
    <col min="31" max="31" width="7.85546875" style="76" customWidth="1"/>
    <col min="32" max="32" width="7.140625" style="331" customWidth="1"/>
    <col min="33" max="33" width="7.140625" style="76" customWidth="1"/>
    <col min="34" max="34" width="9.140625" style="76" customWidth="1"/>
    <col min="35" max="35" width="13" style="76" customWidth="1"/>
    <col min="36" max="36" width="11.5703125" style="301" customWidth="1"/>
    <col min="37" max="37" width="17.28515625" style="76" bestFit="1" customWidth="1"/>
    <col min="38" max="38" width="11.5703125" style="76" bestFit="1" customWidth="1"/>
    <col min="39" max="16384" width="9.140625" style="76"/>
  </cols>
  <sheetData>
    <row r="1" spans="1:38" ht="16.5" thickBot="1" x14ac:dyDescent="0.3">
      <c r="A1" s="842" t="s">
        <v>107</v>
      </c>
      <c r="B1" s="843"/>
      <c r="C1" s="843"/>
      <c r="D1" s="843"/>
      <c r="E1" s="843"/>
      <c r="F1" s="843"/>
      <c r="G1" s="843"/>
      <c r="H1" s="843"/>
      <c r="I1" s="843"/>
      <c r="J1" s="843"/>
      <c r="K1" s="843"/>
      <c r="L1" s="843"/>
      <c r="M1" s="843"/>
      <c r="N1" s="843"/>
      <c r="O1" s="843"/>
      <c r="P1" s="843"/>
      <c r="Q1" s="843"/>
      <c r="R1" s="843"/>
      <c r="S1" s="843"/>
      <c r="T1" s="843"/>
      <c r="U1" s="843"/>
      <c r="V1" s="843"/>
      <c r="W1" s="843"/>
      <c r="X1" s="843"/>
      <c r="Y1" s="843"/>
      <c r="Z1" s="844"/>
      <c r="AA1" s="844"/>
      <c r="AB1" s="844"/>
      <c r="AC1" s="844"/>
      <c r="AD1" s="844"/>
      <c r="AE1" s="844"/>
      <c r="AF1" s="844"/>
      <c r="AG1" s="844"/>
      <c r="AH1" s="844"/>
      <c r="AI1" s="844"/>
      <c r="AJ1" s="844"/>
    </row>
    <row r="2" spans="1:38" s="426" customFormat="1" ht="15.75" customHeight="1" thickBot="1" x14ac:dyDescent="0.25">
      <c r="A2" s="425" t="s">
        <v>2</v>
      </c>
      <c r="B2" s="849" t="s">
        <v>112</v>
      </c>
      <c r="C2" s="850"/>
      <c r="D2" s="850"/>
      <c r="E2" s="850"/>
      <c r="F2" s="850"/>
      <c r="G2" s="851"/>
      <c r="H2" s="852" t="s">
        <v>99</v>
      </c>
      <c r="I2" s="852"/>
      <c r="J2" s="852"/>
      <c r="K2" s="853"/>
      <c r="L2" s="853"/>
      <c r="M2" s="853"/>
      <c r="N2" s="854"/>
      <c r="O2" s="858" t="s">
        <v>110</v>
      </c>
      <c r="P2" s="859"/>
      <c r="Q2" s="859"/>
      <c r="R2" s="859"/>
      <c r="S2" s="860"/>
      <c r="T2" s="855" t="s">
        <v>109</v>
      </c>
      <c r="U2" s="856"/>
      <c r="V2" s="856"/>
      <c r="W2" s="856"/>
      <c r="X2" s="857"/>
      <c r="Y2" s="864" t="s">
        <v>108</v>
      </c>
      <c r="Z2" s="861" t="s">
        <v>113</v>
      </c>
      <c r="AA2" s="862"/>
      <c r="AB2" s="862"/>
      <c r="AC2" s="862"/>
      <c r="AD2" s="863"/>
      <c r="AE2" s="861" t="s">
        <v>114</v>
      </c>
      <c r="AF2" s="862"/>
      <c r="AG2" s="862"/>
      <c r="AH2" s="862"/>
      <c r="AI2" s="862"/>
      <c r="AJ2" s="863"/>
      <c r="AK2" s="847" t="s">
        <v>0</v>
      </c>
      <c r="AL2" s="845">
        <v>0.5</v>
      </c>
    </row>
    <row r="3" spans="1:38" s="297" customFormat="1" ht="30.75" thickBot="1" x14ac:dyDescent="0.3">
      <c r="A3" s="427" t="s">
        <v>2</v>
      </c>
      <c r="B3" s="428" t="s">
        <v>100</v>
      </c>
      <c r="C3" s="309" t="s">
        <v>7</v>
      </c>
      <c r="D3" s="455" t="s">
        <v>101</v>
      </c>
      <c r="E3" s="455" t="s">
        <v>102</v>
      </c>
      <c r="F3" s="309" t="s">
        <v>103</v>
      </c>
      <c r="G3" s="310" t="s">
        <v>105</v>
      </c>
      <c r="H3" s="308" t="s">
        <v>119</v>
      </c>
      <c r="I3" s="428" t="s">
        <v>115</v>
      </c>
      <c r="J3" s="309" t="s">
        <v>116</v>
      </c>
      <c r="K3" s="309" t="s">
        <v>7</v>
      </c>
      <c r="L3" s="309" t="s">
        <v>84</v>
      </c>
      <c r="M3" s="455" t="s">
        <v>104</v>
      </c>
      <c r="N3" s="311" t="s">
        <v>105</v>
      </c>
      <c r="O3" s="308" t="s">
        <v>119</v>
      </c>
      <c r="P3" s="421" t="s">
        <v>106</v>
      </c>
      <c r="Q3" s="421" t="s">
        <v>84</v>
      </c>
      <c r="R3" s="422" t="s">
        <v>85</v>
      </c>
      <c r="S3" s="423" t="s">
        <v>86</v>
      </c>
      <c r="T3" s="308" t="s">
        <v>119</v>
      </c>
      <c r="U3" s="420" t="s">
        <v>106</v>
      </c>
      <c r="V3" s="421" t="s">
        <v>84</v>
      </c>
      <c r="W3" s="422" t="s">
        <v>85</v>
      </c>
      <c r="X3" s="424" t="s">
        <v>86</v>
      </c>
      <c r="Y3" s="865"/>
      <c r="Z3" s="429" t="s">
        <v>119</v>
      </c>
      <c r="AA3" s="480" t="s">
        <v>106</v>
      </c>
      <c r="AB3" s="480" t="s">
        <v>84</v>
      </c>
      <c r="AC3" s="456" t="s">
        <v>85</v>
      </c>
      <c r="AD3" s="430" t="s">
        <v>86</v>
      </c>
      <c r="AE3" s="429" t="s">
        <v>119</v>
      </c>
      <c r="AF3" s="480" t="s">
        <v>106</v>
      </c>
      <c r="AG3" s="480" t="s">
        <v>84</v>
      </c>
      <c r="AH3" s="456" t="s">
        <v>117</v>
      </c>
      <c r="AI3" s="456" t="s">
        <v>86</v>
      </c>
      <c r="AJ3" s="468" t="s">
        <v>118</v>
      </c>
      <c r="AK3" s="848"/>
      <c r="AL3" s="846"/>
    </row>
    <row r="4" spans="1:38" x14ac:dyDescent="0.25">
      <c r="A4" s="431" t="s">
        <v>8</v>
      </c>
      <c r="B4" s="432">
        <v>355</v>
      </c>
      <c r="C4" s="305">
        <v>369</v>
      </c>
      <c r="D4" s="461">
        <f>C4/B4</f>
        <v>1.0394366197183098</v>
      </c>
      <c r="E4" s="454">
        <f>C4/$C$15</f>
        <v>0.1845</v>
      </c>
      <c r="F4" s="306">
        <f t="shared" ref="F4:F14" si="0">$C$16*E4</f>
        <v>73800</v>
      </c>
      <c r="G4" s="307">
        <v>72000</v>
      </c>
      <c r="H4" s="463">
        <v>400</v>
      </c>
      <c r="I4" s="467">
        <v>402.99</v>
      </c>
      <c r="J4" s="305">
        <v>13</v>
      </c>
      <c r="K4" s="460">
        <v>415.99</v>
      </c>
      <c r="L4" s="461">
        <v>1.0399750000000001</v>
      </c>
      <c r="M4" s="321">
        <v>0.14512983501550764</v>
      </c>
      <c r="N4" s="307">
        <v>72564.917507753824</v>
      </c>
      <c r="O4" s="463">
        <v>350</v>
      </c>
      <c r="P4" s="437">
        <v>354.89000000000004</v>
      </c>
      <c r="Q4" s="320">
        <v>1.0139714285714287</v>
      </c>
      <c r="R4" s="321">
        <v>0.22</v>
      </c>
      <c r="S4" s="322">
        <v>89402</v>
      </c>
      <c r="T4" s="463">
        <v>400</v>
      </c>
      <c r="U4" s="319">
        <f>311.95+35</f>
        <v>346.95</v>
      </c>
      <c r="V4" s="320">
        <v>0.86737500000000012</v>
      </c>
      <c r="W4" s="321">
        <v>0.16836430162419749</v>
      </c>
      <c r="X4" s="485">
        <v>82004.604264853959</v>
      </c>
      <c r="Y4" s="475">
        <f>S4+X4</f>
        <v>171406.60426485396</v>
      </c>
      <c r="Z4" s="439">
        <v>400</v>
      </c>
      <c r="AA4" s="481">
        <v>334.34000000000003</v>
      </c>
      <c r="AB4" s="457">
        <v>0.83585000000000009</v>
      </c>
      <c r="AC4" s="325"/>
      <c r="AD4" s="485"/>
      <c r="AE4" s="439">
        <v>450</v>
      </c>
      <c r="AF4" s="481">
        <v>386.33</v>
      </c>
      <c r="AG4" s="457">
        <v>0.85851111111111111</v>
      </c>
      <c r="AH4" s="482">
        <f>AF4*1%</f>
        <v>3.8632999999999997</v>
      </c>
      <c r="AI4" s="483">
        <f>AF4*1%</f>
        <v>3.8632999999999997</v>
      </c>
      <c r="AJ4" s="473">
        <v>386330</v>
      </c>
      <c r="AK4" s="477">
        <f>AD4+AJ4</f>
        <v>386330</v>
      </c>
      <c r="AL4" s="474">
        <f>AK4/2</f>
        <v>193165</v>
      </c>
    </row>
    <row r="5" spans="1:38" x14ac:dyDescent="0.25">
      <c r="A5" s="438" t="s">
        <v>9</v>
      </c>
      <c r="B5" s="439">
        <v>300</v>
      </c>
      <c r="C5" s="295">
        <v>57</v>
      </c>
      <c r="D5" s="457">
        <f t="shared" ref="D5:D14" si="1">C5/B5</f>
        <v>0.19</v>
      </c>
      <c r="E5" s="435">
        <f t="shared" ref="E5:E14" si="2">C5/$C$15</f>
        <v>2.8500000000000001E-2</v>
      </c>
      <c r="F5" s="295">
        <f t="shared" si="0"/>
        <v>11400</v>
      </c>
      <c r="G5" s="299"/>
      <c r="H5" s="464">
        <v>250</v>
      </c>
      <c r="I5" s="433">
        <v>174.23000000000002</v>
      </c>
      <c r="J5" s="295">
        <v>0</v>
      </c>
      <c r="K5" s="434">
        <v>174.23000000000002</v>
      </c>
      <c r="L5" s="457">
        <v>0.69692000000000009</v>
      </c>
      <c r="M5" s="325"/>
      <c r="N5" s="299"/>
      <c r="O5" s="464">
        <v>275</v>
      </c>
      <c r="P5" s="440">
        <v>118.85</v>
      </c>
      <c r="Q5" s="324">
        <v>0.43218181818181817</v>
      </c>
      <c r="R5" s="325"/>
      <c r="S5" s="326"/>
      <c r="T5" s="464">
        <v>300</v>
      </c>
      <c r="U5" s="323">
        <v>112.66</v>
      </c>
      <c r="V5" s="324">
        <v>0.37553333333333333</v>
      </c>
      <c r="W5" s="325"/>
      <c r="X5" s="485"/>
      <c r="Y5" s="476"/>
      <c r="Z5" s="439">
        <v>240</v>
      </c>
      <c r="AA5" s="481">
        <v>177.89000000000001</v>
      </c>
      <c r="AB5" s="457">
        <v>0.74120833333333336</v>
      </c>
      <c r="AC5" s="325"/>
      <c r="AD5" s="485"/>
      <c r="AE5" s="439">
        <v>300</v>
      </c>
      <c r="AF5" s="481">
        <v>164.04</v>
      </c>
      <c r="AG5" s="457">
        <v>0.54679999999999995</v>
      </c>
      <c r="AH5" s="482"/>
      <c r="AI5" s="484"/>
      <c r="AJ5" s="299"/>
      <c r="AK5" s="478">
        <f t="shared" ref="AK5:AK14" si="3">AD5+AJ5</f>
        <v>0</v>
      </c>
      <c r="AL5" s="471">
        <f t="shared" ref="AL5:AL14" si="4">AK5/2</f>
        <v>0</v>
      </c>
    </row>
    <row r="6" spans="1:38" x14ac:dyDescent="0.25">
      <c r="A6" s="438" t="s">
        <v>10</v>
      </c>
      <c r="B6" s="439">
        <v>140</v>
      </c>
      <c r="C6" s="295">
        <v>42</v>
      </c>
      <c r="D6" s="457">
        <f t="shared" si="1"/>
        <v>0.3</v>
      </c>
      <c r="E6" s="435">
        <f t="shared" si="2"/>
        <v>2.1000000000000001E-2</v>
      </c>
      <c r="F6" s="295">
        <f t="shared" si="0"/>
        <v>8400</v>
      </c>
      <c r="G6" s="299"/>
      <c r="H6" s="464">
        <v>150</v>
      </c>
      <c r="I6" s="433">
        <v>137.18</v>
      </c>
      <c r="J6" s="295">
        <v>7</v>
      </c>
      <c r="K6" s="434">
        <v>144.18</v>
      </c>
      <c r="L6" s="457">
        <v>0.96120000000000005</v>
      </c>
      <c r="M6" s="325">
        <v>5.0301256310334122E-2</v>
      </c>
      <c r="N6" s="299">
        <v>25150.628155167062</v>
      </c>
      <c r="O6" s="464">
        <v>150</v>
      </c>
      <c r="P6" s="440">
        <v>18.36</v>
      </c>
      <c r="Q6" s="324">
        <v>0.12239999999999999</v>
      </c>
      <c r="R6" s="325"/>
      <c r="S6" s="326"/>
      <c r="T6" s="464">
        <v>200</v>
      </c>
      <c r="U6" s="323">
        <v>65.11</v>
      </c>
      <c r="V6" s="324">
        <v>0.32555000000000001</v>
      </c>
      <c r="W6" s="325"/>
      <c r="X6" s="485"/>
      <c r="Y6" s="476"/>
      <c r="Z6" s="439">
        <v>150</v>
      </c>
      <c r="AA6" s="481">
        <v>53.8</v>
      </c>
      <c r="AB6" s="457">
        <v>0.35866666666666663</v>
      </c>
      <c r="AC6" s="325"/>
      <c r="AD6" s="485"/>
      <c r="AE6" s="439">
        <v>200</v>
      </c>
      <c r="AF6" s="481">
        <v>164.13</v>
      </c>
      <c r="AG6" s="457">
        <v>0.82064999999999999</v>
      </c>
      <c r="AH6" s="482">
        <f t="shared" ref="AH6:AH12" si="5">AF6*1%</f>
        <v>1.6413</v>
      </c>
      <c r="AI6" s="483">
        <f t="shared" ref="AI6:AI12" si="6">AF6*1%</f>
        <v>1.6413</v>
      </c>
      <c r="AJ6" s="473">
        <v>164130</v>
      </c>
      <c r="AK6" s="479">
        <f t="shared" si="3"/>
        <v>164130</v>
      </c>
      <c r="AL6" s="470">
        <f t="shared" si="4"/>
        <v>82065</v>
      </c>
    </row>
    <row r="7" spans="1:38" x14ac:dyDescent="0.25">
      <c r="A7" s="438" t="s">
        <v>11</v>
      </c>
      <c r="B7" s="439">
        <v>200</v>
      </c>
      <c r="C7" s="295">
        <v>151</v>
      </c>
      <c r="D7" s="457">
        <f t="shared" si="1"/>
        <v>0.755</v>
      </c>
      <c r="E7" s="435">
        <f t="shared" si="2"/>
        <v>7.5499999999999998E-2</v>
      </c>
      <c r="F7" s="295">
        <f t="shared" si="0"/>
        <v>30200</v>
      </c>
      <c r="G7" s="299"/>
      <c r="H7" s="464">
        <v>250</v>
      </c>
      <c r="I7" s="433">
        <v>197.76</v>
      </c>
      <c r="J7" s="295">
        <v>46</v>
      </c>
      <c r="K7" s="434">
        <v>243.76</v>
      </c>
      <c r="L7" s="457">
        <v>0.97504000000000002</v>
      </c>
      <c r="M7" s="325">
        <v>8.5042545694319918E-2</v>
      </c>
      <c r="N7" s="299">
        <v>42521.272847159962</v>
      </c>
      <c r="O7" s="464">
        <v>200</v>
      </c>
      <c r="P7" s="440">
        <v>85.17</v>
      </c>
      <c r="Q7" s="324">
        <v>0.42585000000000001</v>
      </c>
      <c r="R7" s="325"/>
      <c r="S7" s="326"/>
      <c r="T7" s="464">
        <v>200</v>
      </c>
      <c r="U7" s="323">
        <v>65.92</v>
      </c>
      <c r="V7" s="324">
        <v>0.3296</v>
      </c>
      <c r="W7" s="325"/>
      <c r="X7" s="485"/>
      <c r="Y7" s="476"/>
      <c r="Z7" s="439">
        <v>200</v>
      </c>
      <c r="AA7" s="481">
        <v>195.42000000000002</v>
      </c>
      <c r="AB7" s="457">
        <v>0.97710000000000008</v>
      </c>
      <c r="AC7" s="325">
        <v>9.0192458577560364E-2</v>
      </c>
      <c r="AD7" s="485">
        <v>36076.983431024142</v>
      </c>
      <c r="AE7" s="439">
        <v>300</v>
      </c>
      <c r="AF7" s="481">
        <v>298</v>
      </c>
      <c r="AG7" s="457">
        <v>0.99333333333333329</v>
      </c>
      <c r="AH7" s="482">
        <f t="shared" si="5"/>
        <v>2.98</v>
      </c>
      <c r="AI7" s="484">
        <f t="shared" si="6"/>
        <v>2.98</v>
      </c>
      <c r="AJ7" s="299">
        <v>298000</v>
      </c>
      <c r="AK7" s="478">
        <f t="shared" si="3"/>
        <v>334076.98343102413</v>
      </c>
      <c r="AL7" s="471">
        <f t="shared" si="4"/>
        <v>167038.49171551206</v>
      </c>
    </row>
    <row r="8" spans="1:38" x14ac:dyDescent="0.25">
      <c r="A8" s="438" t="s">
        <v>12</v>
      </c>
      <c r="B8" s="439">
        <v>100</v>
      </c>
      <c r="C8" s="295">
        <v>78</v>
      </c>
      <c r="D8" s="457">
        <f t="shared" si="1"/>
        <v>0.78</v>
      </c>
      <c r="E8" s="435">
        <f t="shared" si="2"/>
        <v>3.9E-2</v>
      </c>
      <c r="F8" s="295">
        <f t="shared" si="0"/>
        <v>15600</v>
      </c>
      <c r="G8" s="299"/>
      <c r="H8" s="464">
        <v>100</v>
      </c>
      <c r="I8" s="433">
        <v>37.840000000000003</v>
      </c>
      <c r="J8" s="295">
        <v>0</v>
      </c>
      <c r="K8" s="434">
        <v>37.840000000000003</v>
      </c>
      <c r="L8" s="457">
        <v>0.37840000000000001</v>
      </c>
      <c r="M8" s="325"/>
      <c r="N8" s="299"/>
      <c r="O8" s="464">
        <v>50</v>
      </c>
      <c r="P8" s="440">
        <v>32</v>
      </c>
      <c r="Q8" s="324">
        <v>0.64</v>
      </c>
      <c r="R8" s="325"/>
      <c r="S8" s="326"/>
      <c r="T8" s="464">
        <v>100</v>
      </c>
      <c r="U8" s="323">
        <v>35.65</v>
      </c>
      <c r="V8" s="324">
        <v>0.35649999999999998</v>
      </c>
      <c r="W8" s="325"/>
      <c r="X8" s="485"/>
      <c r="Y8" s="476"/>
      <c r="Z8" s="439">
        <v>100</v>
      </c>
      <c r="AA8" s="481">
        <v>38.51</v>
      </c>
      <c r="AB8" s="457">
        <v>0.3851</v>
      </c>
      <c r="AC8" s="325"/>
      <c r="AD8" s="485"/>
      <c r="AE8" s="439">
        <v>150</v>
      </c>
      <c r="AF8" s="481">
        <v>4.9400000000000004</v>
      </c>
      <c r="AG8" s="457">
        <v>3.2933333333333335E-2</v>
      </c>
      <c r="AH8" s="482"/>
      <c r="AI8" s="484"/>
      <c r="AJ8" s="299"/>
      <c r="AK8" s="478">
        <f t="shared" si="3"/>
        <v>0</v>
      </c>
      <c r="AL8" s="471">
        <f t="shared" si="4"/>
        <v>0</v>
      </c>
    </row>
    <row r="9" spans="1:38" x14ac:dyDescent="0.25">
      <c r="A9" s="438" t="s">
        <v>13</v>
      </c>
      <c r="B9" s="439">
        <v>370</v>
      </c>
      <c r="C9" s="295">
        <v>24</v>
      </c>
      <c r="D9" s="457">
        <f t="shared" si="1"/>
        <v>6.4864864864864868E-2</v>
      </c>
      <c r="E9" s="435">
        <f t="shared" si="2"/>
        <v>1.2E-2</v>
      </c>
      <c r="F9" s="295">
        <f t="shared" si="0"/>
        <v>4800</v>
      </c>
      <c r="G9" s="299"/>
      <c r="H9" s="464">
        <v>500</v>
      </c>
      <c r="I9" s="433">
        <v>422.18999999999994</v>
      </c>
      <c r="J9" s="295">
        <v>100</v>
      </c>
      <c r="K9" s="434">
        <v>522.18999999999994</v>
      </c>
      <c r="L9" s="457">
        <v>1.0443799999999999</v>
      </c>
      <c r="M9" s="325">
        <v>0.18218069796569131</v>
      </c>
      <c r="N9" s="299">
        <v>91090.348982845651</v>
      </c>
      <c r="O9" s="464">
        <v>350</v>
      </c>
      <c r="P9" s="440">
        <v>258.94000000000005</v>
      </c>
      <c r="Q9" s="324">
        <v>0.73982857142857161</v>
      </c>
      <c r="R9" s="325"/>
      <c r="S9" s="326"/>
      <c r="T9" s="464">
        <v>400</v>
      </c>
      <c r="U9" s="323">
        <v>387.40999999999997</v>
      </c>
      <c r="V9" s="324">
        <v>0.96852499999999997</v>
      </c>
      <c r="W9" s="325">
        <v>0.18799831126165251</v>
      </c>
      <c r="X9" s="485">
        <v>91567.671820859119</v>
      </c>
      <c r="Y9" s="476">
        <f>X9+S9</f>
        <v>91567.671820859119</v>
      </c>
      <c r="Z9" s="439">
        <v>300</v>
      </c>
      <c r="AA9" s="481">
        <v>321.77999999999997</v>
      </c>
      <c r="AB9" s="457">
        <v>1.0726</v>
      </c>
      <c r="AC9" s="325">
        <v>0.14851156136059446</v>
      </c>
      <c r="AD9" s="485">
        <v>59404.624544237784</v>
      </c>
      <c r="AE9" s="439">
        <v>400</v>
      </c>
      <c r="AF9" s="481">
        <v>356.89</v>
      </c>
      <c r="AG9" s="457">
        <v>0.89222499999999993</v>
      </c>
      <c r="AH9" s="482">
        <f t="shared" si="5"/>
        <v>3.5688999999999997</v>
      </c>
      <c r="AI9" s="483">
        <f t="shared" si="6"/>
        <v>3.5688999999999997</v>
      </c>
      <c r="AJ9" s="473">
        <v>356890</v>
      </c>
      <c r="AK9" s="479">
        <f t="shared" si="3"/>
        <v>416294.6245442378</v>
      </c>
      <c r="AL9" s="470">
        <f t="shared" si="4"/>
        <v>208147.3122721189</v>
      </c>
    </row>
    <row r="10" spans="1:38" x14ac:dyDescent="0.25">
      <c r="A10" s="438" t="s">
        <v>14</v>
      </c>
      <c r="B10" s="439">
        <v>430</v>
      </c>
      <c r="C10" s="295">
        <v>433</v>
      </c>
      <c r="D10" s="457">
        <f t="shared" si="1"/>
        <v>1.0069767441860464</v>
      </c>
      <c r="E10" s="435">
        <f t="shared" si="2"/>
        <v>0.2165</v>
      </c>
      <c r="F10" s="298">
        <f t="shared" si="0"/>
        <v>86600</v>
      </c>
      <c r="G10" s="299">
        <v>82600</v>
      </c>
      <c r="H10" s="464">
        <v>400</v>
      </c>
      <c r="I10" s="433">
        <v>417.22</v>
      </c>
      <c r="J10" s="295">
        <v>0</v>
      </c>
      <c r="K10" s="434">
        <v>417.22</v>
      </c>
      <c r="L10" s="457">
        <v>1.04305</v>
      </c>
      <c r="M10" s="325">
        <v>0.14555895517961995</v>
      </c>
      <c r="N10" s="299">
        <v>72779.477589809976</v>
      </c>
      <c r="O10" s="464">
        <v>500</v>
      </c>
      <c r="P10" s="440">
        <v>263.28000000000003</v>
      </c>
      <c r="Q10" s="324">
        <v>0.52656000000000003</v>
      </c>
      <c r="R10" s="325"/>
      <c r="S10" s="326"/>
      <c r="T10" s="464">
        <v>500</v>
      </c>
      <c r="U10" s="323">
        <v>599.72</v>
      </c>
      <c r="V10" s="324">
        <v>1.1994400000000001</v>
      </c>
      <c r="W10" s="325">
        <v>0.28349791768103888</v>
      </c>
      <c r="X10" s="485">
        <v>141748.95884051945</v>
      </c>
      <c r="Y10" s="476">
        <f>X10+S10</f>
        <v>141748.95884051945</v>
      </c>
      <c r="Z10" s="439">
        <v>350</v>
      </c>
      <c r="AA10" s="481">
        <v>662.31000000000006</v>
      </c>
      <c r="AB10" s="457">
        <v>1.8923142857142858</v>
      </c>
      <c r="AC10" s="325">
        <v>0.30567683574098864</v>
      </c>
      <c r="AD10" s="485">
        <v>122270.73429639546</v>
      </c>
      <c r="AE10" s="439">
        <v>600</v>
      </c>
      <c r="AF10" s="481">
        <v>793.22</v>
      </c>
      <c r="AG10" s="457">
        <v>1.3220333333333334</v>
      </c>
      <c r="AH10" s="482">
        <f t="shared" si="5"/>
        <v>7.9322000000000008</v>
      </c>
      <c r="AI10" s="484">
        <f t="shared" si="6"/>
        <v>7.9322000000000008</v>
      </c>
      <c r="AJ10" s="299">
        <v>793220</v>
      </c>
      <c r="AK10" s="478">
        <f t="shared" si="3"/>
        <v>915490.73429639544</v>
      </c>
      <c r="AL10" s="471">
        <f t="shared" si="4"/>
        <v>457745.36714819772</v>
      </c>
    </row>
    <row r="11" spans="1:38" x14ac:dyDescent="0.25">
      <c r="A11" s="438" t="s">
        <v>15</v>
      </c>
      <c r="B11" s="439">
        <v>60</v>
      </c>
      <c r="C11" s="295">
        <v>28</v>
      </c>
      <c r="D11" s="457">
        <f t="shared" si="1"/>
        <v>0.46666666666666667</v>
      </c>
      <c r="E11" s="435">
        <f t="shared" si="2"/>
        <v>1.4E-2</v>
      </c>
      <c r="F11" s="295">
        <f t="shared" si="0"/>
        <v>5600</v>
      </c>
      <c r="G11" s="299"/>
      <c r="H11" s="464">
        <v>100</v>
      </c>
      <c r="I11" s="433">
        <v>142.16</v>
      </c>
      <c r="J11" s="295">
        <v>0</v>
      </c>
      <c r="K11" s="434">
        <v>142.16</v>
      </c>
      <c r="L11" s="457">
        <v>1.4216</v>
      </c>
      <c r="M11" s="325">
        <v>4.9596522382279781E-2</v>
      </c>
      <c r="N11" s="299">
        <v>24798.261191139889</v>
      </c>
      <c r="O11" s="464">
        <v>100</v>
      </c>
      <c r="P11" s="440">
        <v>46.23</v>
      </c>
      <c r="Q11" s="324">
        <v>0.46229999999999999</v>
      </c>
      <c r="R11" s="325"/>
      <c r="S11" s="326"/>
      <c r="T11" s="464">
        <v>150</v>
      </c>
      <c r="U11" s="323">
        <v>81.93</v>
      </c>
      <c r="V11" s="324">
        <v>0.54620000000000002</v>
      </c>
      <c r="W11" s="325"/>
      <c r="X11" s="485"/>
      <c r="Y11" s="476"/>
      <c r="Z11" s="439">
        <v>90</v>
      </c>
      <c r="AA11" s="481">
        <v>64.050000000000011</v>
      </c>
      <c r="AB11" s="457">
        <v>0.71166666666666678</v>
      </c>
      <c r="AC11" s="325"/>
      <c r="AD11" s="485"/>
      <c r="AE11" s="439">
        <v>120</v>
      </c>
      <c r="AF11" s="481">
        <v>135.14999999999998</v>
      </c>
      <c r="AG11" s="457">
        <v>1.1262499999999998</v>
      </c>
      <c r="AH11" s="482">
        <f t="shared" si="5"/>
        <v>1.3514999999999997</v>
      </c>
      <c r="AI11" s="484">
        <f t="shared" si="6"/>
        <v>1.3514999999999997</v>
      </c>
      <c r="AJ11" s="299">
        <v>135150</v>
      </c>
      <c r="AK11" s="478">
        <f t="shared" si="3"/>
        <v>135150</v>
      </c>
      <c r="AL11" s="471">
        <f t="shared" si="4"/>
        <v>67575</v>
      </c>
    </row>
    <row r="12" spans="1:38" x14ac:dyDescent="0.25">
      <c r="A12" s="438" t="s">
        <v>16</v>
      </c>
      <c r="B12" s="439">
        <v>300</v>
      </c>
      <c r="C12" s="295">
        <v>380</v>
      </c>
      <c r="D12" s="457">
        <f t="shared" si="1"/>
        <v>1.2666666666666666</v>
      </c>
      <c r="E12" s="435">
        <f t="shared" si="2"/>
        <v>0.19</v>
      </c>
      <c r="F12" s="298">
        <f t="shared" si="0"/>
        <v>76000</v>
      </c>
      <c r="G12" s="299">
        <v>114000</v>
      </c>
      <c r="H12" s="464">
        <v>350</v>
      </c>
      <c r="I12" s="433">
        <v>486.08</v>
      </c>
      <c r="J12" s="295">
        <v>28</v>
      </c>
      <c r="K12" s="434">
        <v>514.07999999999993</v>
      </c>
      <c r="L12" s="457">
        <v>1.4687999999999999</v>
      </c>
      <c r="M12" s="325">
        <v>0.17446700135713614</v>
      </c>
      <c r="N12" s="299">
        <v>87233.500678568074</v>
      </c>
      <c r="O12" s="464">
        <v>350</v>
      </c>
      <c r="P12" s="440">
        <v>256.70000000000005</v>
      </c>
      <c r="Q12" s="324">
        <v>0.73342857142857154</v>
      </c>
      <c r="R12" s="325"/>
      <c r="S12" s="326"/>
      <c r="T12" s="464">
        <v>400</v>
      </c>
      <c r="U12" s="323">
        <v>264.15999999999997</v>
      </c>
      <c r="V12" s="324">
        <v>0.66039999999999988</v>
      </c>
      <c r="W12" s="325"/>
      <c r="X12" s="485"/>
      <c r="Y12" s="476"/>
      <c r="Z12" s="439">
        <v>250</v>
      </c>
      <c r="AA12" s="481">
        <v>312.05</v>
      </c>
      <c r="AB12" s="457">
        <v>1.2482</v>
      </c>
      <c r="AC12" s="325">
        <v>0.14402086121751975</v>
      </c>
      <c r="AD12" s="485">
        <v>57608.344487007904</v>
      </c>
      <c r="AE12" s="439">
        <v>400</v>
      </c>
      <c r="AF12" s="481">
        <v>357.74</v>
      </c>
      <c r="AG12" s="457">
        <v>0.89434999999999998</v>
      </c>
      <c r="AH12" s="482">
        <f t="shared" si="5"/>
        <v>3.5774000000000004</v>
      </c>
      <c r="AI12" s="483">
        <f t="shared" si="6"/>
        <v>3.5774000000000004</v>
      </c>
      <c r="AJ12" s="473">
        <v>357740</v>
      </c>
      <c r="AK12" s="479">
        <f t="shared" si="3"/>
        <v>415348.34448700788</v>
      </c>
      <c r="AL12" s="470">
        <f t="shared" si="4"/>
        <v>207674.17224350394</v>
      </c>
    </row>
    <row r="13" spans="1:38" ht="15.75" thickBot="1" x14ac:dyDescent="0.3">
      <c r="A13" s="441" t="s">
        <v>17</v>
      </c>
      <c r="B13" s="442">
        <v>120</v>
      </c>
      <c r="C13" s="303">
        <v>117</v>
      </c>
      <c r="D13" s="459">
        <f t="shared" si="1"/>
        <v>0.97499999999999998</v>
      </c>
      <c r="E13" s="453">
        <f t="shared" si="2"/>
        <v>5.8500000000000003E-2</v>
      </c>
      <c r="F13" s="303">
        <f t="shared" si="0"/>
        <v>23400</v>
      </c>
      <c r="G13" s="304">
        <v>23400</v>
      </c>
      <c r="H13" s="465">
        <v>150</v>
      </c>
      <c r="I13" s="433">
        <v>268.68</v>
      </c>
      <c r="J13" s="295">
        <v>0</v>
      </c>
      <c r="K13" s="458">
        <v>268.68</v>
      </c>
      <c r="L13" s="459">
        <v>1.7912000000000001</v>
      </c>
      <c r="M13" s="329">
        <v>9.37365899948715E-2</v>
      </c>
      <c r="N13" s="304">
        <v>46868.294997435747</v>
      </c>
      <c r="O13" s="465">
        <v>150</v>
      </c>
      <c r="P13" s="443">
        <v>153.42000000000002</v>
      </c>
      <c r="Q13" s="328">
        <v>1.0228000000000002</v>
      </c>
      <c r="R13" s="329">
        <v>9.6621825876662626E-2</v>
      </c>
      <c r="S13" s="330">
        <v>38649</v>
      </c>
      <c r="T13" s="465">
        <v>180</v>
      </c>
      <c r="U13" s="327">
        <v>155.92000000000002</v>
      </c>
      <c r="V13" s="328">
        <v>0.86622222222222234</v>
      </c>
      <c r="W13" s="329">
        <v>7.5663242280573209E-2</v>
      </c>
      <c r="X13" s="487">
        <v>36853.027516864189</v>
      </c>
      <c r="Y13" s="476">
        <f>S13+X13</f>
        <v>75502.027516864182</v>
      </c>
      <c r="Z13" s="442">
        <v>105</v>
      </c>
      <c r="AA13" s="486">
        <v>6.55</v>
      </c>
      <c r="AB13" s="459">
        <v>6.2380952380952377E-2</v>
      </c>
      <c r="AC13" s="329"/>
      <c r="AD13" s="487"/>
      <c r="AE13" s="442">
        <v>250</v>
      </c>
      <c r="AF13" s="486">
        <v>50.24</v>
      </c>
      <c r="AG13" s="459">
        <v>0.20096</v>
      </c>
      <c r="AH13" s="488"/>
      <c r="AI13" s="489"/>
      <c r="AJ13" s="304"/>
      <c r="AK13" s="490">
        <f t="shared" si="3"/>
        <v>0</v>
      </c>
      <c r="AL13" s="491">
        <f t="shared" si="4"/>
        <v>0</v>
      </c>
    </row>
    <row r="14" spans="1:38" s="318" customFormat="1" ht="23.25" customHeight="1" thickBot="1" x14ac:dyDescent="0.3">
      <c r="A14" s="444" t="s">
        <v>0</v>
      </c>
      <c r="B14" s="312">
        <f>SUM(B4:B13)</f>
        <v>2375</v>
      </c>
      <c r="C14" s="445">
        <f>SUM(C4:C13)</f>
        <v>1679</v>
      </c>
      <c r="D14" s="452">
        <f t="shared" si="1"/>
        <v>0.70694736842105266</v>
      </c>
      <c r="E14" s="452">
        <f t="shared" si="2"/>
        <v>0.83950000000000002</v>
      </c>
      <c r="F14" s="313">
        <f t="shared" si="0"/>
        <v>335800</v>
      </c>
      <c r="G14" s="314">
        <f>SUM(G4:G13)</f>
        <v>292000</v>
      </c>
      <c r="H14" s="466">
        <f>SUM(H4:H13)</f>
        <v>2650</v>
      </c>
      <c r="I14" s="446">
        <f t="shared" ref="I14:J14" si="7">SUM(I4:I13)</f>
        <v>2686.33</v>
      </c>
      <c r="J14" s="447">
        <f t="shared" si="7"/>
        <v>194</v>
      </c>
      <c r="K14" s="445">
        <f>SUM(K4:K13)</f>
        <v>2880.33</v>
      </c>
      <c r="L14" s="462">
        <v>1.0900000000000001</v>
      </c>
      <c r="M14" s="452">
        <f t="shared" ref="M14:N14" si="8">SUM(M4:M13)</f>
        <v>0.92601340389976028</v>
      </c>
      <c r="N14" s="314">
        <f t="shared" si="8"/>
        <v>463006.70194988023</v>
      </c>
      <c r="O14" s="466">
        <f>SUM(O4:O13)</f>
        <v>2475</v>
      </c>
      <c r="P14" s="448">
        <f>SUM(P4:P13)</f>
        <v>1587.8400000000001</v>
      </c>
      <c r="Q14" s="315">
        <v>0.64</v>
      </c>
      <c r="R14" s="316">
        <f>SUM(R4:R13)</f>
        <v>0.31662182587666265</v>
      </c>
      <c r="S14" s="317">
        <f>SUM(S4:S13)</f>
        <v>128051</v>
      </c>
      <c r="T14" s="466">
        <f>SUM(T4:T13)</f>
        <v>2830</v>
      </c>
      <c r="U14" s="449">
        <f>SUM(U4:U13)</f>
        <v>2115.4300000000003</v>
      </c>
      <c r="V14" s="315">
        <v>0.75</v>
      </c>
      <c r="W14" s="316">
        <f>SUM(W4:W13)</f>
        <v>0.71552377284746216</v>
      </c>
      <c r="X14" s="494">
        <f>SUM(X4:X13)</f>
        <v>352174.26244309667</v>
      </c>
      <c r="Y14" s="469">
        <f>SUM(Y4:Y13)</f>
        <v>480225.26244309667</v>
      </c>
      <c r="Z14" s="312">
        <f>SUM(Z4:Z13)</f>
        <v>2185</v>
      </c>
      <c r="AA14" s="492">
        <f>SUM(AA4:AA13)</f>
        <v>2166.7000000000003</v>
      </c>
      <c r="AB14" s="493">
        <v>0.86</v>
      </c>
      <c r="AC14" s="316">
        <f>SUM(AC4:AC13)</f>
        <v>0.68840171689666318</v>
      </c>
      <c r="AD14" s="494">
        <f>SUM(AD4:AD13)</f>
        <v>275360.68675866525</v>
      </c>
      <c r="AE14" s="312">
        <f>SUM(AE4:AE13)</f>
        <v>3170</v>
      </c>
      <c r="AF14" s="492">
        <f>SUM(AF4:AF13)</f>
        <v>2710.6800000000003</v>
      </c>
      <c r="AG14" s="493">
        <v>0.86</v>
      </c>
      <c r="AH14" s="450">
        <f>SUM(AH4:AH13)</f>
        <v>24.914600000000004</v>
      </c>
      <c r="AI14" s="495">
        <f>SUM(AI4:AI13)</f>
        <v>24.914600000000004</v>
      </c>
      <c r="AJ14" s="494">
        <v>2491460</v>
      </c>
      <c r="AK14" s="317">
        <f t="shared" si="3"/>
        <v>2766820.6867586654</v>
      </c>
      <c r="AL14" s="317">
        <f t="shared" si="4"/>
        <v>1383410.3433793327</v>
      </c>
    </row>
    <row r="15" spans="1:38" x14ac:dyDescent="0.25">
      <c r="C15" s="76">
        <v>2000</v>
      </c>
      <c r="AK15" s="472">
        <v>1235232</v>
      </c>
    </row>
    <row r="16" spans="1:38" x14ac:dyDescent="0.25">
      <c r="C16" s="76">
        <v>400000</v>
      </c>
      <c r="AK16" s="436">
        <v>2766821</v>
      </c>
    </row>
    <row r="17" spans="37:37" x14ac:dyDescent="0.25">
      <c r="AK17" s="451">
        <f>AK15+AK16</f>
        <v>4002053</v>
      </c>
    </row>
  </sheetData>
  <mergeCells count="10">
    <mergeCell ref="A1:AJ1"/>
    <mergeCell ref="AL2:AL3"/>
    <mergeCell ref="AK2:AK3"/>
    <mergeCell ref="B2:G2"/>
    <mergeCell ref="H2:N2"/>
    <mergeCell ref="T2:X2"/>
    <mergeCell ref="O2:S2"/>
    <mergeCell ref="Z2:AD2"/>
    <mergeCell ref="AE2:AJ2"/>
    <mergeCell ref="Y2:Y3"/>
  </mergeCells>
  <conditionalFormatting sqref="R4:R13">
    <cfRule type="dataBar" priority="11">
      <dataBar>
        <cfvo type="min"/>
        <cfvo type="max"/>
        <color rgb="FF63C384"/>
      </dataBar>
    </cfRule>
  </conditionalFormatting>
  <conditionalFormatting sqref="AC4:AC13">
    <cfRule type="dataBar" priority="6">
      <dataBar>
        <cfvo type="min"/>
        <cfvo type="max"/>
        <color rgb="FF63C384"/>
      </dataBar>
    </cfRule>
  </conditionalFormatting>
  <conditionalFormatting sqref="D4:D13">
    <cfRule type="dataBar" priority="2">
      <dataBar>
        <cfvo type="min"/>
        <cfvo type="max"/>
        <color rgb="FF63C384"/>
      </dataBar>
    </cfRule>
  </conditionalFormatting>
  <conditionalFormatting sqref="Q4:Q13 V4:V13">
    <cfRule type="dataBar" priority="5">
      <dataBar>
        <cfvo type="min"/>
        <cfvo type="max"/>
        <color rgb="FF63C384"/>
      </dataBar>
    </cfRule>
  </conditionalFormatting>
  <conditionalFormatting sqref="AB4:AB13">
    <cfRule type="dataBar" priority="4">
      <dataBar>
        <cfvo type="min"/>
        <cfvo type="max"/>
        <color rgb="FF63C384"/>
      </dataBar>
    </cfRule>
  </conditionalFormatting>
  <conditionalFormatting sqref="AG4:AG13">
    <cfRule type="dataBar" priority="3">
      <dataBar>
        <cfvo type="min"/>
        <cfvo type="max"/>
        <color rgb="FF63C384"/>
      </dataBar>
    </cfRule>
  </conditionalFormatting>
  <conditionalFormatting sqref="L4:L13">
    <cfRule type="dataBar" priority="1">
      <dataBar>
        <cfvo type="min"/>
        <cfvo type="max"/>
        <color rgb="FF63C384"/>
      </dataBar>
    </cfRule>
  </conditionalFormatting>
  <pageMargins left="0.7" right="0.24" top="1.99" bottom="0.48" header="0.3" footer="0.3"/>
  <pageSetup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W29"/>
  <sheetViews>
    <sheetView workbookViewId="0">
      <selection activeCell="B2" sqref="B2:W16"/>
    </sheetView>
  </sheetViews>
  <sheetFormatPr defaultColWidth="7" defaultRowHeight="12" x14ac:dyDescent="0.2"/>
  <cols>
    <col min="1" max="1" width="7" style="496"/>
    <col min="2" max="2" width="19.85546875" style="496" bestFit="1" customWidth="1"/>
    <col min="3" max="3" width="7" style="496"/>
    <col min="4" max="4" width="0" style="496" hidden="1" customWidth="1"/>
    <col min="5" max="5" width="9.140625" style="496" customWidth="1"/>
    <col min="6" max="6" width="14.5703125" style="496" bestFit="1" customWidth="1"/>
    <col min="7" max="7" width="9.7109375" style="496" customWidth="1"/>
    <col min="8" max="8" width="7" style="496"/>
    <col min="9" max="9" width="9.85546875" style="496" bestFit="1" customWidth="1"/>
    <col min="10" max="10" width="11.42578125" style="496" bestFit="1" customWidth="1"/>
    <col min="11" max="11" width="8.7109375" style="497" customWidth="1"/>
    <col min="12" max="12" width="9.5703125" style="497" customWidth="1"/>
    <col min="13" max="13" width="0" style="497" hidden="1" customWidth="1"/>
    <col min="14" max="14" width="0" style="498" hidden="1" customWidth="1"/>
    <col min="15" max="15" width="7" style="498" hidden="1" customWidth="1"/>
    <col min="16" max="16" width="0" style="499" hidden="1" customWidth="1"/>
    <col min="17" max="19" width="7" style="496"/>
    <col min="20" max="20" width="7" style="496" customWidth="1"/>
    <col min="21" max="22" width="7" style="496"/>
    <col min="23" max="23" width="7" style="507"/>
    <col min="24" max="16384" width="7" style="496"/>
  </cols>
  <sheetData>
    <row r="1" spans="2:23" ht="12.75" thickBot="1" x14ac:dyDescent="0.25"/>
    <row r="2" spans="2:23" ht="22.5" customHeight="1" thickBot="1" x14ac:dyDescent="0.25">
      <c r="B2" s="776" t="s">
        <v>132</v>
      </c>
      <c r="C2" s="777"/>
      <c r="D2" s="777"/>
      <c r="E2" s="777"/>
      <c r="F2" s="777"/>
      <c r="G2" s="777"/>
      <c r="H2" s="777"/>
      <c r="I2" s="777"/>
      <c r="J2" s="777"/>
      <c r="K2" s="777"/>
      <c r="L2" s="777"/>
      <c r="M2" s="777"/>
      <c r="N2" s="777"/>
      <c r="O2" s="777"/>
      <c r="P2" s="777"/>
      <c r="Q2" s="777"/>
      <c r="R2" s="777"/>
      <c r="S2" s="777"/>
      <c r="T2" s="866" t="s">
        <v>136</v>
      </c>
      <c r="U2" s="868" t="s">
        <v>137</v>
      </c>
      <c r="V2" s="717"/>
      <c r="W2" s="631"/>
    </row>
    <row r="3" spans="2:23" s="616" customFormat="1" ht="63.75" customHeight="1" thickBot="1" x14ac:dyDescent="0.3">
      <c r="B3" s="602" t="s">
        <v>2</v>
      </c>
      <c r="C3" s="603" t="s">
        <v>24</v>
      </c>
      <c r="D3" s="604" t="s">
        <v>111</v>
      </c>
      <c r="E3" s="605" t="s">
        <v>55</v>
      </c>
      <c r="F3" s="606" t="s">
        <v>5</v>
      </c>
      <c r="G3" s="607" t="s">
        <v>56</v>
      </c>
      <c r="H3" s="608" t="s">
        <v>1</v>
      </c>
      <c r="I3" s="609" t="s">
        <v>47</v>
      </c>
      <c r="J3" s="610" t="s">
        <v>57</v>
      </c>
      <c r="K3" s="611" t="s">
        <v>58</v>
      </c>
      <c r="L3" s="611" t="s">
        <v>59</v>
      </c>
      <c r="M3" s="612" t="s">
        <v>83</v>
      </c>
      <c r="N3" s="613" t="s">
        <v>84</v>
      </c>
      <c r="O3" s="614" t="s">
        <v>85</v>
      </c>
      <c r="P3" s="686" t="s">
        <v>86</v>
      </c>
      <c r="Q3" s="699" t="s">
        <v>133</v>
      </c>
      <c r="R3" s="700" t="s">
        <v>0</v>
      </c>
      <c r="S3" s="712" t="s">
        <v>134</v>
      </c>
      <c r="T3" s="867"/>
      <c r="U3" s="869"/>
      <c r="V3" s="718" t="s">
        <v>138</v>
      </c>
      <c r="W3" s="719" t="s">
        <v>0</v>
      </c>
    </row>
    <row r="4" spans="2:23" ht="18.75" x14ac:dyDescent="0.2">
      <c r="B4" s="519" t="s">
        <v>8</v>
      </c>
      <c r="C4" s="520">
        <v>500</v>
      </c>
      <c r="D4" s="521"/>
      <c r="E4" s="522">
        <v>510</v>
      </c>
      <c r="F4" s="523">
        <v>574.20000000000005</v>
      </c>
      <c r="G4" s="524">
        <v>328.15</v>
      </c>
      <c r="H4" s="525">
        <v>268.2</v>
      </c>
      <c r="I4" s="526">
        <f>G4+H4</f>
        <v>596.34999999999991</v>
      </c>
      <c r="J4" s="527">
        <f>I4/C4</f>
        <v>1.1926999999999999</v>
      </c>
      <c r="K4" s="522">
        <f t="shared" ref="K4:K14" si="0">C4-I4</f>
        <v>-96.349999999999909</v>
      </c>
      <c r="L4" s="522">
        <f t="shared" ref="L4:L16" si="1">C4-F4</f>
        <v>-74.200000000000045</v>
      </c>
      <c r="M4" s="523"/>
      <c r="N4" s="528"/>
      <c r="O4" s="529">
        <f>I4/$I$16</f>
        <v>0.20064127150749267</v>
      </c>
      <c r="P4" s="687">
        <f>$I$17*O4</f>
        <v>0</v>
      </c>
      <c r="Q4" s="698"/>
      <c r="R4" s="701">
        <f t="shared" ref="R4:R8" si="2">I4+Q4</f>
        <v>596.34999999999991</v>
      </c>
      <c r="S4" s="713">
        <f t="shared" ref="S4:S8" si="3">R4/C4</f>
        <v>1.1926999999999999</v>
      </c>
      <c r="T4" s="725">
        <v>0.75</v>
      </c>
      <c r="U4" s="726">
        <v>1.4880952380952379</v>
      </c>
      <c r="V4" s="727">
        <f>U4*19%</f>
        <v>0.28273809523809523</v>
      </c>
      <c r="W4" s="720">
        <f>U4+V4</f>
        <v>1.770833333333333</v>
      </c>
    </row>
    <row r="5" spans="2:23" ht="18.75" x14ac:dyDescent="0.2">
      <c r="B5" s="531" t="s">
        <v>9</v>
      </c>
      <c r="C5" s="532">
        <v>300</v>
      </c>
      <c r="D5" s="533"/>
      <c r="E5" s="534">
        <v>256</v>
      </c>
      <c r="F5" s="535">
        <v>200.01</v>
      </c>
      <c r="G5" s="536">
        <v>116.9</v>
      </c>
      <c r="H5" s="537">
        <v>75.12</v>
      </c>
      <c r="I5" s="538">
        <f t="shared" ref="I5:I14" si="4">G5+H5</f>
        <v>192.02</v>
      </c>
      <c r="J5" s="539">
        <f t="shared" ref="J5:J16" si="5">I5/C5</f>
        <v>0.64006666666666667</v>
      </c>
      <c r="K5" s="534">
        <f>C5-I5</f>
        <v>107.97999999999999</v>
      </c>
      <c r="L5" s="534">
        <f>C5-F5</f>
        <v>99.990000000000009</v>
      </c>
      <c r="M5" s="535"/>
      <c r="N5" s="540"/>
      <c r="O5" s="541"/>
      <c r="P5" s="688"/>
      <c r="Q5" s="632"/>
      <c r="R5" s="685">
        <f t="shared" si="2"/>
        <v>192.02</v>
      </c>
      <c r="S5" s="714">
        <f t="shared" si="3"/>
        <v>0.64006666666666667</v>
      </c>
      <c r="T5" s="728">
        <v>0.75</v>
      </c>
      <c r="U5" s="729">
        <v>0.89285714285714279</v>
      </c>
      <c r="V5" s="730"/>
      <c r="W5" s="719"/>
    </row>
    <row r="6" spans="2:23" ht="18.75" x14ac:dyDescent="0.2">
      <c r="B6" s="531" t="s">
        <v>10</v>
      </c>
      <c r="C6" s="520">
        <v>250</v>
      </c>
      <c r="D6" s="543"/>
      <c r="E6" s="522">
        <v>170</v>
      </c>
      <c r="F6" s="523">
        <v>135.5</v>
      </c>
      <c r="G6" s="544">
        <v>14</v>
      </c>
      <c r="H6" s="525">
        <v>44.7</v>
      </c>
      <c r="I6" s="526">
        <f t="shared" si="4"/>
        <v>58.7</v>
      </c>
      <c r="J6" s="527">
        <f t="shared" si="5"/>
        <v>0.23480000000000001</v>
      </c>
      <c r="K6" s="522">
        <f t="shared" si="0"/>
        <v>191.3</v>
      </c>
      <c r="L6" s="522">
        <f t="shared" si="1"/>
        <v>114.5</v>
      </c>
      <c r="M6" s="523"/>
      <c r="N6" s="528"/>
      <c r="O6" s="529"/>
      <c r="P6" s="687"/>
      <c r="Q6" s="632">
        <v>20</v>
      </c>
      <c r="R6" s="685">
        <f t="shared" si="2"/>
        <v>78.7</v>
      </c>
      <c r="S6" s="714">
        <f t="shared" si="3"/>
        <v>0.31480000000000002</v>
      </c>
      <c r="T6" s="728">
        <v>0.75</v>
      </c>
      <c r="U6" s="729">
        <v>0.74404761904761896</v>
      </c>
      <c r="V6" s="730"/>
      <c r="W6" s="719"/>
    </row>
    <row r="7" spans="2:23" ht="18.75" x14ac:dyDescent="0.2">
      <c r="B7" s="531" t="s">
        <v>11</v>
      </c>
      <c r="C7" s="532">
        <v>525</v>
      </c>
      <c r="D7" s="533"/>
      <c r="E7" s="534">
        <v>276.5</v>
      </c>
      <c r="F7" s="535">
        <v>266.74</v>
      </c>
      <c r="G7" s="536">
        <v>181.77</v>
      </c>
      <c r="H7" s="537">
        <v>86.4</v>
      </c>
      <c r="I7" s="538">
        <f t="shared" si="4"/>
        <v>268.17</v>
      </c>
      <c r="J7" s="539">
        <f t="shared" si="5"/>
        <v>0.51080000000000003</v>
      </c>
      <c r="K7" s="534">
        <f t="shared" si="0"/>
        <v>256.83</v>
      </c>
      <c r="L7" s="534">
        <f t="shared" si="1"/>
        <v>258.26</v>
      </c>
      <c r="M7" s="535"/>
      <c r="N7" s="540"/>
      <c r="O7" s="541"/>
      <c r="P7" s="688"/>
      <c r="Q7" s="632"/>
      <c r="R7" s="685">
        <f t="shared" si="2"/>
        <v>268.17</v>
      </c>
      <c r="S7" s="714">
        <f t="shared" si="3"/>
        <v>0.51080000000000003</v>
      </c>
      <c r="T7" s="728">
        <v>0.5</v>
      </c>
      <c r="U7" s="729">
        <v>1.5625</v>
      </c>
      <c r="V7" s="730"/>
      <c r="W7" s="719"/>
    </row>
    <row r="8" spans="2:23" ht="18.75" x14ac:dyDescent="0.2">
      <c r="B8" s="531" t="s">
        <v>12</v>
      </c>
      <c r="C8" s="532">
        <v>125</v>
      </c>
      <c r="D8" s="533"/>
      <c r="E8" s="534">
        <v>168</v>
      </c>
      <c r="F8" s="535">
        <v>132</v>
      </c>
      <c r="G8" s="536">
        <v>46</v>
      </c>
      <c r="H8" s="537">
        <v>0</v>
      </c>
      <c r="I8" s="538">
        <f t="shared" si="4"/>
        <v>46</v>
      </c>
      <c r="J8" s="539">
        <f t="shared" si="5"/>
        <v>0.36799999999999999</v>
      </c>
      <c r="K8" s="534">
        <f t="shared" si="0"/>
        <v>79</v>
      </c>
      <c r="L8" s="534">
        <f t="shared" si="1"/>
        <v>-7</v>
      </c>
      <c r="M8" s="535"/>
      <c r="N8" s="540"/>
      <c r="O8" s="541"/>
      <c r="P8" s="688"/>
      <c r="Q8" s="632"/>
      <c r="R8" s="685">
        <f t="shared" si="2"/>
        <v>46</v>
      </c>
      <c r="S8" s="714">
        <f t="shared" si="3"/>
        <v>0.36799999999999999</v>
      </c>
      <c r="T8" s="728">
        <v>0.25</v>
      </c>
      <c r="U8" s="729">
        <v>0.37202380952380948</v>
      </c>
      <c r="V8" s="730"/>
      <c r="W8" s="719"/>
    </row>
    <row r="9" spans="2:23" ht="18.75" x14ac:dyDescent="0.2">
      <c r="B9" s="531" t="s">
        <v>13</v>
      </c>
      <c r="C9" s="545">
        <v>550</v>
      </c>
      <c r="D9" s="546"/>
      <c r="E9" s="547">
        <v>570</v>
      </c>
      <c r="F9" s="548">
        <v>299.24</v>
      </c>
      <c r="G9" s="549">
        <v>181.92</v>
      </c>
      <c r="H9" s="550">
        <v>109.7</v>
      </c>
      <c r="I9" s="551">
        <f t="shared" si="4"/>
        <v>291.62</v>
      </c>
      <c r="J9" s="552">
        <f>I9/C9</f>
        <v>0.53021818181818181</v>
      </c>
      <c r="K9" s="547">
        <f t="shared" si="0"/>
        <v>258.38</v>
      </c>
      <c r="L9" s="547">
        <f t="shared" si="1"/>
        <v>250.76</v>
      </c>
      <c r="M9" s="548"/>
      <c r="N9" s="553"/>
      <c r="O9" s="529"/>
      <c r="P9" s="689"/>
      <c r="Q9" s="632">
        <f>17.5+23.13+23+7</f>
        <v>70.63</v>
      </c>
      <c r="R9" s="705">
        <f>I9+Q9</f>
        <v>362.25</v>
      </c>
      <c r="S9" s="715">
        <f>R9/C9</f>
        <v>0.65863636363636369</v>
      </c>
      <c r="T9" s="728">
        <v>0.75</v>
      </c>
      <c r="U9" s="729">
        <v>1.6369047619047621</v>
      </c>
      <c r="V9" s="730"/>
      <c r="W9" s="719"/>
    </row>
    <row r="10" spans="2:23" s="501" customFormat="1" ht="18.75" x14ac:dyDescent="0.2">
      <c r="B10" s="555" t="s">
        <v>52</v>
      </c>
      <c r="C10" s="556">
        <f>SUM(C4:C9)</f>
        <v>2250</v>
      </c>
      <c r="D10" s="557">
        <f t="shared" ref="D10" si="6">SUM(D4:D9)</f>
        <v>0</v>
      </c>
      <c r="E10" s="558">
        <v>1950.5</v>
      </c>
      <c r="F10" s="559">
        <v>1607.6900000000003</v>
      </c>
      <c r="G10" s="560">
        <v>868.74</v>
      </c>
      <c r="H10" s="558">
        <v>584.12000000000012</v>
      </c>
      <c r="I10" s="640">
        <f>SUM(I4:I9)</f>
        <v>1452.8600000000001</v>
      </c>
      <c r="J10" s="562">
        <f t="shared" si="5"/>
        <v>0.6457155555555556</v>
      </c>
      <c r="K10" s="558">
        <f t="shared" si="0"/>
        <v>797.13999999999987</v>
      </c>
      <c r="L10" s="558">
        <f t="shared" si="1"/>
        <v>642.30999999999972</v>
      </c>
      <c r="M10" s="559">
        <f>SUM(M4:M9)</f>
        <v>0</v>
      </c>
      <c r="N10" s="563"/>
      <c r="O10" s="564">
        <f>SUM(O4:O9)</f>
        <v>0.20064127150749267</v>
      </c>
      <c r="P10" s="690">
        <f>SUM(P4:P9)</f>
        <v>0</v>
      </c>
      <c r="Q10" s="558">
        <f>SUM(Q4:Q9)</f>
        <v>90.63</v>
      </c>
      <c r="R10" s="558">
        <f>SUM(R4:R9)</f>
        <v>1543.49</v>
      </c>
      <c r="S10" s="714"/>
      <c r="T10" s="560"/>
      <c r="U10" s="656"/>
      <c r="V10" s="731"/>
      <c r="W10" s="719"/>
    </row>
    <row r="11" spans="2:23" ht="18.75" x14ac:dyDescent="0.2">
      <c r="B11" s="531" t="s">
        <v>14</v>
      </c>
      <c r="C11" s="566">
        <v>1000</v>
      </c>
      <c r="D11" s="567"/>
      <c r="E11" s="568">
        <v>928</v>
      </c>
      <c r="F11" s="569">
        <v>715.51</v>
      </c>
      <c r="G11" s="570">
        <v>280.64999999999998</v>
      </c>
      <c r="H11" s="571">
        <f>316.79+65</f>
        <v>381.79</v>
      </c>
      <c r="I11" s="572">
        <f t="shared" si="4"/>
        <v>662.44</v>
      </c>
      <c r="J11" s="573">
        <f t="shared" si="5"/>
        <v>0.66244000000000003</v>
      </c>
      <c r="K11" s="568">
        <f t="shared" si="0"/>
        <v>337.55999999999995</v>
      </c>
      <c r="L11" s="568">
        <f t="shared" si="1"/>
        <v>284.49</v>
      </c>
      <c r="M11" s="569"/>
      <c r="N11" s="574"/>
      <c r="O11" s="575"/>
      <c r="P11" s="691"/>
      <c r="Q11" s="632">
        <f>17+21.8+14.92+24.74+19.14</f>
        <v>97.6</v>
      </c>
      <c r="R11" s="702">
        <f>I11+Q11</f>
        <v>760.04000000000008</v>
      </c>
      <c r="S11" s="716">
        <f>R11/C11</f>
        <v>0.76004000000000005</v>
      </c>
      <c r="T11" s="710">
        <v>0.5</v>
      </c>
      <c r="U11" s="711">
        <v>2.9761904761904758</v>
      </c>
      <c r="V11" s="732">
        <f>U11*76%</f>
        <v>2.2619047619047619</v>
      </c>
      <c r="W11" s="719">
        <v>2.2599999999999998</v>
      </c>
    </row>
    <row r="12" spans="2:23" ht="18.75" x14ac:dyDescent="0.2">
      <c r="B12" s="531" t="s">
        <v>15</v>
      </c>
      <c r="C12" s="532">
        <v>100</v>
      </c>
      <c r="D12" s="577"/>
      <c r="E12" s="534">
        <v>149</v>
      </c>
      <c r="F12" s="535">
        <v>99.14</v>
      </c>
      <c r="G12" s="536">
        <v>90.34</v>
      </c>
      <c r="H12" s="537">
        <v>20</v>
      </c>
      <c r="I12" s="538">
        <f t="shared" si="4"/>
        <v>110.34</v>
      </c>
      <c r="J12" s="539">
        <f t="shared" si="5"/>
        <v>1.1033999999999999</v>
      </c>
      <c r="K12" s="534">
        <f t="shared" si="0"/>
        <v>-10.340000000000003</v>
      </c>
      <c r="L12" s="534">
        <f t="shared" si="1"/>
        <v>0.85999999999999943</v>
      </c>
      <c r="M12" s="535"/>
      <c r="N12" s="540"/>
      <c r="O12" s="541"/>
      <c r="P12" s="688"/>
      <c r="Q12" s="632"/>
      <c r="R12" s="701">
        <f>I12+Q12</f>
        <v>110.34</v>
      </c>
      <c r="S12" s="713">
        <f>R12/C12</f>
        <v>1.1033999999999999</v>
      </c>
      <c r="T12" s="706">
        <v>0.75</v>
      </c>
      <c r="U12" s="707">
        <v>0.29761904761904762</v>
      </c>
      <c r="V12" s="732">
        <f>U12*10%</f>
        <v>2.9761904761904764E-2</v>
      </c>
      <c r="W12" s="721">
        <f>U12+V12</f>
        <v>0.32738095238095238</v>
      </c>
    </row>
    <row r="13" spans="2:23" ht="18.75" x14ac:dyDescent="0.2">
      <c r="B13" s="531" t="s">
        <v>16</v>
      </c>
      <c r="C13" s="532">
        <v>556</v>
      </c>
      <c r="D13" s="533"/>
      <c r="E13" s="534">
        <v>487</v>
      </c>
      <c r="F13" s="535">
        <v>521.39</v>
      </c>
      <c r="G13" s="536">
        <v>403.65</v>
      </c>
      <c r="H13" s="537">
        <v>110.44999999999999</v>
      </c>
      <c r="I13" s="538">
        <f t="shared" si="4"/>
        <v>514.09999999999991</v>
      </c>
      <c r="J13" s="539">
        <f t="shared" si="5"/>
        <v>0.92464028776978402</v>
      </c>
      <c r="K13" s="534">
        <f t="shared" si="0"/>
        <v>41.900000000000091</v>
      </c>
      <c r="L13" s="534">
        <f t="shared" si="1"/>
        <v>34.610000000000014</v>
      </c>
      <c r="M13" s="535"/>
      <c r="N13" s="540"/>
      <c r="O13" s="541"/>
      <c r="P13" s="688"/>
      <c r="Q13" s="632"/>
      <c r="R13" s="701">
        <f>I13+Q13</f>
        <v>514.09999999999991</v>
      </c>
      <c r="S13" s="713">
        <f>R13/C13</f>
        <v>0.92464028776978402</v>
      </c>
      <c r="T13" s="706">
        <v>0.75</v>
      </c>
      <c r="U13" s="707">
        <v>1.6369047619047621</v>
      </c>
      <c r="V13" s="732">
        <f>U13*92%</f>
        <v>1.5059523809523812</v>
      </c>
      <c r="W13" s="719">
        <v>1.51</v>
      </c>
    </row>
    <row r="14" spans="2:23" ht="19.5" thickBot="1" x14ac:dyDescent="0.25">
      <c r="B14" s="531" t="s">
        <v>17</v>
      </c>
      <c r="C14" s="545">
        <v>300</v>
      </c>
      <c r="D14" s="546"/>
      <c r="E14" s="547">
        <v>306</v>
      </c>
      <c r="F14" s="548">
        <v>246.18</v>
      </c>
      <c r="G14" s="549">
        <v>191.48000000000002</v>
      </c>
      <c r="H14" s="550">
        <v>41</v>
      </c>
      <c r="I14" s="551">
        <f t="shared" si="4"/>
        <v>232.48000000000002</v>
      </c>
      <c r="J14" s="552">
        <f t="shared" si="5"/>
        <v>0.77493333333333336</v>
      </c>
      <c r="K14" s="547">
        <f t="shared" si="0"/>
        <v>67.519999999999982</v>
      </c>
      <c r="L14" s="547">
        <f>C14-F14</f>
        <v>53.819999999999993</v>
      </c>
      <c r="M14" s="548"/>
      <c r="N14" s="553"/>
      <c r="O14" s="578">
        <f>I14/I16</f>
        <v>7.8217628573927903E-2</v>
      </c>
      <c r="P14" s="689">
        <f>O14*I17</f>
        <v>0</v>
      </c>
      <c r="Q14" s="632">
        <v>14</v>
      </c>
      <c r="R14" s="701">
        <f>I14+Q14</f>
        <v>246.48000000000002</v>
      </c>
      <c r="S14" s="713">
        <f>R14/C14</f>
        <v>0.82160000000000011</v>
      </c>
      <c r="T14" s="708">
        <v>0.25</v>
      </c>
      <c r="U14" s="709">
        <v>0.89285714285714279</v>
      </c>
      <c r="V14" s="733">
        <f>U14*82%</f>
        <v>0.7321428571428571</v>
      </c>
      <c r="W14" s="722">
        <v>0.73</v>
      </c>
    </row>
    <row r="15" spans="2:23" s="501" customFormat="1" ht="18.75" x14ac:dyDescent="0.2">
      <c r="B15" s="579" t="s">
        <v>53</v>
      </c>
      <c r="C15" s="580">
        <f>SUM(C11:C14)</f>
        <v>1956</v>
      </c>
      <c r="D15" s="581">
        <f t="shared" ref="D15" si="7">SUM(D11:D14)</f>
        <v>0</v>
      </c>
      <c r="E15" s="582">
        <v>1870</v>
      </c>
      <c r="F15" s="583">
        <v>1582.2199999999998</v>
      </c>
      <c r="G15" s="584">
        <v>966.11999999999989</v>
      </c>
      <c r="H15" s="582">
        <v>488.24</v>
      </c>
      <c r="I15" s="585">
        <f>SUM(I11:I14)</f>
        <v>1519.3600000000001</v>
      </c>
      <c r="J15" s="586">
        <f t="shared" si="5"/>
        <v>0.77676891615541932</v>
      </c>
      <c r="K15" s="582">
        <f>SUM(K11:K14)</f>
        <v>436.64</v>
      </c>
      <c r="L15" s="582">
        <f t="shared" si="1"/>
        <v>373.7800000000002</v>
      </c>
      <c r="M15" s="583">
        <f>SUM(M11:M14)</f>
        <v>0</v>
      </c>
      <c r="N15" s="587"/>
      <c r="O15" s="588">
        <f>SUM(O11:O14)</f>
        <v>7.8217628573927903E-2</v>
      </c>
      <c r="P15" s="692">
        <f>SUM(P11:P14)</f>
        <v>0</v>
      </c>
      <c r="Q15" s="558">
        <f>SUM(Q11:Q14)</f>
        <v>111.6</v>
      </c>
      <c r="R15" s="558">
        <f>SUM(R11:R14)</f>
        <v>1630.96</v>
      </c>
      <c r="S15" s="694"/>
      <c r="T15" s="496"/>
      <c r="W15" s="723">
        <f>SUM(W4:W14)</f>
        <v>6.5982142857142847</v>
      </c>
    </row>
    <row r="16" spans="2:23" s="501" customFormat="1" ht="19.5" thickBot="1" x14ac:dyDescent="0.25">
      <c r="B16" s="627" t="s">
        <v>51</v>
      </c>
      <c r="C16" s="591">
        <f>C15+C10</f>
        <v>4206</v>
      </c>
      <c r="D16" s="592">
        <f t="shared" ref="D16:E16" si="8">D10+D15</f>
        <v>0</v>
      </c>
      <c r="E16" s="593">
        <f t="shared" si="8"/>
        <v>3820.5</v>
      </c>
      <c r="F16" s="594">
        <f>F10+F15</f>
        <v>3189.91</v>
      </c>
      <c r="G16" s="595">
        <f>G10+G15</f>
        <v>1834.86</v>
      </c>
      <c r="H16" s="596">
        <f>H10+H15</f>
        <v>1072.3600000000001</v>
      </c>
      <c r="I16" s="597">
        <f>I15+I10</f>
        <v>2972.2200000000003</v>
      </c>
      <c r="J16" s="598">
        <f t="shared" si="5"/>
        <v>0.70666191155492164</v>
      </c>
      <c r="K16" s="593">
        <f>K10+K15</f>
        <v>1233.7799999999997</v>
      </c>
      <c r="L16" s="593">
        <f t="shared" si="1"/>
        <v>1016.0900000000001</v>
      </c>
      <c r="M16" s="594">
        <f>M10+M15</f>
        <v>0</v>
      </c>
      <c r="N16" s="599"/>
      <c r="O16" s="600">
        <f>O10+O15</f>
        <v>0.27885890008142056</v>
      </c>
      <c r="P16" s="693">
        <f>P10+P15</f>
        <v>0</v>
      </c>
      <c r="Q16" s="593">
        <f>Q10+Q15</f>
        <v>202.23</v>
      </c>
      <c r="R16" s="594">
        <f>R10+R15</f>
        <v>3174.45</v>
      </c>
      <c r="S16" s="633"/>
      <c r="T16" s="496"/>
      <c r="W16" s="724"/>
    </row>
    <row r="17" spans="2:23" s="504" customFormat="1" ht="12.75" thickBot="1" x14ac:dyDescent="0.25">
      <c r="G17" s="870">
        <f>G16+H16</f>
        <v>2907.2200000000003</v>
      </c>
      <c r="H17" s="871"/>
      <c r="I17" s="505"/>
      <c r="J17" s="506"/>
      <c r="K17" s="497"/>
      <c r="L17" s="497"/>
      <c r="M17" s="507"/>
      <c r="N17" s="508"/>
      <c r="O17" s="509"/>
      <c r="P17" s="510"/>
      <c r="Q17" s="695"/>
      <c r="R17" s="696"/>
      <c r="S17" s="697"/>
      <c r="T17" s="496"/>
      <c r="W17" s="507"/>
    </row>
    <row r="18" spans="2:23" x14ac:dyDescent="0.2">
      <c r="D18" s="506"/>
      <c r="F18" s="506"/>
      <c r="G18" s="506"/>
      <c r="I18" s="511"/>
      <c r="R18" s="500"/>
    </row>
    <row r="19" spans="2:23" x14ac:dyDescent="0.2">
      <c r="I19" s="498"/>
      <c r="R19" s="500"/>
      <c r="S19" s="498"/>
    </row>
    <row r="20" spans="2:23" ht="12.75" thickBot="1" x14ac:dyDescent="0.25">
      <c r="D20" s="506"/>
      <c r="R20" s="500"/>
    </row>
    <row r="21" spans="2:23" ht="12.75" thickBot="1" x14ac:dyDescent="0.25">
      <c r="I21" s="781" t="s">
        <v>87</v>
      </c>
      <c r="J21" s="782"/>
      <c r="K21" s="783"/>
      <c r="R21" s="500"/>
    </row>
    <row r="22" spans="2:23" ht="29.25" customHeight="1" x14ac:dyDescent="0.2">
      <c r="B22" s="497"/>
      <c r="C22" s="497"/>
      <c r="D22" s="497"/>
      <c r="I22" s="512" t="s">
        <v>88</v>
      </c>
      <c r="J22" s="513" t="s">
        <v>89</v>
      </c>
      <c r="K22" s="514"/>
      <c r="R22" s="500"/>
    </row>
    <row r="23" spans="2:23" x14ac:dyDescent="0.2">
      <c r="B23" s="497"/>
      <c r="C23" s="497"/>
      <c r="D23" s="497"/>
      <c r="I23" s="703">
        <v>1</v>
      </c>
      <c r="J23" s="704" t="s">
        <v>135</v>
      </c>
      <c r="K23" s="517"/>
      <c r="R23" s="500"/>
    </row>
    <row r="24" spans="2:23" x14ac:dyDescent="0.2">
      <c r="B24" s="497"/>
      <c r="C24" s="497"/>
      <c r="D24" s="497"/>
      <c r="I24" s="515">
        <v>2</v>
      </c>
      <c r="J24" s="516" t="s">
        <v>92</v>
      </c>
      <c r="K24" s="517"/>
      <c r="R24" s="500"/>
    </row>
    <row r="25" spans="2:23" x14ac:dyDescent="0.2">
      <c r="B25" s="497"/>
      <c r="C25" s="497"/>
      <c r="D25" s="497"/>
      <c r="I25" s="515">
        <v>3</v>
      </c>
      <c r="J25" s="516" t="s">
        <v>94</v>
      </c>
      <c r="K25" s="517"/>
      <c r="R25" s="500"/>
    </row>
    <row r="26" spans="2:23" x14ac:dyDescent="0.2">
      <c r="B26" s="497"/>
      <c r="C26" s="497"/>
      <c r="D26" s="497"/>
      <c r="I26" s="515">
        <v>4</v>
      </c>
      <c r="J26" s="516" t="s">
        <v>96</v>
      </c>
      <c r="K26" s="517"/>
      <c r="R26" s="500"/>
    </row>
    <row r="27" spans="2:23" ht="12.75" thickBot="1" x14ac:dyDescent="0.25">
      <c r="B27" s="497"/>
      <c r="C27" s="497"/>
      <c r="D27" s="497"/>
      <c r="I27" s="784" t="s">
        <v>0</v>
      </c>
      <c r="J27" s="785"/>
      <c r="K27" s="518">
        <f>SUM(K23:K26)</f>
        <v>0</v>
      </c>
      <c r="R27" s="500"/>
    </row>
    <row r="28" spans="2:23" x14ac:dyDescent="0.2">
      <c r="B28" s="497"/>
      <c r="C28" s="497"/>
      <c r="D28" s="497"/>
      <c r="R28" s="500"/>
    </row>
    <row r="29" spans="2:23" x14ac:dyDescent="0.2">
      <c r="C29" s="497"/>
      <c r="D29" s="497"/>
      <c r="R29" s="500"/>
    </row>
  </sheetData>
  <mergeCells count="6">
    <mergeCell ref="T2:T3"/>
    <mergeCell ref="U2:U3"/>
    <mergeCell ref="G17:H17"/>
    <mergeCell ref="I21:K21"/>
    <mergeCell ref="I27:J27"/>
    <mergeCell ref="B2:S2"/>
  </mergeCells>
  <conditionalFormatting sqref="J4:J15">
    <cfRule type="dataBar" priority="16">
      <dataBar>
        <cfvo type="min"/>
        <cfvo type="max"/>
        <color rgb="FFFF555A"/>
      </dataBar>
    </cfRule>
  </conditionalFormatting>
  <conditionalFormatting sqref="K4:K16">
    <cfRule type="dataBar" priority="15">
      <dataBar>
        <cfvo type="min"/>
        <cfvo type="max"/>
        <color rgb="FFFF555A"/>
      </dataBar>
    </cfRule>
  </conditionalFormatting>
  <conditionalFormatting sqref="L4:L16">
    <cfRule type="dataBar" priority="14">
      <dataBar>
        <cfvo type="min"/>
        <cfvo type="max"/>
        <color rgb="FFFF555A"/>
      </dataBar>
    </cfRule>
  </conditionalFormatting>
  <conditionalFormatting sqref="J16">
    <cfRule type="dataBar" priority="13">
      <dataBar>
        <cfvo type="min"/>
        <cfvo type="max"/>
        <color rgb="FFFF555A"/>
      </dataBar>
    </cfRule>
  </conditionalFormatting>
  <conditionalFormatting sqref="J4:J16">
    <cfRule type="dataBar" priority="12">
      <dataBar>
        <cfvo type="min"/>
        <cfvo type="max"/>
        <color rgb="FF63C384"/>
      </dataBar>
    </cfRule>
  </conditionalFormatting>
  <conditionalFormatting sqref="BC6:BC11 BC13:BC16">
    <cfRule type="dataBar" priority="11">
      <dataBar>
        <cfvo type="min"/>
        <cfvo type="max"/>
        <color rgb="FF63C384"/>
      </dataBar>
    </cfRule>
  </conditionalFormatting>
  <conditionalFormatting sqref="BC6:BC11">
    <cfRule type="dataBar" priority="10">
      <dataBar>
        <cfvo type="min"/>
        <cfvo type="max"/>
        <color rgb="FF63C384"/>
      </dataBar>
    </cfRule>
  </conditionalFormatting>
  <conditionalFormatting sqref="AO32:AO35">
    <cfRule type="dataBar" priority="9">
      <dataBar>
        <cfvo type="min"/>
        <cfvo type="max"/>
        <color rgb="FF63C384"/>
      </dataBar>
    </cfRule>
  </conditionalFormatting>
  <conditionalFormatting sqref="AO25:AO30">
    <cfRule type="dataBar" priority="8">
      <dataBar>
        <cfvo type="min"/>
        <cfvo type="max"/>
        <color rgb="FF63C384"/>
      </dataBar>
    </cfRule>
  </conditionalFormatting>
  <conditionalFormatting sqref="AR12:AR15 AR5:AR10">
    <cfRule type="dataBar" priority="7">
      <dataBar>
        <cfvo type="min"/>
        <cfvo type="max"/>
        <color rgb="FF63C384"/>
      </dataBar>
    </cfRule>
  </conditionalFormatting>
  <conditionalFormatting sqref="BD12:BD15 BD5:BD10">
    <cfRule type="dataBar" priority="6">
      <dataBar>
        <cfvo type="min"/>
        <cfvo type="max"/>
        <color rgb="FF63C384"/>
      </dataBar>
    </cfRule>
  </conditionalFormatting>
  <conditionalFormatting sqref="AR12:AR15">
    <cfRule type="dataBar" priority="5">
      <dataBar>
        <cfvo type="min"/>
        <cfvo type="max"/>
        <color rgb="FF63C384"/>
      </dataBar>
    </cfRule>
  </conditionalFormatting>
  <conditionalFormatting sqref="BD12:BD15">
    <cfRule type="dataBar" priority="4">
      <dataBar>
        <cfvo type="min"/>
        <cfvo type="max"/>
        <color rgb="FF63C384"/>
      </dataBar>
    </cfRule>
  </conditionalFormatting>
  <conditionalFormatting sqref="BB12:BB15 BB5:BB10">
    <cfRule type="dataBar" priority="3">
      <dataBar>
        <cfvo type="min"/>
        <cfvo type="max"/>
        <color rgb="FF63C384"/>
      </dataBar>
    </cfRule>
  </conditionalFormatting>
  <conditionalFormatting sqref="BP12:BP15 BP5:BP10">
    <cfRule type="dataBar" priority="2">
      <dataBar>
        <cfvo type="min"/>
        <cfvo type="max"/>
        <color rgb="FF63C384"/>
      </dataBar>
    </cfRule>
  </conditionalFormatting>
  <conditionalFormatting sqref="BB12:BB15">
    <cfRule type="dataBar" priority="1">
      <dataBar>
        <cfvo type="min"/>
        <cfvo type="max"/>
        <color rgb="FF63C384"/>
      </dataBar>
    </cfRule>
  </conditionalFormatting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38"/>
  <sheetViews>
    <sheetView zoomScale="98" zoomScaleNormal="98" workbookViewId="0">
      <selection activeCell="M22" sqref="M22"/>
    </sheetView>
  </sheetViews>
  <sheetFormatPr defaultColWidth="7" defaultRowHeight="12" x14ac:dyDescent="0.2"/>
  <cols>
    <col min="1" max="1" width="7" style="496"/>
    <col min="2" max="2" width="19.85546875" style="496" bestFit="1" customWidth="1"/>
    <col min="3" max="3" width="8.42578125" style="496" customWidth="1"/>
    <col min="4" max="5" width="0" style="496" hidden="1" customWidth="1"/>
    <col min="6" max="6" width="9.140625" style="496" customWidth="1"/>
    <col min="7" max="7" width="7" style="496"/>
    <col min="8" max="8" width="9.7109375" style="496" customWidth="1"/>
    <col min="9" max="9" width="7" style="496"/>
    <col min="10" max="10" width="9.85546875" style="496" bestFit="1" customWidth="1"/>
    <col min="11" max="11" width="11.42578125" style="496" bestFit="1" customWidth="1"/>
    <col min="12" max="12" width="8.7109375" style="497" customWidth="1"/>
    <col min="13" max="13" width="9.5703125" style="497" customWidth="1"/>
    <col min="14" max="14" width="7" style="497" customWidth="1"/>
    <col min="15" max="16" width="7" style="498" customWidth="1"/>
    <col min="17" max="17" width="10.85546875" style="499" customWidth="1"/>
    <col min="18" max="16384" width="7" style="496"/>
  </cols>
  <sheetData>
    <row r="1" spans="2:23" ht="12.75" thickBot="1" x14ac:dyDescent="0.25"/>
    <row r="2" spans="2:23" ht="22.5" customHeight="1" thickBot="1" x14ac:dyDescent="0.25">
      <c r="B2" s="776" t="s">
        <v>131</v>
      </c>
      <c r="C2" s="777"/>
      <c r="D2" s="777"/>
      <c r="E2" s="777"/>
      <c r="F2" s="777"/>
      <c r="G2" s="777"/>
      <c r="H2" s="777"/>
      <c r="I2" s="777"/>
      <c r="J2" s="777"/>
      <c r="K2" s="777"/>
      <c r="L2" s="777"/>
      <c r="M2" s="777"/>
      <c r="N2" s="669"/>
      <c r="O2" s="669"/>
      <c r="P2" s="669"/>
      <c r="Q2" s="670"/>
    </row>
    <row r="3" spans="2:23" s="616" customFormat="1" ht="63.75" customHeight="1" thickBot="1" x14ac:dyDescent="0.3">
      <c r="B3" s="617" t="s">
        <v>2</v>
      </c>
      <c r="C3" s="603" t="s">
        <v>24</v>
      </c>
      <c r="D3" s="603" t="s">
        <v>126</v>
      </c>
      <c r="E3" s="604" t="s">
        <v>111</v>
      </c>
      <c r="F3" s="655" t="s">
        <v>55</v>
      </c>
      <c r="G3" s="647" t="s">
        <v>5</v>
      </c>
      <c r="H3" s="607" t="s">
        <v>56</v>
      </c>
      <c r="I3" s="608" t="s">
        <v>1</v>
      </c>
      <c r="J3" s="609" t="s">
        <v>47</v>
      </c>
      <c r="K3" s="610" t="s">
        <v>57</v>
      </c>
      <c r="L3" s="611" t="s">
        <v>58</v>
      </c>
      <c r="M3" s="611" t="s">
        <v>59</v>
      </c>
      <c r="N3" s="664" t="s">
        <v>83</v>
      </c>
      <c r="O3" s="613" t="s">
        <v>84</v>
      </c>
      <c r="P3" s="614" t="s">
        <v>85</v>
      </c>
      <c r="Q3" s="620" t="s">
        <v>86</v>
      </c>
    </row>
    <row r="4" spans="2:23" ht="18.75" x14ac:dyDescent="0.2">
      <c r="B4" s="618" t="s">
        <v>8</v>
      </c>
      <c r="C4" s="642">
        <v>191</v>
      </c>
      <c r="D4" s="520">
        <v>350</v>
      </c>
      <c r="E4" s="521"/>
      <c r="F4" s="660">
        <v>190.6</v>
      </c>
      <c r="G4" s="648">
        <v>147.69999999999999</v>
      </c>
      <c r="H4" s="524">
        <v>103.7</v>
      </c>
      <c r="I4" s="525">
        <v>37</v>
      </c>
      <c r="J4" s="526">
        <f>H4+I4</f>
        <v>140.69999999999999</v>
      </c>
      <c r="K4" s="527">
        <f>J4/D4</f>
        <v>0.40199999999999997</v>
      </c>
      <c r="L4" s="522">
        <f t="shared" ref="L4:L14" si="0">D4-J4</f>
        <v>209.3</v>
      </c>
      <c r="M4" s="665">
        <f t="shared" ref="M4:M15" si="1">D4-G4</f>
        <v>202.3</v>
      </c>
      <c r="N4" s="648"/>
      <c r="O4" s="528"/>
      <c r="P4" s="529">
        <f>J4/$J$16</f>
        <v>0.24140415894585135</v>
      </c>
      <c r="Q4" s="621" t="e">
        <f>#REF!*P4</f>
        <v>#REF!</v>
      </c>
      <c r="R4" s="506">
        <f>G4-J4</f>
        <v>7</v>
      </c>
      <c r="T4" s="500"/>
      <c r="U4" s="496">
        <v>70</v>
      </c>
      <c r="V4" s="496">
        <v>30</v>
      </c>
    </row>
    <row r="5" spans="2:23" ht="18.75" x14ac:dyDescent="0.2">
      <c r="B5" s="619" t="s">
        <v>9</v>
      </c>
      <c r="C5" s="642">
        <v>102</v>
      </c>
      <c r="D5" s="532">
        <v>210</v>
      </c>
      <c r="E5" s="533"/>
      <c r="F5" s="661">
        <v>102</v>
      </c>
      <c r="G5" s="649">
        <v>63.5</v>
      </c>
      <c r="H5" s="536">
        <v>15.5</v>
      </c>
      <c r="I5" s="537">
        <v>28.06</v>
      </c>
      <c r="J5" s="526">
        <f t="shared" ref="J5:J14" si="2">H5+I5</f>
        <v>43.56</v>
      </c>
      <c r="K5" s="539">
        <f t="shared" ref="K5:K16" si="3">J5/D5</f>
        <v>0.20742857142857143</v>
      </c>
      <c r="L5" s="534">
        <f t="shared" si="0"/>
        <v>166.44</v>
      </c>
      <c r="M5" s="666">
        <f t="shared" si="1"/>
        <v>146.5</v>
      </c>
      <c r="N5" s="649"/>
      <c r="O5" s="540"/>
      <c r="P5" s="541"/>
      <c r="Q5" s="622"/>
      <c r="R5" s="506">
        <f t="shared" ref="R5:R16" si="4">G5-J5</f>
        <v>19.939999999999998</v>
      </c>
      <c r="S5" s="496">
        <v>196.78</v>
      </c>
      <c r="T5" s="500"/>
      <c r="U5" s="496">
        <v>25</v>
      </c>
      <c r="V5" s="496">
        <v>5</v>
      </c>
    </row>
    <row r="6" spans="2:23" ht="18.75" x14ac:dyDescent="0.2">
      <c r="B6" s="619" t="s">
        <v>10</v>
      </c>
      <c r="C6" s="642">
        <v>77</v>
      </c>
      <c r="D6" s="520">
        <v>140</v>
      </c>
      <c r="E6" s="543"/>
      <c r="F6" s="660">
        <v>77</v>
      </c>
      <c r="G6" s="648">
        <v>22</v>
      </c>
      <c r="H6" s="544">
        <v>18.5</v>
      </c>
      <c r="I6" s="525">
        <v>0</v>
      </c>
      <c r="J6" s="526">
        <f t="shared" si="2"/>
        <v>18.5</v>
      </c>
      <c r="K6" s="527">
        <f t="shared" si="3"/>
        <v>0.13214285714285715</v>
      </c>
      <c r="L6" s="522">
        <f t="shared" si="0"/>
        <v>121.5</v>
      </c>
      <c r="M6" s="665">
        <f t="shared" si="1"/>
        <v>118</v>
      </c>
      <c r="N6" s="648"/>
      <c r="O6" s="528"/>
      <c r="P6" s="529"/>
      <c r="Q6" s="621"/>
      <c r="R6" s="506">
        <f t="shared" si="4"/>
        <v>3.5</v>
      </c>
      <c r="S6" s="496">
        <v>76.160000000000011</v>
      </c>
      <c r="T6" s="500"/>
      <c r="U6" s="496">
        <v>10</v>
      </c>
      <c r="V6" s="496">
        <v>5</v>
      </c>
    </row>
    <row r="7" spans="2:23" ht="18.75" x14ac:dyDescent="0.2">
      <c r="B7" s="619" t="s">
        <v>11</v>
      </c>
      <c r="C7" s="642">
        <v>29</v>
      </c>
      <c r="D7" s="532">
        <v>300</v>
      </c>
      <c r="E7" s="533"/>
      <c r="F7" s="661">
        <v>29</v>
      </c>
      <c r="G7" s="649">
        <v>13.5</v>
      </c>
      <c r="H7" s="536">
        <v>13.5</v>
      </c>
      <c r="I7" s="537">
        <v>0</v>
      </c>
      <c r="J7" s="526">
        <f t="shared" si="2"/>
        <v>13.5</v>
      </c>
      <c r="K7" s="539">
        <f t="shared" si="3"/>
        <v>4.4999999999999998E-2</v>
      </c>
      <c r="L7" s="534">
        <f t="shared" si="0"/>
        <v>286.5</v>
      </c>
      <c r="M7" s="666">
        <f t="shared" si="1"/>
        <v>286.5</v>
      </c>
      <c r="N7" s="649"/>
      <c r="O7" s="540"/>
      <c r="P7" s="541"/>
      <c r="Q7" s="622"/>
      <c r="R7" s="506">
        <f t="shared" si="4"/>
        <v>0</v>
      </c>
      <c r="S7" s="496">
        <v>68.900000000000006</v>
      </c>
      <c r="T7" s="500"/>
      <c r="U7" s="496">
        <v>94</v>
      </c>
      <c r="V7" s="496">
        <v>30</v>
      </c>
    </row>
    <row r="8" spans="2:23" ht="18.75" x14ac:dyDescent="0.2">
      <c r="B8" s="619" t="s">
        <v>12</v>
      </c>
      <c r="C8" s="642">
        <v>1</v>
      </c>
      <c r="D8" s="532">
        <v>100</v>
      </c>
      <c r="E8" s="533"/>
      <c r="F8" s="661">
        <v>1</v>
      </c>
      <c r="G8" s="649">
        <v>0</v>
      </c>
      <c r="H8" s="536">
        <v>0</v>
      </c>
      <c r="I8" s="537">
        <v>0</v>
      </c>
      <c r="J8" s="526">
        <f t="shared" si="2"/>
        <v>0</v>
      </c>
      <c r="K8" s="539">
        <f t="shared" si="3"/>
        <v>0</v>
      </c>
      <c r="L8" s="534">
        <f t="shared" si="0"/>
        <v>100</v>
      </c>
      <c r="M8" s="666">
        <f t="shared" si="1"/>
        <v>100</v>
      </c>
      <c r="N8" s="649"/>
      <c r="O8" s="540"/>
      <c r="P8" s="541"/>
      <c r="Q8" s="622"/>
      <c r="R8" s="506">
        <f t="shared" si="4"/>
        <v>0</v>
      </c>
      <c r="S8" s="496">
        <v>160.12</v>
      </c>
      <c r="T8" s="500"/>
      <c r="U8" s="496">
        <v>35</v>
      </c>
      <c r="V8" s="496">
        <v>15</v>
      </c>
    </row>
    <row r="9" spans="2:23" ht="18.75" x14ac:dyDescent="0.2">
      <c r="B9" s="619" t="s">
        <v>13</v>
      </c>
      <c r="C9" s="643">
        <v>183</v>
      </c>
      <c r="D9" s="545">
        <v>163</v>
      </c>
      <c r="E9" s="546"/>
      <c r="F9" s="662">
        <v>183</v>
      </c>
      <c r="G9" s="650">
        <v>154.69999999999999</v>
      </c>
      <c r="H9" s="549">
        <v>139.69999999999999</v>
      </c>
      <c r="I9" s="550">
        <v>104</v>
      </c>
      <c r="J9" s="526">
        <f>H9+I9</f>
        <v>243.7</v>
      </c>
      <c r="K9" s="552">
        <f t="shared" si="3"/>
        <v>1.4950920245398773</v>
      </c>
      <c r="L9" s="547">
        <f t="shared" si="0"/>
        <v>-80.699999999999989</v>
      </c>
      <c r="M9" s="667">
        <f t="shared" si="1"/>
        <v>8.3000000000000114</v>
      </c>
      <c r="N9" s="650"/>
      <c r="O9" s="553"/>
      <c r="P9" s="529"/>
      <c r="Q9" s="623"/>
      <c r="R9" s="506">
        <f t="shared" si="4"/>
        <v>-89</v>
      </c>
      <c r="S9" s="496">
        <v>38.989999999999995</v>
      </c>
      <c r="T9" s="500"/>
      <c r="U9" s="496">
        <v>30</v>
      </c>
      <c r="V9" s="496">
        <v>15</v>
      </c>
    </row>
    <row r="10" spans="2:23" s="501" customFormat="1" ht="18.75" x14ac:dyDescent="0.2">
      <c r="B10" s="555" t="s">
        <v>52</v>
      </c>
      <c r="C10" s="644">
        <f>SUM(C4:C9)</f>
        <v>583</v>
      </c>
      <c r="D10" s="644">
        <f t="shared" ref="D10:E10" si="5">SUM(D4:D9)</f>
        <v>1263</v>
      </c>
      <c r="E10" s="644">
        <f t="shared" si="5"/>
        <v>0</v>
      </c>
      <c r="F10" s="644">
        <v>583</v>
      </c>
      <c r="G10" s="651">
        <v>401.4</v>
      </c>
      <c r="H10" s="560">
        <v>290.89999999999998</v>
      </c>
      <c r="I10" s="558">
        <v>169.06</v>
      </c>
      <c r="J10" s="558">
        <f>H10+I10</f>
        <v>459.96</v>
      </c>
      <c r="K10" s="562">
        <f>J10/D10</f>
        <v>0.36418052256532063</v>
      </c>
      <c r="L10" s="558">
        <f t="shared" si="0"/>
        <v>803.04</v>
      </c>
      <c r="M10" s="656">
        <f t="shared" si="1"/>
        <v>861.6</v>
      </c>
      <c r="N10" s="651">
        <f>SUM(N4:N9)</f>
        <v>0</v>
      </c>
      <c r="O10" s="563"/>
      <c r="P10" s="564">
        <f>SUM(P4:P9)</f>
        <v>0.24140415894585135</v>
      </c>
      <c r="Q10" s="624" t="e">
        <f>SUM(Q4:Q9)</f>
        <v>#REF!</v>
      </c>
      <c r="R10" s="506">
        <f t="shared" si="4"/>
        <v>-58.56</v>
      </c>
      <c r="S10" s="501">
        <v>126.37</v>
      </c>
      <c r="T10" s="500"/>
      <c r="U10" s="496">
        <v>150</v>
      </c>
      <c r="V10" s="496">
        <v>70</v>
      </c>
      <c r="W10" s="496"/>
    </row>
    <row r="11" spans="2:23" ht="18.75" x14ac:dyDescent="0.2">
      <c r="B11" s="619" t="s">
        <v>14</v>
      </c>
      <c r="C11" s="645">
        <v>132</v>
      </c>
      <c r="D11" s="566">
        <v>182</v>
      </c>
      <c r="E11" s="567"/>
      <c r="F11" s="663">
        <v>131.5</v>
      </c>
      <c r="G11" s="652">
        <v>38</v>
      </c>
      <c r="H11" s="570">
        <v>38</v>
      </c>
      <c r="I11" s="571">
        <v>0</v>
      </c>
      <c r="J11" s="526">
        <f t="shared" si="2"/>
        <v>38</v>
      </c>
      <c r="K11" s="573">
        <f t="shared" si="3"/>
        <v>0.2087912087912088</v>
      </c>
      <c r="L11" s="568">
        <f t="shared" si="0"/>
        <v>144</v>
      </c>
      <c r="M11" s="668">
        <f t="shared" si="1"/>
        <v>144</v>
      </c>
      <c r="N11" s="652"/>
      <c r="O11" s="574"/>
      <c r="P11" s="575"/>
      <c r="Q11" s="625"/>
      <c r="R11" s="506">
        <f t="shared" si="4"/>
        <v>0</v>
      </c>
      <c r="S11" s="496">
        <v>667.32</v>
      </c>
      <c r="T11" s="500"/>
      <c r="U11" s="496">
        <v>8</v>
      </c>
      <c r="V11" s="496">
        <v>20</v>
      </c>
    </row>
    <row r="12" spans="2:23" ht="18.75" x14ac:dyDescent="0.2">
      <c r="B12" s="619" t="s">
        <v>15</v>
      </c>
      <c r="C12" s="642">
        <v>55.5</v>
      </c>
      <c r="D12" s="532">
        <v>60</v>
      </c>
      <c r="E12" s="577"/>
      <c r="F12" s="661">
        <v>55.5</v>
      </c>
      <c r="G12" s="649">
        <v>41.900000000000006</v>
      </c>
      <c r="H12" s="536">
        <v>34.4</v>
      </c>
      <c r="I12" s="537">
        <v>9</v>
      </c>
      <c r="J12" s="526">
        <f t="shared" si="2"/>
        <v>43.4</v>
      </c>
      <c r="K12" s="539">
        <f t="shared" si="3"/>
        <v>0.72333333333333327</v>
      </c>
      <c r="L12" s="534">
        <f t="shared" si="0"/>
        <v>16.600000000000001</v>
      </c>
      <c r="M12" s="666">
        <f t="shared" si="1"/>
        <v>18.099999999999994</v>
      </c>
      <c r="N12" s="649"/>
      <c r="O12" s="540"/>
      <c r="P12" s="541"/>
      <c r="Q12" s="622"/>
      <c r="R12" s="506">
        <f t="shared" si="4"/>
        <v>-1.4999999999999929</v>
      </c>
      <c r="S12" s="496">
        <v>216.79000000000002</v>
      </c>
      <c r="T12" s="500"/>
      <c r="U12" s="496">
        <v>80</v>
      </c>
      <c r="V12" s="496">
        <v>40</v>
      </c>
    </row>
    <row r="13" spans="2:23" ht="18.75" x14ac:dyDescent="0.2">
      <c r="B13" s="619" t="s">
        <v>16</v>
      </c>
      <c r="C13" s="642">
        <v>23</v>
      </c>
      <c r="D13" s="532">
        <v>200</v>
      </c>
      <c r="E13" s="533"/>
      <c r="F13" s="661">
        <v>23</v>
      </c>
      <c r="G13" s="649">
        <v>10</v>
      </c>
      <c r="H13" s="536">
        <v>10</v>
      </c>
      <c r="I13" s="537">
        <v>0</v>
      </c>
      <c r="J13" s="526">
        <f t="shared" si="2"/>
        <v>10</v>
      </c>
      <c r="K13" s="539">
        <f t="shared" si="3"/>
        <v>0.05</v>
      </c>
      <c r="L13" s="534">
        <f t="shared" si="0"/>
        <v>190</v>
      </c>
      <c r="M13" s="666">
        <f t="shared" si="1"/>
        <v>190</v>
      </c>
      <c r="N13" s="649"/>
      <c r="O13" s="540"/>
      <c r="P13" s="541"/>
      <c r="Q13" s="622"/>
      <c r="R13" s="506">
        <f t="shared" si="4"/>
        <v>0</v>
      </c>
      <c r="S13" s="496">
        <v>28.5</v>
      </c>
      <c r="T13" s="500"/>
      <c r="U13" s="496">
        <v>40</v>
      </c>
      <c r="V13" s="496">
        <f>SUM(V4:V12)</f>
        <v>230</v>
      </c>
    </row>
    <row r="14" spans="2:23" ht="18.75" x14ac:dyDescent="0.2">
      <c r="B14" s="619" t="s">
        <v>17</v>
      </c>
      <c r="C14" s="643">
        <v>29</v>
      </c>
      <c r="D14" s="545">
        <v>50</v>
      </c>
      <c r="E14" s="546"/>
      <c r="F14" s="662">
        <v>29</v>
      </c>
      <c r="G14" s="650">
        <v>31.48</v>
      </c>
      <c r="H14" s="549">
        <v>31.48</v>
      </c>
      <c r="I14" s="550">
        <v>0</v>
      </c>
      <c r="J14" s="526">
        <f t="shared" si="2"/>
        <v>31.48</v>
      </c>
      <c r="K14" s="552">
        <f t="shared" si="3"/>
        <v>0.62960000000000005</v>
      </c>
      <c r="L14" s="547">
        <f t="shared" si="0"/>
        <v>18.52</v>
      </c>
      <c r="M14" s="667">
        <f t="shared" si="1"/>
        <v>18.52</v>
      </c>
      <c r="N14" s="650"/>
      <c r="O14" s="553"/>
      <c r="P14" s="578">
        <f>J14/J16</f>
        <v>5.4011392491936046E-2</v>
      </c>
      <c r="Q14" s="623" t="e">
        <f>P14*#REF!</f>
        <v>#REF!</v>
      </c>
      <c r="R14" s="506">
        <f t="shared" si="4"/>
        <v>0</v>
      </c>
      <c r="S14" s="496">
        <v>153.67000000000002</v>
      </c>
      <c r="T14" s="500"/>
      <c r="U14" s="496">
        <f>SUM(U4:U13)</f>
        <v>542</v>
      </c>
    </row>
    <row r="15" spans="2:23" s="501" customFormat="1" ht="18.75" x14ac:dyDescent="0.2">
      <c r="B15" s="579" t="s">
        <v>53</v>
      </c>
      <c r="C15" s="646">
        <v>239</v>
      </c>
      <c r="D15" s="580">
        <v>772</v>
      </c>
      <c r="E15" s="581">
        <v>0</v>
      </c>
      <c r="F15" s="657">
        <v>239</v>
      </c>
      <c r="G15" s="653">
        <v>121.38000000000002</v>
      </c>
      <c r="H15" s="584">
        <v>113.88</v>
      </c>
      <c r="I15" s="582">
        <v>9</v>
      </c>
      <c r="J15" s="585">
        <f>SUM(J11:J14)</f>
        <v>122.88000000000001</v>
      </c>
      <c r="K15" s="586">
        <f t="shared" si="3"/>
        <v>0.15917098445595856</v>
      </c>
      <c r="L15" s="582">
        <f>SUM(L11:L14)</f>
        <v>369.12</v>
      </c>
      <c r="M15" s="657">
        <f t="shared" si="1"/>
        <v>650.62</v>
      </c>
      <c r="N15" s="653">
        <f>SUM(N11:N14)</f>
        <v>0</v>
      </c>
      <c r="O15" s="587"/>
      <c r="P15" s="588">
        <f>SUM(P11:P14)</f>
        <v>5.4011392491936046E-2</v>
      </c>
      <c r="Q15" s="626" t="e">
        <f>SUM(Q11:Q14)</f>
        <v>#REF!</v>
      </c>
      <c r="R15" s="506">
        <f t="shared" si="4"/>
        <v>-1.4999999999999858</v>
      </c>
      <c r="S15" s="501">
        <v>101.38999999999999</v>
      </c>
      <c r="T15" s="500"/>
      <c r="U15" s="496"/>
      <c r="V15" s="496"/>
      <c r="W15" s="496"/>
    </row>
    <row r="16" spans="2:23" s="501" customFormat="1" ht="19.5" thickBot="1" x14ac:dyDescent="0.25">
      <c r="B16" s="627" t="s">
        <v>51</v>
      </c>
      <c r="C16" s="658">
        <f>C15+C10</f>
        <v>822</v>
      </c>
      <c r="D16" s="658">
        <f t="shared" ref="D16:F16" si="6">D15+D10</f>
        <v>2035</v>
      </c>
      <c r="E16" s="658">
        <f t="shared" si="6"/>
        <v>0</v>
      </c>
      <c r="F16" s="658">
        <f t="shared" si="6"/>
        <v>822</v>
      </c>
      <c r="G16" s="658">
        <f t="shared" ref="G16" si="7">G10+G15</f>
        <v>522.78</v>
      </c>
      <c r="H16" s="595">
        <f>H10+H15</f>
        <v>404.78</v>
      </c>
      <c r="I16" s="596">
        <f>I10+I15</f>
        <v>178.06</v>
      </c>
      <c r="J16" s="597">
        <f>H16+I16</f>
        <v>582.83999999999992</v>
      </c>
      <c r="K16" s="598">
        <f t="shared" si="3"/>
        <v>0.28640786240786237</v>
      </c>
      <c r="L16" s="593">
        <f>L10+L15</f>
        <v>1172.1599999999999</v>
      </c>
      <c r="M16" s="659">
        <f>D16-G16</f>
        <v>1512.22</v>
      </c>
      <c r="N16" s="654">
        <f>N10+N15</f>
        <v>0</v>
      </c>
      <c r="O16" s="599"/>
      <c r="P16" s="600">
        <f>P10+P15</f>
        <v>0.29541555143778742</v>
      </c>
      <c r="Q16" s="628" t="e">
        <f>Q10+Q15</f>
        <v>#REF!</v>
      </c>
      <c r="R16" s="506">
        <f t="shared" si="4"/>
        <v>-60.059999999999945</v>
      </c>
      <c r="S16" s="501">
        <v>500.35</v>
      </c>
      <c r="T16" s="500"/>
      <c r="U16" s="496"/>
      <c r="V16" s="496"/>
      <c r="W16" s="496"/>
    </row>
    <row r="17" spans="2:25" s="504" customFormat="1" ht="21" customHeight="1" x14ac:dyDescent="0.2">
      <c r="H17" s="872">
        <f>H16+I16</f>
        <v>582.83999999999992</v>
      </c>
      <c r="I17" s="873"/>
      <c r="L17" s="497"/>
      <c r="M17" s="497"/>
      <c r="N17" s="507"/>
      <c r="O17" s="508"/>
      <c r="P17" s="509"/>
      <c r="Q17" s="510"/>
      <c r="S17" s="504">
        <v>1145.81</v>
      </c>
      <c r="T17" s="500"/>
      <c r="U17" s="496"/>
      <c r="V17" s="496">
        <v>11</v>
      </c>
      <c r="W17" s="496"/>
      <c r="Y17" s="504">
        <f>293+24</f>
        <v>317</v>
      </c>
    </row>
    <row r="18" spans="2:25" x14ac:dyDescent="0.2">
      <c r="E18" s="506"/>
      <c r="G18" s="506"/>
      <c r="H18" s="506"/>
      <c r="J18" s="511"/>
      <c r="K18" s="506"/>
      <c r="T18" s="641"/>
    </row>
    <row r="19" spans="2:25" x14ac:dyDescent="0.2">
      <c r="J19" s="498"/>
      <c r="S19" s="496">
        <f>1170-1146</f>
        <v>24</v>
      </c>
      <c r="T19" s="500"/>
    </row>
    <row r="20" spans="2:25" ht="12.75" thickBot="1" x14ac:dyDescent="0.25">
      <c r="E20" s="506"/>
      <c r="T20" s="500"/>
    </row>
    <row r="21" spans="2:25" ht="12.75" thickBot="1" x14ac:dyDescent="0.25">
      <c r="F21" s="781" t="s">
        <v>87</v>
      </c>
      <c r="G21" s="782"/>
      <c r="H21" s="783"/>
      <c r="J21" s="781" t="s">
        <v>87</v>
      </c>
      <c r="K21" s="782"/>
      <c r="L21" s="783"/>
      <c r="N21" s="497">
        <f>101-9.5</f>
        <v>91.5</v>
      </c>
      <c r="T21" s="500"/>
    </row>
    <row r="22" spans="2:25" ht="29.25" customHeight="1" x14ac:dyDescent="0.2">
      <c r="B22" s="497"/>
      <c r="C22" s="497"/>
      <c r="D22" s="497"/>
      <c r="E22" s="497"/>
      <c r="F22" s="512" t="s">
        <v>88</v>
      </c>
      <c r="G22" s="513" t="s">
        <v>89</v>
      </c>
      <c r="H22" s="514" t="s">
        <v>90</v>
      </c>
      <c r="J22" s="512" t="s">
        <v>88</v>
      </c>
      <c r="K22" s="513" t="s">
        <v>89</v>
      </c>
      <c r="L22" s="514" t="s">
        <v>90</v>
      </c>
      <c r="Q22" s="499">
        <f>101-9.5</f>
        <v>91.5</v>
      </c>
      <c r="T22" s="500">
        <v>101</v>
      </c>
    </row>
    <row r="23" spans="2:25" x14ac:dyDescent="0.2">
      <c r="B23" s="497"/>
      <c r="C23" s="497"/>
      <c r="D23" s="497"/>
      <c r="E23" s="497"/>
      <c r="F23" s="515">
        <v>1</v>
      </c>
      <c r="G23" s="516" t="s">
        <v>91</v>
      </c>
      <c r="H23" s="517"/>
      <c r="J23" s="515">
        <v>1</v>
      </c>
      <c r="K23" s="516" t="s">
        <v>92</v>
      </c>
      <c r="L23" s="517"/>
      <c r="T23" s="500">
        <v>75</v>
      </c>
    </row>
    <row r="24" spans="2:25" x14ac:dyDescent="0.2">
      <c r="B24" s="497"/>
      <c r="C24" s="497"/>
      <c r="D24" s="497"/>
      <c r="E24" s="497"/>
      <c r="F24" s="515">
        <v>2</v>
      </c>
      <c r="G24" s="516" t="s">
        <v>93</v>
      </c>
      <c r="H24" s="517"/>
      <c r="J24" s="515">
        <v>2</v>
      </c>
      <c r="K24" s="516" t="s">
        <v>94</v>
      </c>
      <c r="L24" s="517"/>
      <c r="T24" s="500">
        <v>101</v>
      </c>
    </row>
    <row r="25" spans="2:25" x14ac:dyDescent="0.2">
      <c r="B25" s="497"/>
      <c r="C25" s="497"/>
      <c r="D25" s="497"/>
      <c r="E25" s="497"/>
      <c r="F25" s="515">
        <v>3</v>
      </c>
      <c r="G25" s="516" t="s">
        <v>95</v>
      </c>
      <c r="H25" s="517"/>
      <c r="J25" s="515">
        <v>3</v>
      </c>
      <c r="K25" s="516" t="s">
        <v>96</v>
      </c>
      <c r="L25" s="517"/>
      <c r="T25" s="500">
        <v>166</v>
      </c>
    </row>
    <row r="26" spans="2:25" x14ac:dyDescent="0.2">
      <c r="B26" s="497"/>
      <c r="C26" s="497"/>
      <c r="D26" s="497"/>
      <c r="E26" s="497"/>
      <c r="F26" s="515">
        <v>4</v>
      </c>
      <c r="G26" s="516" t="s">
        <v>97</v>
      </c>
      <c r="H26" s="517"/>
      <c r="J26" s="515">
        <v>4</v>
      </c>
      <c r="K26" s="516" t="s">
        <v>98</v>
      </c>
      <c r="L26" s="517"/>
      <c r="T26" s="500">
        <v>140</v>
      </c>
    </row>
    <row r="27" spans="2:25" ht="12.75" thickBot="1" x14ac:dyDescent="0.25">
      <c r="B27" s="497"/>
      <c r="C27" s="497"/>
      <c r="D27" s="497"/>
      <c r="E27" s="497"/>
      <c r="F27" s="784" t="s">
        <v>0</v>
      </c>
      <c r="G27" s="785"/>
      <c r="H27" s="518">
        <f>SUM(H23:H26)</f>
        <v>0</v>
      </c>
      <c r="J27" s="784" t="s">
        <v>0</v>
      </c>
      <c r="K27" s="785"/>
      <c r="L27" s="518">
        <f>SUM(L23:L26)</f>
        <v>0</v>
      </c>
      <c r="T27" s="500"/>
    </row>
    <row r="28" spans="2:25" x14ac:dyDescent="0.2">
      <c r="B28" s="497"/>
      <c r="C28" s="497"/>
      <c r="D28" s="497"/>
      <c r="E28" s="497"/>
      <c r="T28" s="500"/>
    </row>
    <row r="29" spans="2:25" x14ac:dyDescent="0.2">
      <c r="D29" s="497"/>
      <c r="E29" s="497"/>
      <c r="T29" s="500"/>
      <c r="U29" s="496">
        <v>510</v>
      </c>
    </row>
    <row r="30" spans="2:25" x14ac:dyDescent="0.2">
      <c r="U30" s="496">
        <v>320</v>
      </c>
    </row>
    <row r="31" spans="2:25" x14ac:dyDescent="0.2">
      <c r="U31" s="496">
        <v>30</v>
      </c>
    </row>
    <row r="32" spans="2:25" ht="12.75" thickBot="1" x14ac:dyDescent="0.25"/>
    <row r="33" spans="6:9" x14ac:dyDescent="0.2">
      <c r="F33" s="672"/>
      <c r="G33" s="673" t="s">
        <v>127</v>
      </c>
      <c r="H33" s="673" t="s">
        <v>5</v>
      </c>
      <c r="I33" s="674" t="s">
        <v>128</v>
      </c>
    </row>
    <row r="34" spans="6:9" x14ac:dyDescent="0.2">
      <c r="F34" s="675" t="s">
        <v>120</v>
      </c>
      <c r="G34" s="671">
        <v>50</v>
      </c>
      <c r="H34" s="671">
        <v>35.200000000000003</v>
      </c>
      <c r="I34" s="676"/>
    </row>
    <row r="35" spans="6:9" x14ac:dyDescent="0.2">
      <c r="F35" s="675" t="s">
        <v>122</v>
      </c>
      <c r="G35" s="671">
        <v>40</v>
      </c>
      <c r="H35" s="671">
        <v>45</v>
      </c>
      <c r="I35" s="676"/>
    </row>
    <row r="36" spans="6:9" x14ac:dyDescent="0.2">
      <c r="F36" s="675" t="s">
        <v>123</v>
      </c>
      <c r="G36" s="671">
        <v>46</v>
      </c>
      <c r="H36" s="671">
        <v>2</v>
      </c>
      <c r="I36" s="676">
        <v>5</v>
      </c>
    </row>
    <row r="37" spans="6:9" ht="12.75" thickBot="1" x14ac:dyDescent="0.25">
      <c r="F37" s="677" t="s">
        <v>124</v>
      </c>
      <c r="G37" s="678">
        <v>33</v>
      </c>
      <c r="H37" s="678">
        <v>6.79</v>
      </c>
      <c r="I37" s="679"/>
    </row>
    <row r="38" spans="6:9" ht="13.5" thickBot="1" x14ac:dyDescent="0.25">
      <c r="F38" s="680" t="s">
        <v>0</v>
      </c>
      <c r="G38" s="681">
        <f>SUM(G34:G37)</f>
        <v>169</v>
      </c>
      <c r="H38" s="682">
        <f>SUM(H34:H37)</f>
        <v>88.990000000000009</v>
      </c>
      <c r="I38" s="683">
        <f t="shared" ref="I38" si="8">SUM(I34:I37)</f>
        <v>5</v>
      </c>
    </row>
  </sheetData>
  <mergeCells count="6">
    <mergeCell ref="B2:M2"/>
    <mergeCell ref="H17:I17"/>
    <mergeCell ref="F21:H21"/>
    <mergeCell ref="J21:L21"/>
    <mergeCell ref="F27:G27"/>
    <mergeCell ref="J27:K27"/>
  </mergeCells>
  <conditionalFormatting sqref="K4:K15">
    <cfRule type="dataBar" priority="16">
      <dataBar>
        <cfvo type="min"/>
        <cfvo type="max"/>
        <color rgb="FFFF555A"/>
      </dataBar>
    </cfRule>
  </conditionalFormatting>
  <conditionalFormatting sqref="L4:L16">
    <cfRule type="dataBar" priority="15">
      <dataBar>
        <cfvo type="min"/>
        <cfvo type="max"/>
        <color rgb="FFFF555A"/>
      </dataBar>
    </cfRule>
  </conditionalFormatting>
  <conditionalFormatting sqref="M4:M16">
    <cfRule type="dataBar" priority="14">
      <dataBar>
        <cfvo type="min"/>
        <cfvo type="max"/>
        <color rgb="FFFF555A"/>
      </dataBar>
    </cfRule>
  </conditionalFormatting>
  <conditionalFormatting sqref="K16">
    <cfRule type="dataBar" priority="13">
      <dataBar>
        <cfvo type="min"/>
        <cfvo type="max"/>
        <color rgb="FFFF555A"/>
      </dataBar>
    </cfRule>
  </conditionalFormatting>
  <conditionalFormatting sqref="K4:K16">
    <cfRule type="dataBar" priority="12">
      <dataBar>
        <cfvo type="min"/>
        <cfvo type="max"/>
        <color rgb="FF63C384"/>
      </dataBar>
    </cfRule>
  </conditionalFormatting>
  <conditionalFormatting sqref="BF6:BF11 BF13:BF16">
    <cfRule type="dataBar" priority="11">
      <dataBar>
        <cfvo type="min"/>
        <cfvo type="max"/>
        <color rgb="FF63C384"/>
      </dataBar>
    </cfRule>
  </conditionalFormatting>
  <conditionalFormatting sqref="BF6:BF11">
    <cfRule type="dataBar" priority="10">
      <dataBar>
        <cfvo type="min"/>
        <cfvo type="max"/>
        <color rgb="FF63C384"/>
      </dataBar>
    </cfRule>
  </conditionalFormatting>
  <conditionalFormatting sqref="AR32:AR35">
    <cfRule type="dataBar" priority="9">
      <dataBar>
        <cfvo type="min"/>
        <cfvo type="max"/>
        <color rgb="FF63C384"/>
      </dataBar>
    </cfRule>
  </conditionalFormatting>
  <conditionalFormatting sqref="AR25:AR30">
    <cfRule type="dataBar" priority="8">
      <dataBar>
        <cfvo type="min"/>
        <cfvo type="max"/>
        <color rgb="FF63C384"/>
      </dataBar>
    </cfRule>
  </conditionalFormatting>
  <conditionalFormatting sqref="AU12:AU15 AU5:AU10">
    <cfRule type="dataBar" priority="7">
      <dataBar>
        <cfvo type="min"/>
        <cfvo type="max"/>
        <color rgb="FF63C384"/>
      </dataBar>
    </cfRule>
  </conditionalFormatting>
  <conditionalFormatting sqref="BG12:BG15 BG5:BG10">
    <cfRule type="dataBar" priority="6">
      <dataBar>
        <cfvo type="min"/>
        <cfvo type="max"/>
        <color rgb="FF63C384"/>
      </dataBar>
    </cfRule>
  </conditionalFormatting>
  <conditionalFormatting sqref="AU12:AU15">
    <cfRule type="dataBar" priority="5">
      <dataBar>
        <cfvo type="min"/>
        <cfvo type="max"/>
        <color rgb="FF63C384"/>
      </dataBar>
    </cfRule>
  </conditionalFormatting>
  <conditionalFormatting sqref="BG12:BG15">
    <cfRule type="dataBar" priority="4">
      <dataBar>
        <cfvo type="min"/>
        <cfvo type="max"/>
        <color rgb="FF63C384"/>
      </dataBar>
    </cfRule>
  </conditionalFormatting>
  <conditionalFormatting sqref="BE12:BE15 BE5:BE10">
    <cfRule type="dataBar" priority="3">
      <dataBar>
        <cfvo type="min"/>
        <cfvo type="max"/>
        <color rgb="FF63C384"/>
      </dataBar>
    </cfRule>
  </conditionalFormatting>
  <conditionalFormatting sqref="BS12:BS15 BS5:BS10">
    <cfRule type="dataBar" priority="2">
      <dataBar>
        <cfvo type="min"/>
        <cfvo type="max"/>
        <color rgb="FF63C384"/>
      </dataBar>
    </cfRule>
  </conditionalFormatting>
  <conditionalFormatting sqref="BE12:BE15">
    <cfRule type="dataBar" priority="1">
      <dataBar>
        <cfvo type="min"/>
        <cfvo type="max"/>
        <color rgb="FF63C384"/>
      </dataBar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Jayendra sir</vt:lpstr>
      <vt:lpstr>01st - 6th</vt:lpstr>
      <vt:lpstr>09th ~ 13th</vt:lpstr>
      <vt:lpstr>Best GM</vt:lpstr>
      <vt:lpstr>###</vt:lpstr>
      <vt:lpstr>Consl</vt:lpstr>
      <vt:lpstr>Total </vt:lpstr>
      <vt:lpstr>16th~21st</vt:lpstr>
      <vt:lpstr>20th ~ 24th</vt:lpstr>
      <vt:lpstr>26th ~ 31st (2)</vt:lpstr>
      <vt:lpstr>'01st - 6th'!Print_Area</vt:lpstr>
      <vt:lpstr>'16th~21st'!Print_Area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2021-11-21T09:23:49Z</dcterms:modified>
</cp:coreProperties>
</file>