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STONE\Design\Capstone Engine Design\"/>
    </mc:Choice>
  </mc:AlternateContent>
  <bookViews>
    <workbookView xWindow="0" yWindow="0" windowWidth="19200" windowHeight="6648"/>
  </bookViews>
  <sheets>
    <sheet name="Desig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B51" i="1"/>
  <c r="B50" i="1"/>
  <c r="B49" i="1"/>
  <c r="I24" i="1"/>
  <c r="I23" i="1"/>
  <c r="H20" i="1"/>
  <c r="H19" i="1"/>
  <c r="H23" i="1" s="1"/>
  <c r="H18" i="1"/>
  <c r="H24" i="1" s="1"/>
  <c r="Q16" i="1"/>
  <c r="C16" i="1"/>
  <c r="C15" i="1"/>
  <c r="C13" i="1"/>
  <c r="C12" i="1"/>
  <c r="I10" i="1"/>
  <c r="H10" i="1" s="1"/>
  <c r="I9" i="1"/>
  <c r="I11" i="1" s="1"/>
  <c r="I8" i="1"/>
  <c r="H8" i="1"/>
  <c r="C8" i="1"/>
  <c r="C9" i="1" s="1"/>
  <c r="Q6" i="1" s="1"/>
  <c r="T7" i="1"/>
  <c r="N7" i="1"/>
  <c r="I7" i="1"/>
  <c r="H7" i="1"/>
  <c r="H9" i="1" s="1"/>
  <c r="C7" i="1"/>
  <c r="T6" i="1"/>
  <c r="D6" i="1"/>
  <c r="C6" i="1"/>
  <c r="T5" i="1"/>
  <c r="D5" i="1"/>
  <c r="C5" i="1"/>
  <c r="I15" i="1" l="1"/>
  <c r="I14" i="1"/>
  <c r="N5" i="1"/>
  <c r="Q7" i="1"/>
  <c r="H11" i="1"/>
  <c r="Q10" i="1"/>
  <c r="Q19" i="1" s="1"/>
  <c r="Q5" i="1"/>
  <c r="H15" i="1" l="1"/>
  <c r="H14" i="1"/>
  <c r="M5" i="1"/>
  <c r="Q15" i="1"/>
  <c r="Q14" i="1" s="1"/>
  <c r="Q17" i="1"/>
  <c r="Q8" i="1"/>
  <c r="I16" i="1"/>
  <c r="C27" i="1" l="1"/>
  <c r="C26" i="1"/>
  <c r="C22" i="1" s="1"/>
  <c r="Q9" i="1"/>
  <c r="Q11" i="1" s="1"/>
  <c r="Q18" i="1"/>
  <c r="M7" i="1" l="1"/>
  <c r="C23" i="1"/>
  <c r="M13" i="1" l="1"/>
  <c r="M6" i="1"/>
</calcChain>
</file>

<file path=xl/sharedStrings.xml><?xml version="1.0" encoding="utf-8"?>
<sst xmlns="http://schemas.openxmlformats.org/spreadsheetml/2006/main" count="94" uniqueCount="77">
  <si>
    <t>Main design parameters</t>
  </si>
  <si>
    <t>Cpstn</t>
  </si>
  <si>
    <t>Rcrd</t>
  </si>
  <si>
    <t>Combustion Chamber</t>
  </si>
  <si>
    <t>Fuel Grain</t>
  </si>
  <si>
    <t>Full Nozzle</t>
  </si>
  <si>
    <t>Similarity Parameters</t>
  </si>
  <si>
    <r>
      <t>P</t>
    </r>
    <r>
      <rPr>
        <sz val="8"/>
        <color theme="1"/>
        <rFont val="Calibri"/>
        <family val="2"/>
        <scheme val="minor"/>
      </rPr>
      <t xml:space="preserve">ox  </t>
    </r>
    <r>
      <rPr>
        <sz val="11"/>
        <color theme="1"/>
        <rFont val="Calibri"/>
        <family val="2"/>
        <scheme val="minor"/>
      </rPr>
      <t>(kPa)</t>
    </r>
  </si>
  <si>
    <t>CC NPS</t>
  </si>
  <si>
    <t>Fuel Grain OD (m)</t>
  </si>
  <si>
    <t>Me</t>
  </si>
  <si>
    <t>L ∝ Dp</t>
  </si>
  <si>
    <r>
      <t>P</t>
    </r>
    <r>
      <rPr>
        <sz val="8"/>
        <color theme="1"/>
        <rFont val="Calibri"/>
        <family val="2"/>
        <scheme val="minor"/>
      </rPr>
      <t xml:space="preserve">cc  </t>
    </r>
    <r>
      <rPr>
        <sz val="11"/>
        <color theme="1"/>
        <rFont val="Calibri"/>
        <family val="2"/>
        <scheme val="minor"/>
      </rPr>
      <t>(kPa)</t>
    </r>
  </si>
  <si>
    <t>CC SCH</t>
  </si>
  <si>
    <r>
      <t>Initial Port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</si>
  <si>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ε</t>
  </si>
  <si>
    <r>
      <t>ṁ</t>
    </r>
    <r>
      <rPr>
        <sz val="8"/>
        <color rgb="FF222222"/>
        <rFont val="Calibri"/>
        <family val="2"/>
        <scheme val="minor"/>
      </rPr>
      <t>ox</t>
    </r>
    <r>
      <rPr>
        <sz val="11"/>
        <color rgb="FF222222"/>
        <rFont val="Calibri"/>
        <family val="2"/>
        <scheme val="minor"/>
      </rPr>
      <t xml:space="preserve"> / Dp</t>
    </r>
  </si>
  <si>
    <t>OF</t>
  </si>
  <si>
    <t>CC OD (m)</t>
  </si>
  <si>
    <t>Initial Port Diameter (m)</t>
  </si>
  <si>
    <r>
      <t>A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</si>
  <si>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G</t>
    </r>
    <r>
      <rPr>
        <sz val="8"/>
        <color theme="1"/>
        <rFont val="Calibri"/>
        <family val="2"/>
        <scheme val="minor"/>
      </rPr>
      <t xml:space="preserve">ox </t>
    </r>
    <r>
      <rPr>
        <sz val="11"/>
        <color theme="1"/>
        <rFont val="Calibri"/>
        <family val="2"/>
        <scheme val="minor"/>
      </rPr>
      <t>* Dp</t>
    </r>
  </si>
  <si>
    <t>CC Thickness (m)</t>
  </si>
  <si>
    <t>Final Port Diameter (m)</t>
  </si>
  <si>
    <r>
      <t>A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</si>
  <si>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CC ID (m)</t>
  </si>
  <si>
    <t>Web Thickness (m)</t>
  </si>
  <si>
    <r>
      <t>A</t>
    </r>
    <r>
      <rPr>
        <vertAlign val="subscript"/>
        <sz val="11"/>
        <color theme="1"/>
        <rFont val="Calibri"/>
        <family val="2"/>
        <scheme val="minor"/>
      </rPr>
      <t>t, Plug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</si>
  <si>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Liner Thickness (m)</t>
  </si>
  <si>
    <r>
      <t>D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(m)</t>
    </r>
  </si>
  <si>
    <t>Flight Design Paramters</t>
  </si>
  <si>
    <t>CC Working ID (m)</t>
  </si>
  <si>
    <r>
      <t>D</t>
    </r>
    <r>
      <rPr>
        <vertAlign val="subscript"/>
        <sz val="11"/>
        <color theme="1"/>
        <rFont val="Calibri"/>
        <family val="2"/>
        <scheme val="minor"/>
      </rPr>
      <t>t, Plug</t>
    </r>
    <r>
      <rPr>
        <sz val="11"/>
        <color theme="1"/>
        <rFont val="Calibri"/>
        <family val="2"/>
        <scheme val="minor"/>
      </rPr>
      <t xml:space="preserve"> (m)</t>
    </r>
  </si>
  <si>
    <t>Target Altitude (ft)</t>
  </si>
  <si>
    <t>Target Altitude (m)</t>
  </si>
  <si>
    <t>CC Full Length (m)</t>
  </si>
  <si>
    <t>Grain Length (m)</t>
  </si>
  <si>
    <t>Truncated Nozzle</t>
  </si>
  <si>
    <t>Cutoff Altitude (m)</t>
  </si>
  <si>
    <t>Pre-Combustor Length (m)</t>
  </si>
  <si>
    <t>Patm (kPa)</t>
  </si>
  <si>
    <t>Post-Combustor Length (m)</t>
  </si>
  <si>
    <t>PR (Pcc/Patm)</t>
  </si>
  <si>
    <t>CC Component Length (m)</t>
  </si>
  <si>
    <r>
      <t>A</t>
    </r>
    <r>
      <rPr>
        <vertAlign val="subscript"/>
        <sz val="11"/>
        <color theme="1"/>
        <rFont val="Calibri"/>
        <family val="2"/>
        <scheme val="minor"/>
      </rPr>
      <t>e, Plug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</si>
  <si>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Ratio of Specific Heats</t>
  </si>
  <si>
    <t>γ</t>
  </si>
  <si>
    <t>Density of Parafin Wax</t>
  </si>
  <si>
    <r>
      <t>rho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</si>
  <si>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Molar Mass of Combustion Gas</t>
  </si>
  <si>
    <t>MW (g/mol)</t>
  </si>
  <si>
    <t>Regression Rate Coefficient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</si>
  <si>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</si>
  <si>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t>Mass &amp; Flow Rates</t>
  </si>
  <si>
    <t>Combustion Flame Temperature</t>
  </si>
  <si>
    <r>
      <t>T</t>
    </r>
    <r>
      <rPr>
        <vertAlign val="subscript"/>
        <sz val="11"/>
        <color theme="1"/>
        <rFont val="Calibri"/>
        <family val="2"/>
      </rPr>
      <t>cc</t>
    </r>
    <r>
      <rPr>
        <sz val="11"/>
        <color theme="1"/>
        <rFont val="Calibri"/>
        <family val="2"/>
      </rPr>
      <t xml:space="preserve"> = T</t>
    </r>
    <r>
      <rPr>
        <vertAlign val="subscript"/>
        <sz val="11"/>
        <color theme="1"/>
        <rFont val="Calibri"/>
        <family val="2"/>
      </rPr>
      <t>f</t>
    </r>
    <r>
      <rPr>
        <sz val="11"/>
        <color theme="1"/>
        <rFont val="Calibri"/>
        <family val="2"/>
      </rPr>
      <t xml:space="preserve"> (K)</t>
    </r>
  </si>
  <si>
    <t>Flux Exponent</t>
  </si>
  <si>
    <t>n</t>
  </si>
  <si>
    <r>
      <t>D</t>
    </r>
    <r>
      <rPr>
        <vertAlign val="subscript"/>
        <sz val="11"/>
        <color theme="1"/>
        <rFont val="Calibri"/>
        <family val="2"/>
        <scheme val="minor"/>
      </rPr>
      <t>e, Plug</t>
    </r>
    <r>
      <rPr>
        <sz val="11"/>
        <color theme="1"/>
        <rFont val="Calibri"/>
        <family val="2"/>
        <scheme val="minor"/>
      </rPr>
      <t xml:space="preserve"> (m)</t>
    </r>
  </si>
  <si>
    <r>
      <t>G</t>
    </r>
    <r>
      <rPr>
        <sz val="8"/>
        <color theme="1"/>
        <rFont val="Calibri"/>
        <family val="2"/>
        <scheme val="minor"/>
      </rPr>
      <t>ox, Initial</t>
    </r>
    <r>
      <rPr>
        <sz val="11"/>
        <color theme="1"/>
        <rFont val="Calibri"/>
        <family val="2"/>
        <scheme val="minor"/>
      </rPr>
      <t xml:space="preserve"> (kg/m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·s)</t>
    </r>
  </si>
  <si>
    <t>Combustion Efficiency</t>
  </si>
  <si>
    <r>
      <rPr>
        <sz val="11"/>
        <color theme="1"/>
        <rFont val="Calibri"/>
        <family val="2"/>
      </rPr>
      <t>η</t>
    </r>
    <r>
      <rPr>
        <vertAlign val="subscript"/>
        <sz val="11"/>
        <color theme="1"/>
        <rFont val="Calibri"/>
        <family val="2"/>
      </rPr>
      <t>c*</t>
    </r>
  </si>
  <si>
    <r>
      <t>ṁ</t>
    </r>
    <r>
      <rPr>
        <sz val="8"/>
        <color rgb="FF222222"/>
        <rFont val="Calibri"/>
        <family val="2"/>
        <scheme val="minor"/>
      </rPr>
      <t>ox</t>
    </r>
    <r>
      <rPr>
        <sz val="11"/>
        <color rgb="FF222222"/>
        <rFont val="Calibri"/>
        <family val="2"/>
        <scheme val="minor"/>
      </rPr>
      <t xml:space="preserve">  (kg/s)</t>
    </r>
  </si>
  <si>
    <t>Nozzle Efficiency</t>
  </si>
  <si>
    <t>λ</t>
  </si>
  <si>
    <r>
      <t>ṁ</t>
    </r>
    <r>
      <rPr>
        <sz val="8"/>
        <color rgb="FF222222"/>
        <rFont val="Calibri"/>
        <family val="2"/>
        <scheme val="minor"/>
      </rPr>
      <t>fuel</t>
    </r>
    <r>
      <rPr>
        <sz val="11"/>
        <color rgb="FF222222"/>
        <rFont val="Calibri"/>
        <family val="2"/>
        <scheme val="minor"/>
      </rPr>
      <t xml:space="preserve">  (kg/s)</t>
    </r>
  </si>
  <si>
    <t>Gas Constant</t>
  </si>
  <si>
    <t>R (J/kg*K)</t>
  </si>
  <si>
    <r>
      <t>m</t>
    </r>
    <r>
      <rPr>
        <vertAlign val="subscript"/>
        <sz val="11"/>
        <color theme="1"/>
        <rFont val="Calibri"/>
        <family val="2"/>
        <scheme val="minor"/>
      </rPr>
      <t>ox</t>
    </r>
    <r>
      <rPr>
        <sz val="11"/>
        <color theme="1"/>
        <rFont val="Calibri"/>
        <family val="2"/>
        <scheme val="minor"/>
      </rPr>
      <t xml:space="preserve">  (kg)</t>
    </r>
  </si>
  <si>
    <t>Characteristic Velocity</t>
  </si>
  <si>
    <t>c* (m/s)</t>
  </si>
  <si>
    <r>
      <t>m</t>
    </r>
    <r>
      <rPr>
        <vertAlign val="subscript"/>
        <sz val="11"/>
        <color theme="1"/>
        <rFont val="Calibri"/>
        <family val="2"/>
        <scheme val="minor"/>
      </rPr>
      <t>fuel</t>
    </r>
    <r>
      <rPr>
        <sz val="11"/>
        <color theme="1"/>
        <rFont val="Calibri"/>
        <family val="2"/>
        <scheme val="minor"/>
      </rPr>
      <t xml:space="preserve">  (kg)</t>
    </r>
  </si>
  <si>
    <r>
      <t>m</t>
    </r>
    <r>
      <rPr>
        <sz val="11"/>
        <color theme="1"/>
        <rFont val="Calibri"/>
        <family val="2"/>
      </rPr>
      <t>̇</t>
    </r>
    <r>
      <rPr>
        <vertAlign val="subscript"/>
        <sz val="11"/>
        <color theme="1"/>
        <rFont val="Calibri"/>
        <family val="2"/>
      </rPr>
      <t xml:space="preserve">prop </t>
    </r>
    <r>
      <rPr>
        <sz val="11"/>
        <color theme="1"/>
        <rFont val="Calibri"/>
        <family val="2"/>
      </rPr>
      <t xml:space="preserve"> (kg/s) Non-Ideal</t>
    </r>
  </si>
  <si>
    <r>
      <t>m</t>
    </r>
    <r>
      <rPr>
        <sz val="11"/>
        <color theme="1"/>
        <rFont val="Calibri"/>
        <family val="2"/>
      </rPr>
      <t>̇</t>
    </r>
    <r>
      <rPr>
        <vertAlign val="subscript"/>
        <sz val="11"/>
        <color theme="1"/>
        <rFont val="Calibri"/>
        <family val="2"/>
      </rPr>
      <t xml:space="preserve">prop </t>
    </r>
    <r>
      <rPr>
        <sz val="11"/>
        <color theme="1"/>
        <rFont val="Calibri"/>
        <family val="2"/>
      </rPr>
      <t xml:space="preserve"> (kg/s) Ideal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</si>
  <si>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</t>
    </r>
    <r>
      <rPr>
        <sz val="11"/>
        <color theme="1"/>
        <rFont val="Calibri"/>
        <family val="2"/>
        <scheme val="minor"/>
      </rPr>
      <t xml:space="preserve">  (kg)</t>
    </r>
  </si>
  <si>
    <t>V1</t>
  </si>
  <si>
    <t>Emerson Vargas Niño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</si>
</sst>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rgb="FF222222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23">
    <xf numFmtId="0" fontId="0" fillId="0" borderId="0" xfId="0"/>
    <xf numFmtId="0" fontId="5" fillId="4" borderId="0" xfId="4"/>
    <xf numFmtId="0" fontId="5" fillId="5" borderId="0" xfId="5"/>
    <xf numFmtId="0" fontId="5" fillId="6" borderId="0" xfId="6"/>
    <xf numFmtId="164" fontId="0" fillId="0" borderId="0" xfId="0" applyNumberFormat="1"/>
    <xf numFmtId="2" fontId="0" fillId="0" borderId="0" xfId="0" applyNumberFormat="1"/>
    <xf numFmtId="0" fontId="7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Font="1" applyBorder="1"/>
    <xf numFmtId="165" fontId="0" fillId="0" borderId="0" xfId="0" applyNumberFormat="1"/>
    <xf numFmtId="166" fontId="0" fillId="0" borderId="0" xfId="0" applyNumberFormat="1"/>
    <xf numFmtId="0" fontId="0" fillId="0" borderId="0" xfId="0" applyFill="1" applyBorder="1"/>
    <xf numFmtId="0" fontId="5" fillId="0" borderId="0" xfId="0" applyFont="1"/>
    <xf numFmtId="164" fontId="7" fillId="0" borderId="0" xfId="0" applyNumberFormat="1" applyFont="1"/>
    <xf numFmtId="164" fontId="1" fillId="2" borderId="1" xfId="1" applyNumberFormat="1"/>
    <xf numFmtId="0" fontId="2" fillId="3" borderId="2" xfId="2"/>
    <xf numFmtId="0" fontId="3" fillId="0" borderId="0" xfId="3" applyBorder="1"/>
    <xf numFmtId="0" fontId="12" fillId="0" borderId="0" xfId="0" applyFont="1" applyBorder="1"/>
    <xf numFmtId="0" fontId="0" fillId="0" borderId="0" xfId="0" applyNumberFormat="1"/>
    <xf numFmtId="0" fontId="0" fillId="0" borderId="0" xfId="0" applyBorder="1"/>
    <xf numFmtId="0" fontId="1" fillId="2" borderId="1" xfId="1"/>
    <xf numFmtId="1" fontId="0" fillId="0" borderId="0" xfId="0" applyNumberFormat="1"/>
  </cellXfs>
  <cellStyles count="7">
    <cellStyle name="Accent1" xfId="4" builtinId="29"/>
    <cellStyle name="Accent5" xfId="5" builtinId="45"/>
    <cellStyle name="Accent6" xfId="6" builtinId="49"/>
    <cellStyle name="Explanatory Text" xfId="3" builtinId="5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zoomScale="70" zoomScaleNormal="70" workbookViewId="0">
      <selection activeCell="B2" sqref="B2"/>
    </sheetView>
  </sheetViews>
  <sheetFormatPr defaultRowHeight="14.4" x14ac:dyDescent="0.55000000000000004"/>
  <cols>
    <col min="2" max="2" width="19.7890625" bestFit="1" customWidth="1"/>
    <col min="3" max="3" width="21.1015625" bestFit="1" customWidth="1"/>
    <col min="4" max="4" width="26.3671875" customWidth="1"/>
    <col min="5" max="5" width="8.578125" customWidth="1"/>
    <col min="6" max="6" width="28.41796875" customWidth="1"/>
    <col min="7" max="7" width="22.5234375" bestFit="1" customWidth="1"/>
    <col min="8" max="8" width="11.41796875" customWidth="1"/>
    <col min="9" max="10" width="8.62890625" customWidth="1"/>
    <col min="11" max="11" width="8.3671875" customWidth="1"/>
    <col min="12" max="12" width="19.83984375" bestFit="1" customWidth="1"/>
    <col min="16" max="16" width="15.734375" bestFit="1" customWidth="1"/>
    <col min="17" max="17" width="10.15625" bestFit="1" customWidth="1"/>
    <col min="19" max="19" width="18.05078125" bestFit="1" customWidth="1"/>
  </cols>
  <sheetData>
    <row r="1" spans="1:20" x14ac:dyDescent="0.55000000000000004">
      <c r="A1" t="s">
        <v>75</v>
      </c>
      <c r="B1" t="s">
        <v>76</v>
      </c>
    </row>
    <row r="4" spans="1:20" x14ac:dyDescent="0.55000000000000004">
      <c r="B4" s="1" t="s">
        <v>0</v>
      </c>
      <c r="C4" s="2" t="s">
        <v>1</v>
      </c>
      <c r="D4" s="3" t="s">
        <v>2</v>
      </c>
      <c r="G4" s="1" t="s">
        <v>3</v>
      </c>
      <c r="H4" s="2" t="s">
        <v>1</v>
      </c>
      <c r="I4" s="3" t="s">
        <v>2</v>
      </c>
      <c r="L4" s="1" t="s">
        <v>4</v>
      </c>
      <c r="M4" s="2" t="s">
        <v>1</v>
      </c>
      <c r="N4" s="3" t="s">
        <v>2</v>
      </c>
      <c r="P4" s="1" t="s">
        <v>5</v>
      </c>
      <c r="Q4" s="2" t="s">
        <v>1</v>
      </c>
      <c r="S4" s="1" t="s">
        <v>6</v>
      </c>
      <c r="T4" s="3" t="s">
        <v>2</v>
      </c>
    </row>
    <row r="5" spans="1:20" x14ac:dyDescent="0.55000000000000004">
      <c r="B5" t="s">
        <v>7</v>
      </c>
      <c r="C5">
        <f>D5</f>
        <v>4826330.1052178536</v>
      </c>
      <c r="D5">
        <f>CONVERT(700,"psi","Pa")</f>
        <v>4826330.1052178536</v>
      </c>
      <c r="G5" t="s">
        <v>8</v>
      </c>
      <c r="H5">
        <v>3</v>
      </c>
      <c r="I5">
        <v>5</v>
      </c>
      <c r="L5" t="s">
        <v>9</v>
      </c>
      <c r="M5" s="4">
        <f>H11</f>
        <v>6.7768000000000009E-2</v>
      </c>
      <c r="N5" s="4">
        <f>I11</f>
        <v>0.124332</v>
      </c>
      <c r="P5" t="s">
        <v>10</v>
      </c>
      <c r="Q5" s="5">
        <f>C8</f>
        <v>3.0670668319530008</v>
      </c>
      <c r="S5" s="6" t="s">
        <v>11</v>
      </c>
      <c r="T5" s="7">
        <f>N13/N7</f>
        <v>9.9820837995268477</v>
      </c>
    </row>
    <row r="6" spans="1:20" ht="16.5" x14ac:dyDescent="0.55000000000000004">
      <c r="B6" t="s">
        <v>12</v>
      </c>
      <c r="C6">
        <f>D6</f>
        <v>3378431.073652497</v>
      </c>
      <c r="D6">
        <f>CONVERT(490,"psi","Pa")</f>
        <v>3378431.073652497</v>
      </c>
      <c r="G6" t="s">
        <v>13</v>
      </c>
      <c r="H6">
        <v>40</v>
      </c>
      <c r="I6">
        <v>10</v>
      </c>
      <c r="L6" t="s">
        <v>14</v>
      </c>
      <c r="M6">
        <f>PI()*(M7^2)/4</f>
        <v>1.0509992990599092E-3</v>
      </c>
      <c r="N6">
        <v>3.987257315452155E-3</v>
      </c>
      <c r="P6" t="s">
        <v>15</v>
      </c>
      <c r="Q6" s="5">
        <f>C9</f>
        <v>6.6408059827720187</v>
      </c>
      <c r="S6" s="8" t="s">
        <v>16</v>
      </c>
      <c r="T6" s="7">
        <f>D22/N7</f>
        <v>39.172393857780634</v>
      </c>
    </row>
    <row r="7" spans="1:20" ht="17.7" x14ac:dyDescent="0.75">
      <c r="B7" t="s">
        <v>17</v>
      </c>
      <c r="C7">
        <f>D7</f>
        <v>4.5</v>
      </c>
      <c r="D7">
        <v>4.5</v>
      </c>
      <c r="G7" t="s">
        <v>18</v>
      </c>
      <c r="H7" s="4">
        <f>88.9/1000</f>
        <v>8.8900000000000007E-2</v>
      </c>
      <c r="I7" s="4">
        <f>141.3/1000</f>
        <v>0.14130000000000001</v>
      </c>
      <c r="L7" s="9" t="s">
        <v>19</v>
      </c>
      <c r="M7">
        <f>C22/T6</f>
        <v>3.6581058883690259E-2</v>
      </c>
      <c r="N7">
        <f>2*SQRT(N6/PI())</f>
        <v>7.1251201316667276E-2</v>
      </c>
      <c r="P7" t="s">
        <v>20</v>
      </c>
      <c r="Q7" s="10">
        <f>PI()*(H9^2)/4</f>
        <v>4.7695449054428758E-3</v>
      </c>
      <c r="S7" t="s">
        <v>21</v>
      </c>
      <c r="T7">
        <f>D21*N7</f>
        <v>49.875840921667091</v>
      </c>
    </row>
    <row r="8" spans="1:20" ht="17.7" x14ac:dyDescent="0.75">
      <c r="B8" t="s">
        <v>10</v>
      </c>
      <c r="C8" s="5">
        <f>SQRT( (2/(H18-1)) *(((C6/C15)^((H18-1)/H18))-1))</f>
        <v>3.0670668319530008</v>
      </c>
      <c r="G8" t="s">
        <v>22</v>
      </c>
      <c r="H8" s="4">
        <f>5.486/1000</f>
        <v>5.4859999999999996E-3</v>
      </c>
      <c r="I8" s="4">
        <f>3.404/1000</f>
        <v>3.4039999999999999E-3</v>
      </c>
      <c r="L8" s="9" t="s">
        <v>23</v>
      </c>
      <c r="M8" s="6"/>
      <c r="N8" s="6">
        <v>0.12105713706746227</v>
      </c>
      <c r="P8" t="s">
        <v>24</v>
      </c>
      <c r="Q8" s="11">
        <f>Q7/Q6</f>
        <v>7.1821777624829248E-4</v>
      </c>
    </row>
    <row r="9" spans="1:20" ht="17.7" x14ac:dyDescent="0.75">
      <c r="B9" t="s">
        <v>15</v>
      </c>
      <c r="C9" s="5">
        <f>(1/C8)*SQRT(((2/(H18 + 1))* (1 + ((H18 - 1)/2)*C8^2))^((H18 + 1)/(H18 - 1)))</f>
        <v>6.6408059827720187</v>
      </c>
      <c r="G9" t="s">
        <v>25</v>
      </c>
      <c r="H9" s="4">
        <f>H7-2*(H8)</f>
        <v>7.7928000000000011E-2</v>
      </c>
      <c r="I9" s="4">
        <f>I7-2*(I8)</f>
        <v>0.134492</v>
      </c>
      <c r="L9" s="12" t="s">
        <v>26</v>
      </c>
      <c r="M9" s="6"/>
      <c r="N9" s="6">
        <v>2.4902967875397496E-2</v>
      </c>
      <c r="P9" t="s">
        <v>27</v>
      </c>
      <c r="Q9" s="10">
        <f>(PI()*(H9^2)/4)-Q8</f>
        <v>4.0513271291945834E-3</v>
      </c>
    </row>
    <row r="10" spans="1:20" ht="16.8" x14ac:dyDescent="0.75">
      <c r="G10" t="s">
        <v>28</v>
      </c>
      <c r="H10" s="4">
        <f>I10</f>
        <v>5.0800000000000003E-3</v>
      </c>
      <c r="I10" s="4">
        <f>5.08/1000</f>
        <v>5.0800000000000003E-3</v>
      </c>
      <c r="L10" s="13"/>
      <c r="M10" s="6"/>
      <c r="N10" s="6"/>
      <c r="P10" t="s">
        <v>29</v>
      </c>
      <c r="Q10" s="4">
        <f>H9</f>
        <v>7.7928000000000011E-2</v>
      </c>
    </row>
    <row r="11" spans="1:20" ht="16.8" x14ac:dyDescent="0.75">
      <c r="B11" s="1" t="s">
        <v>30</v>
      </c>
      <c r="C11" s="2" t="s">
        <v>1</v>
      </c>
      <c r="G11" t="s">
        <v>31</v>
      </c>
      <c r="H11" s="14">
        <f>H9-2*H10</f>
        <v>6.7768000000000009E-2</v>
      </c>
      <c r="I11" s="14">
        <f>I9-2*I10</f>
        <v>0.124332</v>
      </c>
      <c r="L11" s="13"/>
      <c r="M11" s="6"/>
      <c r="N11" s="6"/>
      <c r="P11" t="s">
        <v>32</v>
      </c>
      <c r="Q11" s="4">
        <f>2*SQRT(Q9/PI())</f>
        <v>7.1821375018506328E-2</v>
      </c>
    </row>
    <row r="12" spans="1:20" x14ac:dyDescent="0.55000000000000004">
      <c r="B12" t="s">
        <v>33</v>
      </c>
      <c r="C12">
        <f>CONVERT(C13,"m","ft")</f>
        <v>65999.997888000129</v>
      </c>
      <c r="H12" s="13"/>
      <c r="L12" s="13"/>
      <c r="M12" s="6"/>
      <c r="N12" s="6"/>
    </row>
    <row r="13" spans="1:20" x14ac:dyDescent="0.55000000000000004">
      <c r="B13" t="s">
        <v>34</v>
      </c>
      <c r="C13">
        <f>6.09599980492801*C14</f>
        <v>20116.799356262436</v>
      </c>
      <c r="G13" t="s">
        <v>35</v>
      </c>
      <c r="H13" s="6">
        <v>0.30480000000000002</v>
      </c>
      <c r="I13">
        <v>1</v>
      </c>
      <c r="L13" t="s">
        <v>36</v>
      </c>
      <c r="M13" s="6">
        <f>M7*T5</f>
        <v>0.36515519525242218</v>
      </c>
      <c r="N13" s="6">
        <v>0.7112354623599304</v>
      </c>
      <c r="O13" s="6"/>
      <c r="P13" s="1" t="s">
        <v>37</v>
      </c>
      <c r="Q13" s="2" t="s">
        <v>1</v>
      </c>
    </row>
    <row r="14" spans="1:20" x14ac:dyDescent="0.55000000000000004">
      <c r="B14" t="s">
        <v>38</v>
      </c>
      <c r="C14">
        <v>3300</v>
      </c>
      <c r="G14" t="s">
        <v>39</v>
      </c>
      <c r="H14" s="15">
        <f>H11</f>
        <v>6.7768000000000009E-2</v>
      </c>
      <c r="I14" s="4">
        <f>I11</f>
        <v>0.124332</v>
      </c>
      <c r="L14" s="13"/>
      <c r="M14" s="6"/>
      <c r="N14" s="6"/>
      <c r="O14" s="6"/>
      <c r="P14" t="s">
        <v>15</v>
      </c>
      <c r="Q14" s="5">
        <f>(Q15-Q16)/Q17</f>
        <v>5.9573449652968584</v>
      </c>
    </row>
    <row r="15" spans="1:20" ht="17.7" x14ac:dyDescent="0.75">
      <c r="B15" t="s">
        <v>40</v>
      </c>
      <c r="C15">
        <f>101.325*(1 - 0.0065*C14/288.16)^(-9.81/-0.0065/287)*1000</f>
        <v>67461.446632691848</v>
      </c>
      <c r="G15" s="12" t="s">
        <v>41</v>
      </c>
      <c r="H15" s="15">
        <f>H11</f>
        <v>6.7768000000000009E-2</v>
      </c>
      <c r="I15" s="4">
        <f>I11</f>
        <v>0.124332</v>
      </c>
      <c r="L15" s="13"/>
      <c r="M15" s="6"/>
      <c r="N15" s="6"/>
      <c r="O15" s="6"/>
      <c r="P15" t="s">
        <v>20</v>
      </c>
      <c r="Q15" s="10">
        <f>Q7</f>
        <v>4.7695449054428758E-3</v>
      </c>
    </row>
    <row r="16" spans="1:20" ht="17.7" x14ac:dyDescent="0.75">
      <c r="B16" t="s">
        <v>42</v>
      </c>
      <c r="C16">
        <f>C6/C15</f>
        <v>50.079434140318419</v>
      </c>
      <c r="G16" s="12" t="s">
        <v>43</v>
      </c>
      <c r="H16" s="16"/>
      <c r="I16" s="16">
        <f>I13-(I14+I15+N13)</f>
        <v>4.01005376400696E-2</v>
      </c>
      <c r="M16" s="6"/>
      <c r="N16" s="6"/>
      <c r="O16" s="6"/>
      <c r="P16" t="s">
        <v>44</v>
      </c>
      <c r="Q16" s="11">
        <f>PI()*(Q20^2)/4</f>
        <v>4.9087385212340522E-4</v>
      </c>
    </row>
    <row r="17" spans="2:17" ht="17.7" x14ac:dyDescent="0.75">
      <c r="M17" s="6"/>
      <c r="N17" s="6"/>
      <c r="O17" s="6"/>
      <c r="P17" t="s">
        <v>24</v>
      </c>
      <c r="Q17" s="11">
        <f>Q7/Q6</f>
        <v>7.1821777624829248E-4</v>
      </c>
    </row>
    <row r="18" spans="2:17" ht="17.7" x14ac:dyDescent="0.75">
      <c r="F18" s="17" t="s">
        <v>45</v>
      </c>
      <c r="G18" s="18" t="s">
        <v>46</v>
      </c>
      <c r="H18">
        <f>I18</f>
        <v>1.2343</v>
      </c>
      <c r="I18" s="19">
        <v>1.2343</v>
      </c>
      <c r="K18" s="17" t="s">
        <v>47</v>
      </c>
      <c r="L18" s="20" t="s">
        <v>48</v>
      </c>
      <c r="M18">
        <v>950</v>
      </c>
      <c r="N18">
        <v>950</v>
      </c>
      <c r="O18" s="6"/>
      <c r="P18" t="s">
        <v>27</v>
      </c>
      <c r="Q18" s="10">
        <f>(PI()*(H9^2)/4)-Q8</f>
        <v>4.0513271291945834E-3</v>
      </c>
    </row>
    <row r="19" spans="2:17" ht="16.8" x14ac:dyDescent="0.75">
      <c r="F19" s="17" t="s">
        <v>49</v>
      </c>
      <c r="G19" s="18" t="s">
        <v>50</v>
      </c>
      <c r="H19">
        <f>I19</f>
        <v>23.103000000000002</v>
      </c>
      <c r="I19">
        <v>23.103000000000002</v>
      </c>
      <c r="K19" s="17" t="s">
        <v>51</v>
      </c>
      <c r="L19" s="20" t="s">
        <v>52</v>
      </c>
      <c r="M19">
        <v>1.55E-4</v>
      </c>
      <c r="N19">
        <v>1.55E-4</v>
      </c>
      <c r="O19" s="6"/>
      <c r="P19" t="s">
        <v>29</v>
      </c>
      <c r="Q19" s="4">
        <f>Q10</f>
        <v>7.7928000000000011E-2</v>
      </c>
    </row>
    <row r="20" spans="2:17" ht="16.8" x14ac:dyDescent="0.75">
      <c r="B20" s="1" t="s">
        <v>53</v>
      </c>
      <c r="C20" s="2" t="s">
        <v>1</v>
      </c>
      <c r="D20" s="3" t="s">
        <v>2</v>
      </c>
      <c r="F20" s="17" t="s">
        <v>54</v>
      </c>
      <c r="G20" s="18" t="s">
        <v>55</v>
      </c>
      <c r="H20">
        <f>I20</f>
        <v>2825.98</v>
      </c>
      <c r="I20">
        <v>2825.98</v>
      </c>
      <c r="K20" s="17" t="s">
        <v>56</v>
      </c>
      <c r="L20" s="20" t="s">
        <v>57</v>
      </c>
      <c r="M20">
        <v>0.5</v>
      </c>
      <c r="N20">
        <v>0.5</v>
      </c>
      <c r="O20" s="6"/>
      <c r="P20" t="s">
        <v>58</v>
      </c>
      <c r="Q20" s="21">
        <v>2.5000000000000001E-2</v>
      </c>
    </row>
    <row r="21" spans="2:17" ht="17.7" x14ac:dyDescent="0.75">
      <c r="B21" t="s">
        <v>59</v>
      </c>
      <c r="D21">
        <v>700</v>
      </c>
      <c r="F21" s="17" t="s">
        <v>60</v>
      </c>
      <c r="G21" s="18" t="s">
        <v>61</v>
      </c>
      <c r="H21">
        <v>0.9</v>
      </c>
      <c r="I21">
        <v>0.9</v>
      </c>
      <c r="O21" s="6"/>
    </row>
    <row r="22" spans="2:17" x14ac:dyDescent="0.55000000000000004">
      <c r="B22" s="8" t="s">
        <v>62</v>
      </c>
      <c r="C22">
        <f>C26*(C7/(C7+1))</f>
        <v>1.4329676463265801</v>
      </c>
      <c r="D22">
        <v>2.7910801208165084</v>
      </c>
      <c r="F22" s="17" t="s">
        <v>63</v>
      </c>
      <c r="G22" s="18" t="s">
        <v>64</v>
      </c>
      <c r="H22">
        <v>1</v>
      </c>
      <c r="I22">
        <v>0.9</v>
      </c>
      <c r="O22" s="6"/>
    </row>
    <row r="23" spans="2:17" x14ac:dyDescent="0.55000000000000004">
      <c r="B23" s="8" t="s">
        <v>65</v>
      </c>
      <c r="C23">
        <f>C22/C7</f>
        <v>0.31843725473924001</v>
      </c>
      <c r="D23">
        <v>0.62024002684811297</v>
      </c>
      <c r="F23" s="17" t="s">
        <v>66</v>
      </c>
      <c r="G23" s="20" t="s">
        <v>67</v>
      </c>
      <c r="H23" s="22">
        <f>8314/H19</f>
        <v>359.86668398043543</v>
      </c>
      <c r="I23" s="22">
        <f>8314/I19</f>
        <v>359.86668398043543</v>
      </c>
    </row>
    <row r="24" spans="2:17" ht="16.8" x14ac:dyDescent="0.75">
      <c r="B24" t="s">
        <v>68</v>
      </c>
      <c r="D24">
        <v>22.872762599473617</v>
      </c>
      <c r="F24" s="17" t="s">
        <v>69</v>
      </c>
      <c r="G24" s="18" t="s">
        <v>70</v>
      </c>
      <c r="H24" s="5">
        <f>H21*SQRT(H18*H20*H23)/H18/(2/(H18 + 1))^((H18 + 1)/(2*H18 - 2))</f>
        <v>1385.4302060307175</v>
      </c>
      <c r="I24" s="22">
        <f>I21*SQRT(I18*I20*I23)/I18/(2/(I18 + 1))^((I18 + 1)/(2*I18 - 2))</f>
        <v>1385.4302060307175</v>
      </c>
    </row>
    <row r="25" spans="2:17" ht="16.8" x14ac:dyDescent="0.75">
      <c r="B25" t="s">
        <v>71</v>
      </c>
      <c r="D25">
        <v>5.0828361332163601</v>
      </c>
      <c r="F25" s="7"/>
    </row>
    <row r="26" spans="2:17" ht="16.8" x14ac:dyDescent="0.75">
      <c r="B26" t="s">
        <v>72</v>
      </c>
      <c r="C26">
        <f>C6*Q8/H24</f>
        <v>1.7514049010658201</v>
      </c>
      <c r="D26">
        <v>3.4113201476646213</v>
      </c>
    </row>
    <row r="27" spans="2:17" ht="16.8" x14ac:dyDescent="0.75">
      <c r="B27" t="s">
        <v>73</v>
      </c>
      <c r="C27">
        <f>Q8*C6*H18*(SQRT((2/(H18+1))^((H18+1)/(H18-1)))/SQRT(H18*H23*H20))</f>
        <v>1.5762644109592381</v>
      </c>
    </row>
    <row r="28" spans="2:17" ht="16.8" x14ac:dyDescent="0.75">
      <c r="B28" t="s">
        <v>74</v>
      </c>
      <c r="D28">
        <v>27.955598732689978</v>
      </c>
    </row>
    <row r="30" spans="2:17" x14ac:dyDescent="0.55000000000000004">
      <c r="B30" s="8"/>
    </row>
    <row r="31" spans="2:17" x14ac:dyDescent="0.55000000000000004">
      <c r="B31" s="8"/>
    </row>
    <row r="49" spans="2:3" x14ac:dyDescent="0.55000000000000004">
      <c r="B49" t="e">
        <f>CONVERT(#REF!,"ft","m")</f>
        <v>#REF!</v>
      </c>
    </row>
    <row r="50" spans="2:3" x14ac:dyDescent="0.55000000000000004">
      <c r="B50" t="e">
        <f t="shared" ref="B50:B51" si="0">CONVERT(#REF!,"ft","m")</f>
        <v>#REF!</v>
      </c>
    </row>
    <row r="51" spans="2:3" x14ac:dyDescent="0.55000000000000004">
      <c r="B51" t="e">
        <f t="shared" ref="B51:B52" si="1">CONVERT(#REF!,"ft","m")</f>
        <v>#REF!</v>
      </c>
      <c r="C51">
        <f>CONVERT(500,"psi","Pa")</f>
        <v>3447378.6465841806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Vargas Niño</dc:creator>
  <cp:lastModifiedBy>Emerson Vargas Niño</cp:lastModifiedBy>
  <dcterms:created xsi:type="dcterms:W3CDTF">2017-11-23T02:32:50Z</dcterms:created>
  <dcterms:modified xsi:type="dcterms:W3CDTF">2017-11-23T02:34:30Z</dcterms:modified>
</cp:coreProperties>
</file>